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mc:AlternateContent xmlns:mc="http://schemas.openxmlformats.org/markup-compatibility/2006">
    <mc:Choice Requires="x15">
      <x15ac:absPath xmlns:x15ac="http://schemas.microsoft.com/office/spreadsheetml/2010/11/ac" url="https://edforg-my.sharepoint.com/personal/olord_edf_org/Documents/Policy framework/Main roads/"/>
    </mc:Choice>
  </mc:AlternateContent>
  <xr:revisionPtr revIDLastSave="0" documentId="8_{5C6AA9FA-99BA-4F8A-B0F9-E2EE9CA69E3D}" xr6:coauthVersionLast="45" xr6:coauthVersionMax="45" xr10:uidLastSave="{00000000-0000-0000-0000-000000000000}"/>
  <bookViews>
    <workbookView xWindow="-120" yWindow="-120" windowWidth="29040" windowHeight="15840" xr2:uid="{00000000-000D-0000-FFFF-FFFF00000000}"/>
  </bookViews>
  <sheets>
    <sheet name="RESULTS" sheetId="1" r:id="rId1"/>
    <sheet name="Top 3's" sheetId="2" r:id="rId2"/>
    <sheet name="RAW DATA" sheetId="3" r:id="rId3"/>
    <sheet name="London" sheetId="4" r:id="rId4"/>
  </sheets>
  <definedNames>
    <definedName name="_xlnm._FilterDatabase" localSheetId="0" hidden="1">RESULTS!$A$1:$Z$119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1722" i="4" l="1"/>
  <c r="U1722" i="4"/>
  <c r="T1722" i="4"/>
  <c r="S1722" i="4"/>
  <c r="Q1722" i="4"/>
  <c r="P1722" i="4"/>
  <c r="O1722" i="4"/>
  <c r="N1722" i="4"/>
  <c r="M1722" i="4"/>
  <c r="L1722" i="4"/>
  <c r="K1722" i="4"/>
  <c r="V1712" i="4"/>
  <c r="U1712" i="4"/>
  <c r="T1712" i="4"/>
  <c r="S1712" i="4"/>
  <c r="Q1712" i="4"/>
  <c r="P1712" i="4"/>
  <c r="O1712" i="4"/>
  <c r="N1712" i="4"/>
  <c r="M1712" i="4"/>
  <c r="L1712" i="4"/>
  <c r="K1712" i="4"/>
  <c r="V1704" i="4"/>
  <c r="U1704" i="4"/>
  <c r="T1704" i="4"/>
  <c r="S1704" i="4"/>
  <c r="Q1704" i="4"/>
  <c r="P1704" i="4"/>
  <c r="O1704" i="4"/>
  <c r="N1704" i="4"/>
  <c r="M1704" i="4"/>
  <c r="L1704" i="4"/>
  <c r="K1704" i="4"/>
  <c r="V1698" i="4"/>
  <c r="U1698" i="4"/>
  <c r="T1698" i="4"/>
  <c r="S1698" i="4"/>
  <c r="R1698" i="4"/>
  <c r="Q1698" i="4"/>
  <c r="P1698" i="4"/>
  <c r="O1698" i="4"/>
  <c r="N1698" i="4"/>
  <c r="M1698" i="4"/>
  <c r="L1698" i="4"/>
  <c r="K1698" i="4"/>
  <c r="V1693" i="4"/>
  <c r="U1693" i="4"/>
  <c r="T1693" i="4"/>
  <c r="S1693" i="4"/>
  <c r="Q1693" i="4"/>
  <c r="P1693" i="4"/>
  <c r="O1693" i="4"/>
  <c r="N1693" i="4"/>
  <c r="M1693" i="4"/>
  <c r="L1693" i="4"/>
  <c r="K1693" i="4"/>
  <c r="V1682" i="4"/>
  <c r="U1682" i="4"/>
  <c r="T1682" i="4"/>
  <c r="S1682" i="4"/>
  <c r="Q1682" i="4"/>
  <c r="P1682" i="4"/>
  <c r="O1682" i="4"/>
  <c r="N1682" i="4"/>
  <c r="M1682" i="4"/>
  <c r="L1682" i="4"/>
  <c r="K1682" i="4"/>
  <c r="V1667" i="4"/>
  <c r="U1667" i="4"/>
  <c r="T1667" i="4"/>
  <c r="S1667" i="4"/>
  <c r="Q1667" i="4"/>
  <c r="P1667" i="4"/>
  <c r="O1667" i="4"/>
  <c r="N1667" i="4"/>
  <c r="M1667" i="4"/>
  <c r="L1667" i="4"/>
  <c r="K1667" i="4"/>
  <c r="V1638" i="4"/>
  <c r="U1638" i="4"/>
  <c r="T1638" i="4"/>
  <c r="S1638" i="4"/>
  <c r="Q1638" i="4"/>
  <c r="P1638" i="4"/>
  <c r="O1638" i="4"/>
  <c r="N1638" i="4"/>
  <c r="M1638" i="4"/>
  <c r="L1638" i="4"/>
  <c r="K1638" i="4"/>
  <c r="V1622" i="4"/>
  <c r="U1622" i="4"/>
  <c r="T1622" i="4"/>
  <c r="S1622" i="4"/>
  <c r="Q1622" i="4"/>
  <c r="P1622" i="4"/>
  <c r="O1622" i="4"/>
  <c r="N1622" i="4"/>
  <c r="M1622" i="4"/>
  <c r="L1622" i="4"/>
  <c r="K1622" i="4"/>
  <c r="V1605" i="4"/>
  <c r="Q1605" i="4"/>
  <c r="M1605" i="4"/>
  <c r="L1605" i="4"/>
  <c r="K1605" i="4"/>
  <c r="V1594" i="4"/>
  <c r="U1594" i="4"/>
  <c r="T1594" i="4"/>
  <c r="S1594" i="4"/>
  <c r="Q1594" i="4"/>
  <c r="P1594" i="4"/>
  <c r="O1594" i="4"/>
  <c r="N1594" i="4"/>
  <c r="M1594" i="4"/>
  <c r="L1594" i="4"/>
  <c r="K1594" i="4"/>
  <c r="V1565" i="4"/>
  <c r="U1565" i="4"/>
  <c r="T1565" i="4"/>
  <c r="S1565" i="4"/>
  <c r="Q1565" i="4"/>
  <c r="P1565" i="4"/>
  <c r="O1565" i="4"/>
  <c r="N1565" i="4"/>
  <c r="M1565" i="4"/>
  <c r="L1565" i="4"/>
  <c r="K1565" i="4"/>
  <c r="V1551" i="4"/>
  <c r="U1551" i="4"/>
  <c r="T1551" i="4"/>
  <c r="S1551" i="4"/>
  <c r="Q1551" i="4"/>
  <c r="P1551" i="4"/>
  <c r="O1551" i="4"/>
  <c r="N1551" i="4"/>
  <c r="M1551" i="4"/>
  <c r="L1551" i="4"/>
  <c r="K1551" i="4"/>
  <c r="V1529" i="4"/>
  <c r="U1529" i="4"/>
  <c r="T1529" i="4"/>
  <c r="S1529" i="4"/>
  <c r="Q1529" i="4"/>
  <c r="P1529" i="4"/>
  <c r="O1529" i="4"/>
  <c r="N1529" i="4"/>
  <c r="M1529" i="4"/>
  <c r="L1529" i="4"/>
  <c r="K1529" i="4"/>
  <c r="V1517" i="4"/>
  <c r="U1517" i="4"/>
  <c r="T1517" i="4"/>
  <c r="S1517" i="4"/>
  <c r="Q1517" i="4"/>
  <c r="P1517" i="4"/>
  <c r="O1517" i="4"/>
  <c r="N1517" i="4"/>
  <c r="M1517" i="4"/>
  <c r="L1517" i="4"/>
  <c r="K1517" i="4"/>
  <c r="V1510" i="4"/>
  <c r="U1510" i="4"/>
  <c r="T1510" i="4"/>
  <c r="S1510" i="4"/>
  <c r="Q1510" i="4"/>
  <c r="P1510" i="4"/>
  <c r="O1510" i="4"/>
  <c r="N1510" i="4"/>
  <c r="M1510" i="4"/>
  <c r="L1510" i="4"/>
  <c r="K1510" i="4"/>
  <c r="V1504" i="4"/>
  <c r="U1504" i="4"/>
  <c r="T1504" i="4"/>
  <c r="S1504" i="4"/>
  <c r="Q1504" i="4"/>
  <c r="P1504" i="4"/>
  <c r="O1504" i="4"/>
  <c r="N1504" i="4"/>
  <c r="M1504" i="4"/>
  <c r="L1504" i="4"/>
  <c r="K1504" i="4"/>
  <c r="V1495" i="4"/>
  <c r="U1495" i="4"/>
  <c r="T1495" i="4"/>
  <c r="S1495" i="4"/>
  <c r="Q1495" i="4"/>
  <c r="P1495" i="4"/>
  <c r="O1495" i="4"/>
  <c r="N1495" i="4"/>
  <c r="M1495" i="4"/>
  <c r="L1495" i="4"/>
  <c r="K1495" i="4"/>
  <c r="V1463" i="4"/>
  <c r="U1463" i="4"/>
  <c r="T1463" i="4"/>
  <c r="S1463" i="4"/>
  <c r="Q1463" i="4"/>
  <c r="P1463" i="4"/>
  <c r="O1463" i="4"/>
  <c r="N1463" i="4"/>
  <c r="M1463" i="4"/>
  <c r="L1463" i="4"/>
  <c r="K1463" i="4"/>
  <c r="V1447" i="4"/>
  <c r="U1447" i="4"/>
  <c r="T1447" i="4"/>
  <c r="S1447" i="4"/>
  <c r="Q1447" i="4"/>
  <c r="P1447" i="4"/>
  <c r="O1447" i="4"/>
  <c r="N1447" i="4"/>
  <c r="M1447" i="4"/>
  <c r="L1447" i="4"/>
  <c r="K1447" i="4"/>
  <c r="V1434" i="4"/>
  <c r="Q1434" i="4"/>
  <c r="M1434" i="4"/>
  <c r="L1434" i="4"/>
  <c r="K1434" i="4"/>
  <c r="V1424" i="4"/>
  <c r="U1424" i="4"/>
  <c r="T1424" i="4"/>
  <c r="S1424" i="4"/>
  <c r="Q1424" i="4"/>
  <c r="P1424" i="4"/>
  <c r="O1424" i="4"/>
  <c r="N1424" i="4"/>
  <c r="M1424" i="4"/>
  <c r="L1424" i="4"/>
  <c r="K1424" i="4"/>
  <c r="V1399" i="4"/>
  <c r="U1399" i="4"/>
  <c r="T1399" i="4"/>
  <c r="S1399" i="4"/>
  <c r="Q1399" i="4"/>
  <c r="P1399" i="4"/>
  <c r="O1399" i="4"/>
  <c r="N1399" i="4"/>
  <c r="M1399" i="4"/>
  <c r="L1399" i="4"/>
  <c r="K1399" i="4"/>
  <c r="V1378" i="4"/>
  <c r="U1378" i="4"/>
  <c r="T1378" i="4"/>
  <c r="S1378" i="4"/>
  <c r="Q1378" i="4"/>
  <c r="P1378" i="4"/>
  <c r="O1378" i="4"/>
  <c r="N1378" i="4"/>
  <c r="M1378" i="4"/>
  <c r="L1378" i="4"/>
  <c r="K1378" i="4"/>
  <c r="W1369" i="4"/>
  <c r="V1369" i="4"/>
  <c r="U1369" i="4"/>
  <c r="T1369" i="4"/>
  <c r="S1369" i="4"/>
  <c r="Q1369" i="4"/>
  <c r="P1369" i="4"/>
  <c r="O1369" i="4"/>
  <c r="N1369" i="4"/>
  <c r="M1369" i="4"/>
  <c r="L1369" i="4"/>
  <c r="K1369" i="4"/>
  <c r="V1360" i="4"/>
  <c r="U1360" i="4"/>
  <c r="T1360" i="4"/>
  <c r="S1360" i="4"/>
  <c r="Q1360" i="4"/>
  <c r="P1360" i="4"/>
  <c r="O1360" i="4"/>
  <c r="N1360" i="4"/>
  <c r="M1360" i="4"/>
  <c r="L1360" i="4"/>
  <c r="K1360" i="4"/>
  <c r="V1347" i="4"/>
  <c r="U1347" i="4"/>
  <c r="T1347" i="4"/>
  <c r="S1347" i="4"/>
  <c r="Q1347" i="4"/>
  <c r="P1347" i="4"/>
  <c r="O1347" i="4"/>
  <c r="N1347" i="4"/>
  <c r="M1347" i="4"/>
  <c r="L1347" i="4"/>
  <c r="K1347" i="4"/>
  <c r="Z1337" i="4"/>
  <c r="Y1337" i="4"/>
  <c r="X1337" i="4"/>
  <c r="W1337" i="4"/>
  <c r="V1337" i="4"/>
  <c r="U1337" i="4"/>
  <c r="T1337" i="4"/>
  <c r="S1337" i="4"/>
  <c r="Q1337" i="4"/>
  <c r="P1337" i="4"/>
  <c r="O1337" i="4"/>
  <c r="N1337" i="4"/>
  <c r="M1337" i="4"/>
  <c r="L1337" i="4"/>
  <c r="K1337" i="4"/>
  <c r="V1328" i="4"/>
  <c r="U1328" i="4"/>
  <c r="T1328" i="4"/>
  <c r="S1328" i="4"/>
  <c r="Q1328" i="4"/>
  <c r="P1328" i="4"/>
  <c r="O1328" i="4"/>
  <c r="N1328" i="4"/>
  <c r="M1328" i="4"/>
  <c r="L1328" i="4"/>
  <c r="K1328" i="4"/>
  <c r="V1306" i="4"/>
  <c r="U1306" i="4"/>
  <c r="T1306" i="4"/>
  <c r="S1306" i="4"/>
  <c r="Q1306" i="4"/>
  <c r="P1306" i="4"/>
  <c r="O1306" i="4"/>
  <c r="N1306" i="4"/>
  <c r="M1306" i="4"/>
  <c r="L1306" i="4"/>
  <c r="K1306" i="4"/>
  <c r="V1298" i="4"/>
  <c r="U1298" i="4"/>
  <c r="T1298" i="4"/>
  <c r="S1298" i="4"/>
  <c r="Q1298" i="4"/>
  <c r="P1298" i="4"/>
  <c r="O1298" i="4"/>
  <c r="N1298" i="4"/>
  <c r="M1298" i="4"/>
  <c r="L1298" i="4"/>
  <c r="K1298" i="4"/>
  <c r="V1289" i="4"/>
  <c r="Q1289" i="4"/>
  <c r="M1289" i="4"/>
  <c r="L1289" i="4"/>
  <c r="K1289" i="4"/>
  <c r="V1272" i="4"/>
  <c r="U1272" i="4"/>
  <c r="T1272" i="4"/>
  <c r="S1272" i="4"/>
  <c r="Q1272" i="4"/>
  <c r="P1272" i="4"/>
  <c r="O1272" i="4"/>
  <c r="N1272" i="4"/>
  <c r="M1272" i="4"/>
  <c r="L1272" i="4"/>
  <c r="K1272" i="4"/>
  <c r="V1265" i="4"/>
  <c r="U1265" i="4"/>
  <c r="T1265" i="4"/>
  <c r="S1265" i="4"/>
  <c r="Q1265" i="4"/>
  <c r="P1265" i="4"/>
  <c r="O1265" i="4"/>
  <c r="N1265" i="4"/>
  <c r="M1265" i="4"/>
  <c r="L1265" i="4"/>
  <c r="K1265" i="4"/>
  <c r="V1240" i="4"/>
  <c r="Q1240" i="4"/>
  <c r="P1240" i="4"/>
  <c r="O1240" i="4"/>
  <c r="N1240" i="4"/>
  <c r="M1240" i="4"/>
  <c r="L1240" i="4"/>
  <c r="K1240" i="4"/>
  <c r="V1220" i="4"/>
  <c r="U1220" i="4"/>
  <c r="T1220" i="4"/>
  <c r="S1220" i="4"/>
  <c r="R1220" i="4"/>
  <c r="Q1220" i="4"/>
  <c r="P1220" i="4"/>
  <c r="O1220" i="4"/>
  <c r="N1220" i="4"/>
  <c r="M1220" i="4"/>
  <c r="L1220" i="4"/>
  <c r="K1220" i="4"/>
  <c r="V1201" i="4"/>
  <c r="Q1201" i="4"/>
  <c r="P1201" i="4"/>
  <c r="O1201" i="4"/>
  <c r="N1201" i="4"/>
  <c r="M1201" i="4"/>
  <c r="L1201" i="4"/>
  <c r="K1201" i="4"/>
  <c r="V1182" i="4"/>
  <c r="Q1182" i="4"/>
  <c r="P1182" i="4"/>
  <c r="O1182" i="4"/>
  <c r="N1182" i="4"/>
  <c r="M1182" i="4"/>
  <c r="L1182" i="4"/>
  <c r="K1182" i="4"/>
  <c r="V1167" i="4"/>
  <c r="Q1167" i="4"/>
  <c r="P1167" i="4"/>
  <c r="O1167" i="4"/>
  <c r="N1167" i="4"/>
  <c r="M1167" i="4"/>
  <c r="L1167" i="4"/>
  <c r="K1167" i="4"/>
  <c r="V1153" i="4"/>
  <c r="Q1153" i="4"/>
  <c r="P1153" i="4"/>
  <c r="O1153" i="4"/>
  <c r="N1153" i="4"/>
  <c r="M1153" i="4"/>
  <c r="L1153" i="4"/>
  <c r="K1153" i="4"/>
  <c r="V1142" i="4"/>
  <c r="Q1142" i="4"/>
  <c r="P1142" i="4"/>
  <c r="O1142" i="4"/>
  <c r="N1142" i="4"/>
  <c r="M1142" i="4"/>
  <c r="L1142" i="4"/>
  <c r="K1142" i="4"/>
  <c r="V1129" i="4"/>
  <c r="Q1129" i="4"/>
  <c r="P1129" i="4"/>
  <c r="O1129" i="4"/>
  <c r="N1129" i="4"/>
  <c r="M1129" i="4"/>
  <c r="L1129" i="4"/>
  <c r="K1129" i="4"/>
  <c r="V1116" i="4"/>
  <c r="Q1116" i="4"/>
  <c r="M1116" i="4"/>
  <c r="L1116" i="4"/>
  <c r="K1116" i="4"/>
  <c r="V1105" i="4"/>
  <c r="Q1105" i="4"/>
  <c r="P1105" i="4"/>
  <c r="O1105" i="4"/>
  <c r="N1105" i="4"/>
  <c r="M1105" i="4"/>
  <c r="L1105" i="4"/>
  <c r="K1105" i="4"/>
  <c r="V1096" i="4"/>
  <c r="Q1096" i="4"/>
  <c r="P1096" i="4"/>
  <c r="O1096" i="4"/>
  <c r="N1096" i="4"/>
  <c r="M1096" i="4"/>
  <c r="L1096" i="4"/>
  <c r="K1096" i="4"/>
  <c r="V1085" i="4"/>
  <c r="Q1085" i="4"/>
  <c r="P1085" i="4"/>
  <c r="O1085" i="4"/>
  <c r="N1085" i="4"/>
  <c r="M1085" i="4"/>
  <c r="L1085" i="4"/>
  <c r="K1085" i="4"/>
  <c r="V1073" i="4"/>
  <c r="Q1073" i="4"/>
  <c r="P1073" i="4"/>
  <c r="O1073" i="4"/>
  <c r="N1073" i="4"/>
  <c r="M1073" i="4"/>
  <c r="L1073" i="4"/>
  <c r="K1073" i="4"/>
  <c r="V1046" i="4"/>
  <c r="Q1046" i="4"/>
  <c r="P1046" i="4"/>
  <c r="O1046" i="4"/>
  <c r="N1046" i="4"/>
  <c r="M1046" i="4"/>
  <c r="L1046" i="4"/>
  <c r="K1046" i="4"/>
  <c r="V1034" i="4"/>
  <c r="Q1034" i="4"/>
  <c r="P1034" i="4"/>
  <c r="O1034" i="4"/>
  <c r="N1034" i="4"/>
  <c r="M1034" i="4"/>
  <c r="L1034" i="4"/>
  <c r="K1034" i="4"/>
  <c r="V1024" i="4"/>
  <c r="Q1024" i="4"/>
  <c r="P1024" i="4"/>
  <c r="O1024" i="4"/>
  <c r="N1024" i="4"/>
  <c r="M1024" i="4"/>
  <c r="L1024" i="4"/>
  <c r="K1024" i="4"/>
  <c r="V1005" i="4"/>
  <c r="Q1005" i="4"/>
  <c r="P1005" i="4"/>
  <c r="O1005" i="4"/>
  <c r="N1005" i="4"/>
  <c r="M1005" i="4"/>
  <c r="L1005" i="4"/>
  <c r="K1005" i="4"/>
  <c r="V1000" i="4"/>
  <c r="Q1000" i="4"/>
  <c r="P1000" i="4"/>
  <c r="O1000" i="4"/>
  <c r="N1000" i="4"/>
  <c r="M1000" i="4"/>
  <c r="L1000" i="4"/>
  <c r="K1000" i="4"/>
  <c r="V988" i="4"/>
  <c r="Q988" i="4"/>
  <c r="P988" i="4"/>
  <c r="O988" i="4"/>
  <c r="N988" i="4"/>
  <c r="M988" i="4"/>
  <c r="L988" i="4"/>
  <c r="K988" i="4"/>
  <c r="V973" i="4"/>
  <c r="Q973" i="4"/>
  <c r="M973" i="4"/>
  <c r="L973" i="4"/>
  <c r="K973" i="4"/>
  <c r="V965" i="4"/>
  <c r="Q965" i="4"/>
  <c r="P965" i="4"/>
  <c r="O965" i="4"/>
  <c r="N965" i="4"/>
  <c r="M965" i="4"/>
  <c r="L965" i="4"/>
  <c r="K965" i="4"/>
  <c r="V945" i="4"/>
  <c r="Q945" i="4"/>
  <c r="P945" i="4"/>
  <c r="O945" i="4"/>
  <c r="N945" i="4"/>
  <c r="M945" i="4"/>
  <c r="L945" i="4"/>
  <c r="K945" i="4"/>
  <c r="V925" i="4"/>
  <c r="Q925" i="4"/>
  <c r="P925" i="4"/>
  <c r="O925" i="4"/>
  <c r="N925" i="4"/>
  <c r="M925" i="4"/>
  <c r="L925" i="4"/>
  <c r="K925" i="4"/>
  <c r="V915" i="4"/>
  <c r="Q915" i="4"/>
  <c r="P915" i="4"/>
  <c r="O915" i="4"/>
  <c r="N915" i="4"/>
  <c r="M915" i="4"/>
  <c r="L915" i="4"/>
  <c r="K915" i="4"/>
  <c r="V887" i="4"/>
  <c r="Q887" i="4"/>
  <c r="P887" i="4"/>
  <c r="O887" i="4"/>
  <c r="N887" i="4"/>
  <c r="M887" i="4"/>
  <c r="L887" i="4"/>
  <c r="K887" i="4"/>
  <c r="V868" i="4"/>
  <c r="Q868" i="4"/>
  <c r="P868" i="4"/>
  <c r="O868" i="4"/>
  <c r="N868" i="4"/>
  <c r="M868" i="4"/>
  <c r="L868" i="4"/>
  <c r="K868" i="4"/>
  <c r="V857" i="4"/>
  <c r="Q857" i="4"/>
  <c r="P857" i="4"/>
  <c r="O857" i="4"/>
  <c r="N857" i="4"/>
  <c r="M857" i="4"/>
  <c r="L857" i="4"/>
  <c r="K857" i="4"/>
  <c r="V847" i="4"/>
  <c r="Q847" i="4"/>
  <c r="P847" i="4"/>
  <c r="O847" i="4"/>
  <c r="N847" i="4"/>
  <c r="M847" i="4"/>
  <c r="L847" i="4"/>
  <c r="K847" i="4"/>
  <c r="V841" i="4"/>
  <c r="Q841" i="4"/>
  <c r="M841" i="4"/>
  <c r="L841" i="4"/>
  <c r="K841" i="4"/>
  <c r="V815" i="4"/>
  <c r="Q815" i="4"/>
  <c r="P815" i="4"/>
  <c r="O815" i="4"/>
  <c r="N815" i="4"/>
  <c r="M815" i="4"/>
  <c r="L815" i="4"/>
  <c r="K815" i="4"/>
  <c r="V807" i="4"/>
  <c r="Q807" i="4"/>
  <c r="P807" i="4"/>
  <c r="O807" i="4"/>
  <c r="N807" i="4"/>
  <c r="M807" i="4"/>
  <c r="L807" i="4"/>
  <c r="K807" i="4"/>
  <c r="V801" i="4"/>
  <c r="Q801" i="4"/>
  <c r="P801" i="4"/>
  <c r="O801" i="4"/>
  <c r="N801" i="4"/>
  <c r="M801" i="4"/>
  <c r="L801" i="4"/>
  <c r="K801" i="4"/>
  <c r="V773" i="4"/>
  <c r="Q773" i="4"/>
  <c r="P773" i="4"/>
  <c r="O773" i="4"/>
  <c r="N773" i="4"/>
  <c r="M773" i="4"/>
  <c r="L773" i="4"/>
  <c r="K773" i="4"/>
  <c r="V755" i="4"/>
  <c r="Q755" i="4"/>
  <c r="P755" i="4"/>
  <c r="O755" i="4"/>
  <c r="N755" i="4"/>
  <c r="M755" i="4"/>
  <c r="L755" i="4"/>
  <c r="K755" i="4"/>
  <c r="V743" i="4"/>
  <c r="Q743" i="4"/>
  <c r="P743" i="4"/>
  <c r="O743" i="4"/>
  <c r="N743" i="4"/>
  <c r="M743" i="4"/>
  <c r="L743" i="4"/>
  <c r="K743" i="4"/>
  <c r="V726" i="4"/>
  <c r="Q726" i="4"/>
  <c r="P726" i="4"/>
  <c r="O726" i="4"/>
  <c r="N726" i="4"/>
  <c r="M726" i="4"/>
  <c r="L726" i="4"/>
  <c r="K726" i="4"/>
  <c r="V718" i="4"/>
  <c r="Q718" i="4"/>
  <c r="P718" i="4"/>
  <c r="O718" i="4"/>
  <c r="N718" i="4"/>
  <c r="M718" i="4"/>
  <c r="L718" i="4"/>
  <c r="K718" i="4"/>
  <c r="V708" i="4"/>
  <c r="Q708" i="4"/>
  <c r="P708" i="4"/>
  <c r="O708" i="4"/>
  <c r="N708" i="4"/>
  <c r="M708" i="4"/>
  <c r="L708" i="4"/>
  <c r="K708" i="4"/>
  <c r="V690" i="4"/>
  <c r="Q690" i="4"/>
  <c r="P690" i="4"/>
  <c r="O690" i="4"/>
  <c r="N690" i="4"/>
  <c r="M690" i="4"/>
  <c r="L690" i="4"/>
  <c r="K690" i="4"/>
  <c r="V676" i="4"/>
  <c r="N676" i="4"/>
  <c r="M676" i="4"/>
  <c r="L676" i="4"/>
  <c r="K676" i="4"/>
  <c r="V640" i="4"/>
  <c r="Q640" i="4"/>
  <c r="P640" i="4"/>
  <c r="O640" i="4"/>
  <c r="N640" i="4"/>
  <c r="M640" i="4"/>
  <c r="L640" i="4"/>
  <c r="K640" i="4"/>
  <c r="V628" i="4"/>
  <c r="Q628" i="4"/>
  <c r="P628" i="4"/>
  <c r="O628" i="4"/>
  <c r="N628" i="4"/>
  <c r="M628" i="4"/>
  <c r="L628" i="4"/>
  <c r="K628" i="4"/>
  <c r="V617" i="4"/>
  <c r="Q617" i="4"/>
  <c r="P617" i="4"/>
  <c r="O617" i="4"/>
  <c r="N617" i="4"/>
  <c r="M617" i="4"/>
  <c r="L617" i="4"/>
  <c r="K617" i="4"/>
  <c r="V592" i="4"/>
  <c r="Q592" i="4"/>
  <c r="P592" i="4"/>
  <c r="O592" i="4"/>
  <c r="N592" i="4"/>
  <c r="M592" i="4"/>
  <c r="L592" i="4"/>
  <c r="K592" i="4"/>
  <c r="V578" i="4"/>
  <c r="Q578" i="4"/>
  <c r="P578" i="4"/>
  <c r="O578" i="4"/>
  <c r="N578" i="4"/>
  <c r="M578" i="4"/>
  <c r="L578" i="4"/>
  <c r="K578" i="4"/>
  <c r="V563" i="4"/>
  <c r="Q563" i="4"/>
  <c r="P563" i="4"/>
  <c r="O563" i="4"/>
  <c r="N563" i="4"/>
  <c r="M563" i="4"/>
  <c r="L563" i="4"/>
  <c r="K563" i="4"/>
  <c r="V555" i="4"/>
  <c r="Q555" i="4"/>
  <c r="P555" i="4"/>
  <c r="O555" i="4"/>
  <c r="N555" i="4"/>
  <c r="M555" i="4"/>
  <c r="L555" i="4"/>
  <c r="K555" i="4"/>
  <c r="V544" i="4"/>
  <c r="Q544" i="4"/>
  <c r="P544" i="4"/>
  <c r="O544" i="4"/>
  <c r="N544" i="4"/>
  <c r="M544" i="4"/>
  <c r="L544" i="4"/>
  <c r="K544" i="4"/>
  <c r="V525" i="4"/>
  <c r="Q525" i="4"/>
  <c r="P525" i="4"/>
  <c r="O525" i="4"/>
  <c r="N525" i="4"/>
  <c r="M525" i="4"/>
  <c r="L525" i="4"/>
  <c r="K525" i="4"/>
  <c r="V518" i="4"/>
  <c r="Q518" i="4"/>
  <c r="P518" i="4"/>
  <c r="O518" i="4"/>
  <c r="N518" i="4"/>
  <c r="M518" i="4"/>
  <c r="L518" i="4"/>
  <c r="K518" i="4"/>
  <c r="V501" i="4"/>
  <c r="Q501" i="4"/>
  <c r="M501" i="4"/>
  <c r="L501" i="4"/>
  <c r="K501" i="4"/>
  <c r="V479" i="4"/>
  <c r="Q479" i="4"/>
  <c r="P479" i="4"/>
  <c r="O479" i="4"/>
  <c r="N479" i="4"/>
  <c r="M479" i="4"/>
  <c r="L479" i="4"/>
  <c r="K479" i="4"/>
  <c r="V458" i="4"/>
  <c r="Q458" i="4"/>
  <c r="P458" i="4"/>
  <c r="O458" i="4"/>
  <c r="N458" i="4"/>
  <c r="M458" i="4"/>
  <c r="L458" i="4"/>
  <c r="K458" i="4"/>
  <c r="V421" i="4"/>
  <c r="Q421" i="4"/>
  <c r="P421" i="4"/>
  <c r="O421" i="4"/>
  <c r="N421" i="4"/>
  <c r="M421" i="4"/>
  <c r="L421" i="4"/>
  <c r="K421" i="4"/>
  <c r="V415" i="4"/>
  <c r="Q415" i="4"/>
  <c r="M415" i="4"/>
  <c r="L415" i="4"/>
  <c r="K415" i="4"/>
  <c r="V405" i="4"/>
  <c r="Q405" i="4"/>
  <c r="P405" i="4"/>
  <c r="O405" i="4"/>
  <c r="N405" i="4"/>
  <c r="M405" i="4"/>
  <c r="L405" i="4"/>
  <c r="K405" i="4"/>
  <c r="V377" i="4"/>
  <c r="Q377" i="4"/>
  <c r="P377" i="4"/>
  <c r="O377" i="4"/>
  <c r="N377" i="4"/>
  <c r="M377" i="4"/>
  <c r="L377" i="4"/>
  <c r="K377" i="4"/>
  <c r="V357" i="4"/>
  <c r="Q357" i="4"/>
  <c r="M357" i="4"/>
  <c r="L357" i="4"/>
  <c r="K357" i="4"/>
  <c r="V351" i="4"/>
  <c r="Q351" i="4"/>
  <c r="P351" i="4"/>
  <c r="O351" i="4"/>
  <c r="N351" i="4"/>
  <c r="M351" i="4"/>
  <c r="L351" i="4"/>
  <c r="K351" i="4"/>
  <c r="V342" i="4"/>
  <c r="U342" i="4"/>
  <c r="T342" i="4"/>
  <c r="S342" i="4"/>
  <c r="R342" i="4"/>
  <c r="Q342" i="4"/>
  <c r="P342" i="4"/>
  <c r="O342" i="4"/>
  <c r="N342" i="4"/>
  <c r="M342" i="4"/>
  <c r="L342" i="4"/>
  <c r="K342" i="4"/>
  <c r="V321" i="4"/>
  <c r="Q321" i="4"/>
  <c r="P321" i="4"/>
  <c r="O321" i="4"/>
  <c r="N321" i="4"/>
  <c r="M321" i="4"/>
  <c r="L321" i="4"/>
  <c r="K321" i="4"/>
  <c r="V318" i="4"/>
  <c r="U318" i="4"/>
  <c r="T318" i="4"/>
  <c r="S318" i="4"/>
  <c r="Q318" i="4"/>
  <c r="P318" i="4"/>
  <c r="O318" i="4"/>
  <c r="N318" i="4"/>
  <c r="M318" i="4"/>
  <c r="L318" i="4"/>
  <c r="K318" i="4"/>
  <c r="V307" i="4"/>
  <c r="U307" i="4"/>
  <c r="T307" i="4"/>
  <c r="S307" i="4"/>
  <c r="Q307" i="4"/>
  <c r="P307" i="4"/>
  <c r="O307" i="4"/>
  <c r="N307" i="4"/>
  <c r="M307" i="4"/>
  <c r="L307" i="4"/>
  <c r="K307" i="4"/>
  <c r="V292" i="4"/>
  <c r="U292" i="4"/>
  <c r="T292" i="4"/>
  <c r="S292" i="4"/>
  <c r="Q292" i="4"/>
  <c r="P292" i="4"/>
  <c r="O292" i="4"/>
  <c r="N292" i="4"/>
  <c r="M292" i="4"/>
  <c r="L292" i="4"/>
  <c r="K292" i="4"/>
  <c r="V276" i="4"/>
  <c r="U276" i="4"/>
  <c r="T276" i="4"/>
  <c r="S276" i="4"/>
  <c r="Q276" i="4"/>
  <c r="P276" i="4"/>
  <c r="O276" i="4"/>
  <c r="N276" i="4"/>
  <c r="M276" i="4"/>
  <c r="L276" i="4"/>
  <c r="K276" i="4"/>
  <c r="V267" i="4"/>
  <c r="U267" i="4"/>
  <c r="T267" i="4"/>
  <c r="S267" i="4"/>
  <c r="Q267" i="4"/>
  <c r="P267" i="4"/>
  <c r="O267" i="4"/>
  <c r="N267" i="4"/>
  <c r="M267" i="4"/>
  <c r="L267" i="4"/>
  <c r="K267" i="4"/>
  <c r="V252" i="4"/>
  <c r="U252" i="4"/>
  <c r="T252" i="4"/>
  <c r="S252" i="4"/>
  <c r="R252" i="4"/>
  <c r="Q252" i="4"/>
  <c r="P252" i="4"/>
  <c r="O252" i="4"/>
  <c r="N252" i="4"/>
  <c r="M252" i="4"/>
  <c r="L252" i="4"/>
  <c r="K252" i="4"/>
  <c r="V242" i="4"/>
  <c r="U242" i="4"/>
  <c r="T242" i="4"/>
  <c r="S242" i="4"/>
  <c r="R242" i="4"/>
  <c r="Q242" i="4"/>
  <c r="P242" i="4"/>
  <c r="O242" i="4"/>
  <c r="N242" i="4"/>
  <c r="M242" i="4"/>
  <c r="L242" i="4"/>
  <c r="K242" i="4"/>
  <c r="V232" i="4"/>
  <c r="Q232" i="4"/>
  <c r="M232" i="4"/>
  <c r="L232" i="4"/>
  <c r="K232" i="4"/>
  <c r="V222" i="4"/>
  <c r="U222" i="4"/>
  <c r="T222" i="4"/>
  <c r="S222" i="4"/>
  <c r="R222" i="4"/>
  <c r="Q222" i="4"/>
  <c r="P222" i="4"/>
  <c r="O222" i="4"/>
  <c r="N222" i="4"/>
  <c r="M222" i="4"/>
  <c r="L222" i="4"/>
  <c r="K222" i="4"/>
  <c r="V202" i="4"/>
  <c r="Q202" i="4"/>
  <c r="P202" i="4"/>
  <c r="O202" i="4"/>
  <c r="N202" i="4"/>
  <c r="M202" i="4"/>
  <c r="L202" i="4"/>
  <c r="K202" i="4"/>
  <c r="V199" i="4"/>
  <c r="U199" i="4"/>
  <c r="T199" i="4"/>
  <c r="S199" i="4"/>
  <c r="Q199" i="4"/>
  <c r="P199" i="4"/>
  <c r="O199" i="4"/>
  <c r="N199" i="4"/>
  <c r="M199" i="4"/>
  <c r="L199" i="4"/>
  <c r="K199" i="4"/>
  <c r="V190" i="4"/>
  <c r="U190" i="4"/>
  <c r="T190" i="4"/>
  <c r="S190" i="4"/>
  <c r="Q190" i="4"/>
  <c r="P190" i="4"/>
  <c r="O190" i="4"/>
  <c r="N190" i="4"/>
  <c r="M190" i="4"/>
  <c r="L190" i="4"/>
  <c r="K190" i="4"/>
  <c r="V177" i="4"/>
  <c r="U177" i="4"/>
  <c r="T177" i="4"/>
  <c r="S177" i="4"/>
  <c r="R177" i="4"/>
  <c r="Q177" i="4"/>
  <c r="P177" i="4"/>
  <c r="O177" i="4"/>
  <c r="N177" i="4"/>
  <c r="M177" i="4"/>
  <c r="L177" i="4"/>
  <c r="K177" i="4"/>
  <c r="V165" i="4"/>
  <c r="U165" i="4"/>
  <c r="T165" i="4"/>
  <c r="S165" i="4"/>
  <c r="Q165" i="4"/>
  <c r="P165" i="4"/>
  <c r="O165" i="4"/>
  <c r="N165" i="4"/>
  <c r="M165" i="4"/>
  <c r="L165" i="4"/>
  <c r="K165" i="4"/>
  <c r="V151" i="4"/>
  <c r="U151" i="4"/>
  <c r="T151" i="4"/>
  <c r="S151" i="4"/>
  <c r="Q151" i="4"/>
  <c r="P151" i="4"/>
  <c r="O151" i="4"/>
  <c r="N151" i="4"/>
  <c r="M151" i="4"/>
  <c r="L151" i="4"/>
  <c r="K151" i="4"/>
  <c r="V124" i="4"/>
  <c r="U124" i="4"/>
  <c r="T124" i="4"/>
  <c r="S124" i="4"/>
  <c r="Q124" i="4"/>
  <c r="P124" i="4"/>
  <c r="O124" i="4"/>
  <c r="N124" i="4"/>
  <c r="M124" i="4"/>
  <c r="L124" i="4"/>
  <c r="K124" i="4"/>
  <c r="V90" i="4"/>
  <c r="U90" i="4"/>
  <c r="T90" i="4"/>
  <c r="S90" i="4"/>
  <c r="Q90" i="4"/>
  <c r="P90" i="4"/>
  <c r="O90" i="4"/>
  <c r="N90" i="4"/>
  <c r="M90" i="4"/>
  <c r="L90" i="4"/>
  <c r="K90" i="4"/>
  <c r="V74" i="4"/>
  <c r="U74" i="4"/>
  <c r="T74" i="4"/>
  <c r="S74" i="4"/>
  <c r="Q74" i="4"/>
  <c r="P74" i="4"/>
  <c r="O74" i="4"/>
  <c r="N74" i="4"/>
  <c r="M74" i="4"/>
  <c r="L74" i="4"/>
  <c r="K74" i="4"/>
  <c r="V66" i="4"/>
  <c r="U66" i="4"/>
  <c r="T66" i="4"/>
  <c r="S66" i="4"/>
  <c r="Q66" i="4"/>
  <c r="P66" i="4"/>
  <c r="O66" i="4"/>
  <c r="N66" i="4"/>
  <c r="M66" i="4"/>
  <c r="L66" i="4"/>
  <c r="K66" i="4"/>
  <c r="V56" i="4"/>
  <c r="U56" i="4"/>
  <c r="T56" i="4"/>
  <c r="S56" i="4"/>
  <c r="Q56" i="4"/>
  <c r="P56" i="4"/>
  <c r="O56" i="4"/>
  <c r="N56" i="4"/>
  <c r="M56" i="4"/>
  <c r="L56" i="4"/>
  <c r="K56" i="4"/>
  <c r="V35" i="4"/>
  <c r="Q35" i="4"/>
  <c r="M35" i="4"/>
  <c r="L35" i="4"/>
  <c r="K35" i="4"/>
  <c r="V27" i="4"/>
  <c r="Q27" i="4"/>
  <c r="M27" i="4"/>
  <c r="L27" i="4"/>
  <c r="K27" i="4"/>
  <c r="AB392" i="3"/>
  <c r="AA392" i="3"/>
  <c r="U48" i="2"/>
  <c r="I48" i="2"/>
  <c r="H48" i="2"/>
  <c r="G48" i="2"/>
  <c r="U47" i="2"/>
  <c r="I47" i="2"/>
  <c r="H47" i="2"/>
  <c r="G47" i="2"/>
  <c r="U46" i="2"/>
  <c r="I46" i="2"/>
  <c r="H46" i="2"/>
  <c r="G46" i="2"/>
  <c r="U41" i="2"/>
  <c r="I41" i="2"/>
  <c r="H41" i="2"/>
  <c r="G41" i="2"/>
  <c r="U40" i="2"/>
  <c r="I40" i="2"/>
  <c r="H40" i="2"/>
  <c r="G40" i="2"/>
  <c r="U39" i="2"/>
  <c r="I39" i="2"/>
  <c r="H39" i="2"/>
  <c r="G39" i="2"/>
  <c r="U34" i="2"/>
  <c r="I34" i="2"/>
  <c r="H34" i="2"/>
  <c r="G34" i="2"/>
  <c r="U33" i="2"/>
  <c r="I33" i="2"/>
  <c r="H33" i="2"/>
  <c r="G33" i="2"/>
  <c r="U32" i="2"/>
  <c r="I32" i="2"/>
  <c r="H32" i="2"/>
  <c r="G32" i="2"/>
  <c r="U27" i="2"/>
  <c r="I27" i="2"/>
  <c r="H27" i="2"/>
  <c r="G27" i="2"/>
  <c r="U26" i="2"/>
  <c r="I26" i="2"/>
  <c r="H26" i="2"/>
  <c r="G26" i="2"/>
  <c r="U25" i="2"/>
  <c r="I25" i="2"/>
  <c r="H25" i="2"/>
  <c r="G25" i="2"/>
  <c r="U20" i="2"/>
  <c r="I20" i="2"/>
  <c r="H20" i="2"/>
  <c r="G20" i="2"/>
  <c r="U19" i="2"/>
  <c r="I19" i="2"/>
  <c r="H19" i="2"/>
  <c r="G19" i="2"/>
  <c r="U18" i="2"/>
  <c r="I18" i="2"/>
  <c r="H18" i="2"/>
  <c r="G18" i="2"/>
  <c r="U13" i="2"/>
  <c r="I13" i="2"/>
  <c r="H13" i="2"/>
  <c r="G13" i="2"/>
  <c r="U12" i="2"/>
  <c r="I12" i="2"/>
  <c r="H12" i="2"/>
  <c r="G12" i="2"/>
  <c r="U11" i="2"/>
  <c r="I11" i="2"/>
  <c r="H11" i="2"/>
  <c r="G11" i="2"/>
  <c r="U6" i="2"/>
  <c r="I6" i="2"/>
  <c r="H6" i="2"/>
  <c r="G6" i="2"/>
  <c r="U5" i="2"/>
  <c r="I5" i="2"/>
  <c r="H5" i="2"/>
  <c r="G5" i="2"/>
  <c r="U4" i="2"/>
  <c r="I4" i="2"/>
  <c r="H4" i="2"/>
  <c r="G4" i="2"/>
  <c r="Z119" i="1"/>
  <c r="U119" i="1"/>
  <c r="I119" i="1"/>
  <c r="H119" i="1"/>
  <c r="G119" i="1"/>
  <c r="Z118" i="1"/>
  <c r="U118" i="1"/>
  <c r="I118" i="1"/>
  <c r="H118" i="1"/>
  <c r="G118" i="1"/>
  <c r="Z117" i="1"/>
  <c r="U117" i="1"/>
  <c r="I117" i="1"/>
  <c r="H117" i="1"/>
  <c r="G117" i="1"/>
  <c r="Z116" i="1"/>
  <c r="U116" i="1"/>
  <c r="I116" i="1"/>
  <c r="H116" i="1"/>
  <c r="G116" i="1"/>
  <c r="Z115" i="1"/>
  <c r="U115" i="1"/>
  <c r="I115" i="1"/>
  <c r="H115" i="1"/>
  <c r="G115" i="1"/>
  <c r="Z114" i="1"/>
  <c r="U114" i="1"/>
  <c r="I114" i="1"/>
  <c r="H114" i="1"/>
  <c r="G114" i="1"/>
  <c r="Z113" i="1"/>
  <c r="U113" i="1"/>
  <c r="I113" i="1"/>
  <c r="H113" i="1"/>
  <c r="G113" i="1"/>
  <c r="Z112" i="1"/>
  <c r="U112" i="1"/>
  <c r="I112" i="1"/>
  <c r="H112" i="1"/>
  <c r="G112" i="1"/>
  <c r="Z111" i="1"/>
  <c r="U111" i="1"/>
  <c r="I111" i="1"/>
  <c r="H111" i="1"/>
  <c r="G111" i="1"/>
  <c r="Z110" i="1"/>
  <c r="U110" i="1"/>
  <c r="I110" i="1"/>
  <c r="H110" i="1"/>
  <c r="G110" i="1"/>
  <c r="Z109" i="1"/>
  <c r="U109" i="1"/>
  <c r="I109" i="1"/>
  <c r="H109" i="1"/>
  <c r="G109" i="1"/>
  <c r="Z108" i="1"/>
  <c r="U108" i="1"/>
  <c r="I108" i="1"/>
  <c r="H108" i="1"/>
  <c r="G108" i="1"/>
  <c r="Z107" i="1"/>
  <c r="U107" i="1"/>
  <c r="I107" i="1"/>
  <c r="H107" i="1"/>
  <c r="G107" i="1"/>
  <c r="Z106" i="1"/>
  <c r="U106" i="1"/>
  <c r="I106" i="1"/>
  <c r="H106" i="1"/>
  <c r="G106" i="1"/>
  <c r="Z105" i="1"/>
  <c r="U105" i="1"/>
  <c r="I105" i="1"/>
  <c r="H105" i="1"/>
  <c r="G105" i="1"/>
  <c r="Z104" i="1"/>
  <c r="U104" i="1"/>
  <c r="I104" i="1"/>
  <c r="H104" i="1"/>
  <c r="G104" i="1"/>
  <c r="Z103" i="1"/>
  <c r="U103" i="1"/>
  <c r="I103" i="1"/>
  <c r="H103" i="1"/>
  <c r="G103" i="1"/>
  <c r="Z102" i="1"/>
  <c r="U102" i="1"/>
  <c r="I102" i="1"/>
  <c r="H102" i="1"/>
  <c r="G102" i="1"/>
  <c r="Z101" i="1"/>
  <c r="U101" i="1"/>
  <c r="I101" i="1"/>
  <c r="H101" i="1"/>
  <c r="G101" i="1"/>
  <c r="Z100" i="1"/>
  <c r="U100" i="1"/>
  <c r="I100" i="1"/>
  <c r="H100" i="1"/>
  <c r="G100" i="1"/>
  <c r="Z99" i="1"/>
  <c r="U99" i="1"/>
  <c r="I99" i="1"/>
  <c r="H99" i="1"/>
  <c r="G99" i="1"/>
  <c r="Z98" i="1"/>
  <c r="U98" i="1"/>
  <c r="I98" i="1"/>
  <c r="H98" i="1"/>
  <c r="G98" i="1"/>
  <c r="Z97" i="1"/>
  <c r="U97" i="1"/>
  <c r="I97" i="1"/>
  <c r="H97" i="1"/>
  <c r="G97" i="1"/>
  <c r="Z96" i="1"/>
  <c r="U96" i="1"/>
  <c r="I96" i="1"/>
  <c r="H96" i="1"/>
  <c r="G96" i="1"/>
  <c r="Z95" i="1"/>
  <c r="U95" i="1"/>
  <c r="I95" i="1"/>
  <c r="H95" i="1"/>
  <c r="G95" i="1"/>
  <c r="Z94" i="1"/>
  <c r="U94" i="1"/>
  <c r="I94" i="1"/>
  <c r="H94" i="1"/>
  <c r="G94" i="1"/>
  <c r="Z93" i="1"/>
  <c r="U93" i="1"/>
  <c r="I93" i="1"/>
  <c r="H93" i="1"/>
  <c r="G93" i="1"/>
  <c r="Z92" i="1"/>
  <c r="U92" i="1"/>
  <c r="I92" i="1"/>
  <c r="H92" i="1"/>
  <c r="G92" i="1"/>
  <c r="Z91" i="1"/>
  <c r="U91" i="1"/>
  <c r="I91" i="1"/>
  <c r="H91" i="1"/>
  <c r="G91" i="1"/>
  <c r="Z90" i="1"/>
  <c r="U90" i="1"/>
  <c r="I90" i="1"/>
  <c r="H90" i="1"/>
  <c r="G90" i="1"/>
  <c r="Z89" i="1"/>
  <c r="U89" i="1"/>
  <c r="I89" i="1"/>
  <c r="H89" i="1"/>
  <c r="G89" i="1"/>
  <c r="Z88" i="1"/>
  <c r="U88" i="1"/>
  <c r="I88" i="1"/>
  <c r="H88" i="1"/>
  <c r="G88" i="1"/>
  <c r="Z87" i="1"/>
  <c r="U87" i="1"/>
  <c r="I87" i="1"/>
  <c r="H87" i="1"/>
  <c r="G87" i="1"/>
  <c r="Z86" i="1"/>
  <c r="U86" i="1"/>
  <c r="I86" i="1"/>
  <c r="H86" i="1"/>
  <c r="G86" i="1"/>
  <c r="Z85" i="1"/>
  <c r="U85" i="1"/>
  <c r="I85" i="1"/>
  <c r="H85" i="1"/>
  <c r="G85" i="1"/>
  <c r="Z84" i="1"/>
  <c r="U84" i="1"/>
  <c r="I84" i="1"/>
  <c r="H84" i="1"/>
  <c r="G84" i="1"/>
  <c r="Z83" i="1"/>
  <c r="U83" i="1"/>
  <c r="I83" i="1"/>
  <c r="H83" i="1"/>
  <c r="G83" i="1"/>
  <c r="Z82" i="1"/>
  <c r="U82" i="1"/>
  <c r="I82" i="1"/>
  <c r="H82" i="1"/>
  <c r="G82" i="1"/>
  <c r="Z81" i="1"/>
  <c r="U81" i="1"/>
  <c r="I81" i="1"/>
  <c r="H81" i="1"/>
  <c r="G81" i="1"/>
  <c r="Z80" i="1"/>
  <c r="U80" i="1"/>
  <c r="I80" i="1"/>
  <c r="H80" i="1"/>
  <c r="G80" i="1"/>
  <c r="Z79" i="1"/>
  <c r="U79" i="1"/>
  <c r="I79" i="1"/>
  <c r="H79" i="1"/>
  <c r="G79" i="1"/>
  <c r="Z78" i="1"/>
  <c r="U78" i="1"/>
  <c r="I78" i="1"/>
  <c r="H78" i="1"/>
  <c r="G78" i="1"/>
  <c r="Z77" i="1"/>
  <c r="U77" i="1"/>
  <c r="I77" i="1"/>
  <c r="H77" i="1"/>
  <c r="G77" i="1"/>
  <c r="Z76" i="1"/>
  <c r="U76" i="1"/>
  <c r="I76" i="1"/>
  <c r="H76" i="1"/>
  <c r="G76" i="1"/>
  <c r="Z75" i="1"/>
  <c r="U75" i="1"/>
  <c r="I75" i="1"/>
  <c r="H75" i="1"/>
  <c r="G75" i="1"/>
  <c r="Z74" i="1"/>
  <c r="U74" i="1"/>
  <c r="I74" i="1"/>
  <c r="H74" i="1"/>
  <c r="G74" i="1"/>
  <c r="Z73" i="1"/>
  <c r="U73" i="1"/>
  <c r="I73" i="1"/>
  <c r="H73" i="1"/>
  <c r="G73" i="1"/>
  <c r="Z72" i="1"/>
  <c r="U72" i="1"/>
  <c r="I72" i="1"/>
  <c r="H72" i="1"/>
  <c r="G72" i="1"/>
  <c r="Z71" i="1"/>
  <c r="U71" i="1"/>
  <c r="I71" i="1"/>
  <c r="H71" i="1"/>
  <c r="G71" i="1"/>
  <c r="Z70" i="1"/>
  <c r="U70" i="1"/>
  <c r="I70" i="1"/>
  <c r="H70" i="1"/>
  <c r="G70" i="1"/>
  <c r="Z69" i="1"/>
  <c r="U69" i="1"/>
  <c r="T69" i="1"/>
  <c r="I69" i="1"/>
  <c r="H69" i="1"/>
  <c r="G69" i="1"/>
  <c r="Z68" i="1"/>
  <c r="U68" i="1"/>
  <c r="I68" i="1"/>
  <c r="H68" i="1"/>
  <c r="G68" i="1"/>
  <c r="Z67" i="1"/>
  <c r="U67" i="1"/>
  <c r="I67" i="1"/>
  <c r="H67" i="1"/>
  <c r="G67" i="1"/>
  <c r="Z66" i="1"/>
  <c r="U66" i="1"/>
  <c r="I66" i="1"/>
  <c r="H66" i="1"/>
  <c r="G66" i="1"/>
  <c r="Z65" i="1"/>
  <c r="U65" i="1"/>
  <c r="I65" i="1"/>
  <c r="H65" i="1"/>
  <c r="G65" i="1"/>
  <c r="Z64" i="1"/>
  <c r="U64" i="1"/>
  <c r="I64" i="1"/>
  <c r="H64" i="1"/>
  <c r="G64" i="1"/>
  <c r="Z63" i="1"/>
  <c r="U63" i="1"/>
  <c r="I63" i="1"/>
  <c r="H63" i="1"/>
  <c r="G63" i="1"/>
  <c r="Z62" i="1"/>
  <c r="U62" i="1"/>
  <c r="I62" i="1"/>
  <c r="H62" i="1"/>
  <c r="G62" i="1"/>
  <c r="Z61" i="1"/>
  <c r="U61" i="1"/>
  <c r="I61" i="1"/>
  <c r="H61" i="1"/>
  <c r="G61" i="1"/>
  <c r="Z60" i="1"/>
  <c r="U60" i="1"/>
  <c r="I60" i="1"/>
  <c r="H60" i="1"/>
  <c r="G60" i="1"/>
  <c r="Z59" i="1"/>
  <c r="U59" i="1"/>
  <c r="I59" i="1"/>
  <c r="H59" i="1"/>
  <c r="G59" i="1"/>
  <c r="Z58" i="1"/>
  <c r="U58" i="1"/>
  <c r="I58" i="1"/>
  <c r="H58" i="1"/>
  <c r="G58" i="1"/>
  <c r="Z57" i="1"/>
  <c r="U57" i="1"/>
  <c r="I57" i="1"/>
  <c r="H57" i="1"/>
  <c r="G57" i="1"/>
  <c r="Z56" i="1"/>
  <c r="U56" i="1"/>
  <c r="I56" i="1"/>
  <c r="H56" i="1"/>
  <c r="G56" i="1"/>
  <c r="Z55" i="1"/>
  <c r="U55" i="1"/>
  <c r="I55" i="1"/>
  <c r="H55" i="1"/>
  <c r="G55" i="1"/>
  <c r="Z54" i="1"/>
  <c r="U54" i="1"/>
  <c r="I54" i="1"/>
  <c r="H54" i="1"/>
  <c r="G54" i="1"/>
  <c r="Z53" i="1"/>
  <c r="U53" i="1"/>
  <c r="I53" i="1"/>
  <c r="H53" i="1"/>
  <c r="G53" i="1"/>
  <c r="Z52" i="1"/>
  <c r="U52" i="1"/>
  <c r="I52" i="1"/>
  <c r="H52" i="1"/>
  <c r="G52" i="1"/>
  <c r="Z51" i="1"/>
  <c r="U51" i="1"/>
  <c r="I51" i="1"/>
  <c r="H51" i="1"/>
  <c r="G51" i="1"/>
  <c r="Z50" i="1"/>
  <c r="U50" i="1"/>
  <c r="I50" i="1"/>
  <c r="H50" i="1"/>
  <c r="G50" i="1"/>
  <c r="Z49" i="1"/>
  <c r="U49" i="1"/>
  <c r="I49" i="1"/>
  <c r="H49" i="1"/>
  <c r="G49" i="1"/>
  <c r="Z48" i="1"/>
  <c r="U48" i="1"/>
  <c r="I48" i="1"/>
  <c r="H48" i="1"/>
  <c r="G48" i="1"/>
  <c r="Z47" i="1"/>
  <c r="U47" i="1"/>
  <c r="I47" i="1"/>
  <c r="H47" i="1"/>
  <c r="G47" i="1"/>
  <c r="Z46" i="1"/>
  <c r="U46" i="1"/>
  <c r="I46" i="1"/>
  <c r="H46" i="1"/>
  <c r="G46" i="1"/>
  <c r="Z45" i="1"/>
  <c r="U45" i="1"/>
  <c r="I45" i="1"/>
  <c r="H45" i="1"/>
  <c r="G45" i="1"/>
  <c r="Z44" i="1"/>
  <c r="U44" i="1"/>
  <c r="I44" i="1"/>
  <c r="H44" i="1"/>
  <c r="G44" i="1"/>
  <c r="Z43" i="1"/>
  <c r="U43" i="1"/>
  <c r="I43" i="1"/>
  <c r="H43" i="1"/>
  <c r="G43" i="1"/>
  <c r="Z42" i="1"/>
  <c r="U42" i="1"/>
  <c r="I42" i="1"/>
  <c r="H42" i="1"/>
  <c r="G42" i="1"/>
  <c r="Z41" i="1"/>
  <c r="U41" i="1"/>
  <c r="I41" i="1"/>
  <c r="H41" i="1"/>
  <c r="G41" i="1"/>
  <c r="Z40" i="1"/>
  <c r="U40" i="1"/>
  <c r="I40" i="1"/>
  <c r="H40" i="1"/>
  <c r="G40" i="1"/>
  <c r="Z39" i="1"/>
  <c r="U39" i="1"/>
  <c r="I39" i="1"/>
  <c r="H39" i="1"/>
  <c r="G39" i="1"/>
  <c r="Z38" i="1"/>
  <c r="U38" i="1"/>
  <c r="I38" i="1"/>
  <c r="H38" i="1"/>
  <c r="G38" i="1"/>
  <c r="Z37" i="1"/>
  <c r="U37" i="1"/>
  <c r="I37" i="1"/>
  <c r="H37" i="1"/>
  <c r="G37" i="1"/>
  <c r="Z36" i="1"/>
  <c r="U36" i="1"/>
  <c r="I36" i="1"/>
  <c r="H36" i="1"/>
  <c r="G36" i="1"/>
  <c r="Z35" i="1"/>
  <c r="U35" i="1"/>
  <c r="I35" i="1"/>
  <c r="H35" i="1"/>
  <c r="G35" i="1"/>
  <c r="Z34" i="1"/>
  <c r="U34" i="1"/>
  <c r="I34" i="1"/>
  <c r="H34" i="1"/>
  <c r="G34" i="1"/>
  <c r="Z33" i="1"/>
  <c r="U33" i="1"/>
  <c r="I33" i="1"/>
  <c r="H33" i="1"/>
  <c r="G33" i="1"/>
  <c r="Z32" i="1"/>
  <c r="U32" i="1"/>
  <c r="I32" i="1"/>
  <c r="H32" i="1"/>
  <c r="G32" i="1"/>
  <c r="Z31" i="1"/>
  <c r="U31" i="1"/>
  <c r="I31" i="1"/>
  <c r="H31" i="1"/>
  <c r="G31" i="1"/>
  <c r="Z30" i="1"/>
  <c r="U30" i="1"/>
  <c r="I30" i="1"/>
  <c r="H30" i="1"/>
  <c r="G30" i="1"/>
  <c r="Z29" i="1"/>
  <c r="U29" i="1"/>
  <c r="I29" i="1"/>
  <c r="H29" i="1"/>
  <c r="G29" i="1"/>
  <c r="Z28" i="1"/>
  <c r="U28" i="1"/>
  <c r="I28" i="1"/>
  <c r="H28" i="1"/>
  <c r="G28" i="1"/>
  <c r="Z27" i="1"/>
  <c r="U27" i="1"/>
  <c r="I27" i="1"/>
  <c r="H27" i="1"/>
  <c r="G27" i="1"/>
  <c r="Z26" i="1"/>
  <c r="U26" i="1"/>
  <c r="I26" i="1"/>
  <c r="H26" i="1"/>
  <c r="G26" i="1"/>
  <c r="Z25" i="1"/>
  <c r="U25" i="1"/>
  <c r="I25" i="1"/>
  <c r="H25" i="1"/>
  <c r="G25" i="1"/>
  <c r="Z24" i="1"/>
  <c r="U24" i="1"/>
  <c r="I24" i="1"/>
  <c r="H24" i="1"/>
  <c r="G24" i="1"/>
  <c r="Z23" i="1"/>
  <c r="U23" i="1"/>
  <c r="I23" i="1"/>
  <c r="H23" i="1"/>
  <c r="G23" i="1"/>
  <c r="Z22" i="1"/>
  <c r="U22" i="1"/>
  <c r="I22" i="1"/>
  <c r="H22" i="1"/>
  <c r="G22" i="1"/>
  <c r="Z21" i="1"/>
  <c r="U21" i="1"/>
  <c r="I21" i="1"/>
  <c r="H21" i="1"/>
  <c r="G21" i="1"/>
  <c r="Z20" i="1"/>
  <c r="U20" i="1"/>
  <c r="I20" i="1"/>
  <c r="H20" i="1"/>
  <c r="G20" i="1"/>
  <c r="Z19" i="1"/>
  <c r="U19" i="1"/>
  <c r="I19" i="1"/>
  <c r="H19" i="1"/>
  <c r="G19" i="1"/>
  <c r="Z18" i="1"/>
  <c r="U18" i="1"/>
  <c r="I18" i="1"/>
  <c r="H18" i="1"/>
  <c r="G18" i="1"/>
  <c r="Z17" i="1"/>
  <c r="U17" i="1"/>
  <c r="I17" i="1"/>
  <c r="H17" i="1"/>
  <c r="G17" i="1"/>
  <c r="Z16" i="1"/>
  <c r="U16" i="1"/>
  <c r="I16" i="1"/>
  <c r="H16" i="1"/>
  <c r="G16" i="1"/>
  <c r="Z15" i="1"/>
  <c r="U15" i="1"/>
  <c r="I15" i="1"/>
  <c r="H15" i="1"/>
  <c r="G15" i="1"/>
  <c r="Z14" i="1"/>
  <c r="U14" i="1"/>
  <c r="I14" i="1"/>
  <c r="H14" i="1"/>
  <c r="G14" i="1"/>
  <c r="Z13" i="1"/>
  <c r="U13" i="1"/>
  <c r="I13" i="1"/>
  <c r="H13" i="1"/>
  <c r="G13" i="1"/>
  <c r="Z12" i="1"/>
  <c r="U12" i="1"/>
  <c r="I12" i="1"/>
  <c r="H12" i="1"/>
  <c r="G12" i="1"/>
  <c r="Z11" i="1"/>
  <c r="U11" i="1"/>
  <c r="I11" i="1"/>
  <c r="H11" i="1"/>
  <c r="G11" i="1"/>
  <c r="Z10" i="1"/>
  <c r="U10" i="1"/>
  <c r="I10" i="1"/>
  <c r="H10" i="1"/>
  <c r="G10" i="1"/>
  <c r="Z9" i="1"/>
  <c r="U9" i="1"/>
  <c r="I9" i="1"/>
  <c r="H9" i="1"/>
  <c r="G9" i="1"/>
  <c r="Z8" i="1"/>
  <c r="U8" i="1"/>
  <c r="I8" i="1"/>
  <c r="H8" i="1"/>
  <c r="G8" i="1"/>
  <c r="Z7" i="1"/>
  <c r="U7" i="1"/>
  <c r="I7" i="1"/>
  <c r="H7" i="1"/>
  <c r="G7" i="1"/>
  <c r="Z6" i="1"/>
  <c r="U6" i="1"/>
  <c r="I6" i="1"/>
  <c r="H6" i="1"/>
  <c r="G6" i="1"/>
  <c r="Z5" i="1"/>
  <c r="U5" i="1"/>
  <c r="I5" i="1"/>
  <c r="H5" i="1"/>
  <c r="G5" i="1"/>
  <c r="Z4" i="1"/>
  <c r="U4" i="1"/>
  <c r="I4" i="1"/>
  <c r="H4" i="1"/>
  <c r="G4" i="1"/>
  <c r="Z3" i="1"/>
  <c r="U3" i="1"/>
  <c r="I3" i="1"/>
  <c r="H3" i="1"/>
  <c r="G3" i="1"/>
</calcChain>
</file>

<file path=xl/sharedStrings.xml><?xml version="1.0" encoding="utf-8"?>
<sst xmlns="http://schemas.openxmlformats.org/spreadsheetml/2006/main" count="36194" uniqueCount="5628">
  <si>
    <t>ROUTE</t>
  </si>
  <si>
    <t>LSOA COUNT</t>
  </si>
  <si>
    <t>IMD</t>
  </si>
  <si>
    <t>POPULATION</t>
  </si>
  <si>
    <t>0-15</t>
  </si>
  <si>
    <t>65+</t>
  </si>
  <si>
    <t>Density</t>
  </si>
  <si>
    <t>PTAL 1a</t>
  </si>
  <si>
    <t>PTAL 1b</t>
  </si>
  <si>
    <t>PTAL 2</t>
  </si>
  <si>
    <t>PTAL 3</t>
  </si>
  <si>
    <t>PTAL 4</t>
  </si>
  <si>
    <t>PTAL 5</t>
  </si>
  <si>
    <t>PTAL 6A</t>
  </si>
  <si>
    <t>PTAL 6B</t>
  </si>
  <si>
    <t>SRS</t>
  </si>
  <si>
    <t>BAME</t>
  </si>
  <si>
    <t>Car Ownership</t>
  </si>
  <si>
    <t>(name)</t>
  </si>
  <si>
    <t>(count)</t>
  </si>
  <si>
    <t>(min)</t>
  </si>
  <si>
    <t>(max)</t>
  </si>
  <si>
    <t>(median value)</t>
  </si>
  <si>
    <t>(total value)</t>
  </si>
  <si>
    <t>(value / population value)</t>
  </si>
  <si>
    <t>(avg population of selected range / 1854)</t>
  </si>
  <si>
    <t>(Max)</t>
  </si>
  <si>
    <t>(Median)</t>
  </si>
  <si>
    <t>(max-min)</t>
  </si>
  <si>
    <t>(median)</t>
  </si>
  <si>
    <t>(average)</t>
  </si>
  <si>
    <t>Median</t>
  </si>
  <si>
    <t>RR1</t>
  </si>
  <si>
    <t>RR106</t>
  </si>
  <si>
    <t>RR100</t>
  </si>
  <si>
    <t>RR100A</t>
  </si>
  <si>
    <t>RR101</t>
  </si>
  <si>
    <t>RR101A</t>
  </si>
  <si>
    <t>RR102</t>
  </si>
  <si>
    <t>RR108</t>
  </si>
  <si>
    <t>RR54</t>
  </si>
  <si>
    <t>RR105</t>
  </si>
  <si>
    <t>RR116</t>
  </si>
  <si>
    <t>RR107</t>
  </si>
  <si>
    <t>RR55</t>
  </si>
  <si>
    <t>RR109</t>
  </si>
  <si>
    <t>RR13</t>
  </si>
  <si>
    <t>RR110</t>
  </si>
  <si>
    <t>RR111</t>
  </si>
  <si>
    <t>RR112</t>
  </si>
  <si>
    <t>RR113</t>
  </si>
  <si>
    <t>RR114</t>
  </si>
  <si>
    <t>RR115</t>
  </si>
  <si>
    <t>RR12</t>
  </si>
  <si>
    <t>RR117</t>
  </si>
  <si>
    <t>RR118</t>
  </si>
  <si>
    <t>RR92</t>
  </si>
  <si>
    <t>RR11</t>
  </si>
  <si>
    <t>RR14</t>
  </si>
  <si>
    <t>RR57</t>
  </si>
  <si>
    <t>RR16</t>
  </si>
  <si>
    <t>RR17</t>
  </si>
  <si>
    <t>RR18</t>
  </si>
  <si>
    <t>RR9</t>
  </si>
  <si>
    <t>RR104</t>
  </si>
  <si>
    <t>RR56</t>
  </si>
  <si>
    <t>RR48</t>
  </si>
  <si>
    <t>RR4</t>
  </si>
  <si>
    <t>RR23</t>
  </si>
  <si>
    <t>RR24</t>
  </si>
  <si>
    <t>RR6</t>
  </si>
  <si>
    <t>RR26</t>
  </si>
  <si>
    <t>RR27</t>
  </si>
  <si>
    <t>RR28</t>
  </si>
  <si>
    <t>RR29</t>
  </si>
  <si>
    <t>RR3</t>
  </si>
  <si>
    <t>RR49</t>
  </si>
  <si>
    <t>RR31</t>
  </si>
  <si>
    <t>RR50</t>
  </si>
  <si>
    <t>RR33</t>
  </si>
  <si>
    <t>RR7</t>
  </si>
  <si>
    <t>RR35</t>
  </si>
  <si>
    <t>RR36</t>
  </si>
  <si>
    <t>RR37</t>
  </si>
  <si>
    <t>RR38</t>
  </si>
  <si>
    <t>RR39</t>
  </si>
  <si>
    <t>RR10</t>
  </si>
  <si>
    <t>RR40</t>
  </si>
  <si>
    <t>RR103</t>
  </si>
  <si>
    <t>RR91</t>
  </si>
  <si>
    <t>RR45</t>
  </si>
  <si>
    <t>RR46</t>
  </si>
  <si>
    <t>RR47</t>
  </si>
  <si>
    <t>RR42</t>
  </si>
  <si>
    <t>RR41</t>
  </si>
  <si>
    <t>RR5</t>
  </si>
  <si>
    <t>RR2</t>
  </si>
  <si>
    <t>RR51</t>
  </si>
  <si>
    <t>RR52</t>
  </si>
  <si>
    <t>RR53</t>
  </si>
  <si>
    <t>RR20</t>
  </si>
  <si>
    <t>RR21</t>
  </si>
  <si>
    <t>RR15</t>
  </si>
  <si>
    <t>RR22</t>
  </si>
  <si>
    <t>RR58</t>
  </si>
  <si>
    <t>RR59</t>
  </si>
  <si>
    <t>RR19</t>
  </si>
  <si>
    <t>RR60</t>
  </si>
  <si>
    <t>RR61</t>
  </si>
  <si>
    <t>RR62</t>
  </si>
  <si>
    <t>RR63</t>
  </si>
  <si>
    <t>RR64</t>
  </si>
  <si>
    <t>RR65</t>
  </si>
  <si>
    <t>RR66</t>
  </si>
  <si>
    <t>RR67</t>
  </si>
  <si>
    <t>RR68</t>
  </si>
  <si>
    <t>RR69</t>
  </si>
  <si>
    <t>RR25</t>
  </si>
  <si>
    <t>RR70</t>
  </si>
  <si>
    <t>RR71</t>
  </si>
  <si>
    <t>RR72</t>
  </si>
  <si>
    <t>RR73</t>
  </si>
  <si>
    <t>RR74</t>
  </si>
  <si>
    <t>RR75</t>
  </si>
  <si>
    <t>RR76</t>
  </si>
  <si>
    <t>RR77</t>
  </si>
  <si>
    <t>RR78</t>
  </si>
  <si>
    <t>RR79</t>
  </si>
  <si>
    <t>RR8</t>
  </si>
  <si>
    <t>RR80</t>
  </si>
  <si>
    <t>RR81</t>
  </si>
  <si>
    <t>RR30</t>
  </si>
  <si>
    <t>RR83</t>
  </si>
  <si>
    <t>RR84</t>
  </si>
  <si>
    <t>RR85</t>
  </si>
  <si>
    <t>RR86</t>
  </si>
  <si>
    <t>RR87</t>
  </si>
  <si>
    <t>RR88</t>
  </si>
  <si>
    <t>RR89</t>
  </si>
  <si>
    <t>RR82</t>
  </si>
  <si>
    <t>RR90</t>
  </si>
  <si>
    <t>RR32</t>
  </si>
  <si>
    <t>RR34</t>
  </si>
  <si>
    <t>RR93</t>
  </si>
  <si>
    <t>RR95</t>
  </si>
  <si>
    <t>RR96</t>
  </si>
  <si>
    <t>RR97</t>
  </si>
  <si>
    <t>RR98</t>
  </si>
  <si>
    <t>RR99</t>
  </si>
  <si>
    <t>Biological Inequality</t>
  </si>
  <si>
    <t>Median/Average</t>
  </si>
  <si>
    <t>Biological Inequality &amp; Transport Inequality</t>
  </si>
  <si>
    <t>Biological Inequality &amp; Population Vulnerability (0-15)</t>
  </si>
  <si>
    <t xml:space="preserve"> </t>
  </si>
  <si>
    <t>Biological Inequality &amp; Population Vulnerability (65+)</t>
  </si>
  <si>
    <t>Neurodiverse Impacts (Density &amp; SRS)</t>
  </si>
  <si>
    <t>ALL Filters</t>
  </si>
  <si>
    <t>BAME %</t>
  </si>
  <si>
    <t>wkt_geom</t>
  </si>
  <si>
    <t>field_1</t>
  </si>
  <si>
    <t>LSOA11CD</t>
  </si>
  <si>
    <t>LSOA11NM</t>
  </si>
  <si>
    <t>MSOA11CD</t>
  </si>
  <si>
    <t>MSOA11NM</t>
  </si>
  <si>
    <t>LAD11CD</t>
  </si>
  <si>
    <t>LAD11NM</t>
  </si>
  <si>
    <t>RGN11CD</t>
  </si>
  <si>
    <t>RGN11NM</t>
  </si>
  <si>
    <t>SRS Avg</t>
  </si>
  <si>
    <t>2019 AllAg</t>
  </si>
  <si>
    <t>2019 0-15</t>
  </si>
  <si>
    <t>2019 16-29</t>
  </si>
  <si>
    <t>2019 30-44</t>
  </si>
  <si>
    <t>2019 45-64</t>
  </si>
  <si>
    <t>2019 65+</t>
  </si>
  <si>
    <t>PTAL 2015</t>
  </si>
  <si>
    <t>PTAL2015Hi</t>
  </si>
  <si>
    <t>PTAL2015Lo</t>
  </si>
  <si>
    <t>BIN</t>
  </si>
  <si>
    <t>IMD2019 Dc</t>
  </si>
  <si>
    <t>AirSRSAv</t>
  </si>
  <si>
    <t>NoiseSRSAv</t>
  </si>
  <si>
    <t>ThermSRSAv</t>
  </si>
  <si>
    <t>LightSRSAv</t>
  </si>
  <si>
    <t>BAME % 2011</t>
  </si>
  <si>
    <t>#Cars</t>
  </si>
  <si>
    <t>#Motorcycles</t>
  </si>
  <si>
    <t>#Light Goods Vehicles</t>
  </si>
  <si>
    <t>#Heavy Goods Vehicles</t>
  </si>
  <si>
    <t>#Buses and coaches</t>
  </si>
  <si>
    <t>#Other vehicles 1</t>
  </si>
  <si>
    <t>MultiPolygon (((533932.59100000001490116 194971.33700012468034402, 533763.37000002979766577 194721.70100015724892728, 533663.87399991962593049 194578.31299980171024799, 533530.28800006373785436 194428.53300025765202008, 533420.37200005108024925 194450.84099990909453481, 533421.23200003069359809 194514.12000021443236619, 533299.99899988505057991 194559.00000024345354177, 533104.84800017450470477 194647.36399987922050059, 532868.75399999995715916 194754.6550001795985736, 532897.99999988218769431 194778.99999981204746291, 533077.42399987939279526 194708.86799985222751275, 533108.02299989236053079 194740.40499984184862114, 533181.5870002486044541 194722.75499985652277246, 533196.15700009639840573 194758.8880001557408832, 533266.19699996442068368 194742.48000008048256859, 533303.2989999185083434 194789.92899997401400469, 533359.5329997994704172 194719.87800003145821393, 533456.99999998300336301 194947.99999987962655723, 533489.88100004231091589 194935.76499990560114384, 533483.03999993717297912 194861.25000001647276804, 533540.47099995508324355 194873.25800004717893898, 533559.35099976905621588 194909.99900021331268363, 533622.85800002445466816 194889.76200024143327028, 533646.67099977342877537 194945.46999974761274643, 533708.31400015694089234 194920.66300017430330627, 533781.82700016745366156 195072.76800005623954348, 533869.95199977851007134 195084.17599974237964489, 533903.58900017628911883 195024.44200006776372902, 533932.59100000001490116 194971.33700012468034402)))</t>
  </si>
  <si>
    <t>E01001399</t>
  </si>
  <si>
    <t>Enfield 021B</t>
  </si>
  <si>
    <t>E02000297</t>
  </si>
  <si>
    <t>Enfield 021</t>
  </si>
  <si>
    <t>E09000010</t>
  </si>
  <si>
    <t>Enfield</t>
  </si>
  <si>
    <t>E12000007</t>
  </si>
  <si>
    <t>London</t>
  </si>
  <si>
    <t>..</t>
  </si>
  <si>
    <t>MultiPolygon (((534252.23599992971867323 195465.77199994752299972, 534077.22700005560182035 195184.55799994102562778, 534040.19700006733182818 195129.83499991934513673, 533935.37300002563279122 194975.45299984532175586, 533932.59099989966489375 194971.33699987168074585, 533903.58899998886045069 195024.4420000865648035, 533869.95199986337684095 195084.17600008909357712, 533781.82699999795295298 195072.76800005056429654, 533708.31400012248195708 194920.66299994720611721, 533646.67099999997299165 194945.46999997907551005, 533694.85700004105456173 195061.42500014294637367, 533732.1789999040775001 195049.71200001679244451, 533833.74000003363471478 195148.53500002273358405, 533775.83899986394681036 195254.61999986562295817, 533745.13700000033713877 195309.93699992023175582, 533770.51600006385706365 195303.86499989472213201, 533793.0989999157609418 195362.95500000298488885, 533831.33699991449248046 195339.29700002071331255, 533854.6569999628700316 195398.3070000396692194, 533816.60400007350835949 195426.0689999666356016, 533853.05599985993467271 195490.80899996386142448, 533906.84800009883474559 195473.70299992055515759, 534182.00000005203764886 195433.18700007844017819, 534248.62399992742575705 195520.98100005276501179, 534269.06299999996554106 195516.45299991482170299, 534252.23599992971867323 195465.77199994752299972)))</t>
  </si>
  <si>
    <t>E01001401</t>
  </si>
  <si>
    <t>Enfield 016A</t>
  </si>
  <si>
    <t>E02000292</t>
  </si>
  <si>
    <t>Enfield 016</t>
  </si>
  <si>
    <t>MultiPolygon (((533530.287999999942258 194428.53300019077141769, 533406.9980000602081418 194315.54399975709384307, 533372.62400004907976836 194294.30599992538918741, 533328.34099986322689801 194269.49299995636101812, 533214.68900018080603331 194202.71900011136312969, 533110.73900012916419655 194085.78299984469776973, 533092.00000007986091077 194101.99999999135616235, 532999.00000011699739844 194045.00000008370261639, 533004.0000001845182851 194018.00000004228786565, 532950.00000010174699128 193991.00000000087311491, 532841.999999935971573 194073.0000002465385478, 532761.99999993317760527 193895.00000021315645427, 532631.9999997935956344 193989.99999987948103808, 532686.35499988181982189 194074.41899974673287943, 532674.7859997428022325 194177.92099986909306608, 532639.4329997671302408 194188.25999976173625328, 532649.99999982118606567 194224.00000023847678676, 532601.23499983991496265 194244.76800000231014565, 532648.88500017672777176 194273.41700020831194706, 532675.58499975025188178 194303.27499996454571374, 532644.99999975366517901 194331.9999998647836037, 532519.00000009965151548 194268.99999976812978275, 532451.55900000012479722 194294.83799994250875898, 532485.86300020758062601 194361.8580001603695564, 532619.26399987854529172 194367.63100016972748563, 532637.81800006190314889 194409.01399978779954836, 532708.9999999717110768 194398.99999990765354596, 532726.53899976750835776 194436.39399991850950755, 532831.57499999192077667 194400.71200000328826718, 532868.14899983850773424 194461.09800025509321131, 532912.3060001622652635 194428.35900012432830408, 532919.80300004861783236 194360.1569998643535655, 532964.00700005562976003 194323.3110001184977591, 532965.99999988649506122 194351.00000001379521564, 532942.00000020931474864 194454.00000011187512428, 532971.10500019881874323 194494.64400024758651853, 532883.68499998562037945 194569.53000010215328075, 532869.26100007712375373 194645.32900004487601109, 532828.9999999760184437 194669.99999990389915183, 532868.75400014384649694 194754.65499978687148541, 533104.84800011198967695 194647.36400018943822943, 533299.99899999762419611 194558.99999991338700056, 533421.23200019367504865 194514.1199998157680966, 533420.37200021871831268 194450.8409999473951757, 533530.287999999942258 194428.53300019077141769)))</t>
  </si>
  <si>
    <t>E01001403</t>
  </si>
  <si>
    <t>Enfield 021E</t>
  </si>
  <si>
    <t>MultiPolygon (((532648.88499975414015353 194273.41700027507613413, 532601.23499973805155605 194244.76799987241975032, 532649.99999985378235579 194223.99999980887514539, 532639.43299973767716438 194188.26000008507980965, 532674.78599992988165468 194177.92100004572421312, 532686.35499976156279445 194074.41899978613946587, 532632.00000001373700798 193990.00000016237027012, 532761.99999994528479874 193895.00000007956987247, 532842.00000025739427656 194072.99999996810220182, 532949.99999987287446856 193990.99999999356805347, 533003.99999996845144778 194018.00000004135654308, 532999.0000002367887646 194045.00000008914503269, 533092.00000008149072528 194102.00000025396002457, 533110.73899985430762172 194085.78299994033295661, 533076.58999980438966304 194010.63699972990434617, 532967.31899988534860313 193713.72100011128350161, 532913.88000021316111088 193499.27299992763437331, 532823.24999996845144778 193180.65599999995902181, 532799.13600023940671235 193189.91899999068118632, 532668.79499984730500728 193242.58499996602768078, 532560.63999997021164745 193285.71099982468876988, 532320.9759997830260545 193352.92399981987546198, 532338.76600023417267948 193408.30400025815470144, 532377.37500010686926544 193530.26600028001121245, 532402.0000002677552402 193635.90499977589934133, 532323.39799983473494649 194016.96599987050285563, 532303.48100014566443861 194074.76599990026443265, 532304.11299992387648672 194080.75500009825918823, 532427.81299976748414338 194220.21899992899852805, 532430.0000001466833055 194292.87200015725102276, 532451.55900001921691 194294.83800005566445179, 532519.00000009103678167 194269.00000027229543775, 532645.00000012200325727 194332, 532675.58499985246453434 194303.27499995555263013, 532648.88499975414015353 194273.41700027507613413)))</t>
  </si>
  <si>
    <t>E01001404</t>
  </si>
  <si>
    <t>Enfield 026A</t>
  </si>
  <si>
    <t>E02000302</t>
  </si>
  <si>
    <t>Enfield 026</t>
  </si>
  <si>
    <t>1a</t>
  </si>
  <si>
    <t>MultiPolygon (((533571.87499986146576703 195821.6560000759200193, 533599.20199999411124736 195784.62799980607815087, 533705.11700009577907622 195796.42400003553484567, 533822.18099997297395021 195797.53600017575081438, 533856.75699992931913584 195798.99999994345125742, 533849.56199983810074627 195594.50900019102846272, 533915.47200019098818302 195564.46699998204712756, 533922.97600011515896767 195561.91499986581038684, 534060.06799999752547592 195516.39599988854024559, 534166.37099981668870896 195540.01899984365445562, 534248.62399999995250255 195520.98099989743786864, 534182.00000000942964107 195433.18699982069665566, 533906.84800006181467324 195473.70300013080122881, 533853.05600002757273614 195490.80899994488572702, 533816.60399998957291245 195426.06900010074605234, 533854.65700004808604717 195398.30699982025544159, 533831.33700017933733761 195339.29699993933900259, 533793.0989998821169138 195362.95500002661719918, 533770.51599988737143576 195303.86499990115407854, 533745.13700001628603786 195309.93699991406174377, 533775.83900013042148203 195254.61999987022136338, 533749.56399985391180962 195193.57700009667314589, 533678.10000015632249415 195219.74099982756888494, 533658.30599993094801903 195158.34200019296258688, 533569.02299993461929262 195182.9699999762524385, 533643.07299992279149592 195227.91899987080250867, 533669.29500002216082066 195318.93799982257769443, 533493.03999985661357641 195283.1239998136588838, 533463.21500014502089471 195335.17099986999528483, 533443.82900000002700835 195442.03199987599509768, 533602.99999982526060194 195436.99999982342706062, 533562.86200005712453276 195515.97599991230526939, 533618.52300006616860628 195538.06700015338719822, 533525.63099990598857403 195705.43599998235004023, 533508.71600007731467485 195735.43899982565199025, 533449.27900011325255036 195843.00599980703555048, 533571.87499986146576703 195821.6560000759200193)))</t>
  </si>
  <si>
    <t>E01001406</t>
  </si>
  <si>
    <t>Enfield 015B</t>
  </si>
  <si>
    <t>E02000291</t>
  </si>
  <si>
    <t>Enfield 015</t>
  </si>
  <si>
    <t>MultiPolygon (((534436.40100007946603 198111.72799999997369014, 534442.70000012533273548 198061.42900009368895553, 534491.75700003700330853 198029.75099986835266463, 534457.4389999087434262 197876.66300004656659439, 534389.6889999903505668 197559.3459999188198708, 534374.49999999301508069 197477.95300000000861473, 534321.89799989969469607 197478.80799986771307886, 534275.08299996505957097 197480.41299988070386462, 534186.56299989833496511 197503.1090001080010552, 534097.28800015221349895 197581.82399992557475343, 534044.17000010097399354 197628.21700014264206402, 534035.06300002580974251 197636.17200007571955211, 533943.59499998309183866 197731.61299996566958725, 533884.87499996297992766 197789.29699999885633588, 533900.0720001021400094 197858.32099984545493498, 533900.90900012606289238 197931.76299990210100077, 533967.81399987870827317 198019.17799994704546407, 534048.24900008435361087 197981.11700008803745732, 534053.02100007398985326 197977.99399994075065479, 534007.78899992082733661 197878.48599996321718208, 534087.30599985492881387 197836.85900010474142618, 534112.30600004934240133 197747.83600007285713218, 534149.78199991537258029 197735.24999987703631632, 534179.2419999553821981 197773.33299996762070805, 534177.69100010755937546 197728.26499986986164004, 534262.71900006069336087 197707.50299986335448921, 534273.28799991100095212 197784.14600002410588786, 534246.00300000712741166 197821.4110000314831268, 534277.36500001745298505 197851.62199999677250162, 534288.22400009725242853 197971.21799991533043794, 534290.99999987613409758 198007.99999999519786797, 534286.43900006206240505 198090.92500013808603399, 534342.13699990324676037 198109.79199990219785832, 534382.53100000589620322 198100.92700015622540377, 534436.40100007946603 198111.72799999997369014)))</t>
  </si>
  <si>
    <t>E01001409</t>
  </si>
  <si>
    <t>Enfield 005B</t>
  </si>
  <si>
    <t>E02000281</t>
  </si>
  <si>
    <t>Enfield 005</t>
  </si>
  <si>
    <t>1b</t>
  </si>
  <si>
    <t>MultiPolygon (((534475.9999999706633389 198443.99999990302603692, 534428.47899993357714266 198272.61699982610298321, 534385.29800000938121229 198288.8690000873466488, 534342.13699997949879616 198109.79200005275197327, 534286.43900017568375915 198090.92499991413205862, 534291.00000015972182155 198007.99999994417885318, 534288.22400009410921484 197971.21799992569140159, 534277.36499995412304997 197851.62199982296442613, 534246.00300000864081085 197821.41099993468378671, 534273.28800005721859634 197784.14600010713911615, 534262.71900008479133248 197707.5029999999969732, 534177.69100017671007663 197728.26500004250556231, 534179.2420000092824921 197773.33299991293461062, 534149.78200002515222877 197735.2500000630680006, 534112.30600008473265916 197747.83599986135959625, 534087.30599995714146644 197836.85899991079350002, 534007.78900011337827891 197878.48599992381059565, 534053.02099987282417715 197977.99400001164758578, 534048.24900015362072736 197981.11699984926963225, 533967.81400006043259054 198019.17800000426359475, 533900.9090000664582476 197931.76300014738808386, 533868.18800002941861749 197941.51599989799433388, 533916.38199981604702771 198104.46299997114692815, 534010.99999986379407346 198094.00000000538420863, 534094.06200014869682491 198074.78799989522667602, 534176.35699985863175243 198255.11199985764687881, 534192.99799985892605036 198240.00899985307478346, 534229.99899994803126901 198339.00000012261443771, 534263.00000001676380634 198346.00000015835394152, 534316.72900011879391968 198333.84699986665509641, 534366.00000016472768039 198331.00000008178176358, 534395.99999994016252458 198463.00000000002910383, 534475.9999999706633389 198443.99999990302603692)))</t>
  </si>
  <si>
    <t>E01001410</t>
  </si>
  <si>
    <t>Enfield 005C</t>
  </si>
  <si>
    <t>MultiPolygon (((534108.32200014952104539 194143.00100012388429604, 534118.44999987923074514 194117.98700012723566033, 534089.55400008044671267 194127.10200005071237683, 534062.00000003830064088 194114.9999998849525582, 534036.16500001482199878 194103.46700012721703388, 534024.77499982540030032 194130.71299994268338196, 533937.63700016692746431 194126.28199992343434133, 533930.75099999702069908 194062.49600001709768549, 533877.28300016722641885 194050.55399991193553433, 533786.69300004455726594 194089.69500015390804037, 533722.13199989055283368 194132.07499989026109688, 533406.9979999999050051 194315.54400009522214532, 533530.28799985907971859 194428.53300000322633423, 533663.8740001714322716 194578.31300008803373203, 533857.36200005561113358 194534.40300004713935778, 533957.62600004766136408 194448.94499992503551766, 534044.49999982619192451 194425.28099998139077798, 534054.4459998719394207 194388.84599997609620914, 534122.09299985656980425 194200.34999985614558682, 534140.33100000000558794 194157.59599992312723771, 534108.32200014952104539 194143.00100012388429604)))</t>
  </si>
  <si>
    <t>E01001459</t>
  </si>
  <si>
    <t>Enfield 024A</t>
  </si>
  <si>
    <t>E02000300</t>
  </si>
  <si>
    <t>Enfield 024</t>
  </si>
  <si>
    <t>MultiPolygon (((533675.88199996645562351 194085.68499992004944943, 533642.03200005565304309 194064.74300008226418868, 533596.05300008389167488 194076.21199993861955591, 533589.1699998319381848 194039.96100006482447498, 533653.00000013876706362 193979.00000014351098798, 533636.19299998518545181 193940.22000003972789273, 533673.34600011131260544 193928.05999981422792189, 533660.64799991622567177 193859.68200010462896898, 533699.71099987300112844 193835.6020001026627142, 533690.32599994633346796 193797.5969999895314686, 533620.71899989806115627 193814.69800005439901724, 533608.19100019265897572 193750.4570000397216063, 533577.66200018080417067 193571.39599994788295589, 533570.9469999959692359 193529.15400002140086144, 533523.93899992224760354 193535.68700006490689702, 533517.61900018458254635 193503.18199987211846747, 533465.69599999743513763 193491.47700000001350418, 533420.16299991926643997 193552.98899995989631861, 533291.15199996810406446 193611.45099981033126824, 533267.47500004363246262 193735.0260001806600485, 533320.51199995947536081 193759.2520001330121886, 533350.92100015899632126 193838.09000011518946849, 533241.00000011036172509 193880.99999987674527802, 533076.58999986050184816 194010.63699985231505707, 533110.73900012113153934 194085.78300002787727863, 533214.68899981107097119 194202.71900020446628332, 533328.34099987312220037 194269.49300005834084004, 533372.62399991310667247 194294.30599982818239368, 533406.99800013122148812 194315.54399999999441206, 533722.13200013956520706 194132.0750000118277967, 533675.88199996645562351 194085.68499992004944943)))</t>
  </si>
  <si>
    <t>E01001461</t>
  </si>
  <si>
    <t>Enfield 027D</t>
  </si>
  <si>
    <t>E02000303</t>
  </si>
  <si>
    <t>Enfield 027</t>
  </si>
  <si>
    <t>MultiPolygon (((533207.84999990474898368 193270.53699976819916628, 533306.90099975233897567 193159.13299978041322902, 533307.14099987014196813 193105.97799999141716398, 533293.64200013619847596 193016.19699985001352616, 533191.8800001391209662 193021.13200010525179096, 533190.99999987718183547 192991, 533002.06399997312109917 193007.9939997922629118, 533004.84100020583719015 193037.92299985737190582, 533012.73200000857468694 193130.73400021129054949, 532973.34799984900746495 193129.62199990346562117, 532959.42800015490502119 193058.10800003464100882, 532918.69400009757373482 193074.79800015356158838, 532940.95700008806306869 193144.94700024466146715, 532870.01100022613536566 193155.57099988462869078, 532886.41099977784324437 193195.55600009267800488, 533050.99999982421286404 193160.00099993450567126, 533056.64400007913354784 193194.73999989611911587, 532937.01200006378348917 193219.54499979168758728, 532990.88399992429185659 193422.18200022558448836, 532956.53099986317101866 193449.2010001371090766, 532957.30599994619842619 193491.22399979890906252, 532913.88000016508158296 193499.27300000199466012, 532967.31899995752610266 193713.72099978325422853, 533076.58999989263247699 194010.63699999998789281, 533241.00000011455267668 193881.00000004522735253, 533350.92099977389443666 193838.08999980366206728, 533320.51199998299125582 193759.25199987515225075, 533267.47500023490283638 193735.02599983039544895, 533291.15200018871109933 193611.45099980881786905, 533094.20299989520572126 193474.94999985015601851, 533136.14599985769018531 193410.0940001730050426, 533207.84999990474898368 193270.53699976819916628)))</t>
  </si>
  <si>
    <t>E01001463</t>
  </si>
  <si>
    <t>Enfield 031A</t>
  </si>
  <si>
    <t>E02000307</t>
  </si>
  <si>
    <t>Enfield 031</t>
  </si>
  <si>
    <t>MultiPolygon (((532937.01199986727442592 193219.54500012143398635, 533056.64400001638568938 193194.7399997525208164, 533050.99999978684354573 193160.00099997399956919, 532886.41099986701738089 193195.55600003153085709, 532870.01099986978806555 193155.57100011434522457, 532940.95699998491909355 193144.94700009192456491, 532918.6939998643938452 193074.79799984014243819, 532959.42800000903662294 193058.10800017678411677, 532973.3479999095434323 193129.62199996411800385, 533012.73200021823868155 193130.73399998818058521, 533004.84099980385508388 193037.92299984351848252, 533002.06399978313129395 193007.99399977893335745, 532996.87400021485518664 192947.04400022036861628, 532992.76200005784630775 192915.78799995878944173, 533031.45599975378718227 192907.08399980253307149, 533019.8860000652493909 192867.99999995494727045, 533058.99999980966094881 192867.99999995494727045, 533065.99699991464149207 192768.26700019379495643, 533020.97900017129722983 192764.8140000760613475, 533015.05300021474249661 192652.77899995900224894, 533006.40000023145694286 192617.30000007135095075, 532853.99999984528403729 192597.99999992907396518, 532827.00000014121178538 192553.99999980319989845, 532865.30600004363805056 192504.07000000000698492, 532843.28399977437220514 192512.35599996821838431, 532694.27499985182657838 192553.45799980938318186, 532572.31300008541438729 192568.54699998575961217, 532620.32900010130833834 192762.6070000855543185, 532705.91099991044029593 192942.7790000420936849, 532721.7620001535397023 192971.73099986714078113, 532823.25000009941868484 193180.65599985208245926, 532913.87999993201810867 193499.27299999998649582, 532957.3059998091775924 193491.22400016218307428, 532956.53099990333430469 193449.20100015433854423, 532990.88400024629663676 193422.18200003463425674, 532937.01199986727442592 193219.54500012143398635)))</t>
  </si>
  <si>
    <t>E01001465</t>
  </si>
  <si>
    <t>Enfield 031B</t>
  </si>
  <si>
    <t>MultiPolygon (((534351.45700019842479378 195334.38200012379093096, 534396.52899982186499983 195273.60299987226608209, 534461.0919999647885561 195332.2379998305987101, 534531.34000008762814105 195237.00099991497700103, 534528.53700011596083641 195180.0520001103868708, 534546.20500022044871002 195096.33700013242196292, 534479.25100021087564528 195052.04300016336492263, 534426.12499987392220646 194961.2100002414372284, 534600.36000019602943212 194939.11599996816948988, 534519.58499992999713868 194865.38000013047712855, 534415.85000007809139788 194853.74600015414762311, 534411.43300005188211799 194648.36800009282887913, 534342.08200008049607277 194427.0940000546106603, 534301.14699986553750932 194423.90999977473984472, 534183.99999981455039233 194423.72700000001350418, 534181.0000001935986802 194708.0000000509317033, 534212.10200015117879957 194852.25599980753031559, 534167.94300023792311549 194843.1379997689218726, 534143.85199991764966398 194707.49800008238526061, 534035.15400024189148098 194713.54399987976648845, 534019.45899980410467833 194727.28699994180351496, 534020.61999997205566615 194734.20500018890015781, 534158.42399992141872644 195023.42000025170273148, 534178.05999996070750058 195061.51599992436240427, 534040.19699994439724833 195129.83500020962674171, 534077.22700008656829596 195184.55800015790737234, 534252.23600017349235713 195465.77199999999720603, 534307.51000017230398953 195456.05900008173193783, 534435.46699998970143497 195435.80900003536953591, 534351.45700019842479378 195334.38200012379093096)))</t>
  </si>
  <si>
    <t>E01001478</t>
  </si>
  <si>
    <t>Enfield 016B</t>
  </si>
  <si>
    <t>MultiPolygon (((534035.1540001155808568 194713.54400009894743562, 534143.85199995082803071 194707.49800007187877782, 534167.9430001275613904 194843.13799985041259788, 534212.10200008365791291 194852.25599985485314392, 534180.99999984388705343 194708.0000000754953362, 534183.99999987427145243 194423.72700000734766945, 534168.74999990628566593 194382.17199999999138527, 534128.9260001175571233 194416.75099991852766834, 534044.49999995192047209 194425.28099998278776184, 533957.6260000963229686 194448.94500010064803064, 533857.36200002231635153 194534.40299987906473689, 533663.87399991613347083 194578.31300001879571937, 533763.37000018265098333 194721.70100006446591578, 533932.59099986799992621 194971.3369998830021359, 533935.37300005927681923 194975.4529998381040059, 534040.19700013473629951 195129.83499999999185093, 534178.06000014289747924 195061.5159999179886654, 534158.42400004505179822 195023.41999997643870302, 534020.61999999335967004 194734.20499981471220963, 534019.45900010189507157 194727.28700005693826824, 534035.1540001155808568 194713.54400009894743562)))</t>
  </si>
  <si>
    <t>E01001480</t>
  </si>
  <si>
    <t>Enfield 024D</t>
  </si>
  <si>
    <t>MultiPolygon (((534739.98200005665421486 195372.35100022389087826, 534884.28199993807356805 195357.75400017431820743, 534887.12299977149814367 195358.02599993030889891, 534859.91499977943021804 195212.75900007039308548, 534858.65499993995763361 195177.7049999860173557, 534854.00300010526552796 195056.55699992406880483, 534942.41500004811678082 195041.11799983980017714, 534992.59800022700801492 194960.00200005204533227, 534932.10400017851497978 194873.45800000001327135, 534872.39499981398694217 194885.27599984523840249, 534622.94399984425399452 194934.64600004645762965, 534600.35999985435046256 194939.11600004776846617, 534426.12499992654193193 194961.21000020258361474, 534479.25099978968501091 195052.04300018603680655, 534546.20499992254190147 195096.33699986146530136, 534528.53700003225822002 195180.05200000826152973, 534531.34000009309966117 195237.00099982411484234, 534461.09199983975850046 195332.23800020373892039, 534396.52899992698803544 195273.60299986932659522, 534351.45699983381200582 195334.38199982658261433, 534435.46699982963036746 195435.80900006153387949, 534307.51000015740282834 195456.05900018199463375, 534252.23599977302365005 195465.77199994045076892, 534269.06299985316582024 195516.45299990652711131, 534293.9709997724276036 195668.46599998424062505, 534297.00700005306862295 195795.74900000003981404, 534414.98500017495825887 195775.70799978193826973, 534753.49999987555202097 195744.42299997340887785, 534752.37000018067192286 195741.42200017505092546, 534631.72999984608031809 195512.82099996384931728, 534549.12499997497070581 195417.51599999106838368, 534643.72900022228714079 195394.36899991115205921, 534687.82399993552826345 195385.47799984592711553, 534739.98200005665421486 195372.35100022389087826)))</t>
  </si>
  <si>
    <t>E01001484</t>
  </si>
  <si>
    <t>Enfield 016C</t>
  </si>
  <si>
    <t>MultiPolygon (((532823.25000005261972547 193180.65600008409819566, 532721.7619999919552356 192971.73100004735169932, 532705.91100011370144784 192942.77899998737848364, 532620.3289998936234042 192762.60700008913408965, 532473.40700009639840573 192724.35300000000279397, 532447.00000010116491467 192751.00000003157765605, 532460.39999987906776369 192831.39999995622201823, 532312.7359999876935035 192946.8900001558358781, 532243.86199994734488428 192945.31099994672695175, 532246.23600010015070438 192966.86499999364605173, 532256.30299995047971606 193055.9549999647133518, 532343.80699994578026235 193087.05700010166037828, 532347.00000014016404748 193124.00000002750311978, 532433.65200011641718447 193112.67699997630552389, 532440.06099991803057492 193142.51500008936272934, 532353.9000000071246177 193154.85799990224768408, 532358.48300011083483696 193204.80699998894124292, 532286.2760001429123804 193228.207999976555584, 532305.00100011879112571 193300.00000008457573131, 532320.9760000838432461 193352.92399999999906868, 532560.63999987649731338 193285.71100008420762606, 532668.79499984870199114 193242.58499991690041497, 532799.13600003684405237 193189.91900011128745973, 532823.25000005261972547 193180.65600008409819566)))</t>
  </si>
  <si>
    <t>E01001497</t>
  </si>
  <si>
    <t>Enfield 031E</t>
  </si>
  <si>
    <t>MultiPolygon (((533925.4580001279246062 196382.02300005132565275, 534041.73299987125210464 196341.0539998599269893, 534075.24100004322826862 196346.68499984533991665, 534079.29700010654050857 196310.63000014304998331, 534105.35999984154477715 196326.1369998540612869, 534123.10200016433373094 196297.72799982165452093, 534153.62900003709364682 195982.01400023864698596, 534205.18399992724880576 195974.33399982162518427, 534246.72300021501723677 196244.53600012374226935, 534294.9999999402789399 196236.88399989128811285, 534294.9999999402789399 196293.00000003565219231, 534512.99999974831007421 196270.99999988707713783, 534736.00000008929055184 196255.99999985710019246, 534841.51000000000931323 196248.81800010782899335, 534815.35500018147286028 196083.97299975380883552, 534753.49999986274633557 195744.42299994867062196, 534414.98500008112750947 195775.7080001111025922, 534297.0070000949781388 195795.74899989832192659, 534249.99999985028989613 195803.99999989525531419, 534202.27700011595152318 195935.0639998467231635, 533996.64000021433457732 195978.90000010878429748, 533994.00000007089693099 195972.00000012636883184, 533894.55899989488534629 195975.78899999870918691, 533795.47799999988637865 196110.10099991731112823, 533799.79500021471176296 196178.41899995278799906, 533944.99999976379331201 196192.99999983579618856, 533925.4580001279246062 196382.02300005132565275)))</t>
  </si>
  <si>
    <t>E01001511</t>
  </si>
  <si>
    <t>Enfield 016D</t>
  </si>
  <si>
    <t>MultiPolygon (((534820.99999990500509739 197385.00000002424349077, 534885.42100014118477702 197334.15000023678294383, 534969.27400003478396684 197362.54200027478509583, 535007.84700019494630396 197336.77500025703920983, 534982.72000020439736545 197165.57400023020454682, 534956.71999983000569046 196995.60900003687129356, 534947.69100004865322262 196936.59300030404119752, 534923.24900036095641553 196778.55999981454806402, 534880.18900035694241524 196501.34400030324468389, 534841.51000022864900529 196248.81800019822549075, 534735.99999994446989149 196256.00000024779001251, 534512.99999996216502041 196271.00000015494879335, 534295.00000019208528101 196293.00000035943230614, 534295.00000019208528101 196236.88399965484859422, 534246.72299976577050984 196244.53599990686052479, 534205.183999881031923 195974.33400000000256114, 534153.62900015490595251 195982.01400032622041181, 534123.10199993499554694 196297.72800026828190312, 534105.36000016680918634 196326.13699977778014727, 534079.29699999047443271 196310.62999983082409017, 534075.24099967221263796 196346.68499999356572516, 534073.0000002522720024 196373.0000001075968612, 534114.99999984633177519 196361.00000032788375393, 534187.94399987871292979 196549.38999975263141096, 533977.63000003376509994 196571.0929997437633574, 533938.21899994742125273 196463.75600009365007281, 533884.86999974364880472 196479.12499977921834216, 533883.81200017314404249 196526.27499977452680469, 533743.67399980500340462 196570.45599988094181754, 533884.76399977563414723 196818.61999969120370224, 534005.00000028382055461 196814.99999990241485648, 534015.94800009182654321 197302.75599996178061701, 534337.99999982863664627 197281.83100025920430198, 534329.69300018751528114 196995.18400011007906869, 534552.80699984624516219 196989.34700002637691796, 534526.26599975908175111 197131.22700021299533546, 534557.91199997183866799 197245.75100018663215451, 534471.99999968055635691 197257.99999973969534039, 534466.89300017536152154 197286.21500029941671528, 534605.66999970097094774 197281.1939996664004866, 534699.87899981543887407 197307.05899994380888529, 534745.00000032677780837 197391.00000027910573408, 534706.17700033844448626 197391.99500004763831384, 534707.01500026450958103 197416.14200036154943518, 534760.79600004875101149 197432.23799973129644059, 534812.07199981773737818 197434.26800000001094304, 534822.78199972526635975 197434.00800035396241583, 534849.78200014203321189 197429.73100033652735874, 534847.09200021030846983 197389.38199995490140282, 534817.26899987424258143 197387.6309996432682965, 534820.99999990500509739 197385.00000002424349077)))</t>
  </si>
  <si>
    <t>E01001513</t>
  </si>
  <si>
    <t>Enfield 012F</t>
  </si>
  <si>
    <t>E02000288</t>
  </si>
  <si>
    <t>Enfield 012</t>
  </si>
  <si>
    <t>MultiPolygon (((533996.64000001805834472 195978.90000008713104762, 534202.27699988603126258 195935.06400009320350364, 534250.00000010535586625 195804.00000003137392923, 534297.00699999998323619 195795.74899989439290948, 534293.97099989838898182 195668.46600007495726459, 534269.0629999382654205 195516.45300009200582281, 534248.62399994442239404 195520.98100009385962039, 534166.37100005801767111 195540.01900006068171933, 534060.06800006947014481 195516.39599991284194402, 534065.80900007009040564 195549.96100004814798012, 533999.53599996713455766 195570.34499995654914528, 534009.00000010279472917 195790.07399990121484734, 533976.60599989676848054 195766.44400001899339259, 533940.99999988614581525 195800.00000008850474842, 533921.5900000506080687 195800.00000008850474842, 533892.65799997211433947 195946.79400008602533489, 533824.73799994436558336 195931.64799998517264612, 533821.75600000005215406 195972.00000000750878826, 533894.55899993248749524 195975.78899991238722578, 533993.99999996076803654 195972.00000000750878826, 533996.64000001805834472 195978.90000008713104762)))</t>
  </si>
  <si>
    <t>E01001515</t>
  </si>
  <si>
    <t>Enfield 015E</t>
  </si>
  <si>
    <t>MultiPolygon (((534770.21299988846294582 197488.02900000673253089, 534708.12899990112055093 197462.48599973917589523, 534760.79600022279191762 197432.23799996345769614, 534707.01499974075704813 197416.14199987772735767, 534706.17700017034076154 197391.99500013529905118, 534744.99999982654117048 197391.00000007069320418, 534699.87900023150723428 197307.05900015973020345, 534605.67000011284835637 197281.1940001159964595, 534466.89300026465207338 197286.21500017261132598, 534472.00000001338776201 197257.99999982499866746, 534557.91199985437560827 197245.75100024486891925, 534526.26599999342579395 197131.22699981048936024, 534552.80700021306984127 196989.34700000000884756, 534329.69299998821225017 196995.18400008761091158, 534338.00000025553163141 197281.83100011336500756, 534015.94800020987167954 197302.75599979775142856, 534235.00000015168916434 197302.0000002518936526, 534321.89799984765704721 197478.80799991931417026, 534374.50000023655593395 197477.9530002570245415, 534389.68900005705654621 197559.3460001784551423, 534457.43899998068809509 197876.66300019979826175, 534491.75699992175213993 198029.75099979230435565, 534494.69200016732793301 198042.62499981999280863, 534686.81299974583089352 198083.79699999996228144, 534693.77800019830465317 198056.79200004166341387, 534711.83399989700410515 198000.96699981470010243, 534771.30400018207728863 197762.06099995560362004, 534771.4830002156086266 197730.03299983331817202, 534726.0710000463295728 197712.13199997408082709, 534761.55399987602140754 197652.34600023506209254, 534738.07199999247677624 197601.72300020570401102, 534771.99999978998675942 197573.61900007154326886, 534729.29800009913742542 197523.40900005251751281, 534770.21299988846294582 197488.02900000673253089)))</t>
  </si>
  <si>
    <t>E01001516</t>
  </si>
  <si>
    <t>Enfield 005D</t>
  </si>
  <si>
    <t>MultiPolygon (((534321.89800017257221043 197478.80799969076178968, 534234.99999991175718606 197302.0000001207808964, 534015.94800011371262372 197302.75600017694523558, 534004.99999997846316546 196815.00000026923953556, 533884.76399983849842101 196818.62000039729173295, 533743.67399992374703288 196570.45599992913776077, 533883.81200026092119515 196526.27500001509906724, 533884.87000010616611689 196479.12499992889934219, 533938.21900012018159032 196463.75600039854180068, 533977.62999964028131217 196571.09300003809039481, 534187.94399974890984595 196549.38999961895751767, 534115.00000016356352717 196361.00000030687078834, 534073.00000000209547579 196373.00000011525116861, 534075.24099981202743948 196346.68499995226738974, 534041.73299977066926658 196341.05400023396941833, 533925.45800025085918605 196382.02300007670419291, 533945.00000010442454368 196192.99999966096947901, 533799.79499958886299282 196178.41899971806560643, 533795.47800012677907944 196110.10099972359603271, 533894.5590000378433615 195975.78900012298254296, 533821.75599992158822715 195972, 533624.25100022729020566 196012.73300028310040943, 533635.48600013740360737 196085.34899988805409521, 533596.97999981720931828 196199.68199971708236262, 533586.85000013012904674 196329.42500011413358152, 533582.03300019050948322 196386.99399999692104757, 533461.99999991164077073 196373.00000011525116861, 533428.90200026170350611 196337.33900001522852108, 533389.05299982416909188 196353.70100016088690609, 533415.33900012588128448 196414.89699967912747525, 533352.51900005561765283 196428.2630001261131838, 533358.18999981204979122 196521.89799966351711191, 533431.62700036726891994 196529.32499959887354635, 533430.00000014516990632 196570.00100032679620199, 533351.58299982757307589 196579.01800011610612273, 533443.8729997449554503 196672.15800001297611743, 533513.00000034540425986 196680.32800032492377795, 533566.84100032993592322 196733.61899978425935842, 533651.14499994460493326 196887.103999884595396, 533768.75499990698881447 197150.674999586539343, 533889.05899977893568575 197431.24099970568204299, 534035.06300005887169391 197636.1720000000204891, 534044.16999993403442204 197628.21699989333865233, 534097.28800039319321513 197581.82400003069778904, 534186.56299992802087218 197503.10899976137443446, 534275.08300040627364069 197480.41300039112684317, 534321.89800017257221043 197478.80799969076178968)))</t>
  </si>
  <si>
    <t>E01001518</t>
  </si>
  <si>
    <t>Enfield 016F</t>
  </si>
  <si>
    <t>MultiPolygon (((535409.9859999226173386 199640.35699989719432779, 535358.57400022633373737 199508.69300009022117592, 535345.98700022569391876 199411.24000021399115212, 535399.47400006686802953 199364.46700019316631369, 535470.24800012295600027 199252.19099999047466554, 535376.11800008930731565 199194.29599993105512112, 535431.11300011712592095 199126.63200010135187767, 535369.00000010593794286 199106.0000000279978849, 535366.81100017973221838 199075.94199980856501497, 535333.02500014752149582 199064.99899979183101095, 535347.29899988358374685 198955.80299992283107713, 535196.26400003302842379 198985.51099997531855479, 535193.44499999552499503 199031.40200021889177151, 535149.83700000413227826 199026.68099979593534954, 535069.97999989939853549 199008.07999983569607139, 534950.58799980080220848 199033.59699993437970988, 534962.54599997051991522 198974.7569999446568545, 534920.41200009838212281 198903.66099999996367842, 534879.07600011467002332 199009.90600020927377045, 534937.41500019386876374 199106.37500010550138541, 534819.18999979901127517 199197.88900022691814229, 534732.762000213842839 199118.58900011613150127, 534772.31399976823013276 199334.93699988219304942, 534780.53400016098748893 199379.90300012391526252, 534904.57600017951335758 199363.06999989310861565, 534914.37999982456676662 199408.84399998761364259, 535023.99999978509731591 199486.00000001114676706, 534995.16300021158531308 199527.01400010616634972, 535005.56599979498423636 199586.1830000540940091, 535119.62700023408979177 199602.9610000085667707, 535147.13899981754366308 199562.66300000096089207, 535235.38699998706579208 199547.32399981768685393, 535285.27199984854087234 199828.35600014147348702, 535435.00000002328306437 199850, 535424.99999984947498888 199789.00000016955891624, 535477.66699978616088629 199664.06300004178774543, 535409.9859999226173386 199640.35699989719432779)))</t>
  </si>
  <si>
    <t>E01001545</t>
  </si>
  <si>
    <t>Enfield 002B</t>
  </si>
  <si>
    <t>E02000278</t>
  </si>
  <si>
    <t>Enfield 002</t>
  </si>
  <si>
    <t>MultiPolygon (((534879.07599978568032384 199009.90599982283310965, 534920.41200009209569544 198903.66099988974747248, 534962.5460001421160996 198974.75700023808167316, 534950.58799996424932033 199033.59700006552156992, 535069.98000006168149412 199008.07999982705223374, 535149.83699978271033615 199026.6809998965181876, 535193.44499989843461663 199031.40199994193972088, 535196.26399976736865938 198985.51100019857403822, 535124.93799986713565886 198865.71700003976002336, 535177.99999987566843629 198830.00099976849742234, 535173.25399976444896311 198790.72599988410365768, 535200.28499988676048815 198774.47199982102029026, 535174.58599978243000805 198743.44500012352364138, 535190.99900009110569954 198564.99999988763011061, 535241.55099991359747946 198567.80799993826076388, 535240.99999991978984326 198513.99999980625580065, 535288.72200005489867181 198512.25199995809816755, 535339.53599985793698579 198435.20700022170785815, 535319.75900006573647261 198357.61199999658856541, 535284.10900014021899551 198353.21099993103416637, 535280.20100006903521717 198256.39499982498819008, 535237.90399983944371343 198240.96700000000419095, 535182.06600020895712078 198269.30000015703262761, 535194.45300000242423266 198357.13299977104179561, 534936.37300020805560052 198385.19300012916210108, 534904.46199979458469898 198462.81299994152504951, 534846.89000008476432413 198559.04600010366993956, 534895.26100003102328628 198772.56900013957056217, 534787.91300012695137411 198774.80200011425768025, 534722.30000016186386347 198739.10000009031500667, 534663.60199990391265601 198757.72499976353719831, 534629.50700014212634414 198633.95200022729113698, 534640.10299984051380306 198683.09099993380368687, 534691.82100002921652049 198911.85300004429882392, 534732.76200015866197646 199118.58900017372798175, 534819.19000000308733433 199197.88900000002468005, 534937.41500022925902158 199106.37499991632648744, 534879.07599978568032384 199009.90599982283310965)))</t>
  </si>
  <si>
    <t>E01001548</t>
  </si>
  <si>
    <t>Enfield 002D</t>
  </si>
  <si>
    <t>MultiPolygon (((534895.26099983672611415 198772.56900017074076459, 534846.8900002253940329 198559.04599988562404178, 534904.46199978853110224 198462.81300005715456791, 534936.37300006428267807 198385.19299975849571638, 535194.45299994281958789 198357.1329998420260381, 535182.06600001989863813 198269.29999990065698512, 535237.90399984130635858 198240.96699986682506278, 535280.20099977764766663 198256.39500019024126232, 535284.10899979947134852 198353.21100009570363909, 535319.75900014338549227 198357.61199975543422624, 535339.53599979518912733 198435.20699990438879468, 535472.01200020429678261 198406.06700020920834504, 535514.97400002973154187 198435.11699996443348937, 535510.43599992897361517 198488.81500004869303666, 535546.94400000001769513 198494.16599990660324693, 535544.6250001493608579 198451.9059998125594575, 535484.80900018638931215 198316.59600006276741624, 535466.79900005459785461 198279.46699980698758736, 535400.42700020573101938 198119.96200022459379397, 535370.58100021618884057 198038.37300017767120153, 535363.8060000769328326 198020.10099985467968509, 535320.60399991250596941 198055.71500012278556824, 535203.45099989685695618 198055.46399985763127916, 535041.61400000657886267 198062.07400010689161718, 535020.15200014773290604 198027.26699999926495366, 535025.80499983753543347 198119.48400007758755237, 535026.92300022311974317 198197.15400017649517395, 534849.99900021450594068 198133.99999981143628247, 534840.30300009378697723 198164.47999994375277311, 534792.88200018147472292 198155.19500014785444364, 534734.85599985637236387 198208.89499976494698785, 534548.67499999993015081 198254.58500023299711756, 534551.58399978978559375 198289.73500007853726856, 534596.08200018783099949 198482.99200013958034106, 534629.50700018578208983 198633.95199976523872465, 534663.60199990321416408 198757.725000189821003, 534722.29999997979030013 198739.09999996918486431, 534787.91299993568100035 198774.80200014531146735, 534895.26099983672611415 198772.56900017074076459)))</t>
  </si>
  <si>
    <t>E01001549</t>
  </si>
  <si>
    <t>Enfield 006D</t>
  </si>
  <si>
    <t>E02000282</t>
  </si>
  <si>
    <t>Enfield 006</t>
  </si>
  <si>
    <t>MultiPolygon (((534734.85599985322915018 198208.89500001390115358, 534792.88200018182396889 198155.1949998453783337, 534840.30300021509174258 198164.47999979232554324, 534849.99899982707574964 198134.00000016231206246, 535026.92300021345727146 198197.15399992963648401, 535025.80500021006446332 198119.48399990369216539, 535020.15199985750950873 198027.2670000609359704, 535041.61400005244649947 198062.07400020121713169, 535203.45100010430905968 198055.46400017183623277, 535320.60400002589449286 198055.71499986047274433, 535363.80600000009872019 198020.10099999408703297, 535278.49400007526855916 197801.84500009083421901, 535138.11600003694184124 197821.93300014638225548, 535095.05300007213372737 197823.42999990645330399, 535019.00000011443626136 197819.40699982931255363, 534916.24999998742714524 197807.06199984508566558, 534771.48299988789949566 197730.03300007487996481, 534771.30400021036621183 197762.06099994358373806, 534711.83399999712128192 198000.9669998683675658, 534693.77800020657014102 198056.79199984547449276, 534686.8130001345416531 198083.79700011055683717, 534494.69200000003911555 198042.62500013556564227, 534542.82999996282160282 198251.71199986833380535, 534551.58399993658531457 198289.7349999251018744, 534548.67500020016450435 198254.5850000336940866, 534734.85599985322915018 198208.89500001390115358)))</t>
  </si>
  <si>
    <t>E01001550</t>
  </si>
  <si>
    <t>Enfield 006E</t>
  </si>
  <si>
    <t>MultiPolygon (((535285.27199983131140471 199828.35599997293320484, 535235.38699984771665186 199547.32399983282084577, 535147.13900019333232194 199562.66300004895310849, 535119.62699983513448387 199602.96099993053940125, 535005.56599986634682864 199586.18299995045526884, 534995.16299996722955257 199527.01400007758638822, 535023.99999995739199221 199486.00000019583967514, 534914.37999999814201146 199408.84399990990641527, 534904.57599995308555663 199363.07000000000698492, 534780.53399991488549858 199379.9029999693739228, 534848.56100009777583182 199748.24499993171775714, 534902.87500003445893526 200012.78099980184924789, 534975.81299987831152976 200166.7660000481409952, 535017.87499997462145984 200170.93699999997625127, 535139.03499992750585079 200098.77999992333934642, 535342.14999997394625098 200098.65100012472248636, 535338.39299994881730527 200079.30400004982948303, 535456.46200018026866019 200073.64300009424914606, 535446.99599997384939343 200044.74099993315758184, 535509.99600008514244109 200040.44000004333793186, 535487.96999993687495589 199912.71899994288105518, 535507.86099987640045583 199898.44400015121209435, 535499.73500018042977899 199856.97100013113231398, 535434.99999985611066222 199849.99999980631400831, 535285.27199983131140471 199828.35599997293320484)))</t>
  </si>
  <si>
    <t>E01001551</t>
  </si>
  <si>
    <t>Enfield 002E</t>
  </si>
  <si>
    <t>MultiPolygon (((536862.99999993178062141 182570.9999998621060513, 536913.00000013504177332 182446.0000000425206963, 536973.81099993537645787 182469.95599999945261516, 537033.059000154142268 182498.03899990909849294, 537110.00100000016391277 182462.00000010756775737, 537094.99600014218594879 182425.605999922438059, 537051.64799991925247014 182425.68200007147970609, 536961.999999989871867 182354.0000000128056854, 536886.00000002526212484 182340.99999995995312929, 536804.00000003620516509 182313.99999985020258464, 536748.00000015285331756 182373.00000009004725143, 536715.00000001862645149 182364.00000005346373655, 536774.99999991827644408 182161.99999992083758116, 536666.03999991598539054 182175.05599990230984986, 536703.89200016076210886 182246.44399999146116897, 536637.08600013295654207 182299.82600011344766244, 536502.65800003544427454 182288.16600002473569475, 536471.26600006478838623 182312.23700013014604338, 536421.46600000001490116 182505.60100010645692237, 536431.9889998659491539 182510.03099986971938051, 536718.91299985069781542 182624.72499989115749486, 536771.27299989829771221 182645.17099989578127861, 536832.4220001531066373 182667.02600002248072997, 536842.36999996495433152 182670.58199996533221565, 536898.30900012282654643 182690.7880000791628845, 536908.000000114669092 182666.99999990809010342, 536840.99999984237365425 182634.00000011821975932, 536862.99999993178062141 182570.9999998621060513)))</t>
  </si>
  <si>
    <t>E01004269</t>
  </si>
  <si>
    <t>Tower Hamlets 014A</t>
  </si>
  <si>
    <t>E02000877</t>
  </si>
  <si>
    <t>Tower Hamlets 014</t>
  </si>
  <si>
    <t>E09000030</t>
  </si>
  <si>
    <t>Tower Hamlets</t>
  </si>
  <si>
    <t>6a</t>
  </si>
  <si>
    <t>MultiPolygon (((536471.26599997689481825 182312.23699995290371589, 536502.65799990599043667 182288.16600002528866753, 536637.08600004645995796 182299.82599993763142265, 536703.89200015179812908 182246.44399985717609525, 536666.03999983798712492 182175.05600019247503951, 536774.99999995133839548 182162.00000006210757419, 536714.99999980418942869 182363.99999988832860254, 536747.99999992689117789 182373.00000003585591912, 536804.00000014784745872 182314.00000018390710466, 536886.00000009802170098 182341.00000020829611458, 536884.99999980279244483 182271.99999991364893503, 536958.99999990069773048 182111.99999993949313648, 536948.99999987613409758 182050.99999991536606103, 536881.52800005255267024 181968.70600008583278395, 536871.86399994988460094 181980.16999979980755597, 536849.99800016300287098 182013.99100009631365538, 536896.68800016166642308 182060.34500017311074771, 536842.21800017484929413 182079.85600002593128011, 536739.00000019755680114 182111.99999993949313648, 536721.1799999054055661 182084.1660000268893782, 536731.99000015237834305 182021.18200002599041909, 536702.92500012891832739 182005.35000007317285053, 536739.47000013559591025 182007.50700004579266533, 536738.20899981516413391 181900.27699989115353674, 536710.51999987009912729 181888.30600002250866964, 536743.0000001237494871 181812.00000004022149369, 536744.49899984861258417 181808.43800007941899821, 536614.5139998437371105 181669.23000000001047738, 536414.00000002793967724 181789.99999981900327839, 536388.97200014733243734 181776.53999987716088071, 536342.83099992771167308 181893.35499987527146004, 536324.68799984629731625 182110.26600003652856685, 536320.76899994246196002 182165.97100007839617319, 536314.96299986122176051 182272.35399979399517179, 536272.9340000991942361 182417.29799988379818387, 536421.46599999698810279 182505.60099999999511056, 536471.26599997689481825 182312.23699995290371589)))</t>
  </si>
  <si>
    <t>E01004270</t>
  </si>
  <si>
    <t>Tower Hamlets 014B</t>
  </si>
  <si>
    <t>MultiPolygon (((536849.99800000747200102 182013.99099990099784918, 536871.8639999465085566 181980.16999992448836565, 536881.5280000310158357 181968.70600000148988329, 536949.00000009697396308 182050.99999988751369528, 536957.26700008055195212 182048.25100001849932596, 537141.27099994150921702 181943.59599995799362659, 537107.54900010349228978 181862.8560000094876159, 536937.96200003603007644 181898.33600001499871723, 536970.72400008200202137 181866.92500004949397407, 536932.2740000345511362 181824.12800000701099634, 536898.00200001103803515 181809.56799988649436273, 536946.99999992095399648 181713.00000007700873539, 536876.00000007101334631 181677.99999996749102138, 536800.00099992554169148 181655, 536744.49900000798515975 181808.43799997901078314, 536743.00000002048909664 181812.00000010599615052, 536710.52000005054287612 181888.30600005551241338, 536738.20900007605087012 181900.2769998915027827, 536739.46999994746875018 182007.50700004151440226, 536702.92500005848705769 182005.3500000289932359, 536731.98999989253934473 182021.1820000110019464, 536721.18000010203104466 182084.16600004400243051, 536738.99999989697244018 182112, 536842.21800001745577902 182079.85599991149501875, 536896.6880000215023756 182060.34500003349967301, 536849.99800000747200102 182013.99099990099784918)))</t>
  </si>
  <si>
    <t>E01004271</t>
  </si>
  <si>
    <t>Tower Hamlets 014C</t>
  </si>
  <si>
    <t>MultiPolygon (((536744.49899990449193865 181808.4380001557583455, 536800.0009998632594943 181655.00000009956420399, 536876.00000002805609256 181677.99999992162338458, 536947.00000020209699869 181713.00000007636845112, 537010.31299998215399683 181615.62900006881682202, 537075.99999986367765814 181640.00000017308047973, 537089.99999992549419403 181644.99999998544808477, 537112.99899992591235787 181580.99999984228634275, 537052.00699990789871663 181556.98700002624536864, 537129.06699982914142311 181565.03099990802002139, 537118.90699985413812101 181636.07599989004665986, 537150.65100005036219954 181579.85400006794952787, 537201.17000010248739272 181578.30099993172916584, 537242.02799980074632913 181606.5659997945476789, 537319.00000023900065571 181659.00000004735193215, 537341.77400022081565112 181626.13799997893511318, 537367.75000000011641532 181596.39100004668580368, 537288.41700007929466665 181539.79300020891241729, 537158.41900019661989063 181451.44999986374750733, 537049.47599990013986826 181374.56299993279390037, 536945.41199994343332946 181303.14799984425189905, 536915.81500018655788153 181332.92900007730349898, 536903.21000004350207746 181369.1480002059834078, 536866.26200018776580691 181472.5489999255805742, 536864.69299996760673821 181476.89400003218906932, 536837.24999989161733538 181551.45299998082919046, 536644.31900002085603774 181516.13800019171321765, 536575.12900016945786774 181511.49699999991571531, 536554.74999997089616954 181575.68700003903359175, 536521.06300016108434647 181537.60999982521752827, 536522.90999976021703333 181560.08399994557839818, 536464.26699989591725171 181687.3730002322117798, 536388.9719999999506399 181776.54000000774976797, 536413.99999994284007698 181789.99999992744415067, 536614.51400015130639076 181669.22999977797735482, 536744.49899990449193865 181808.4380001557583455)))</t>
  </si>
  <si>
    <t>E01004273</t>
  </si>
  <si>
    <t>Tower Hamlets 014E</t>
  </si>
  <si>
    <t>MultiPolygon (((536495.53199998068157583 182913.48599998853751458, 536534.20299994596280158 182810.51299998094327748, 536614.86500016902573407 182827.83000000592437573, 536633.58899996720720083 182881.64400009761448018, 536695.8519999481504783 182837.94599987857509404, 536701.19500016933307052 182826.46599983811029233, 536675.82600005413405597 182780.69799987520673312, 536714.06899983109906316 182684.03800008475081995, 536754.00699999998323619 182689.35500000219326466, 536766.5739999896613881 182656.36799994658213109, 536771.27300000004470348 182645.17100008600391448, 536718.91299984988290817 182624.7250000697968062, 536431.98899999761488289 182510.03099992475472391, 536421.46600015461444855 182505.60100006670108996, 536272.93400001607369632 182417.29799993356573395, 536079.57899983611423522 182719.14200005264137872, 536064.64699999988079071 182753.14299993874737993, 536247.14899998856708407 182822.26000006875256076, 536283.84500006947200745 182837.04699989646906033, 536565.61100004042964429 182953.49300006640260108, 536495.53199998068157583 182913.48599998853751458)))</t>
  </si>
  <si>
    <t>E01004232</t>
  </si>
  <si>
    <t>Tower Hamlets 003C</t>
  </si>
  <si>
    <t>E02000866</t>
  </si>
  <si>
    <t>Tower Hamlets 003</t>
  </si>
  <si>
    <t>MultiPolygon (((536554.74999999883584678 181575.68700008140876889, 536575.12900005304254591 181511.49699993862304837, 536644.31900012213736773 181516.13800008787075058, 536837.24999987939372659 181551.45300011281506158, 536864.69299999240320176 181476.89400005439529195, 536866.2619999973103404 181472.54900002895737998, 536903.21000008808914572 181369.14799991174368188, 536915.81499999994412065 181332.92900006868876517, 536851.69800004898570478 181306.70899992337217554, 536861.77600011008325964 181188.33799987408565357, 536799.29900004609953612 181158.05499993226840161, 536781.44000002148095518 181187.84000003972323611, 536685.00699999812059104 181108.45299991860520095, 536647.99899996072053909 181142.99999997063423507, 536604.00000005646143109 181196.00000009938958101, 536632.00000004819594324 181217.99999987630872056, 536575.3679999370360747 181321.59200002136640251, 536560.1529999494086951 181339.87000002231798135, 536428.00099997455254197 181294.00000007048947737, 536410.43099999986588955 181292.2439998994814232, 536425.77400010928977281 181322.78100002778228372, 536521.06300002301577479 181537.60999993077712134, 536554.74999999883584678 181575.68700008140876889)))</t>
  </si>
  <si>
    <t>E01004251</t>
  </si>
  <si>
    <t>Tower Hamlets 023A</t>
  </si>
  <si>
    <t>E02000886</t>
  </si>
  <si>
    <t>Tower Hamlets 023</t>
  </si>
  <si>
    <t>MultiPolygon (((537318.46200005826540291 181453.98299985550693236, 537253.5470001061912626 181280.14199996297247708, 537394.11599985137581825 181283.78599983535241336, 537403.57700016919989139 181245.94699999806471169, 537165.62699999066535383 181220.54500000330153853, 537170.06199996790383011 181157.96399982908042148, 537143.55799994547851384 181182.61899986633216031, 537088.94300017901696265 181142.71400002154405229, 537111.03300012042745948 181109.68700012302724645, 537130.27799989026971161 181151.13699999565142207, 537159.21699992113281041 181125.76299986257799901, 537163.10800003237091005 181101.16199992332258262, 537124.30799983569886535 181093.80700014479225501, 537164.59399998688604683 181049.10699991261935793, 537158.19099988287780434 181008.35699986497638747, 537109.04200010723434389 181018.59499999214312993, 537121.99999992933589965 180914.40899998144595884, 537045.15600017854012549 180909.39399995125131682, 537055.00000006356276572 180867, 537024.09199991077184677 180904.13500003208173439, 536974.84999986516777426 180966.18699990145978518, 536949.57899995276238769 180941.78400007836171426, 536900.78699987265281379 181046.21299998296308331, 536931.00000017578713596 181067.99999996216502041, 537000.00000001047737896 181042.0000000033469405, 536988.038000010070391 181093.95200015805312432, 536963.00000004097819328 181134.99999982796725817, 536939.65800008329097182 181094.09199983128928579, 536886.22099996916949749 181084.71699981807614677, 536896.17900002049282193 181131.26600003542262129, 536861.7759999887784943 181188.33800006643286906, 536851.69800016540102661 181306.70900003894348629, 536915.81500004732515663 181332.9290000052715186, 536945.41200011060573161 181303.14800012134946883, 537049.47599999443627894 181374.56300006320816465, 537158.4189998508663848 181451.44999996633850969, 537288.41700001945719123 181539.79300018076901324, 537367.74999987671617419 181596.39100000000325963, 537443.66599983465857804 181514.0360001158551313, 537318.46200005826540291 181453.98299985550693236)))</t>
  </si>
  <si>
    <t>E01004252</t>
  </si>
  <si>
    <t>Tower Hamlets 024A</t>
  </si>
  <si>
    <t>E02000887</t>
  </si>
  <si>
    <t>Tower Hamlets 024</t>
  </si>
  <si>
    <t>MultiPolygon (((525191.53399999998509884 185803.24599975664750673, 525182.25999978114850819 185721.29299997398629785, 525143.69699973799288273 185737.24000000246451236, 525114.99999982968438417 185581.9999998515995685, 525109.99999992898665369 185448.9999998334387783, 524977.14999993436504155 185529.85899979833629914, 524856.3319998838705942 185475.49700010434025899, 524763.95400005555711687 185450.46100006328197196, 524749.4639999020146206 185379.29599985177628696, 524724.52600005350541323 185370.38600004455656745, 524712.61199995083734393 185400.84500005294103175, 524661.38099986361339688 185379.75199992352281697, 524738.99999985028989613 185151.99999988076160662, 524522.99999988474883139 185291.99899993705912493, 524383.99999998556450009 185426.99999973850208335, 524357.99999997008126229 185432.00000017081038095, 524355.34800008439924568 185435.83700024295831099, 524265.39599975186865777 185563.92500019702129066, 524221.9739998301374726 185536.86200019140960649, 524296.64699988486245275 185429.04800023790448904, 524281.64299982757074758 185446.76800001380615868, 524202.67100015957839787 185392.53000016213627532, 524163.54499985068105161 185357.49200014205416664, 524128.45800000004237518 185390.37700017777387984, 524170.89199994353111833 185425.70199988863896579, 524158.17299989133607596 185463.13699975432245992, 524191.99199989682529122 185471.07599976312485524, 524139.73999982612440363 185542.76399987973854877, 524191.65599984396249056 185583.02600001302198507, 524132.40399991214508191 185691.99200014778762124, 524192.3129999473458156 185727.67199973735841922, 524270.76099988725036383 185614.22399996049352922, 524290.84899985860101879 185624.20700011370354332, 524467.6920002190163359 185697.76699999332777224, 524477.8369998661801219 185651.07100026519037783, 524487.12500026449561119 185570.12499975506216288, 524510.62700024130754173 185573.67999978284933604, 524603.67700017534662038 185608.47799976516398601, 524925.81300000764895231 185681.26600023201899603, 524906.31300012883730233 185768.46899977762950584, 525000.37899986829143018 185989.41099981201114133, 525097.31300005898810923 186018.39100011924165301, 525171.77099990274291486 185855.35699980519711971, 525191.53399999998509884 185803.24599975664750673)))</t>
  </si>
  <si>
    <t>E01000871</t>
  </si>
  <si>
    <t>Camden 005A</t>
  </si>
  <si>
    <t>E02000170</t>
  </si>
  <si>
    <t>Camden 005</t>
  </si>
  <si>
    <t>E09000007</t>
  </si>
  <si>
    <t>Camden</t>
  </si>
  <si>
    <t>MultiPolygon (((525535.01800016150809824 185454.72199988251668401, 525672.65200000000186265 185337.94100008450914174, 525574.70299995352979749 185296.38700004571001045, 525459.38700007961597294 185249.83300009326194413, 525348.72900002438109368 185245.98899997398257256, 525290.25399986060801893 185230.88299994039698504, 525227.84700011473614722 185225.36700002395082265, 525194.96899992180988193 185222.89299996904446743, 525101.47699987527448684 185215.85199991887202486, 525025.06900009536184371 185191.06599995377473533, 525005.75699999998323619 185244.07299996868823655, 525110.59000000916421413 185310.04699999385047704, 525130.73699999402742833 185277.50100013875635341, 525097.03900004737079144 185242.21799984865356237, 525192.41100010683294386 185250.94300013812608086, 525145.282999960007146 185324.49900010915007442, 525184.85000001767184585 185331.96299998718313873, 525198.00000001722946763 185408.00000007648486644, 525231.60800014960113913 185382.30499988538213074, 525339.24599987547844648 185374.04800016459194012, 525376.98800008476246148 185446.31899984038318507, 525461.23400012718047947 185465.87400013484875672, 525484.21300007333047688 185497.13700004620477557, 525535.01800016150809824 185454.72199988251668401)))</t>
  </si>
  <si>
    <t>E01000874</t>
  </si>
  <si>
    <t>Camden 005D</t>
  </si>
  <si>
    <t>MultiPolygon (((525191.5339998685522005 185803.24600000004284084, 525370.43799992278218269 185592.14700001789606176, 525401.4270000362303108 185566.26599995154538192, 525484.21300001407507807 185497.13699994597118348, 525461.23400002939160913 185465.87399992870632559, 525376.98800013971049339 185446.31900011279503815, 525339.24599996255710721 185374.04800010158214718, 525231.60799988708458841 185382.30500010060495697, 525197.99999988765921444 185408.00000002948218025, 525184.85000007739290595 185331.96299998578615487, 525145.28299994044937193 185324.49899988062679768, 525192.41099996026605368 185250.94300001914962195, 525097.03899993747472763 185242.21799999999348074, 525130.73700004862621427 185277.50099986646091565, 525110.59000012092292309 185310.04699994967086241, 525005.75700006901752204 185244.0730000905750785, 525001.62000007450114936 185244.14100005032378249, 524991.53700008324813098 185277.35800000056042336, 524982.99999998591374606 185306.99999993733945303, 525110.00000007404014468 185449.00000004467437975, 525114.99999998696148396 185581.99999991603544913, 525143.6969998722197488 185737.23999994533369318, 525182.26000000920612365 185721.29300009037251584, 525191.5339998685522005 185803.24600000004284084)))</t>
  </si>
  <si>
    <t>E01000877</t>
  </si>
  <si>
    <t>Camden 005E</t>
  </si>
  <si>
    <t>MultiPolygon (((525433.63099999737460166 185799.92600015952484682, 525507.99599993403535336 185757.26700004102895036, 525571.27300007664598525 185882.25999992759898305, 525650.09400007326621562 185841.5660000714706257, 525680.19899998547043651 185869.12799983005970716, 525700.18299995409324765 185874.14500015077646822, 525713.24399998318403959 185798.18400015746010467, 525781.07700002170167863 185765.64200017406255938, 525621.94400001293979585 185627.27699994330760092, 525615.45999995060265064 185622.35000011546071619, 525645.00000014947727323 185533.99999992968514562, 525745.51399982941802591 185450.29700017371214926, 525805.00000017287675291 185402.99999999502324499, 525768.84900003473740071 185387.7469999908353202, 525767.83700011565815657 185302.22700000001350418, 525672.65200004505459219 185337.94099998715682887, 525535.0179999383399263 185454.7220000283268746, 525484.2129998377058655 185497.13700009178137407, 525401.42700001434423029 185566.26599996755248867, 525370.43800010113045573 185592.1470000937115401, 525191.53399997344240546 185803.24599983490770683, 525171.77099982707295567 185855.35699982757796533, 525260.00000002630986273 186014, 525391.68900013982784003 185939.42399993989965878, 525476.97600017138756812 185886.72099983700900339, 525433.63099999737460166 185799.92600015952484682)))</t>
  </si>
  <si>
    <t>E01000878</t>
  </si>
  <si>
    <t>Camden 004A</t>
  </si>
  <si>
    <t>E02000169</t>
  </si>
  <si>
    <t>Camden 004</t>
  </si>
  <si>
    <t>MultiPolygon (((526075.00000001792795956 185695.99999987293267623, 526073.9999999589053914 185611.0000001355947461, 526106.00800002948381007 185611.71499998206854798, 526124.16600012115668505 185570.02699988667154685, 526090.50899989658500999 185524.24299994463217445, 526100.3139998511178419 185499.52599991243914701, 526132.16199994960334152 185501.09200006333412603, 526227.46499997028149664 185426.1859998942236416, 526170.08199987711850554 185393.34099990903632715, 526230.89700010337401181 185274.56999992424971424, 526236.87100000004284084 185236.81199998015654273, 526029.00000009790528566 185111.00000012706732377, 526023.87200001138262451 185112.223999898560578, 526017.39299990155268461 185118.69600012415321544, 525867.49999988230410963 185268.20300013673841022, 525767.83700007642619312 185302.22700010519474745, 525768.84899989259429276 185387.7469999851018656, 525804.99999992013908923 185402.99999997048871592, 525745.51399990345817059 185450.29699991922825575, 525645.00000010384246707 185533.99999993853271008, 525615.4599999999627471 185622.34999996691476554, 525621.94399998267181218 185627.27700000494951382, 525682.60299994866363704 185595.00900001841364428, 525776.81600002315826714 185675.25800009103841148, 525886.47100006369873881 185675.52899991377489641, 526006.92199991154484451 185629.03999987104907632, 526043.90800015302374959 185656.22200000841985457, 526038.14599990099668503 185695.01700006533064879, 526075.00000001792795956 185695.99999987293267623)))</t>
  </si>
  <si>
    <t>E01000880</t>
  </si>
  <si>
    <t>Camden 004C</t>
  </si>
  <si>
    <t>MultiPolygon (((526570.4370000371709466 185220.95300001002033241, 526655.54100004897918552 185142.49400016109575517, 526691.01399995328392833 185116.62999991979449987, 526693.94400000013411045 185037.50500009837560356, 526635.25900009495671839 185050.67999998712912202, 526634.1389998747035861 185003.62700004866928793, 526572.17399987473618239 184976.07799990219064057, 526513.93999997014179826 184960.76799985524849035, 526511.44399986206553876 184908.0269999346928671, 526447.99999985692556947 184943.00000015343539417, 526398.48099993902724236 184929.05800000461749732, 526406.38699988764710724 184886.8280000830127392, 526449.56999999529216439 184878.03200011778972112, 526398.84999987843912095 184873.56799988588318229, 526344.99999997462145984 184913.99999996536644176, 526347.67599984887056053 184820.1100001428858377, 526321.13699989800807089 184794.72800011304207146, 526243.14799994113855064 184957.40499995206482708, 526190.61799999780487269 184926.00499986627255566, 526087.88799993216525763 185051.50699983420781791, 526023.87199999997392297 185112.2240001150930766, 526029.0000000394647941 185111.00000002988963388, 526236.87099997035693377 185236.81200009767781012, 526253.4849999985890463 185142.18299997877329588, 526276.00000015099067241 185032.0000001298612915, 526341.000000145053491 185033.99999987712362781, 526340.31899994076229632 185182.16000006298418157, 526437.71799997938796878 185211.06000004592351615, 526504.55200010386761278 185171.08400004415307194, 526535.09199996665120125 185275.99699987054918893, 526466.47000015457160771 185314.47899997030617669, 526502.96899989864323288 185367.84099983802298084, 526562.91499992471653968 185373.54199988697655499, 526570.4370000371709466 185220.95300001002033241)))</t>
  </si>
  <si>
    <t>E01000881</t>
  </si>
  <si>
    <t>Camden 008A</t>
  </si>
  <si>
    <t>E02000173</t>
  </si>
  <si>
    <t>Camden 008</t>
  </si>
  <si>
    <t>MultiPolygon (((526576.36699989007320255 184952.17799995696987025, 526592.54900010267738253 184584.62299995234934613, 526609.99999996868427843 184526.99999989176285453, 526644.51300002203788608 184540.00700007876730524, 526803.32800004107411951 184701.86599990495597012, 526803.12499993585515767 184600.92200002120807767, 526763.17199989291839302 184530.75600015209056437, 526694.82200013531837612 184473.05000001200824045, 526652.87500010884832591 184441.39099985896609724, 526658.25000007101334631 184336.49999996600672603, 526651.66100013209506869 184332.67900000000372529, 526599.52799988409969956 184425.16100015075062402, 526506.46199997246731073 184495.41499995300546288, 526374.32000014465302229 184603.81699987937463447, 526328.30699992529116571 184683.41900005002389662, 526291.58999992371536791 184739.10500013129785657, 526190.6179999589221552 184926.00499992672121152, 526243.14799990877509117 184957.4050001340219751, 526321.13700007321313024 184794.72799986932659522, 526347.6759998764609918 184820.11000002175569534, 526344.99999984819442034 184914.00000006763730198, 526398.85000008181668818 184873.56800008530262858, 526449.56999993755016476 184878.0320001439540647, 526406.38699987065047026 184886.82799987899488769, 526398.4810001392615959 184929.05799992071115412, 526447.99999989510979503 184943.00000008082133718, 526511.44399992260150611 184908.02699998224852607, 526513.94000007305294275 184960.76800006060511805, 526572.17400013352744281 184976.0779999999795109, 526576.36699989007320255 184952.17799995696987025)))</t>
  </si>
  <si>
    <t>E01000883</t>
  </si>
  <si>
    <t>Camden 008C</t>
  </si>
  <si>
    <t>MultiPolygon (((525745.99000002327375114 186387.51100005820626393, 525743.27700003120116889 186322.84600008957204409, 525785.38199999998323619 186323.93799991148989648, 525779.55099993851035833 186261.37300005831639282, 525681.05399990861769766 186131.68399995219078846, 525677.5909998252755031 186060.05600005795713514, 525628.12799986405298114 186046.23700003951671533, 525657.9999999477295205 185995.00000016688136384, 525694.92799998517148197 186033.92700000299373642, 525732.01599984127096832 185984.52599982707761228, 525735.28999993519391865 185961.50800011429237202, 525700.43699998687952757 185887.24900003435323015, 525680.19900005671661347 185869.1279999574762769, 525650.09400014742277563 185841.56599986072978936, 525571.27300008479505777 185882.25999988109106198, 525507.99600011040456593 185757.26700003919540904, 525433.63100005860906094 185799.92600003251573071, 525476.97599993553012609 185886.72099989725393243, 525391.68899984157178551 185939.42400012668804266, 525260.00000007578637451 186013.99999991085496731, 525171.77099995804019272 185855.3569999196624849, 525097.31299987819511443 186018.39099985314533114, 525084.95400000014342368 186175.62700004014186561, 525110.75399991788435727 186181.59299989391001873, 525248.10899992124177516 186189.76999984023859724, 525331.68599996122065932 186235.56999985719448887, 525391.85699994885362685 186278.64399993835831992, 525499.50000003748573363 186317.95299989756313153, 525534.1880001617828384 186427.82799996077665128, 525745.99000002327375114 186387.51100005820626393)))</t>
  </si>
  <si>
    <t>E01000884</t>
  </si>
  <si>
    <t>Camden 004D</t>
  </si>
  <si>
    <t>MultiPolygon (((526180.31300011777784675 184736.03100005516898818, 526288.7500000714790076 184660.06200002747937106, 526328.30700012610759586 184683.41899987612850964, 526374.31999999633990228 184603.81699995000963099, 526506.46199999970849603 184495.41500004581757821, 526599.52800004649907351 184425.16099995010881685, 526558.69899993948638439 184393.75800007485668175, 526498.77199989440850914 184398.0950000956072472, 526481.02700012305285782 184369.97599991629249416, 526414.99999989254865795 184409.00000009033828974, 526379.875999994459562 184302.34500003707944416, 526348.58699998946394771 184306.62299997441004962, 526372.48400001949630678 184279.49600003362866119, 526356.98799993598368019 184233.84700009605148807, 526307.3289998578839004 184213.55699992756126449, 526288.87899996293708682 184157.41800000000512227, 526265.21599997265730053 184186.37799991329666227, 526268.20200012030545622 184203.50199997058371082, 526309.12700007192324847 184339.76499998031067662, 526230.96500014478806406 184374.04100013451534323, 526219.51299995870795101 184387.40100010819151066, 526258.80299992673099041 184499.79800013161730021, 526210.60499987727962434 184450.53700003429548815, 526224.8429999282816425 184468.045000052487012, 526178.44500009575858712 184488.50499987928196788, 526130.03600003907922655 184440.03000002025510184, 526093.56599998392630368 184440.73899985861498863, 526086.51499990909360349 184470.5150000526336953, 526188.99999988672789186 184576.00099990810849704, 526104.84799992968328297 184582.41099994973046705, 526082.42999995360150933 184669.78900010272627696, 526102.77399990742560476 184699.94999996802653186, 526101.33099990431219339 184739.49099999997997656, 526180.31300011777784675 184736.03100005516898818)))</t>
  </si>
  <si>
    <t>E01000960</t>
  </si>
  <si>
    <t>Camden 017A</t>
  </si>
  <si>
    <t>E02000182</t>
  </si>
  <si>
    <t>Camden 017</t>
  </si>
  <si>
    <t>MultiPolygon (((526414.99999987322371453 184409, 526481.02700002712663263 184369.97600000724196434, 526498.77199993864633143 184398.09499988728202879, 526558.69899987371172756 184393.75799991824897006, 526596.72400006256066263 184319.85300001333234832, 526551.69000005058478564 184303.42800002585863695, 526548.48399987781886011 184232.16000005934620276, 526645.96300005121156573 184194.46799989347346127, 526663.00000012386590242 184111.00100007755099796, 526633.00000002095475793 184105.00000005177571438, 526622.50499990466050804 184049.78099993380601518, 526618.69800002151168883 184023.88699987938161939, 526603.99100005161017179 183878.88699999998789281, 526430.50000012083910406 183893.71900008525699377, 526364.51699987589381635 184047.41800003178650513, 526346.31300003314390779 184103.96899997664149851, 526312.96700009470805526 184104.18199991015717387, 526325.36300000711344182 184133.63200008901185356, 526288.87899987609125674 184157.41799996769987047, 526307.32899998186621815 184213.55700006481492892, 526356.98800001852214336 184233.84700012882240117, 526372.4840000334661454 184279.49599987044348381, 526348.5870000587310642 184306.62300008875899948, 526379.87599987257272005 184302.34500010631745681, 526414.99999987322371453 184409)))</t>
  </si>
  <si>
    <t>E01000961</t>
  </si>
  <si>
    <t>Camden 017B</t>
  </si>
  <si>
    <t>MultiPolygon (((526599.52799983287695795 184425.16099999999278225, 526651.66099981148727238 184332.6790000259061344, 526658.25000012980308384 184336.5000000755826477, 526784.92399981850758195 184388.36600008147070184, 526873.60800011549144983 184229.0509999877831433, 526909.97600016044452786 184165.98500005641835742, 527009.01699985074810684 184120.72799987893085927, 527068.74599994777236134 184070.8250000920961611, 527047.64900005701929331 183965.52200011457898654, 527001.14399981359019876 183956.53400017248350196, 526949.3369998331181705 183991.54399998113512993, 526948.02299989410676062 183949.19099994967109524, 527010.76100014359690249 183888.76100015873089433, 526961.96700006490573287 183837.03500016147154383, 526865.64000001782551408 183977.12299982464173809, 526800.56799998483620584 183939.0870000698196236, 526817.14100006641820073 183899.778999843809288, 526913.0649998813169077 183778.48999994088080712, 526940.56300003523938358 183800.83299983196775429, 526964.91899987554643303 183772.32599981245584786, 526916.31699998327530921 183715.34300002636155114, 526876.68799992301501334 183747.93700003554113209, 526773.50800006533972919 183661.1939999999885913, 526727.37500018312130123 183723.84400003671180457, 526737.95800011430401355 183866.43600009413785301, 526703.47199992323294282 183869.64900006272364408, 526672.38500007230322808 183872.53199990186840296, 526614.98700004233978689 183877.89099998073652387, 526603.99099993298295885 183878.88700018392410129, 526618.69799992151092738 184023.88700016037910245, 526622.50499989395029843 184049.78100002996507101, 526632.99999999429564923 184105.00000001306761988, 526663.00000009476207197 184111.00100014236522838, 526645.96300007193349302 184194.46800005264231004, 526548.48400005220901221 184232.15999998271581717, 526551.69000017317011952 184303.4280000478902366, 526596.72399991133715957 184319.85299985847086646, 526558.6990001352969557 184393.7580000968882814, 526599.52799983287695795 184425.16099999999278225)))</t>
  </si>
  <si>
    <t>E01000963</t>
  </si>
  <si>
    <t>Camden 017C</t>
  </si>
  <si>
    <t>MultiPolygon (((525867.49999999499414116 185268.20300009506172501, 526017.39300000004004687 185118.69600009173154831, 525978.61500014469493181 185095.38699992423062213, 525866.61200016108341515 185018.14400016033323482, 525738.56999986886512488 184930.61199996279901825, 525660.41299994010478258 184922.0919999566685874, 525500.02099988865666091 184929.93700003708363511, 525493.00000013911630958 184949.99999990346259438, 525493.99899986875243485 185018.00000002459273674, 525459.52899989450816065 185056.74799993523629382, 525493.8719998465385288 185060.8619999957154505, 525465.71900007280055434 185159.42100006865803152, 525448.60000008356291801 185125.77300011695479043, 525354.74800005892757326 185188.28799993023858406, 525348.7289999999338761 185245.98900008198688738, 525459.3870000671595335 185249.83299997157882899, 525574.70300015027169138 185296.38700013482593931, 525672.65200012200511992 185337.94100004332722165, 525767.83699988457374275 185302.22699984392966144, 525867.49999999499414116 185268.20300009506172501)))</t>
  </si>
  <si>
    <t>E01000969</t>
  </si>
  <si>
    <t>Camden 010A</t>
  </si>
  <si>
    <t>E02000175</t>
  </si>
  <si>
    <t>Camden 010</t>
  </si>
  <si>
    <t>MultiPolygon (((526190.61799994588363916 184926.00500016944715753, 526291.59000018914230168 184739.10500009809038602, 526328.30700000002980232 184683.41900017540319823, 526288.75000007171183825 184660.0620000890630763, 526180.31300019240006804 184736.03100007443572395, 526101.33100013411603868 184739.49100001051556319, 526025.10300008626654744 184725.81899985898053274, 526001.18799987330567092 184840.98700006850413047, 525821.45699983974918723 184822.47599987205467187, 525831.32500004093162715 184895.32299983181292191, 525787.20400013087783009 184866.84899999966728501, 525712.11700007843319327 184818.71600013063289225, 525585.95900013891514391 184818.86300018848851323, 525527.29599993780720979 184819.80600007218890823, 525511.00000009185168892 184904.00000013905810192, 525500.02099999994970858 184929.93700012506451458, 525660.41300000995397568 184922.09199985224404372, 525738.56999987876042724 184930.61200020476826467, 525866.6120001032250002 185018.14399989205412567, 525978.61499981943052262 185095.38699982661637478, 526017.39300007792189717 185118.69599991096765734, 526023.87200019066222012 185112.22400005732197315, 526087.88799994031433016 185051.50700008179410361, 526190.61799994588363916 184926.00500016944715753)))</t>
  </si>
  <si>
    <t>E01000972</t>
  </si>
  <si>
    <t>Camden 010D</t>
  </si>
  <si>
    <t>MultiPolygon (((526614.98699999996460974 183877.89100014462019317, 526587.25600001798011363 183644.85100003570551053, 526566.52899999008513987 183733.4590000280586537, 526511.40199996018782258 183696.84800001358962618, 526531.6110001162160188 183602.80700014316244051, 526401.15599996747914702 183607.56400010242941789, 526399.12699988414533436 183528.13700011098990217, 526438.7280000540195033 183524.01900007971562445, 526449.39500005741138011 183454.56400001401198097, 526421.08299999521113932 183446.52900003941613249, 526447.00000009906943887 183404.99999999365536496, 526491.12999991443939507 183424.16199999555828981, 526514.1200000710086897 183396.41599988806410693, 526471.43399990699253976 183380.15399992614402436, 526500.9999999429564923 183344.99999999019200914, 526455.70899997570086271 183349.73800010909326375, 526458.67299991380423307 183303.93700001848628744, 526441.42599999764934182 183331.9639999273349531, 526359.53400009963661432 183318.29599999502534047, 526340.98500012676231563 183342.76000005376408808, 526286.78699990152381361 183306.57200007239589468, 526228.08299990452360362 183328.17600010707974434, 526270.42700007581152022 183368.78400009666802362, 526231.21099993970710784 183366.95600010134512559, 526241.92900005099363625 183402.03600005558109842, 526172.89199997659306973 183411.18400009910692461, 526157.88900003023445606 183469.11700002002180554, 526107.45800008671358228 183427.94100005907239392, 526088.73699994990602136 183414.56900005351053551, 526056.02500004670582712 183444.92099997244076803, 525978.03900000010617077 183434.46000009885756299, 526075.18500003195367754 183516.94699987547937781, 526122.58600012259557843 183557.27500007205526344, 526102.98999999568331987 183624.016000060364604, 526051.0000000762520358 183622.99999984694295563, 525997.3499999736668542 183674.61200010945321992, 526032.82800007052719593 183708.93800012973952107, 526208.55800005269702524 183816.66900011643883772, 526257.22199987398926169 183841.64499999684630893, 526305.87999996356666088 183865.35700013831956312, 526393.08199998526833951 183890.47799995704554021, 526430.50000005832407624 183893.71899998153094202, 526603.99100011249538511 183878.88699987239670008, 526614.98699999996460974 183877.89100014462019317)))</t>
  </si>
  <si>
    <t>E01004646</t>
  </si>
  <si>
    <t>Westminster 002A</t>
  </si>
  <si>
    <t>E02000961</t>
  </si>
  <si>
    <t>Westminster 002</t>
  </si>
  <si>
    <t>E09000033</t>
  </si>
  <si>
    <t>Westminster</t>
  </si>
  <si>
    <t>MultiPolygon (((527129.95800005737692118 183718.53800014624721371, 527260.35800002666655928 183586.97500007494818419, 527370.75 183470.70200010578264482, 527303.89700016274582595 183424.19299996696645394, 527290.50099991774186492 183414.87399993295548484, 527274.5139998986851424 183402.59500016906531528, 527226.76900001533795148 183365.9270001431577839, 527199.41699990758206695 183344.67199986422201619, 527150.04400000243913382 183304.91999985752045177, 527098.91799989971332252 183369.0990000054880511, 527086.81300004862714559 183386.03100010269554332, 526982.63499999814666808 183305.45999995086458512, 526938.42599996691569686 183271.2680001360422466, 526878.21199990215245634 183224.69699987175408751, 526806.93199983751401305 183166.8699998710071668, 526756.22000006737653166 183111.14500015921657905, 526689.83400000003166497 183174.10199985510553233, 526700.08199994813185185 183276.34400012827245519, 526728.99999995215330273 183296.99999996382393874, 526774.47300001524854451 183248.67700010788394138, 526823.38500004168599844 183293.39299997899797745, 526789.29400015668943524 183339.88599995366530493, 526878.43600015784613788 183408.06499994822661392, 526913.52600016444921494 183436.9559999305056408, 526845.75899997120723128 183491.88300013612024486, 526862.99299993272870779 183552.84599997027544305, 526773.50800007220823318 183661.19400007955846377, 526876.68799992627464235 183747.93699989357264712, 526916.31699994765222073 183715.34299996279878542, 526953.99999991885852069 183684.34400014069979079, 527045.18799997481983155 183776.07799984078155831, 527129.95800005737692118 183718.53800014624721371)))</t>
  </si>
  <si>
    <t>E01004647</t>
  </si>
  <si>
    <t>Westminster 001A</t>
  </si>
  <si>
    <t>E02000960</t>
  </si>
  <si>
    <t>Westminster 001</t>
  </si>
  <si>
    <t>MultiPolygon (((526773.50799982994794846 183661.19399987405631691, 526862.9930000948952511 183552.8460000290942844, 526845.75900003546848893 183491.883000159956282, 526913.52600005816202611 183436.95599984732689336, 526878.43600001849699765 183408.06500006365240552, 526789.29400012001860887 183339.88599984900793061, 526823.38499982573557645 183293.39299999841023237, 526774.47300011722836643 183248.67700016099843197, 526728.99999990488868207 183296.99999991105869412, 526700.08199996000621468 183276.3440000269038137, 526689.83399988955352455 183174.10200000001350418, 526623.02499991690274328 183206.49399992366670631, 526569.34500005037989467 183273.9629998485033866, 526533.21400001249276102 183239.31200016199727543, 526499.61700001079589128 183291.32000005576992407, 526456.5760000467998907 183258.05000012955861166, 526430.00000016472768039 183280.9999999073043, 526403.29499998176470399 183260.58199999740463682, 526359.53399994189385325 183318.29600017538177781, 526441.42600015213247389 183331.96399990227655508, 526458.67299989808816463 183303.93699999843374826, 526455.7089999143499881 183349.73800001855124719, 526500.99999993946403265 183344.99999992229277268, 526471.43399999674875289 183380.15400007035350427, 526514.11999999184627086 183396.41599995704018511, 526491.1300000143237412 183424.16200013819616288, 526446.99999988288618624 183405.00000002433080226, 526421.08299986890051514 183446.52900011066230945, 526449.39499983203131706 183454.56400006733019836, 526438.72800003609154373 183524.01900000192108564, 526399.12700000416953117 183528.13699999375967309, 526401.15600011427886784 183607.56399999323184602, 526531.61099986522458494 183602.80700005721882917, 526511.40199995192233473 183696.84799987927544862, 526566.52899985550902784 183733.45899985040887259, 526587.25600008526816964 183644.85099985566921532, 526614.98700005956925452 183877.89100000000325963, 526672.38500003225635737 183872.53200006709084846, 526703.47199990646913648 183869.64899986315867864, 526737.95800013281404972 183866.43600003502797335, 526727.37500001722946763 183723.84399992279941216, 526773.50799982994794846 183661.19399987405631691)))</t>
  </si>
  <si>
    <t>E01004649</t>
  </si>
  <si>
    <t>Westminster 001B</t>
  </si>
  <si>
    <t>MultiPolygon (((526499.61700000439304858 183291.32000000000698492, 526533.21400003100279719 183239.31200008626910858, 526569.34500005922745913 183273.96300006430828944, 526623.02499995287507772 183206.49400007407530211, 526689.83399990817997605 183174.10199992783600464, 526756.22000001452397555 183111.14500003258581273, 526680.83900011610239744 182990.05400001353700645, 526653.2460000702412799 182942.37900010633165948, 526612.42400009126868099 182904.73000004430650733, 526573.67400004295632243 182876.71099989966023713, 526510.61100000946316868 182825.76799999998183921, 526482.40699997497722507 182859.64199997499235906, 526519.82499988505151123 182880.72999997984152287, 526463.84199990902561694 182898.19900008788681589, 526456.45199994801077992 182934.53000009141396731, 526447.90299990307539701 183063.09700009576044977, 526430.01799998607020825 183085.41499989060685039, 526405.81399992341175675 183118.23799993126885965, 526431.98600002250168473 183161.53400003552087583, 526415.04399989009834826 183183.93500007037073374, 526338.03500002960208803 183119.42199992484529503, 526302.26899998553562909 183161.21300006931414828, 526382.95400006743147969 183226.06200003370759077, 526403.29500000725965947 183260.58199996390612796, 526430.00000011629890651 183281.0000001096050255, 526456.57599995599593967 183258.0499999737367034, 526499.61700000439304858 183291.32000000000698492)))</t>
  </si>
  <si>
    <t>E01004651</t>
  </si>
  <si>
    <t>Westminster 003A</t>
  </si>
  <si>
    <t>E02000962</t>
  </si>
  <si>
    <t>Westminster 003</t>
  </si>
  <si>
    <t>MultiPolygon (((527137.20999995130114257 183223.18000008721719496, 527194.34200006735045463 183217.9530001015518792, 527208.89899993187282234 183246.02199989874497987, 527239.00799992110114545 183258.91400008127675392, 527303 183157.00000006635673344, 527268.99999991431832314 183115.00000007296330296, 527239.99999990372452885 183018.99999990599462762, 527163.07400000316556543 182974.15899992748745717, 527096.79400000197347254 183059.44600008294219151, 527087.99999995797406882 183070.00000003451714292, 527072.11699992616195232 183053.74899999887566082, 526918.69000009424053133 183213.43899997728294693, 526878.212000000057742 183224.69700001931050792, 526938.42599996237549931 183271.26800010236911476, 526982.63499992969445884 183305.45999990377458744, 527086.81299998192116618 183386.03100007251487114, 527098.91799989715218544 183369.09900009271223098, 527150.0440000050002709 183304.92000005283625796, 527173.53199999069329351 183279.99000006722053513, 527137.20999995130114257 183223.18000008721719496)))</t>
  </si>
  <si>
    <t>E01004724</t>
  </si>
  <si>
    <t>Westminster 001C</t>
  </si>
  <si>
    <t>MultiPolygon (((526918.69000000413507223 183213.43899999998393469, 527072.11700000346172601 183053.74900012128637172, 527088.00000016705598682 183069.99999989915522747, 527096.79399983410257846 183059.44600003623054363, 527163.07400014181621373 182974.15899987355805933, 527240.00000001711305231 183018.99999991810182109, 527231.11900001531466842 182945.58600001063314267, 527281.31900016055442393 182930.51900013309204951, 527291.61699998052790761 182892.51699986573657952, 527274.93200007383711636 182786.8150000095483847, 527402.36399980378337204 182777.5910000279545784, 527480.00000011513475329 182688.00100004131672904, 527393.08699989726301283 182658.20099988859146833, 527374.99999987334012985 182651.99999991393997334, 527347.00000004761386663 182632.00000003835884854, 527396.71999981382396072 182571.020000184973469, 527374.02700011723209172 182531.24100011354312301, 527354.35999989043921232 182540.05300013787928037, 527349.04400017927400768 182512.94199999197735451, 527380.84899988840334117 182513.04100016708252952, 527354.16099998436402529 182480.55700017305207439, 527313.80400010803714395 182531.5660001338692382, 527222.74100011971313506 182630.55699983661179431, 527156.10599999187979847 182531.47900019696680829, 527094.27100007270928472 182471.89699985104380175, 526912.05900011269841343 182417.9310000000114087, 526798.69199986220337451 182503.80399999374640174, 526915.44799982686527073 182605.68699982127873227, 526871.48100015893578529 182643.19400000869063661, 526831.00000007532071322 182609.99999997630948201, 526795.06199980620294809 182651.95799987582722679, 526772.30299999285489321 182633.33699999234522693, 526686.63799988490063697 182741.98000008409144357, 526978.46199987852014601 182951.90799993410473689, 526981.06699980911798775 182981.91500001901295036, 526985.84700015129055828 182985.82800005722674541, 527023.23200003860983998 183037.73600002907915041, 526986.53699992527253926 183084.54600010879221372, 526950.71900004928465933 183078.95899985806318, 526951.98799997940659523 183128.61700011734501459, 526901.99099995219148695 183192.39600003950181417, 526918.69000000413507223 183213.43899999998393469)))</t>
  </si>
  <si>
    <t>E01004725</t>
  </si>
  <si>
    <t>Westminster 003B</t>
  </si>
  <si>
    <t>MultiPolygon (((526951.98800002783536911 183128.61699997962568887, 526950.71900002169422805 183078.9589998584415298, 526986.53700005682185292 183084.54599996242905036, 527023.23199999995995313 183037.73600005585467443, 526985.84700011962559074 182985.82800010542268865, 526981.06700000294949859 182981.9149998526845593, 526978.46200016094371676 182951.90799997761496343, 526686.63799988722894341 182741.97999998874729499, 526772.30299994547385722 182633.33699984176200815, 526734.33899999619461596 182581.04999992801458575, 526706.17799987690523267 182615.62900008927681483, 526681.80700016662012786 182595.77800012563238852, 526632.54100014362484217 182626.82600008824374527, 526634.00799993611872196 182663.52900014418992214, 526603.61000012245494872 182668.26799992492306046, 526585.26699989917688072 182654.40100018546218053, 526564.7129998633172363 182630.2329998955829069, 526543.2100000677164644 182601.24500008870381862, 526497.25000002770684659 182542.51699995406670496, 526441.99399998679291457 182502.40299984038574621, 526394.227999979397282 182568.47899984812829643, 526331.39100012474227697 182521.32299981333198957, 526247.31299999996554106 182620.85899986137519591, 526366.52199992549140006 182709.33300011747633107, 526422.62599990167655051 182754.5649999751476571, 526510.6110000975895673 182825.76799999937065877, 526573.67399993946310133 182876.7109999644162599, 526612.42400001629721373 182904.72999992343829945, 526653.24599983624648303 182942.37900003622053191, 526680.83900009037461132 182990.05399987543933094, 526756.21999998344108462 183111.14499987059389241, 526806.93199993914458901 183166.86999988346360624, 526878.21199983707629144 183224.69700015959097072, 526918.68999984802212566 183213.43900012454832904, 526901.99100011959671974 183192.39600002855877392, 526951.98800002783536911 183128.61699997962568887)))</t>
  </si>
  <si>
    <t>E01004726</t>
  </si>
  <si>
    <t>Westminster 003C</t>
  </si>
  <si>
    <t>MultiPolygon (((524776.62499986228067428 187323.1919999016681686, 524865.88700007577426732 187259.53800019129994325, 524822.95899993518833071 187201.61899993987753987, 524759.74499981093686074 187228.94699982064776123, 524664.72700013348367065 187143.07300010399194434, 524554.05399987462442368 187040.93800022662617266, 524599.48799979849718511 187015.52699996138107963, 524661.70499993953853846 187071.52299995583598502, 524678.11600020807236433 187039.87300010837498121, 524741.54800007748417556 187050.65499997205915861, 524744.96599979931488633 187088.63500008764094673, 524851.38500022666994482 187123.95799979046569206, 524868.19600011897273362 187053.70699988887645304, 524919.00000021839514375 187053.99999993681558408, 524964.52799990447238088 187053.99999993681558408, 524969.92200015706475824 187103.83500022592488676, 525139.67300005012657493 187106.16300022639916278, 525145.24200001358985901 187162.49899990102858283, 525193.9999998970888555 187169.99999983928864822, 525211.96299999998882413 187048.07399988599354401, 525181.27300024509895593 186911.01299985774676315, 524964.99999975925311446 186932.00100022641709074, 525040.99999995273537934 186788.99999981204746291, 525083.43400020955596119 186777.26299997555906884, 525075.25399993930477649 186645.88600017596036196, 525008.00000013073440641 186667.00000007767812349, 524902.00099980609957129 186845.99999995721736923, 524762.41900013305712491 186764.74099975742865354, 524733.68900002795271575 186746.76599986493238248, 524636.04300013440661132 186894.2040000133565627, 524613.16100020322483033 186826.36100003699539229, 524574.75799991306848824 186790.56199988591833971, 524472.8059999382821843 186833.02299979375675321, 524420.75399981800001115 186817.47999990344396792, 524388.83499999961350113 186880.99499976943479851, 524239.35999985079979524 187198.81399996497202665, 524216.41899999999441206 187237.91700009448686615, 524322.05500009364914149 187188.30400014412589371, 524424.35900003602728248 187284.48100019988487475, 524383.18900018325075507 187322.87499977671541274, 524447.95999976375605911 187306.03000006574438885, 524473.31200010946486145 187325.43299980976735242, 524506.53999991610180587 187287.04999999856227078, 524643.99499992222990841 187419.40499982400797307, 524688.57200022903271019 187386.85199975571595132, 524776.62499986228067428 187323.1919999016681686)))</t>
  </si>
  <si>
    <t>E01000135</t>
  </si>
  <si>
    <t>Barnet 038A</t>
  </si>
  <si>
    <t>E02000061</t>
  </si>
  <si>
    <t>Barnet 038</t>
  </si>
  <si>
    <t>E09000003</t>
  </si>
  <si>
    <t>Barnet</t>
  </si>
  <si>
    <t>MultiPolygon (((524636.04300008597783744 186894.20399999996880069, 524733.68899998150300235 186746.76599997296580113, 524762.41899995552375913 186764.7410000960517209, 524902.00100014079362154 186845.99999992820085026, 525008.00000008777715266 186667.00000008280039765, 525075.25399994605686516 186645.88600014115218073, 525036.46500001684762537 186615.55100011467584409, 524945.75200012919958681 186672.3489998533623293, 524977.15000005287583917 186627.45199991529807448, 524908.00000005553010851 186561.0000000306754373, 524896.49699992639943957 186553.59300013759639114, 524912.84699998795986176 186488.12900004151742905, 524976.97299998777452856 186475.7439999025373254, 524957.39000009500887245 186445.01000009948620573, 524894.33199991995934397 186430.16999997253878973, 524921.18999988539144397 186395.96700005227467045, 524756.84400005300994962 186340.90200006499071606, 524678.11000009090639651 186296.05499999999301508, 524584.94900005392264575 186447.4020000440068543, 524754.00000014342367649 186537.20000004154280759, 524739.59900011029094458 186575.46100009101792239, 524770.03000006044749171 186596.58299997646827251, 524723.24799994344357401 186665.32299993804190308, 524689.10999997775070369 186711.43199988550622948, 524613.16100000322330743 186826.36100012974929996, 524636.04300008597783744 186894.20399999996880069)))</t>
  </si>
  <si>
    <t>E01000137</t>
  </si>
  <si>
    <t>Barnet 041A</t>
  </si>
  <si>
    <t>E02000064</t>
  </si>
  <si>
    <t>Barnet 041</t>
  </si>
  <si>
    <t>MultiPolygon (((524388.8349999045021832 186880.99499994379584678, 524420.75400014559272677 186817.48000013502314687, 524472.80599992093630135 186833.02299986654543318, 524574.75800017337314785 186790.56199992378242314, 524613.16099992697127163 186826.36099991129594855, 524689.11000008881092072 186711.43200012762099504, 524723.24800015089567751 186665.32300012433552183, 524770.02999998407904059 186596.58299986916244961, 524739.59900009725242853 186575.46100014104740694, 524754.000000134925358 186537.1999999433173798, 524584.9489998611388728 186447.40200018748873845, 524678.11000008787959814 186296.0549998294445686, 524756.84399999480228871 186340.90200009185355157, 524781.40800000017043203 186305.19299985485849902, 524738.82000008039176464 186254.46400013205129653, 524674.931999989785254 186216.72399998313630931, 524692.17699988721869886 186188.47100005621905439, 524617.9999999504070729 186255.00000013929093257, 524536.00000001210719347 186205.00000006586196832, 524519.78000005695503205 186243.7490001002443023, 524410.44300003140233457 186235.92399990200647153, 524336.59400012157857418 186415.86799989137216471, 524328.03599988028872758 186435.82700013558496721, 524195.35200009448453784 186350.86400000943103805, 524168.28100000368431211 186394.69200016112881713, 524209.04499989311443642 186419.81299996364396065, 524253.00000002171145752 186442.99999991431832314, 524182.61799981381045654 186609.75399990010191686, 524260.02399993513245136 186666.53400015836814418, 524243.2519999158103019 186701.47499994313693605, 524047.00000003806781024 186538.99999988827039488, 524022.32000000000698492 186567.20500002411426976, 524283.61100016871932894 186797.65699999462231062, 524388.8349999045021832 186880.99499994379584678)))</t>
  </si>
  <si>
    <t>E01000138</t>
  </si>
  <si>
    <t>Barnet 040A</t>
  </si>
  <si>
    <t>E02000063</t>
  </si>
  <si>
    <t>Barnet 040</t>
  </si>
  <si>
    <t>MultiPolygon (((525012.30500004079658538 186403.03699986933497712, 525009.9440000174799934 186323.69799982101540081, 524982.00000010698568076 186338.99999991914955899, 524961.54499977233354002 186314.49699997919378802, 524914.71999984816648066 186360.87699982538470067, 524871.93500011693686247 186315.49300013924948871, 524887.18000004859641194 186271.55099993041949347, 525037.24200017936527729 186167.46399983746232465, 525075.98799987335223705 186185.49000010284362361, 525084.95399979245848954 186175.62699985472136177, 525097.31299999996554106 186018.39100015175063163, 525000.37899987609125674 185989.41099981163279153, 524906.31299988192040473 185768.46899990350357257, 524925.81300002348143607 185681.26600010035326704, 524603.67699991958215833 185608.47799979004776105, 524510.62699999113101512 185573.68000017286976799, 524487.12500007310882211 185570.12499986932380125, 524477.8369999771239236 185651.07099987685796805, 524541.19999994419049472 185766.61300013333675452, 524498.35099987324792892 185837.89200015977257863, 524528.53899992350488901 185956.69100015485309996, 524505.98200001660734415 185995.14299990655854344, 524447.30099982675164938 185999.56000013145967387, 524357.96100004366599023 186106.27699996437877417, 524456.58100005204323679 186146.45000000827712938, 524435.99999980756547302 186177.0000000468280632, 524208.99999992141965777 186102.99999986193142831, 524181.00000000005820766 186174.99999985611066222, 524216.4550001616589725 186194.06500010166200809, 524263.85799978859722614 186167.91300007980316877, 524410.44299984362442046 186235.92400003006332554, 524519.78000015090219676 186243.74900012917350978, 524536.00000018125865608 186204.99999996821861714, 524618.0000002128072083 186255.00000015503610484, 524692.1769999983953312 186188.47099995164899155, 524674.93199987593106925 186216.72399984835647047, 524738.82000000181142241 186254.46400011677178554, 524781.40800022671464831 186305.19300014199689031, 524756.84399995591957122 186340.90199997639865614, 524921.18999980774242431 186395.96699998996336944, 524894.3319998619845137 186430.17000000740517862, 524957.39000000723171979 186445.01000013068551198, 524957.82199989445507526 186419.36100005073240027, 525012.30500004079658538 186403.03699986933497712)))</t>
  </si>
  <si>
    <t>E01000139</t>
  </si>
  <si>
    <t>Barnet 041B</t>
  </si>
  <si>
    <t>MultiPolygon (((524725.33899994741659611 187424.32699987507658079, 524688.57199993415270001 187386.85199995635775849, 524643.99500002874992788 187419.40500014740973711, 524506.540000039502047 187287.05000013721291907, 524473.31199985614512116 187325.43300015473505482, 524447.96000005130190402 187306.0300001329742372, 524383.18899992702063173 187322.87500011126394384, 524424.35899998503737152 187284.48100012273062021, 524322.05500000482425094 187188.30399984685936943, 524216.41899991955142468 187237.91699995999806561, 524100.27400000003399327 187414.59999999139108695, 524131.14299997582565993 187428.09600005942047574, 524273.78099990542978048 187488.01600008876994252, 524324.59699994046241045 187574.24999984950409271, 524351.98299996880814433 187596.30599987457389943, 524325.45700004557147622 187634.47600000308011658, 524545.40600007504690439 187843.84200015314854681, 524650.91499998478684574 187750.05100016383221373, 524760.57600000011734664 187655.66999986814334989, 524714.80400006170384586 187597.60300005896715447, 524711.42700004507787526 187504.41700012638466433, 524644.27999990805983543 187490.39499985350994393, 524725.33899994741659611 187424.32699987507658079)))</t>
  </si>
  <si>
    <t>E01000145</t>
  </si>
  <si>
    <t>Barnet 037A</t>
  </si>
  <si>
    <t>E02000060</t>
  </si>
  <si>
    <t>Barnet 037</t>
  </si>
  <si>
    <t>MultiPolygon (((523925.97399985714582726 188088.96500004685367458, 523986.99999990907963365 188028.00000010908115655, 524019.36400015273829922 188058.88000016994192265, 524056.92199983116006479 188025.46100004587788135, 524013.97800020064460114 187995.78299991003586911, 524030.18300003296462819 187962.04299997538328171, 524093.59499998687533662 187986.55700005439575762, 524111.30300010344944894 187953.29600005480460823, 524303.1640000760089606 187738.05400019424268976, 524337.4659998178249225 187740.01300010047270916, 524334.37600002728868276 187767.66399994603125378, 524376.68299999996088445 187721.52699999636388384, 524273.90499991428805515 187656.47099983019870706, 524235.81700011319480836 187685.48400003192364238, 524185.99999988777562976 187656.99999979956191964, 524101.30999993841396645 187674.06899995161802508, 524075.60399986093398184 187641.54200002184370533, 524058.81800011993618682 187675.86599992340779863, 524031.82499993860255927 187650.10100003838306293, 523969.65800007578218356 187623.7430000115709845, 523778.00299995538080111 187814.99700010585365817, 523659.00000018434366211 187936.00000004423782229, 523611.00000018539140001 187908.00000011181691661, 523573.3469999999506399 187956.19100007307133637, 523668.99499985261354595 188026.93499990049167536, 523818.95900005346629769 188159.7699999884061981, 523925.97399985714582726 188088.96500004685367458)))</t>
  </si>
  <si>
    <t>E01000219</t>
  </si>
  <si>
    <t>Barnet 037D</t>
  </si>
  <si>
    <t>MultiPolygon (((524270.45699999271892011 188064.02199990637018345, 524303.55599988077301532 188038.53499983236542903, 524371.54099993233103305 188071.8559999524441082, 524455.58700013940688223 188022.59500011696945876, 524464.81899997871369123 188060.37200011609820649, 524507.00000016088597476 188005.00000001373700798, 524479.80300006014294922 187970.59000004810513929, 524519.76299999817274511 187928.06900016544386744, 524494.99999985925387591 187895.00000004927278496, 524538.92200016393326223 187850.4179999629559461, 524545.40599984594155103 187843.84199997459654696, 524325.45699997502379119 187634.47599994493066333, 524351.98300016042776406 187596.30599988251924515, 524324.5969998852815479 187574.24999999543069862, 524273.78100015892414376 187488.01599994473508559, 524131.14300010405713692 187428.09599999999045394, 524141.3390001108055003 187474.55200007747043855, 524031.82500015397090465 187650.10100016981596127, 524058.81800002284580842 187675.86600009573157877, 524075.6040000943467021 187641.54199986474122852, 524101.31000011466676369 187674.06900001052417792, 524186.00000006501795724 187656.99999983931775205, 524235.81699994730297476 187685.48400013157515787, 524273.90499985602218658 187656.47099996442557313, 524376.68300012685358524 187721.52699987503001466, 524334.37599994277115911 187767.66399985225871205, 524337.46600010525435209 187740.01300016362802126, 524303.16400014131795615 187738.05400007587741129, 524111.30299987056059763 187953.29600004485109821, 524093.59499986085575074 187986.55699993539019488, 524148.13899995025712997 188021.25399992454913445, 524279.59099998290184885 188113.95399999999790452, 524270.45699999271892011 188064.02199990637018345)))</t>
  </si>
  <si>
    <t>E01000220</t>
  </si>
  <si>
    <t>Barnet 037E</t>
  </si>
  <si>
    <t>MultiPolygon (((523573.34699974243994802 187956.19100019303732552, 523610.99999973014928401 187908.00000018163700588, 523659.00000005611218512 187936.00000025797635317, 523778.00299976667156443 187814.99699990768567659, 523969.65799976495327428 187623.74300000350922346, 524031.82500028499634936 187650.10100030596368015, 524141.33900000003632158 187474.5519997899828013, 524131.14300001744413748 187428.09599982123472728, 524100.27400001382920891 187414.60000014919205569, 523998.49200031295185909 187553.01100032991962507, 523996.90999987523537129 187498.41799970521242358, 523992.20999973802827299 187445.72199978970456868, 523806.96000025153625757 187493.27099966406240128, 523783.99999973818194121 187460.00000032660318539, 523724.00100032141199335 187492.00000031624222174, 523657.9999997362610884 187449.00000022343010642, 523770.86300021508941427 187424.22500032483367249, 523847.04399995814310387 187349.71899992227554321, 523843.75299996422836557 187292.9479998986935243, 523784.168000201752875 187298.13599991879891604, 523673.14199972985079512 187405.12700029538245872, 523649.73499999562045559 187387.65799979653093033, 523565.00000004383036867 187440.99999971376382746, 523526.59200032689841464 187365.00099996064091101, 523492.79600030923029408 187270.60800026665674523, 523458.31199966173153371 187281.6570000781212002, 523423.90799972281092778 187223.51400002554873936, 523371.90800016652792692 187269.60500004829373211, 523233.95900006528245285 187165.37599980380036868, 523166.00100011774338782 187152.99999980695429258, 522957.00000024057226256 187417.00000023379107006, 522908.00000027776695788 187306.99899991901475005, 522893.99999989807838574 187346.00000006466871127, 522775.26500000001396984 187377.36800026198034175, 523290.09399974881671369 187595.15599997848039493, 523474.90900029143085703 187849.13000013559940271, 523573.34699974243994802 187956.19100019303732552)))</t>
  </si>
  <si>
    <t>E01000221</t>
  </si>
  <si>
    <t>Barnet 039B</t>
  </si>
  <si>
    <t>E02000062</t>
  </si>
  <si>
    <t>Barnet 039</t>
  </si>
  <si>
    <t>MultiPolygon (((523998.49199997173855081 187553.01100010654772632, 524100.27399991074344143 187414.60000023312750272, 524216.41900000011082739 187237.91699992382200435, 524239.35999999317573383 187198.8140000133716967, 524388.8349999999627471 186880.9950001485995017, 524283.6109997924650088 186797.65699989345739596, 524285.43400018877582625 186847.25400018965592608, 524256.44400020310422406 186852.22100003677769564, 524221.08500003640074283 186864.06099977064877748, 524227.71199998637894168 186902.75099982842220925, 524264.00000002607703209 186897.21499989810399711, 524246.88500008889241144 186969.88400012426427566, 524187.99999990884680301 186897.7000001911947038, 524128.02700014965375885 186910.68400000754627399, 524062.99999983026646078 186844.00000002581509762, 523999.65199999132892117 186840.94200017637922429, 523976.99999997694976628 186831.9999999565188773, 523949.99999982101144269 186863.99999998050043359, 523871.99999985308386385 186954.00000001775333658, 523685.71300005889497697 186798.17599987183348276, 523677.9839999214746058 186876.33300021718605421, 523625.61199983838014305 186834.1619999538816046, 523615.80099987133871764 186849.9469999975990504, 523549.00000007852213457 187071.00000021094456315, 523471.89599996258039027 187062.1440000748843886, 523466.99999992660013959 187174.00000000162981451, 523463.9999999093124643 187207.99999987633782439, 523423.90800000005401671 187223.51400017208652571, 523458.31199985329294577 187281.65699995445902459, 523492.79599987424444407 187270.60800009377999231, 523526.59200018970295787 187365.00100012568873353, 523564.99999984924215823 187441.00000009610084817, 523649.73500018659979105 187387.65799990930827335, 523673.14200009516207501 187405.12700020268675871, 523784.16800021170638502 187298.13600010221125558, 523843.75299992942018434 187292.94800012951600365, 523847.04400021908804774 187349.71900012332480401, 523770.86300006008241326 187424.22499990675714798, 523657.99999990384094417 187448.99999998146086, 523724.0009999493486248 187491.99999990814831108, 523784.00000014901161194 187459.99999988416675478, 523806.96000003715744242 187493.27099982267827727, 523992.21000002138316631 187445.72200015326961875, 523996.91000022541265935 187498.41800004715332761, 523998.49199997173855081 187553.01100010654772632)))</t>
  </si>
  <si>
    <t>E01000222</t>
  </si>
  <si>
    <t>Barnet 040C</t>
  </si>
  <si>
    <t>MultiPolygon (((525312.00000012095551938 189427.99999996332917362, 525207.99999973818194121 189272.99999979804852046, 525344.85399969771970063 189190.42700029019033536, 525329.50499989418312907 189155.60300029747304507, 525289.29900010547135025 189182.2149998415261507, 525271.36100004601757973 189141.35900007432792336, 525244.47400011820718646 189151.10000020515872166, 525142.67299987666774541 189174.05199989999528043, 525140.09099969314411283 189145.53799991417326964, 524990.24900019762571901 189079.16800011077430099, 524961.00000026565976441 189099.00000016443664208, 524902.51099994755350053 189039.49499981917324476, 524853.54300021938979626 189019.60100012706243433, 524954.44899986207019538 188931.83300011375104077, 525020.81799992872402072 188920.72699990047840402, 525009.24799992924090475 188826.29999982504523359, 524968.37399979331530631 188833.09299972359440289, 524980.08600007684435695 188863.04100014118012041, 524870.55399980477523059 188851.52599970772280358, 524881.41400029929354787 188708.28599995796685107, 524905.88199990650173277 188627.7970002219080925, 524906.58900020131841302 188623.18899968126788735, 524921.05299996538087726 188596.96099991627852432, 524998.50099969224538654 188622.77599987568100914, 525000.51599975314456969 188562.99500004833680578, 525037.83900007349438965 188539.13000002427725121, 525023.92400006344541907 188501.7889999735634774, 525097.99500013398937881 188439.42199973893002607, 525078.23800012702122331 188394.89100024086656049, 525048.14199972804635763 188416.39400026071234606, 525020.97500009438954294 188388.64900020812638104, 525042.66099981940351427 188293.11400006533949636, 524953.11299980618059635 188269.60800001758616418, 524967.49200024094898254 188223.85299970759660937, 524929.86300003668293357 188213.49199999999837019, 524892.75099971133749932 188350.22299978090450168, 524876.36399992648512125 188346.04300020428490825, 524822.93799975095316768 188499.29699971832451411, 524830.43799994431901723 188551.48500021381187253, 524869.9379998134681955 188564.64100021179183386, 524789.62699982197955251 188630.49900009698467329, 524780.74099996732547879 188833.50999975300510414, 524788.22799975250381976 188883.47200019264710136, 524785.62799983867444098 188982.78400002754642628, 524766.49800011934712529 189026.07499973368248902, 524766.31300030217971653 189329.34399980414309539, 524807.2440001160139218 189331.1300001397903543, 524806.93899996904656291 189416.20999978453619406, 525017.25000011967495084 189400.06200028449529782, 525195.46800017915666103 189428.78399977821391076, 525315.92600016947835684 189490.29500000001280569, 525312.00000012095551938 189427.99999996332917362)))</t>
  </si>
  <si>
    <t>E01000211</t>
  </si>
  <si>
    <t>Barnet 035C</t>
  </si>
  <si>
    <t>E02000058</t>
  </si>
  <si>
    <t>Barnet 035</t>
  </si>
  <si>
    <t>MultiPolygon (((526717.62499979243148118 188821.9699997580901254, 526675.39799986709840596 188541.25499997494625859, 526640.0939998843241483 188524.47100018893252127, 526616.88600002881139517 188568.57500003997120075, 526575.76399997575208545 188517.72699993822607212, 526639.16399989055935293 188425.43500018256600015, 526626.16099991498049349 188387.87500016452395357, 526531.34999996435362846 188343.45800004943157546, 526479.59199991053901613 188424.43399984555435367, 526436.00000005715992302 188414.00000016935518943, 526506.9999997696140781 188272.99999991009826772, 526471.00899991090409458 188245.15799982653697953, 526499.65000000700820237 188152.54399998293956742, 526234.62499986833427101 187881.57600000000093132, 526039.59599997580517083 187933.35999981581699103, 526063.70699986617546529 188044.84499980980763212, 526116.65399977273773402 188049.23400001329719089, 526066.11000011116266251 188058.71100022390601225, 526064.00000008847564459 188121.00000005908077583, 526118.99999999604187906 188147.99999994286918081, 526058.67299977701622993 188257.2629997777112294, 526032.83499978703912348 188304.06100018919096328, 525976.23899976105894893 188406.5659999389317818, 525933.99999990814831108 188383.00000021254527383, 525914.4539998093387112 188416.57900000241352245, 525958.29100017447490245 188472.55099989418522455, 525884.89000012387987226 188488.79899982726783492, 525877.00000020756851882 188525.99999977753031999, 525905.03799992112908512 188531.42499990394571796, 525890.04299977957271039 188563.51000017832848243, 525918.43199993390589952 188596.16399998482665978, 526101.62400004535447806 188608.4010001142451074, 526118.71199978422373533 188521.28799977630842477, 526155.54100002930499613 188521.6029999470920302, 526111.61500016029458493 188734.35600012753275223, 526104.00200023804791272 188788.86900008973316289, 526134.00000014808028936 188807.00000015596742742, 526206.00000000058207661 188630.99999986693728715, 526221.2529998040990904 188628.55399992191814817, 526332.44800016668159515 188772.9639999961364083, 526393.9680000520311296 188767.66499984060646966, 526480.77300013636704534 188753.96800007185083814, 526536.39299987745471299 188792.6149998270557262, 526545.14100022183265537 188855.95199999999022111, 526661.27499998803250492 188844.90400021051755175, 526717.62499979243148118 188821.9699997580901254)))</t>
  </si>
  <si>
    <t>E01000213</t>
  </si>
  <si>
    <t>Barnet 033F</t>
  </si>
  <si>
    <t>E02000056</t>
  </si>
  <si>
    <t>Barnet 033</t>
  </si>
  <si>
    <t>MultiPolygon (((528133.91099999996367842 189021.57800023359595798, 527941.99999987077899277 188759.37500015326077119, 527838.12499994807876647 188741.49999985567410477, 527724.95499996829312295 188784.18000006279908121, 527705.81299996713642031 188764.6409997659502551, 527822.28800007223617285 188679.41300004659569822, 527908.87499996472615749 188569.15600022993749008, 527891.44300019764341414 188551.71399979601847008, 527822.3129997857613489 188595.79700008238432929, 527775.55100019089877605 188510.01200014256755821, 527707.68300012603867799 188511.65999995401944034, 527673.25000012665987015 188450.51599982992047444, 527540.07300009438768029 188519.96600009134272113, 527369.68800011568237096 188578.5000000381260179, 527339.81300008622929454 188615.12499988626223058, 527157.18799999996554106 188609.65600011870265007, 527183.12499989022035152 188748.37500019551953301, 527479.49800020956899971 188983.90500004778732546, 527497.93800008890684694 188997.40599984949221835, 527537.07999996887519956 188956.02100004092790186, 527569.94999996421393007 188924.87399997442844324, 527605.44200015568640083 188899.42700003698701039, 527713.12499985133763403 189039.09799981286050752, 527716.00000011769589037 189089.34400013883714564, 527769.37099979910999537 189091.58599990309448913, 527753.38100017223041505 189124.8029997902631294, 527998.65699997334741056 189137.00900017010280862, 528007.08099996973760426 189081.04100000622565858, 528133.91099999996367842 189021.57800023359595798)))</t>
  </si>
  <si>
    <t>E01001994</t>
  </si>
  <si>
    <t>Haringey 030A</t>
  </si>
  <si>
    <t>E02000426</t>
  </si>
  <si>
    <t>Haringey 030</t>
  </si>
  <si>
    <t>E09000014</t>
  </si>
  <si>
    <t>Haringey</t>
  </si>
  <si>
    <t>MultiPolygon (((525763.34099998860619962 189281.0119999771413859, 525751.27300013287458569 189093.73799990591942333, 525793.07300013734493405 189072.50600003646104597, 525905.03999989002477378 189058.32499994651880115, 525909.09000005235429853 188952.10300003350130282, 525861.48500001127831638 188947.39400015314458869, 525844.50300005509052426 188875.84399985024356283, 525822.22299982479307801 188840.50999996901373379, 525691.95699995884206146 188792.19600004583480768, 525651.83000010275281966 188777.00700017908820882, 525553.73099977499805391 188729.22200000000884756, 525422.98899997666012496 188761.76399986344040371, 525373.73300022166222334 188851.57599979601218365, 525304.9440001065377146 188807.45599987398600206, 525248.92400006507523358 188931.69600015520700254, 525318.07199981925077736 188969.81599985342472792, 525328.16100015223491937 188997.06699982794816606, 525339.49899987585376948 189019.5549999259528704, 525244.47399994824081659 189151.1000001864740625, 525271.36099981470033526 189141.35900018061511219, 525289.29899992025457323 189182.21499998451326974, 525329.50499985460191965 189155.60300011513754725, 525344.85399979376234114 189190.42700013355351985, 525207.99999994749668986 189273.00000003178138286, 525311.99999990244396031 189427.99999985142494552, 525315.92599983897525817 189490.29500011366326362, 525349.58099982375279069 189513.82800001936266199, 525396.67299990158062428 189557.69400019437307492, 525479.42500020621810108 189634.77600000001257285, 525526.59200007747858763 189573.23000020394101739, 525746.08099993492942303 189483.57099995855242014, 525707.90499987185467035 189434.01700004047597758, 525696.24399990297388285 189294.53399989634635858, 525763.34099998860619962 189281.0119999771413859)))</t>
  </si>
  <si>
    <t>E01000205</t>
  </si>
  <si>
    <t>Barnet 035A</t>
  </si>
  <si>
    <t>MultiPolygon (((526215.13499984226655215 188865.2719999679538887, 526332.4479999840259552 188772.96399977782857604, 526221.2529998387908563 188628.55399974714964628, 526206.00000022607855499 188630.99999993116944097, 526134.0000001093139872 188806.99999977124389261, 526104.00200003781355917 188788.86899976074346341, 526111.61499978392384946 188734.3559999561693985, 526155.54099996970035136 188521.60299993582884781, 526118.71200027654413134 188521.28800024511292577, 526101.62399983976501971 188608.40100023927516304, 525918.43199997290503234 188596.16399973296211101, 525890.04299977887421846 188563.5099998744262848, 525905.03799976489972323 188531.42500014224788174, 525876.99999999487772584 188525.99999980870052241, 525884.88999996148049831 188488.79899978847242892, 525958.29100023431237787 188472.55100005329586565, 525914.45399993751198053 188416.57900008765864186, 525933.99999984877649695 188382.99999997444683686, 525976.23900019004940987 188406.5659997271723114, 526032.83499989192932844 188304.06099975333199836, 525981.4760001921094954 188264.77100019066710956, 525980.25299981399439275 188220.56599990269751288, 525817.99999991524964571 188117.00000027471105568, 525801.9999998256098479 187977.99999974734964781, 525764.40999991120770574 187956.15700000000651926, 525703.81399975775275379 188124.18500014301389456, 525806.60699987399857491 188184.70099987534922548, 525781.7610002513974905 188237.20499998625018634, 525705.00099997501820326 188250.99999995130929165, 525674.91100019193254411 188232.94699990784283727, 525572.46600010467227548 188339.54100022232159972, 525500.99999989429488778 188303.99999992590164766, 525446.31400001607835293 188395.14400025588111021, 525530.14799985545687377 188443.26299978437600657, 525563.0000000266591087 188389.00100002042017877, 525701.00000015483237803 188471.00000018064747564, 525636.99999979673884809 188584.00000006170012057, 525698.00000010232906789 188623.9999999993306119, 525716.70000023918692023 188595.47499983347370289, 525792.25500021781772375 188688.73100006306776777, 525691.95700025022961199 188792.19599993925658055, 525822.2229997735703364 188840.50999995766323991, 525844.50300001131836325 188875.84399990132078528, 525861.4849998471327126 188947.39399972392129712, 525909.09000000380910933 188952.10300003728480078, 525905.04000021901447326 189058.32500002472079359, 525934.76499983354005963 189100.90899999998509884, 525978.00000023806933314 189093.00000001216540113, 525997.09000021009705961 189049.88200013057212345, 526176.58400008466560394 189031.33699998690281063, 526222.65399999509099871 189026.66000007095863111, 526236.28200010408181697 188975.3099998390825931, 526215.13499984226655215 188865.2719999679538887)))</t>
  </si>
  <si>
    <t>E01000207</t>
  </si>
  <si>
    <t>Barnet 033C</t>
  </si>
  <si>
    <t>MultiPolygon (((527200.10099995566997677 189219.33499971631681547, 527392.05799985502380878 189059.77900014855549671, 527479.4979999999050051 188983.90499990415992215, 527183.12499999371357262 188748.37499976585968398, 527157.18799983593635261 188609.65599987024324946, 527125.32100019324570894 188604.55300022396841086, 527086.21499994245823473 188682.86300001648487523, 527112.22400028735864908 188755.68599996293778531, 527036.00000009755603969 188786.99999984732130542, 527015.15699971211142838 188740.4059998867160175, 526937.07699995208531618 188754.01399994018720463, 526899.3910002657212317 188786.59400022166664712, 526918.03300013509579003 188843.6189999096095562, 526891.00000025425106287 188852.00000012767850421, 526798.12800002400763333 188788.85600001565762796, 526717.6250002677552402 188821.96999979004613124, 526661.27500009001232684 188844.90399997393251397, 526545.14099975442513824 188855.95200029015541077, 526536.39299976278562099 188792.61500015869387425, 526480.77300005208235234 188753.96800005331169814, 526393.96800024388357997 188767.66500012192409486, 526400.74299991282168776 188926.5139997641381342, 526283.4220000000204891 188957.49799988797167316, 526450.99999996658880264 188940.00000006560003385, 526456.36400014103855938 188977.58999970200238749, 526464.62900012440513819 189044.22900026827119291, 526421.99999987822957337 189051.99999993221717887, 526437.64000029128510505 189155.09699972032103688, 526449.86100011528469622 189193.14999977828119881, 526725.21299970569089055 189155.40200029639527202, 526915.9999998559942469 189153.45299983673612587, 526955.83500005619134754 189179.9250000050815288, 526946.33700001076795161 189381.84400029105017893, 527004.50000022852327675 189427.49999977604602464, 527015.0599997426616028 189415.12800014144158922, 527150.18599989300128073 189264.534000091109192, 527200.10099995566997677 189219.33499971631681547)))</t>
  </si>
  <si>
    <t>E01000208</t>
  </si>
  <si>
    <t>Barnet 033D</t>
  </si>
  <si>
    <t>MultiPolygon (((526437.64000005437992513 189155.09699996159179136, 526421.9999998367857188 189052.00000018879654817, 526464.62899975362233818 189044.22900006399140693, 526456.36400008318014443 188977.59000020800158381, 526450.99999992956873029 188939.99999983041197993, 526283.42200004798360169 188957.49799973441986367, 526400.74300013436004519 188926.5140002528205514, 526393.96799970883876085 188767.66500000000814907, 526332.44800008635502309 188772.96400015041581355, 526215.13500000955536962 188865.27199991681845859, 526236.28200002876110375 188975.30999986559618264, 526222.65400013118050992 189026.66000000000349246, 526176.58399975043721497 189031.33699985279235989, 525997.09000023035332561 189049.88199989119311795, 525978.00000021117739379 189092.99999972159275785, 525934.76500001596286893 189100.90899986241129227, 525905.0400000256486237 189058.32500022399472073, 525793.07300023036077619 189072.50600011201458983, 525751.27299973764456809 189093.73799985920777544, 525763.34100015682633966 189281.01200003840494901, 525696.24399990076199174 189294.53399995839572512, 525707.90499975683633238 189434.01700016000540927, 525746.08100008964538574 189483.57100023361272179, 525526.59200007363688201 189573.22999988798983395, 525479.42500024638138711 189634.7759999904083088, 525521.23500000324565917 189673.72299982720869593, 525798.29099976003635675 189928.38700024000718258, 525838.18599983677268028 189964.46499999999650754, 525985.24199977598618716 189846.76399975680396892, 526055.21400026557967067 189790.11300021759234369, 526206.51600006397347897 189701.92899971519364044, 526221.8299997408175841 189661.92800025921314955, 526217.32399986882228404 189649.96699974400689825, 526144.40299980482086539 189256.10999992641154677, 526181.95599991362541914 189251.13900016961270012, 526412.73400023684371263 189199.15899972800980322, 526449.8609999839682132 189193.14999977280967869, 526437.64000005437992513 189155.09699996159179136)))</t>
  </si>
  <si>
    <t>E01000210</t>
  </si>
  <si>
    <t>Barnet 033E</t>
  </si>
  <si>
    <t>MultiPolygon (((528934.65500002913177013 187758.73200002766679972, 528951.371000089449808 187728.28399998266831972, 529012.99999988032504916 187771.99899990920675918, 529040.53099995770025998 187787.45599992587813176, 529070.00000012875534594 187814.99999990381184034, 529128.89199990220367908 187785.41400007138145156, 529243.99999994959216565 187780.00000011260272004, 529284.86999999999534339 187708.85600009892368689, 529229.77099991415161639 187668.88100009426125325, 529234.43199996114708483 187648.891999985644361, 529158.00000000942964107 187655.99999991391086951, 529077.99999989022035152 187606.99999998358543962, 529035.02499997499398887 187578.56099995994009078, 529009.99999996973201632 187561.99999993390520103, 528935.81200008257292211 187677.93799996777670458, 528899.52199990674853325 187663.01999991611228324, 528881.68500011693686247 187695.06400003819726408, 528822.90299997280817479 187740.6019998891861178, 528772.65100003080442548 187848.36999989949981682, 528802.56599997926969081 187893.65599998738616705, 528824.96799997251946479 187905.99799992435146123, 528806.94099998788442463 188018.2039999537228141, 528728.14099999994505197 188076.63200006607803516, 528806.81299991824198514 188063.6409999780880753, 528890.43800006853416562 187966.0780000920931343, 529032.36399986839387566 187891.63799988501705229, 528913.85099988349247724 187787.70700008206767961, 528934.65500002913177013 187758.73200002766679972)))</t>
  </si>
  <si>
    <t>E01002005</t>
  </si>
  <si>
    <t>Haringey 035A</t>
  </si>
  <si>
    <t>E02000431</t>
  </si>
  <si>
    <t>Haringey 035</t>
  </si>
  <si>
    <t>MultiPolygon (((529346.62499996135011315 187830.49999995421967469, 529373.02800011809449643 187781.25400004995753989, 529453.65999999991618097 187651.42500007626949809, 529426.22800000314600766 187625.19000008623697795, 529318.00499992317054421 187531.71599996462464333, 529265.76399987644981593 187496.28000010384130292, 529259.12599991238676012 187490.36100008685025387, 529178.72499995608814061 187432.97600002566468902, 529120.74700000532902777 187391.36600004427600652, 529016.07900008384604007 187552.72099999952479266, 529009.99999986949842423 187562.00000011152587831, 529035.02499990246724337 187578.56099988197092898, 529078.00000005739275366 187607.00000007310882211, 529157.99999992910306901 187656.0000001092266757, 529234.43199996207840741 187648.89200005476595834, 529229.7709999883081764 187668.88099992982461117, 529284.8699998923111707 187708.85599996137898415, 529244.00000004749745131 187779.99999999135616235, 529128.89199986937455833 187785.41400005191098899, 529069.9999999082647264 187814.9999999014835339, 529040.53099988074973226 187787.45600006339373067, 529012.99999999289866537 187771.99900011596037075, 528951.37099998141638935 187728.28400009433971718, 528934.65499999444000423 187758.73199988345731981, 528913.85100000002421439 187787.70699991239234805, 529032.36400010087527335 187891.6379999557393603, 529069.70399996160995215 187875.89300003100652248, 529263.51500011747702956 187833.26499989745207131, 529346.62499996135011315 187830.49999995421967469)))</t>
  </si>
  <si>
    <t>E01002006</t>
  </si>
  <si>
    <t>Haringey 035B</t>
  </si>
  <si>
    <t>MultiPolygon (((528473.90600006876047701 188166.58699999999953434, 528664.00000013597309589 188042.99999999857391231, 528680.25300005974713713 188061.79900013376027346, 528728.1410000667674467 188076.63200002352823503, 528806.94099983782507479 188018.20400001123198308, 528824.96799992152955383 187905.99800001049879938, 528802.56600007298402488 187893.65599984148866497, 528772.65099990728776902 187848.37000005345907994, 528765.00000006810296327 187695.00000011309748515, 528600.00000010663643479 187678.0000001281441655, 528574.99999993515666574 187634.99999999412102625, 528607.9999999274732545 187575.99999985273461789, 528728.02999993436969817 187605.56200014075147919, 528737.91999982611741871 187569.19600003585219383, 528781.17800002102740109 187585.21800002004601993, 528792.14400010963436216 187435.14400000002933666, 528756.49300016614142805 187478.43799999068141915, 528727.04599990660790354 187461.37099982693325728, 528696.20000007306225598 187525.60000003073946573, 528613.59999994828831404 187510.89999988456838764, 528561.9520000108750537 187536.32199987763306126, 528518.2999999983003363 187637.70000004334724508, 528523.36300016904715449 187714.53200012471643277, 528515.69200011808425188 187783.14600001636426896, 528389.00000007834751159 187715.77399984747171402, 528394.61699993163347244 187770.2559998259821441, 528417.91600014897994697 187875.83399982450646348, 528411.33599999640136957 187882.68599985679611564, 528442.99999996600672603 188028.99999994641984813, 528407.32900017651263624 188045.52900001176749356, 528425.32600012561306357 188149.34700003507896326, 528473.90600006876047701 188166.58699999999953434)))</t>
  </si>
  <si>
    <t>E01002007</t>
  </si>
  <si>
    <t>Haringey 035C</t>
  </si>
  <si>
    <t>MultiPolygon (((528881.68500001099891961 187695.06400008639320731, 528899.52200008649379015 187663.02000000572297722, 528935.81199991144239902 187677.93799993174616247, 529010.00000002037268132 187561.99999995727557689, 529016.07900003832764924 187552.72100011262227781, 529120.74699999997392297 187391.36600015166914091, 529118.18799987051170319 187389.60899991740006953, 529003.00100017094518989 187285.7190001925919205, 528976.69900017301551998 187264.63900002851733007, 528877.36600013507995754 187228.22300011740298942, 528858.33399997092783451 187221.76499987166607752, 528840.24999996507540345 187217.78099999247933738, 528721.14499994157813489 187310.96800009225262329, 528678.19800004886928946 187327.99500012266798876, 528357.88300015055574477 187428.88299987357459031, 528366.99999982782173902 187453.99999987139017321, 528424.91200018126983196 187663.97499994904501364, 528330.0000000512227416 187693.99999993032542989, 528329.31900000013411045 187723.41899993058177643, 528361.04999980388674885 187718.16900016550789587, 528366.10200011194683611 187779.79999983368907124, 528394.61700018495321274 187770.25599982039420865, 528388.99999982339795679 187715.77400014188606292, 528515.69199983461294323 187783.1459999235230498, 528523.36300001165363938 187714.53199991435394622, 528518.30000004160683602 187637.69999991304939613, 528561.9520000396296382 187536.32200017879949883, 528613.60000012291129678 187510.90000005403999239, 528696.19999980379361659 187525.59999995032558218, 528727.04599988809786737 187461.37100016363547184, 528756.49299981957301497 187478.43800015232409351, 528792.14399988588411361 187435.14399984013289213, 528781.1780000306898728 187585.21800012621679343, 528737.92000019538681954 187569.19600008588167839, 528728.0300001276191324 187605.56199995026690885, 528608.00000003050081432 187575.99999999039573595, 528575.00000003725290298 187635.00000015820842236, 528600.00000006810296327 187678.00000000555883162, 528765.00000003445893526 187695.00000007404014468, 528772.65100003452971578 187848.37000000747502781, 528822.90299987292382866 187740.60199991695117205, 528881.68500001099891961 187695.06400008639320731)))</t>
  </si>
  <si>
    <t>E01002009</t>
  </si>
  <si>
    <t>Haringey 035D</t>
  </si>
  <si>
    <t>MultiPolygon (((528436.49999993399251252 189111.01599991033435799, 528441.43799976550508291 188955.71899976654094644, 528488.39500014740042388 188865.60600033652735874, 528535.68799969111569226 188703.74999991853837855, 528521.07799971255008131 188629.55700009077554569, 528581.81300026224926114 188595.10800010341336019, 528547.93800014606676996 188566.65599991817725822, 528754.92699983681086451 188502.34100023243809119, 528864.37500018556602299 188507.1559997936419677, 528960.31299992126878351 188453.29699968913337216, 528988.81299978820607066 188468.702999891131185, 528981.37500026100315154 188407.43700003941194154, 529053.75099996128119528 188442.43500016513280571, 529096 188337.14100021379999816, 529038.50100028864108026 188311.62000009490293451, 528979.81300004967488348 188285.89100019706529565, 528946.31400033598765731 188306.8590002624259796, 528725.04199975763913244 188292.10499984872876666, 528713.44600026519037783 188269.07399981041089632, 528552.50000027019996196 188206.60899981606053188, 528688.12500009406358004 188124.70299992462969385, 528680.2530001726699993 188061.79899972848943435, 528664.0000000421423465 188043.00000000462750904, 528473.90599996002856642 188166.58700011068140157, 528425.32600004645064473 188149.34699987948988564, 528407.32899989793077111 188045.52899969619465992, 528442.99999997683335096 188029.00000017977436073, 528411.33599983667954803 187882.6859998727159109, 528390.4229997395304963 187904.4670000632177107, 528332.4739999717567116 187861.07500008968054317, 528316.76500017195940018 187890.62400031212018803, 528272.00000008032657206 187877.99999993381788954, 528237.8040002251509577 187941.50599975750083104, 528277.65699976251926273 187993.16499974057660438, 528234.07099988823756576 188123.03999984738766216, 528181.50899976876098663 188220.17999974929261953, 528131.62100001552607864 188178.77500031070667319, 528100.48199982545338571 188191.60199996529263444, 528093.78999966580886394 188241.45200034708250314, 528090.30400010920129716 188289.97300002930569462, 528022.96200029866304249 188370.57899991216254421, 528040.32999991264659911 188402.5980002898722887, 527966.99999967555049807 188504.00000004662433639, 527891.44299980031792074 188551.71400034590624273, 527908.87500014831312001 188569.15600030892528594, 527822.28800012555439025 188679.41299982456257567, 527705.81300000008195639 188764.64100030247936957, 527724.95499986736103892 188784.18000004190253094, 527838.12500000314321369 188741.50000032759271562, 527941.9999999386491254 188759.37499975020182319, 528133.91100014827679843 189021.57800021741422825, 528162.87499994970858097 189054.57799995352979749, 528196.24999984877649695 189020.0310001237958204, 528399.18800018227193505 189109.73400004304130562, 528436.49999993399251252 189111.01599991033435799)))</t>
  </si>
  <si>
    <t>E01002011</t>
  </si>
  <si>
    <t>Haringey 030D</t>
  </si>
  <si>
    <t>MultiPolygon (((530746.2019999991171062 186533.46599999998579733, 530790.99999986798502505 186473.99999982156441547, 530838.21700009261257946 186440.11699999586562626, 530865.01099985255859792 186495.0070001216372475, 530918.00000008672941476 186412.00000004161847755, 530850.81799991277512163 186359.45099990884773433, 530842.47499998740386218 186351.61200012569315732, 530760.16900010802783072 186277.17700004985090345, 530753.77199985692277551 186268.09500012334319763, 530667.99899984861258417 186189.99999995221151039, 530640.13300012133549899 186220.56299998870235868, 530603.21700013021472842 186197.78600012656534091, 530589.67400011245626956 186169.31299985604709946, 530685.65699987125117332 186137.25499996295548044, 530615.02899987262208015 186071.6169998780824244, 530646.34100014029536396 186051.44999993429519236, 530692.86000005446840078 185998.78700004200800322, 530664.06299984583165497 185975.3409999996656552, 530684.99999996717087924 185950.88000004869536497, 530732.56600016809534281 185894.27999995174468495, 530641.58299983746837825 185817.75800000000162981, 530501.33500012441072613 185962.53999987317365594, 530463.74999995296820998 186000.90599993828800507, 530390.95000009133946151 186070.70099992072209716, 530354.46699986152816564 186111.46999997360398993, 530282.63399987784214318 186182.89699992226087488, 530211.53299991332460195 186256.51700003797304817, 530286.60100005695130676 186300.20699982717633247, 530340.28000005974899977 186330.38199988484848291, 530373.91200001630932093 186349.28799998696194962, 530412.33399993821512908 186310.8660000650852453, 530341.79900011059362441 186304.13200011366279796, 530325.33700004464481026 186237.95200008602114394, 530306.28399996075313538 186185.46200005797436461, 530355.52699991059489548 186172.03400000167312101, 530454.27100001950748265 186252.68699996857321821, 530504.54699993424583226 186327.44500013836659491, 530532.92299994162749499 186348.9419999007077422, 530564.74500013166107237 186416.41899988241493702, 530585.47999990056268871 186390.69299999775830656, 530612.94600008870474994 186422.82800005172612146, 530606.30999988655094057 186431.43700001237448305, 530639.65699990757275373 186450.44799984587007202, 530621.86599986720830202 186501.22599985674605705, 530686.1350001310929656 186493.38799991764244623, 530746.2019999991171062 186533.46599999998579733)))</t>
  </si>
  <si>
    <t>E01002731</t>
  </si>
  <si>
    <t>Islington 007B</t>
  </si>
  <si>
    <t>E02000560</t>
  </si>
  <si>
    <t>Islington 007</t>
  </si>
  <si>
    <t>E09000019</t>
  </si>
  <si>
    <t>Islington</t>
  </si>
  <si>
    <t>MultiPolygon (((529390.05999987164977938 187240.26499984072870575, 529428.1710001234896481 187218.65999997878680006, 529492.98000014130957425 187297.0019999498326797, 529523.10300004400778562 187307.55800010490929708, 529523.99999994796235114 187281.99999992022640072, 529353.16000004741363227 187145.99899998368346132, 529485.97100010083522648 187038.7919999573205132, 529507.99999992630910128 187062.99999990905052982, 529543.93899989838246256 187023.05899998798849992, 529487.53400006820447743 186943.70599990946357138, 529440.87299997685477138 186924.22399999998742715, 529368.75000014889519662 186956.53100001934217289, 529292.00799993460532278 187087.42900007081334479, 529267.4100000245962292 187135.80199991600238718, 529252.27600003615953028 187165.57399985627853312, 529237.87600012181792408 187196.29299995576729998, 529118.1880001014797017 187389.60900009231409058, 529120.74699985445477068 187391.36600011092377827, 529178.72499998356215656 187432.97600007799337618, 529259.12599995883647352 187490.36100014470866881, 529265.76400007505435497 187496.28000015809084289, 529318.00500005437061191 187531.71599989643436857, 529426.22799982817377895 187625.19000000000232831, 529441.39300003799144179 187577.77200008850195445, 529400.95700000820215791 187465.19500012474600226, 529423.22899986163247377 187436.1680001676431857, 529458.17499983217567205 187402.24299993505701423, 529478.96200006024446338 187382.3990001541969832, 529370.17800002300646156 187266.18800003125215881, 529390.05999987164977938 187240.26499984072870575)))</t>
  </si>
  <si>
    <t>E01002754</t>
  </si>
  <si>
    <t>Islington 002B</t>
  </si>
  <si>
    <t>E02000555</t>
  </si>
  <si>
    <t>Islington 002</t>
  </si>
  <si>
    <t>MultiPolygon (((530489.85900007607415318 185621.86599991447292268, 530403.38500012690201402 185556.34500002409913577, 530323.34799992688931525 185495.69900001797941513, 530337.70799994806293398 185434.70800000001327135, 530293.87300004728604108 185463.4810001385922078, 530311.2769999842857942 185572.77000002181739546, 530194.99999995541293174 185491.99999989097705111, 530179.78699999931268394 185509.87000003267894499, 530281.97700001625344157 185721.86900013947160915, 530292.36399999540299177 185743.41100012414972298, 530364.33300001290626824 185884.57400006367242895, 530463.75000002898741513 186000.90599999998812564, 530501.33500009262934327 185962.54000000387895852, 530641.58300000079907477 185817.75800003446056508, 530612.00000011746305972 185812.99999987109913491, 530442.368999861064367 185682.77700011842534877, 530489.85900007607415318 185621.86599991447292268)))</t>
  </si>
  <si>
    <t>E01002763</t>
  </si>
  <si>
    <t>Islington 007D</t>
  </si>
  <si>
    <t>MultiPolygon (((529440.87299985578283668 186924.22399997944012284, 529426.26799982413649559 186861.00099994588526897, 529458.99899978435132653 186796.0000001096050255, 529363.0010000515030697 186722.00000001364969648, 529391.9810000485740602 186696.11699990450870246, 529355.49100004648789763 186575.62100021887454204, 529390.57000021450221539 186573.77699988239328377, 529381.56700014672242105 186537.53699991191388108, 529332.08400001702830195 186528.54800009753671475, 529314.753999826265499 186464.58399999997345731, 529255.03699994692578912 186484.51599977561272681, 529264.4610001677647233 186502.99699978611897677, 529287.59499988157767802 186484.98499993846053258, 529302.80999978666659445 186576.801999986928422, 529328.54300015431363136 186623.88500009107519872, 529304.44899978279136121 186630.06400012405356392, 529222.78600008436478674 186776.76900000439491123, 529185.26300015160813928 186793.55499993028934114, 529149.25099988060537726 186877.71999984854483046, 529088.20100012514740229 186847.75000017046113499, 529033.81000003789085895 186930.07500002279994078, 529022.98799982178024948 187024.12600019804085605, 528900.25899996142834425 187039.9560001993086189, 528840.2500002154847607 187217.78100008799810894, 528858.33399984647985548 187221.76499997326754965, 528877.36599978595040739 187228.22300003407872282, 528976.69900001410860568 187264.63899988619959913, 529003.00099990970920771 187285.71900008802185766, 529118.18799991277046502 187389.60899999999674037, 529237.8759999736212194 187196.2930000344349537, 529252.27600012731272727 187165.57400021364446729, 529267.41000021831132472 187135.80199982420890592, 529292.00799999863374978 187087.42900009368895553, 529368.74999990069773048 186956.53099993051728234, 529440.87299985578283668 186924.22399997944012284)))</t>
  </si>
  <si>
    <t>E01002770</t>
  </si>
  <si>
    <t>Islington 004B</t>
  </si>
  <si>
    <t>E02000557</t>
  </si>
  <si>
    <t>Islington 004</t>
  </si>
  <si>
    <t>MultiPolygon (((529697.76300009828992188 186749.83599997346755117, 529723.95100001734681427 186707.04899994519655593, 529703.0000000570435077 186683.00000006021582521, 529671.61800008511636406 186695.12999992017284967, 529656.02300009236205369 186659.48100010340567678, 529588.26599998539313674 186683.21299997871392407, 529565.51700005808379501 186634.82699999256874435, 529540.08799994515720755 186656.2019999427429866, 529500.31900004425551742 186616.43200000002980232, 529478.35299998056143522 186634.19899998756591231, 529541.97400004393421113 186714.58100007477332838, 529512.03799998492468148 186729.34199996371171437, 529476.81000003253575414 186682.45299989433260635, 529441.49200010136701167 186706.01700007697218098, 529458.99900009739212692 186796.00000000279396772, 529426.26800001109950244 186861.00100005758577026, 529440.87299999967217445 186924.22400003563961945, 529487.53399999649263918 186943.70600006741005927, 529543.93899989814963192 187023.05899993897764944, 529591.13500003202352673 187089.26500000001396984, 529600.71499993861652911 187085.21000003194785677, 529611.10099996079225093 187077.11600005521904677, 529651.61299994483124465 187041.03999988682335243, 529727.59699991333764046 186970.69499989313771948, 529737.14200001198332757 186961.78300000849412754, 529838.18499999621417373 186871.22499992864322849, 529843.88099998910911381 186865.72199996400740929, 529697.76300009828992188 186749.83599997346755117)))</t>
  </si>
  <si>
    <t>E01002772</t>
  </si>
  <si>
    <t>Islington 002F</t>
  </si>
  <si>
    <t>MultiPolygon (((529893.10800000722520053 186819.67599986822460778, 529772.76499984122347087 186654.41800017131026834, 529898.29800002207048237 186564.39700016772258095, 529935.57499998970888555 186531.14700001184246503, 530012.49600000004284084 186481.10199999832548201, 529993.78100010671187192 186454.063000144000398, 529917.31099994177930057 186351.06800014193868265, 529817.56700005521997809 186345.92599989243899472, 529809.06600004353094846 186445.42199994437396526, 529630.69899983052164316 186414.50600015575764701, 529627.19699993869289756 186470.26100008480716497, 529533.70400015823543072 186362.51000012716394849, 529433.65000012970995158 186376.20900011464254931, 529362.3929999980609864 186454.99999996903352439, 529328.00000006461050361 186459.99999995311372913, 529314.75399999995715916 186464.58399987715529278, 529332.08400016464293003 186528.54800002393312752, 529381.56700004660524428 186537.53700009267777205, 529390.56999995978549123 186573.77699985180515796, 529355.49099997745361179 186575.62100008458946832, 529391.98099999746773392 186696.11700006970204413, 529363.00100016640499234 186722.00000016635749489, 529458.99900013243313879 186795.99999993096571416, 529441.49199991708155721 186706.01700000333948992, 529476.80999990866985172 186682.45299986755708233, 529512.03799990413244814 186729.34200012974906713, 529541.97400012146681547 186714.58099983792635612, 529478.35300017346162349 186634.19899995336891152, 529500.31899983354378492 186616.43200013652676716, 529540.0880000067409128 186656.20200017400202341, 529565.51699996739625931 186634.82699984949431382, 529588.2660001179901883 186683.21299999073380604, 529656.02300008630845696 186659.48099997831741348, 529671.61799987789709121 186695.13000005297362804, 529702.9999999183928594 186682.99999994153040461, 529723.95099987299181521 186707.04899984374060296, 529697.76300000236369669 186749.83600000664591789, 529843.88099992065690458 186865.72200010760570876, 529893.10800000722520053 186819.67599986822460778)))</t>
  </si>
  <si>
    <t>E01002774</t>
  </si>
  <si>
    <t>Islington 004E</t>
  </si>
  <si>
    <t>MultiPolygon (((530145.01600001810584217 186124.73600002127932385, 530166.62799995567183942 186070.70600003830622882, 530113.92000013100914657 186088.81100010868976824, 530086.99300004832912236 186015.95900012270431034, 530066.8389999131904915 186013.00300006600446068, 530045.00100001052487642 186009.00000010535586625, 529843.13999991666059941 185976.39799998485250399, 529870.65599998855032027 186065.7180000115185976, 529809.22500003175809979 186056.65400007597054355, 529804.01199989800807089 186087.84399999544257298, 529726.07499999995343387 186178.72699996718438342, 529823.16500000876840204 186249.48499986703973264, 529872.49300005147233605 186292.85600005317246541, 529917.3109999296721071 186351.0679999458079692, 529993.78099990973714739 186454.0629999473458156, 530012.49600005359388888 186481.10200001514749601, 530047.1620000604307279 186455.06300011338316835, 530135.6249999642604962 186350.96900006572832353, 530211.53300002356991172 186256.51700011079083197, 530282.63399999984540045 186182.8969999082328286, 530222.86699986294843256 186127.82800000038696453, 530145.01600001810584217 186124.73600002127932385)))</t>
  </si>
  <si>
    <t>E01002785</t>
  </si>
  <si>
    <t>Islington 008B</t>
  </si>
  <si>
    <t>E02000561</t>
  </si>
  <si>
    <t>Islington 008</t>
  </si>
  <si>
    <t>MultiPolygon (((530354.46699996979441494 186111.46999996164231561, 530390.95000009494833648 186070.70100001626997255, 530463.75000006787013263 186000.90599991052295081, 530364.33300009195227176 185884.57399994615116157, 530292.36400009226053953 185743.41100009085494094, 530281.9770000649150461 185721.8690000000060536, 530241.76899996679276228 185756.04700004713959061, 530276.76800005929544568 185791.71200003597186878, 530158.99999999266583472 185930.00000000800355338, 530148.12100010423455387 185943.05499996026628651, 530144.00400000950321555 185891.88499995024176314, 530198.9270000671967864 185833.27900003144168295, 530138.28499999619089067 185769.00000009004725143, 530053.28200010024011135 185852.40900005574803799, 530018.28900005656760186 185828.7630000269273296, 530003.74699993210379034 185946.83700005212449469, 530025.56200005824211985 185969.1699999439297244, 530045.00099995033815503 186008.99999995771213435, 530066.83900007186457515 186013.00300004528253339, 530086.99299999070353806 186015.95900001251720823, 530113.92000006174203008 186088.81100002510356717, 530166.62800008337944746 186070.70600009546615183, 530145.01600003673229367 186124.73599998172721826, 530222.86699995677918196 186127.82799998176051304, 530282.63400000298861414 186182.89699999999720603, 530354.46699996979441494 186111.46999996164231561)))</t>
  </si>
  <si>
    <t>E01002786</t>
  </si>
  <si>
    <t>Islington 010D</t>
  </si>
  <si>
    <t>E02000563</t>
  </si>
  <si>
    <t>Islington 010</t>
  </si>
  <si>
    <t>MultiPolygon (((530202.5400000000372529 186693.20799992937827483, 530139.04000002448447049 186631.98700007935985923, 530089.99999996856786311 186599.00000009033828974, 530051.16499998164363205 186643.24099991060211323, 530022.74199990287888795 186587.96500006120186299, 529979.39899990300182253 186588.86200001003453508, 529990.44000002089887857 186540.7180000314838253, 529953.39300005766563118 186555.44699999177828431, 529935.57500002079177648 186531.14699995980481617, 529898.29799994954373688 186564.39699990052031353, 529772.76500000013038516 186654.41799996350891888, 529893.10800008883234113 186819.67600010335445404, 529961.41400004550814629 186908.91599992822739296, 530070.33800001058261842 186940.79300004019751213, 530063.8540000575594604 186862.86799994632019661, 530114.99999989976640791 186801.00000005008769222, 530126.83000008773524314 186786.05900003312854096, 530202.5400000000372529 186693.20799992937827483)))</t>
  </si>
  <si>
    <t>E01002809</t>
  </si>
  <si>
    <t>Islington 003E</t>
  </si>
  <si>
    <t>E02000556</t>
  </si>
  <si>
    <t>Islington 003</t>
  </si>
  <si>
    <t>MultiPolygon (((530219.00000007404014468 186673.00000009377254173, 530283.9840000435942784 186590.33999999772640876, 530306.65200011024717242 186608.3539999223430641, 530351.84799989254679531 186645.76600007375236601, 530401.04599986597895622 186575.50399996963096783, 530466.83100007439497858 186629.12699995579896495, 530494.31700000003911555 186596.59000000785454176, 530390.45999990066047758 186526.41600009251851588, 530382.36099996871780604 186520.54799997483496554, 530313.23900004965253174 186473.74999999415013008, 530167.00699996540788561 186372.12800002243602648, 530135.6249999109422788 186350.96900006255600601, 530047.16200010967440903 186455.06300007982645184, 530012.49600009631831199 186481.10199986660154536, 529935.57499999995343387 186531.14699991088127717, 529953.39299993589520454 186555.44699987207422964, 529990.43999992019962519 186540.71800005447585136, 529979.39899986144155264 186588.8620000145456288, 530022.74199996725656092 186587.96500007767463103, 530051.1649998901411891 186643.24099999701138586, 530089.99999997660052031 186599.00000008550705388, 530139.04000000469386578 186631.98699994481285103, 530202.53999994008336216 186693.2079999374691397, 530219.00000007404014468 186673.00000009377254173)))</t>
  </si>
  <si>
    <t>E01002810</t>
  </si>
  <si>
    <t>Islington 003F</t>
  </si>
  <si>
    <t>MultiPolygon (((528427.99700017541181296 192580.79599976580357179, 528556.94299998180940747 192378.17400021030334756, 528562.24999985517933965 192369.9059998061566148, 528721.15600001928396523 192127.17699986699153669, 528753.10600023728329688 192078.45299984241137281, 528975.37500013632234186 191791.60899980113026686, 528664.24400007748045027 191638.05199999999604188, 528676.23099997418466955 191667.32399991358397529, 528749.00000003329478204 191703.99999979956191964, 528700.58399998710956424 191789.40600020214333199, 528431.2449999472592026 191834.9730002022406552, 528377.12200005573686212 191897.90100021395483054, 528429.12199985014740378 191940.56100017201970331, 528431.60299992212094367 191997.38399987388402224, 528399.88300018047448248 192044.2600000282691326, 528369.96000006643589586 192020.00500000847387128, 528323.77399986353702843 191983.42799986930913292, 528347.50000016670674086 191929.66499995248159394, 528297.1030000135069713 191962.30599987567984499, 528280.825999925727956 192075.4679998058709316, 528348.42200010200031102 192127.63200008127023466, 528386.82599986647255719 192080.48500019215862267, 528443.86399979947600514 192104.65200021813507192, 528461.86899976583663374 192313.12900010106386617, 528376.72600008361041546 192283.75700019448413514, 528370.64899977168533951 192305.60500013714772649, 528281.57799987285397947 192279.85800022215698846, 528266.00700022804085165 192311.61999996082158759, 528220.72000020823907107 192304.90500018632155843, 528167.9919999724952504 192414.99699983969912864, 528174.00000004284083843 192492.00000009385985322, 528145.00099986384157091 192515.3450001775927376, 528197.76300009724218398 192585.26799994416069239, 528235.32299992104526609 192552.74199976664385758, 528215.66800007061101496 192593.10999988572439179, 528272.73699975525960326 192615.08300006584613584, 528303.05300008796621114 192623.03099999998812564, 528338.66399980243295431 192581.11000023625092581, 528427.99700017541181296 192580.79599976580357179)))</t>
  </si>
  <si>
    <t>E01000160</t>
  </si>
  <si>
    <t>Barnet 015C</t>
  </si>
  <si>
    <t>E02000038</t>
  </si>
  <si>
    <t>Barnet 015</t>
  </si>
  <si>
    <t>MultiPolygon (((528661.78799989831168205 191515.63100006806780584, 528728.94499996700324118 191241.35800014395499602, 528723.75300000479910523 191143.0739999987417832, 528688.64300007885321975 191150.65299980918643996, 528664.21799994772300124 191225.99600006040418521, 528654.99999993504025042 191123.99999999257852323, 528651.00000001501757652 191066, 528576.24600001599173993 191117.72900018596556038, 528622.92299984861165285 191135.49599985321401618, 528623.6830000871559605 191168.21300001905183308, 528528.54600002872757614 191210.67600012864568271, 528511.91499994497280568 191261.84000009426381439, 528485.58700003055855632 191304.63899988029152155, 528446.82899988244753331 191260.09000017732614651, 528400.66800015710759908 191279.84100016785669141, 528420.37200013338588178 191342.73700011472101323, 528340.47900009818840772 191470.99599996273173019, 528368.152999970712699 191524.62899998138891533, 528343.6979998960159719 191563.39699985444894992, 528373.98600006173364818 191602.99999982520239428, 528340.47900009818840772 191618.68099989907932468, 528356.74100002914201468 191650.46999998815590516, 528368.33199996768962592 191671.19700011907843873, 528335.56500002392567694 191758.05199986766092479, 528431.24499998521059752 191834.97299999999813735, 528700.5840000007301569 191789.40600000484846532, 528748.9999999760184437 191703.99999991833465174, 528676.23099996510427445 191667.32399993494618684, 528664.24400007829535753 191638.05199996256851591, 528661.78799989831168205 191515.63100006806780584)))</t>
  </si>
  <si>
    <t>E01000163</t>
  </si>
  <si>
    <t>Barnet 022C</t>
  </si>
  <si>
    <t>E02000045</t>
  </si>
  <si>
    <t>Barnet 022</t>
  </si>
  <si>
    <t>MultiPolygon (((527827.25999977975152433 191829.80799999996088445, 527860.78300019656307995 191801.82700014134752564, 527909.18600027065258473 191826.01099992348463275, 527970.99900025420356542 191584.99900024465750903, 527984.54299979889765382 191581.72899974466417916, 528131.72900020354427397 191531.2450001131510362, 528215.07099985016975552 191451.53099977917736396, 528233.49400014628190547 191418.47099970447015949, 528340.47900016594212502 191470.99599999084603041, 528420.37199990614317358 191342.73700004341662861, 528400.66799976793117821 191279.84099970624083653, 528446.82900004403200001 191260.08999982074601576, 528371.99999977077823132 191197.9999997460981831, 528381.32699992996640503 191164.85499975967104547, 528348.15299998095724732 191143.41600025814841501, 528374.51200005307327956 191096.49200013364315964, 528372.97700015432201326 191040.56400000970461406, 528315.97400020016357303 191036.92800017382251099, 528287.89500027580652386 191005.42999998433515429, 528312.6479997510323301 190958.32400017994223163, 528310.98300016939174384 190862.79400024318601936, 528285.50400009367149323 190841.19199990597553551, 528253.73899969353806227 190873.04000024174456485, 528220.1770000527612865 190806.44000026310095564, 528316.27300002798438072 190802.56000025096000172, 528332.55300027038902044 190757.25700023444369435, 528010.59399984125047922 190591.8159999999916181, 527989.13400028145406395 190701.40899977253866382, 527987.34700030216481537 190864.02700004045618698, 527955.89300020539667457 190989.07499971060315147, 527787.68800022709183395 191195.31199971216847189, 527797.74999995063990355 191233.23399981326656416, 527771.69299998006317765 191223.01800007486599497, 527773.81299999938346446 191256.21900001043104567, 527708.56299996597226709 191254.5619997140893247, 527643.68800008925609291 191362.40600029082270339, 527543.99999975180253386 191404.40599989259499125, 527474.87499995587859303 191561.0939999106049072, 527528.56300025794189423 191579.46900016194558702, 527489.20699997839983553 191665.39200019388226792, 527783.79199978732503951 191795.032999703718815, 527827.25999977975152433 191829.80799999996088445)))</t>
  </si>
  <si>
    <t>E01000164</t>
  </si>
  <si>
    <t>Barnet 022D</t>
  </si>
  <si>
    <t>MultiPolygon (((528429.12199985608458519 191940.56100012201932259, 528377.12200000928714871 191897.90099997486686334, 528431.24499998986721039 191834.97300013937638141, 528335.56499990879092366 191758.05199999970500357, 528368.33200000377837569 191671.19699998997384682, 528356.7410000367090106 191650.47000002770801075, 528340.47899989609140903 191618.68099987821187824, 528373.98599986406043172 191603.00000008015194908, 528343.69800000078976154 191563.39699984906474128, 528368.1529999440535903 191524.62899989329162054, 528340.47899989609140903 191470.99599989625858143, 528233.49400012695696205 191418.47100000001955777, 528215.07100006705150008 191451.53100013692164794, 528131.7289999017957598 191531.24500015168450773, 527984.54300000087823719 191581.72899986285483465, 527970.99899986234959215 191584.99899989369441755, 527909.18599989044014364 191826.0110001499124337, 527977.2390001192688942 191912.75299987546168268, 528031.22399985801894218 191876.50900001259287819, 528131.55899993947241455 191981.16099987845518626, 528136.22400004812516272 191943.56700011191423982, 528164.81399999640416354 191926.02599989727605134, 528195.27100012416485697 191959.96699986862950027, 528235.52399988006800413 191913.53799992258427665, 528297.1030001356266439 191962.3060001497506164, 528347.49999984400346875 191929.66499985381960869, 528323.77399996761232615 191983.42800000615534373, 528369.96000009996350855 192020.00500003091292456, 528399.88300008082296699 192044.26000000000931323, 528431.60300010943319649 191997.38399990994366817, 528429.12199985608458519 191940.56100012201932259)))</t>
  </si>
  <si>
    <t>E01000165</t>
  </si>
  <si>
    <t>Barnet 022E</t>
  </si>
  <si>
    <t>MultiPolygon (((526415.45699977036565542 190420.13899977511027828, 526439.322000150103122 190376.30400014275801368, 526430.0000000074505806 190416.99999977069091983, 526619.5700000231154263 190465.26500014000339434, 526637.85099981131497771 190417.03499984397785738, 526551.66799985070247203 190379.39299977984046564, 526585.65499981527682394 190317.08700015861541033, 526554.46499986154958606 190265.6259998625901062, 526481.3270002199569717 190302.0570001496525947, 526440.07400021399371326 190259.80499995677382685, 526260.77899984072428197 190201.96099989180220291, 526287.62100008281413466 190167.48399982083356008, 526316.1189997858600691 190115.12299980776151642, 526311.71400015195831656 189995.96100015414413065, 526272.49499993864446878 189945.03799980235635303, 526260.99999997497070581 189833.99999981923610903, 526212.99999989778734744 189793.00000014592660591, 526165.62600008037406951 189751.19899984647054225, 526224.46100005286280066 189720.8339999780873768, 526206.51600004872307181 189701.92900000003282912, 526055.21399989735800773 189790.1130002093850635, 525985.242000054102391 189846.76400020663277246, 525838.18600018869619817 189964.46500008518341929, 526056.66499978280626237 190162.09199995940434746, 526199.85100008349400014 190293.91400004536262713, 526353.37500015832483768 190505.34400005231145769, 526427.94199983635917306 190599.97299989775638096, 526449.89700015785638243 190621.29000000000814907, 526469.10999986133538187 190609.2939997756620869, 526430.0000000074505806 190563.99999997843406163, 526415.45699977036565542 190420.13899977511027828)))</t>
  </si>
  <si>
    <t>E01000176</t>
  </si>
  <si>
    <t>Barnet 027A</t>
  </si>
  <si>
    <t>E02000050</t>
  </si>
  <si>
    <t>Barnet 027</t>
  </si>
  <si>
    <t>MultiPolygon (((526457.6939999571768567 189916.98500007670372725, 526586.8360001522814855 189811.53199988344567828, 526531.07799991464708 189843.74600013671442866, 526503.18300012964755297 189804.439999927271856, 526339.35800009209197015 189893.1459999276266899, 526396.74899988493416458 189831.54999994064564817, 526527.5760001108283177 189743.93700015149079263, 526522.00000004435423762 189696.99999991882941686, 526447.45899996266234666 189755.05600011462229304, 526376.40199990442488343 189709.06499996138154529, 526313.64399997552391142 189677.89900000000488944, 526265.30300001299474388 189713.76099997566780075, 526224.46100001898594201 189720.83399993818602525, 526165.62600008235312998 189751.19900014964514412, 526212.99999985750764608 189792.9999998738639988, 526261.00000014714896679 189833.99999984813621268, 526272.4950000672833994 189945.0380001540761441, 526311.71400014136452228 189995.96100007882341743, 526316.11899990763049573 190115.12300003040581942, 526287.62100014253519475 190167.48400006798328832, 526260.77900015492923558 190201.96099999529542401, 526440.07399995613377541 190259.80499993311241269, 526481.3269998790929094 190302.05700000000069849, 526554.46500013198237866 190265.62600011509493925, 526592.07300003583077341 190256.75599996212986298, 526540.9469998994609341 190094.9460000918188598, 526596.15799992496613413 190055.31699998985277489, 526613.65499991760589182 190007.76500002754619345, 526536.45400009688455611 189954.67199997074203566, 526529.54900006204843521 189933.49700010142987594, 526457.6939999571768567 189916.98500007670372725)))</t>
  </si>
  <si>
    <t>E01000179</t>
  </si>
  <si>
    <t>Barnet 029B</t>
  </si>
  <si>
    <t>E02000052</t>
  </si>
  <si>
    <t>Barnet 029</t>
  </si>
  <si>
    <t>MultiPolygon (((527773.81299999996554106 191256.21900009099044837, 527771.69300020718947053 191223.01800025461125188, 527734.49999991524964571 191146.43000000138999894, 527619.53900026716291904 190861.66299983224598691, 527543.32000013813376427 190656.36699982031132095, 527515.27900014328770339 190639.04699978342978284, 527512.00000007299240679 190703.99999968110932969, 527469.00000003480818123 190680.00000011784140952, 527317.00100006046704948 190479.99999990858486854, 526978.99899997585453093 190379.99999980392749421, 526815.99999983375892043 190457.0000002988090273, 526731.77800014731474221 190437.95200027708779089, 526700.36200030951295048 190398.15600004099542275, 526735.00000020395964384 190313.99899972675484605, 526708.00000010104849935 190329.00000013769022189, 526619.41900001419708133 190254.45499990900862031, 526592.07300015015061945 190256.75599995959782973, 526554.4649996873922646 190265.62600011768518016, 526585.65500032901763916 190317.08700000157114118, 526551.66800001845695078 190379.39300008752616122, 526637.85099985275883228 190417.03500020099454559, 526619.57000030064955354 190465.26500024052802473, 526430.00000012258533388 190417.00000012110103853, 526439.32200003147590905 190376.30400006272247992, 526415.45700000005308539 190420.13899987193872221, 526430.00000012258533388 190564.00000007796916179, 526469.11000001558568329 190609.29399987909710035, 526449.89699981140438467 190621.29000032108160667, 526589.96500007424037904 190758.97700015676673502, 526596.59600030386354774 190771.61399996583350003, 526797.52600030694156885 190913.14299972067237832, 526925.43000001611653715 190981.71000016210018657, 527107.07299997587688267 191079.2449997836665716, 527287.31300020741764456 191203.67200001853052527, 527423.68700022913981229 191254.60899981265538372, 527708.56300031708087772 191254.56200001589604653, 527773.81299999996554106 191256.21900009099044837)))</t>
  </si>
  <si>
    <t>E01000184</t>
  </si>
  <si>
    <t>Barnet 027C</t>
  </si>
  <si>
    <t>MultiPolygon (((525481.08599985984619707 190527.62699981560581364, 525699.62699981720652431 190393.22700019003241323, 525770.07799991208594292 190349.4019997816067189, 526056.6650000000372529 190162.09200006036553532, 525838.18600006075575948 189964.46499986693379469, 525798.2909999624826014 189928.38699979052762501, 525782.18000016768928617 189930.68900003682938404, 525731.06100019766017795 189956.71200007203151472, 525446.00000007287599146 190148.00000020250445232, 525425.16700009140186012 190113.66999999800464138, 525354.04700009908992797 190104.09400001150788739, 525305.9180000371998176 190123.22299999199458398, 525313.06500000972300768 190164.21500021187239327, 525278.03599995584227145 190252.83500006390386261, 525177.49399999994784594 190285.13600020101875998, 525206.69899990013800561 190367.82499995312537067, 525346.94000020914245397 190336.81399995138053782, 525363.10700011940207332 190386.37800006332690828, 525340.52300009503960609 190401.97299989181919955, 525373.9800002007978037 190420.86000014201272279, 525272.5020000709919259 190498.17800007111509331, 525237.89599995617754757 190462.01999982952838764, 525261.34500006283633411 190507.35199999704491347, 525294.07999988691881299 190537.50900010409532115, 525321.00000007043126971 190569.00000021758023649, 525181.16500005009584129 190685.86699986041639931, 525205.27800020866561681 190718.45700020945514552, 525266.74599983787629753 190675.45699980069184676, 525481.08599985984619707 190527.62699981560581364)))</t>
  </si>
  <si>
    <t>E01000197</t>
  </si>
  <si>
    <t>Barnet 023A</t>
  </si>
  <si>
    <t>E02000046</t>
  </si>
  <si>
    <t>Barnet 023</t>
  </si>
  <si>
    <t>MultiPolygon (((525479.42500018863938749 189634.77600004346459173, 525396.67300013883505017 189557.69399990377132781, 525349.58100029523484409 189513.828000000648899, 525315.92600028810556978 189490.29499988720635884, 525195.46799992118030787 189428.78399975862703286, 525017.24999993399251252 189400.06199996601208113, 524806.93900000455323607 189416.20999977845349349, 524749.55399983120150864 189410.35600023408187553, 524578.11000000010244548 189355.13099985217559151, 524580.96600018523167819 189455.07200018505682237, 524654.99999977869447321 189413.00000007144990377, 524718.93499989015981555 189470.31500029109884053, 524681.66500013880431652 189519.46200030064210296, 524712.47000020078849047 189572.78600017068674788, 524688.55800027714576572 189585.70700010433210991, 524745.73499985586386174 189581.15099982341052964, 524751.85799989348743111 189668.09799984385608695, 524819.32100023375824094 189658.52999994970741682, 524858.9330001441994682 189653.89399972168030217, 524861.75300010922364891 189607.2050000385788735, 525094.66800009540747851 189591.70799973452812992, 525176.68399977800436318 189607.07300024791038595, 525319.80999991530552506 189795.35300016857217997, 525324.00000019429717213 189952.99999979138374329, 525290.73300005251076072 189966.30699971376452595, 525354.0470000256318599 190104.0940002711431589, 525425.16699996031820774 190113.67000028202892281, 525446.0000000293366611 190148.00000014781835489, 525731.06099993269890547 189956.71200026449514553, 525782.17999973602127284 189930.68899996782420203, 525798.29099999996833503 189928.38699978223303333, 525521.23499998752959073 189673.72300008879392408, 525479.42500018863938749 189634.77600004346459173)))</t>
  </si>
  <si>
    <t>E01000203</t>
  </si>
  <si>
    <t>Barnet 028E</t>
  </si>
  <si>
    <t>E02000051</t>
  </si>
  <si>
    <t>Barnet 028</t>
  </si>
  <si>
    <t>MultiPolygon (((525855.52200014493428171 190757.37400008123950101, 526024.8939999679569155 190598.09699987393105403, 526061.07499987899791449 190622.94100011416594498, 526045.04999985778704286 190692.53899995604297146, 526128.07899987953715026 190718.56799986399710178, 526130.68000002263579518 190714.91999984756694175, 526157.12499983550515026 190646.9839998658571858, 526186.06299981975462288 190667.73399998084641993, 526229.50000000011641532 190593.26599994924617931, 526261.91100008203648031 190603.595999891491374, 526353.375 190505.34399983548792079, 526199.85100013890769333 190293.91400018308195285, 526056.6650000202935189 190162.09199991877540015, 525770.07800010067876428 190349.40199993149144575, 525699.62699992512352765 190393.22699995347647928, 525730.2949999775737524 190441.65499987528892234, 525641.95499981823377311 190509.36499997280770913, 525662.29500006907619536 190538.1720000832574442, 525590.98100000014528632 190592.24499999845284037, 525616.12700013280846179 190622.86500010589952581, 525691.33100008417386562 190572.57199996069539338, 525750.55100003874395043 190614.904000000533415, 525830.45599992061033845 190599.06899999993038364, 525832.21700007247272879 190747.6069998994062189, 525855.52200014493428171 190757.37400008123950101)))</t>
  </si>
  <si>
    <t>E01000297</t>
  </si>
  <si>
    <t>Barnet 027D</t>
  </si>
  <si>
    <t>MultiPolygon (((527253.00000008603092283 191902.99999997176928446, 527322.64000000385567546 191819.28000017261365429, 527341.45899982820264995 191857.69699985871557146, 527364.59700021194294095 191804.54100014749565162, 527424.12700018577743322 191816.17500005805050023, 527473.54500020935665816 191699.57300011921324767, 527489.20700024184770882 191665.39200024047750048, 527528.56299998622853309 191579.46899977925932035, 527474.87500004703179002 191561.09399990292149596, 527543.99999979103449732 191404.40599985019071028, 527643.6880001078825444 191362.40599999338155612, 527708.56299999996554106 191254.56200009083840996, 527423.68699976243078709 191254.60900024030706845, 527287.31299989647231996 191203.67199977792915888, 527107.07300009555183351 191079.24499984193244018, 526925.43000022461637855 190981.71000002819346264, 526732.47400000004563481 191175.61299984841025434, 526777.61000006995163858 191445.00000011565862224, 526862.99999981210567057 191443.99999986341572367, 526863.70500010217074305 191478.23399991073529236, 526948.97199994116090238 191547.57299984729615971, 526818.25800001912284642 191702.52799975671223365, 526917.02999986289069057 191730.01499981916276738, 526907.9999999376013875 191829.9990001012920402, 526984.99999983771704137 191865.99999991201912053, 527098.99299977533519268 191881.99900004020310007, 527253.00000008603092283 191902.99999997176928446)))</t>
  </si>
  <si>
    <t>E01000315</t>
  </si>
  <si>
    <t>Barnet 022F</t>
  </si>
  <si>
    <t>MultiPolygon (((526465.00000010908115655 191498.00000012782402337, 526471.00000017287675291 191421.00000008803908713, 526523.38399982266128063 191426.87100017289048992, 526777.60999985621310771 191444.9999998758721631, 526732.47399982740171254 191175.61300019454210997, 526925.4299999448703602 190981.70999984772060998, 526797.52600022742990404 190913.14300003965036012, 526596.59599987952969968 190771.61400002162554301, 526589.9649999983375892 190758.97700011034612544, 526449.89699998090509325 190621.28999977302737534, 526427.9419998845551163 190599.97299999999813735, 526411.88600002799648792 190663.51299998391186818, 526288.00000009650830179 190781.99999983672751114, 526523.99999995750840753 190871.00000000410364009, 526390.4229999816743657 190876.01900018457672559, 526332.59699994884431362 190835.331000183155993, 526263.64700002584140748 191007.76799979951465502, 526221.85500012850388885 191001.97099992356379516, 526212.35200012219138443 191200.11400021577719599, 526104.08300009020604193 191163.83599983129533939, 526101.76699996832758188 191208.49700010425294749, 526079.00000005529727787 191205.0000001281441655, 526088.65300015674438328 191247.93399986429722048, 526132.13099996349774301 191256.46099988144123927, 526138.1260001331102103 191359.13699983034166507, 526245.24799996474757791 191337.73499998784973286, 526250.00000000407453626 191380.9999998185376171, 526183.54500005766749382 191387.51599979808088392, 526165.54700001096352935 191443.3160001109354198, 526248.25399996305350214 191510.65000004423200153, 526415.528999809990637 191534.61999999999534339, 526424.57200021017342806 191498.04000021549290977, 526465.00000010908115655 191498.00000012782402337)))</t>
  </si>
  <si>
    <t>E01000316</t>
  </si>
  <si>
    <t>Barnet 027E</t>
  </si>
  <si>
    <t>MultiPolygon (((526212.3520001316210255 191200.11400000000139698, 526221.85499992535915226 191001.97099992106086574, 526263.64699984830804169 191007.76799996179761365, 526332.59700012882240117 190835.33100007000030018, 526390.4230000744573772 190876.0190000414440874, 526523.99999996239785105 190870.99999997284612618, 526288.00000007415656 190782.00000014304532669, 526411.8859999222913757 190663.51299995154840872, 526427.94199983694124967 190599.97299996853689663, 526353.37499983247835189 190505.34399999998277053, 526261.91099993465468287 190603.59600006567779928, 526229.49999993026722223 190593.26599990858812816, 526186.06300002604257315 190667.73400005139410496, 526157.1249999706633389 190646.9839999261603225, 526130.68000003055203706 190714.92000006616581231, 526128.07900000305380672 190718.56800007220590487, 525996.56299988680984825 190926.70299991403589956, 525937.04400003759656101 191111.20200008575920947, 525984.25799997814465314 191109.56200001676916145, 525997.78900006087496877 191154.39700013535912149, 526104.08300004678312689 191163.83600014841067605, 526212.3520001316210255 191200.11400000000139698)))</t>
  </si>
  <si>
    <t>E01000319</t>
  </si>
  <si>
    <t>Barnet 027F</t>
  </si>
  <si>
    <t>MultiPolygon (((530084.76299991656560451 192154.96899993819533847, 530059.17499985382892191 192043.75999995871097781, 530097.81700012332294136 192025.00000007016933523, 530108.58500000566709787 192095.20800002705072984, 530155.42999994941055775 192084.71699991388595663, 530114.13700006494764239 191903.38399988313904032, 530161.49999993806704879 191892.78100010025082156, 530133.51599999575410038 191751.40500008163508028, 530234.28000004414934665 191882.59699994168477133, 530253.000000094412826 191880.07700001157354563, 530293.77299993496853858 191871.81699998513795435, 530301.03699994087219238 191825.08099999927799217, 530267.93499996315222234 191684.87099992716684937, 530184.00000003690365702 191692.00000001894659363, 530176.50999996345490217 191647.06200000003445894, 530119.61600008199457079 191653.2680001133994665, 530057.59200009086634964 191662.16499998670769855, 529936.89400005585048348 191788.82300014852080494, 529905.94499998947139829 191795.95100002965773456, 529835.3609999583568424 191714.86400011787191033, 529827.19399989314842969 191719.41500002337852493, 529847.39599990018177778 191805.4319999334984459, 529906.05699996592011303 191882.4719999871449545, 529933.68899998220149428 191949.39799990580650046, 529935.78600005875341594 191989.35199989943066612, 529905.99999992037191987 191997.00000013125827536, 529925.55900004343129694 192080.29799990393803455, 529886.39900015119928867 192087.87799992004875094, 529855.91399998730048537 191996.75899997109081596, 529792.99999991501681507 191966.00000005649053492, 529770.77999991073738784 191914.15399988013086841, 529742.00000005913898349 191922.00000010867370293, 529863.9999998586717993 192208.00000007622293197, 529842.40600014443043619 192228.79000003621331416, 529859.18799987388774753 192260.5, 529947.84900007140822709 192208.67400004947558045, 529992.87900014768820256 192190.96399990178178996, 530084.76299991656560451 192154.96899993819533847)))</t>
  </si>
  <si>
    <t>E01001390</t>
  </si>
  <si>
    <t>Enfield 036A</t>
  </si>
  <si>
    <t>E02000312</t>
  </si>
  <si>
    <t>Enfield 036</t>
  </si>
  <si>
    <t>MultiPolygon (((530954.39199999335687608 191964.37099989902344532, 530986.738999999826774 191920.98900009438511916, 530964.60199992405250669 191923.13599993594107218, 530946.47200010402593762 191852.46499989993753843, 530932.95799999195151031 191813.94200011913198978, 530851.75000001885928214 191812.45800001511815935, 530848.54999993881210685 191812.69700010350788943, 530718.91600009216926992 191809.8230000336188823, 530712.87400006654206663 191727.58899996473337524, 530715.25400001858361065 191637.04999997158301994, 530697.59299992420710623 191626.99399995800922625, 530664.34000010637100786 191640.19000003044493496, 530596.0530000077560544 191639.49099994113203138, 530586.26099999051075429 191638.61300002678763121, 530585.65400004666298628 191719.84599990784772672, 530536.7749999042134732 191770.8589999397227075, 530595.56600010627880692 191767.85099987901048735, 530595.17600008973386139 191799.8449999749136623, 530502.36199999996460974 191802.69399989472003654, 530588.1669999931473285 191962.20299989261548035, 530628.86799998569767922 191951.37100007338449359, 530625.06299995456356555 192030.82399997196625918, 530539.06199995661154389 192053.61300006808596663, 530553.37600002810359001 192081.74100011528935283, 530567.18700001481920481 192084.79699999917647801, 530690.90900008368771523 192100.99999989380012266, 530726.59999988204799592 192104.05000004198518582, 530954.20399995928164572 192080.43400008583557792, 530954.39199999335687608 191964.37099989902344532)))</t>
  </si>
  <si>
    <t>E01001391</t>
  </si>
  <si>
    <t>Enfield 036B</t>
  </si>
  <si>
    <t>MultiPolygon (((529864.00000003143213689 192207.99999994516838342, 529741.9999998239800334 191922.00000004353933036, 529770.78000006871297956 191914.15400014648912475, 529793.00000015285331756 191965.99999991751974449, 529855.91399984282907099 191996.7590001278440468, 529886.39900005667004734 192087.87800014499225654, 529925.55899993737693876 192080.29799982634722255, 529905.99999987846240401 191996.99999997616396286, 529935.7859999998472631 191989.35199988720705733, 529933.68900008324999362 191949.39799985889112577, 529906.05699983949307352 191882.47200002818135545, 529847.39600013848394156 191805.43200014004833065, 529827.19400003121700138 191719.41500002611428499, 529630.73399982636328787 191748.60200005662045442, 529437.81300004047807306 191828.75099996154312976, 529341.54500005103182048 191865.60300011368235573, 529215.125 191911.43700007733423263, 529306.36100005113985389 192018.64600005969987251, 529359.13800014823209494 192080.66400012676604092, 529379.63099992426577955 192104.74399994776467793, 529636.7500000229338184 191996.49999996941187419, 529703.1250001093139872 191967.76599987654481083, 529842.40599996305536479 192228.78999997390201315, 529864.00000003143213689 192207.99999994516838342)))</t>
  </si>
  <si>
    <t>E01001392</t>
  </si>
  <si>
    <t>Enfield 032A</t>
  </si>
  <si>
    <t>E02000308</t>
  </si>
  <si>
    <t>Enfield 032</t>
  </si>
  <si>
    <t>MultiPolygon (((530164.54300007259007543 192122.28699998825322837, 530385.88299995800480247 192072.98200010359869339, 530553.3760000322945416 192081.74100006971275434, 530539.06199996208306402 192053.61300010574632324, 530625.06299994408618659 192030.82400000555207953, 530628.86800000001676381 191951.3710000931750983, 530588.16700000397395343 191962.20300008708727546, 530502.36200005013961345 191802.69399987621000037, 530595.17599992186296731 191799.8449999344884418, 530595.56600007100496441 191767.85100003657862544, 530536.774999886052683 191770.85899987039738335, 530585.65399986645206809 191719.8459999842743855, 530586.26100006699562073 191638.61299999032053165, 530582.00399988796561956 191638.04400002185138874, 530468.81300003617070615 191634.2970001253997907, 530453.68800010799895972 191607.65700010798173025, 530417.00700002734083682 191627.43899990073987283, 530363.98499999474734068 191643.44400004847557284, 530332.42199991177767515 191622.78999995012418367, 530176.51000000012572855 191647.06200008624000475, 530183.99999997846316546 191692.00000004924368113, 530267.93500003544613719 191684.87099999777274206, 530301.0370001217816025 191825.08100009878398851, 530293.77299992006737739 191871.81699987850151956, 530253.00000012875534594 191880.0770000490010716, 530234.2800000935094431 191882.59700000446173362, 530133.51599992136470973 191751.40499996783910319, 530161.50000001001171768 191892.78100013188668527, 530114.13700010231696069 191903.38400006087613292, 530155.42999999749008566 192084.71699996283859946, 530108.58500000147614628 192095.20799995711422525, 530097.81699988897889853 192024.99999998192652129, 530059.17500000004656613 192043.75999987183604389, 530084.76300008129328489 192154.9689998920657672, 530164.54300007259007543 192122.28699998825322837)))</t>
  </si>
  <si>
    <t>E01001393</t>
  </si>
  <si>
    <t>Enfield 036C</t>
  </si>
  <si>
    <t>MultiPolygon (((531299.43200003507081419 192128.93600014058756642, 531308.44700015289708972 192070.60899985017022118, 531346.50200001755729318 192068.10600004470325075, 531346.00300006195902824 192034.22800012619700283, 531270.00000008358620107 192032.00799991659005173, 531271.42199993063695729 191999.60499988435185514, 531498.11500009708106518 192001.95900007901946083, 531495.99999991524964571 191967.99999983649468049, 531614.74400016700383276 191969.76400000101421028, 531600.98600015486590564 191847.90599998377729207, 531710.6720000000204891 191829.25500003766501322, 531705.85099993378389627 191777.15700008548446931, 531544.88100017549004406 191765.33800003211945295, 531500.51199982408434153 191710.12800003757001832, 531446.08799996192101389 191701.43199982776422985, 531453.26100012147799134 191797.47599986809655093, 531284.94099992979317904 191787.47500006918562576, 531276.0000001594889909 191885.99999993439996615, 530985.39100003812927753 191873.10400012537138537, 530992.99999998533166945 191920.00100003674742766, 530986.73899991600774229 191920.98899981926660985, 530954.392000075080432 191964.37100006066611968, 530954.20400000014342368 192080.43400018243119121, 531035.62199989939108491 192078.13899995293468237, 531086.99599983636289835 192089.04699996678391472, 531485.203999905847013 192306.07900017223437317, 531500.07000011042691767 192278.40799985488411039, 531501.93899992457590997 192262.52100008595152758, 531299.43200003507081419 192128.93600014058756642)))</t>
  </si>
  <si>
    <t>E01001394</t>
  </si>
  <si>
    <t>Enfield 035A</t>
  </si>
  <si>
    <t>E02000311</t>
  </si>
  <si>
    <t>Enfield 035</t>
  </si>
  <si>
    <t>MultiPolygon (((532087.11299998208414763 192295.40399967864505015, 531909.9280002904124558 192154.79300004796823487, 531893.99999993515666574 192164.70600018734694459, 531826.64899999555200338 192102.56599995179567486, 531684.13799992972053587 192075.34000000020023435, 531588.70699982368387282 192006.69800025364384055, 531498.11500022490508854 192001.95899980366812088, 531271.42200012283865362 191999.6050000335671939, 531270 192032.00800020372844301, 531346.00299970316700637 192034.22799977997783571, 531346.50199981266632676 192068.10600030509522185, 531308.44700029189698398 192070.60900031012715772, 531299.43200031435117126 192128.9359999870066531, 531501.93900011922232807 192262.52100014567258768, 531500.06999994267243892 192278.40799978072755039, 531485.20400002540554851 192306.07900008439901285, 531572.49999974528327584 192355.89500012394273654, 531717.72200003929901868 192437.57700003311038017, 531820.95099969406146556 192490.1419998406781815, 531926.96400008094497025 192520.53800023725489154, 531940.59400012507103384 192522.71900009727687575, 532169.0110002231085673 192548.92799973438377492, 532258.25700008112471551 192557.34300002007512376, 532572.31300000008195639 192568.54699996643466875, 532565.10999991244170815 192500.88099981419509277, 532553.08899976592510939 192498.66299993952270597, 532391.49699994490947574 192470.84700010641245171, 532304.31299979414325207 192459.60900002339622006, 532255.50000020430888981 192367.98399989257450216, 532087.11299998208414763 192295.40399967864505015)))</t>
  </si>
  <si>
    <t>E01001397</t>
  </si>
  <si>
    <t>Enfield 035C</t>
  </si>
  <si>
    <t>MultiPolygon (((532446.99999993166420609 192750.99999978873529471, 532473.40700002433732152 192724.3529999173770193, 532620.32900000002700835 192762.60699977952754125, 532572.31299997342284769 192568.54699998610885814, 532258.25699981837533414 192557.34300013291067444, 532169.01100012776441872 192548.92800025406177156, 531940.59399993414990604 192522.71899997885338962, 531926.9639997718622908 192520.53799995308509097, 531820.95099975622724742 192490.14199997414834797, 531717.72200022882316262 192437.57700006844243035, 531721.98299986426718533 192570.54300018245703541, 531601.99999999988358468 192550.9999998711864464, 531651.0000001376029104 192623.00000018771970645, 531701.99999995867256075 192702.00000016024569049, 531850.66399985575117171 192647.25200023062643595, 531881.74200022418517619 192689.86100015079136938, 531900.00000019278377295 192728.99900021622306667, 532012.20200010295957327 192671.02700020413612947, 532079.07400005590170622 192725.36300000446499325, 532014.18799979938194156 192799.88400003331480548, 532033.16300012508872896 192868.62199979327851906, 532144.3499999528285116 192821.77800021364237182, 532221.39400020125322044 192744.79199991168570705, 532271.85300001199357212 192737.88300017183064483, 532277.9749999683117494 192766.8389999509381596, 532301.00000012421514839 192746.99999991257209331, 532362.97900000598747283 192819.01900021161418408, 532233.99999978009145707 192924.00000016039120965, 532243.86199985234998167 192945.31099985988112167, 532312.73599999607540667 192946.8899999315617606, 532460.39999979676213115 192831.3999999979569111, 532446.99999993166420609 192750.99999978873529471)))</t>
  </si>
  <si>
    <t>E01001499</t>
  </si>
  <si>
    <t>Enfield 031F</t>
  </si>
  <si>
    <t>MultiPolygon (((531651.00000001688022166 192622.99999986743205227, 531601.9999998677521944 192551.00000000820728019, 531721.98300000000745058 192570.54300005765981041, 531717.72199982078745961 192437.57700007376843132, 531572.50000004796311259 192355.89499986812006682, 531485.20400010200683028 192306.07900006446288899, 531086.99600006081163883 192089.04699985412298702, 531065.57100009045097977 192187.84899995772866532, 530987.37199999997392297 192224.42099996749311686, 531012.06899997172877192 192301.99399982512113638, 531199.09600011096335948 192316.73799998339382, 531332.99999990407377481 192284.00000016298145056, 531406.99999988172203302 192348.41899999146698974, 531284.00000012223608792 192340.00000017590355128, 531194.8969999982509762 192381.55099997369688936, 531161.00100016838405281 192397.99999994007521309, 531208.00000002596061677 192441.99999997648410499, 531155.56800013047177345 192452.70000000452273525, 531136.76200003596022725 192565.18199997852207161, 531098.28399999660905451 192604.50200012692948803, 531137.40200011804699898 192693.00500010521500371, 531103.48299998498987406 192747.50300014263484627, 531196.00000004947651178 192743.99999987572664395, 531201.0000001621665433 192628.9999998557032086, 531350.36000015411991626 192560.75999988138210028, 531459.91400009277276695 192762.10800014590495266, 531609.64200015948154032 192642.47400010950514115, 531651.00000001688022166 192622.99999986743205227)))</t>
  </si>
  <si>
    <t>E01001500</t>
  </si>
  <si>
    <t>Enfield 035D</t>
  </si>
  <si>
    <t>MultiPolygon (((530893.56000013765878975 192566.28600006562191993, 530988.01599993603304029 192544.77700015882146545, 531013.00699998007621616 192604.52199981836020015, 531047.96799978101626039 192600.55299983866279945, 531098.28399995900690556 192604.50199996924493462, 531136.76199996494688094 192565.18199981353245676, 531155.56800011615268886 192452.70000017184065655, 531208.00000007718335837 192441.999999951076461, 531161.00099984370172024 192398.00000015925616026, 531194.89700004924088717 192381.55100011796457693, 531283.99999995878897607 192339.99999983058660291, 531407 192348.41900007572257891, 531333.00000006868503988 192283.99999989452771842, 531199.09599984192755073 192316.73799985722871497, 531012.0689998468151316 192301.99399989080848172, 530987.37200019438751042 192224.42099991155555472, 531065.57099991827271879 192187.84900016701431014, 531086.99599983962252736 192089.04699993794201873, 531035.62199999112635851 192078.13900004784227349, 530954.20400015823543072 192080.43399987366865389, 530726.60000000288709998 192104.04999978604610078, 530690.90900018031243235 192101.00000001658918336, 530567.18699996860232204 192084.79699993290705606, 530653.41900015156716108 192285.88900008509517647, 530522.50100000016391277 192240.19499984799767844, 530566.23599991132505238 192337.1660000239207875, 530584.93799978564493358 192373.21900007899967022, 530544.06299997144378722 192389.84399994253180921, 530654.56499995419289917 192568.06099983357125893, 530776.193000084371306 192798.87399995219311677, 530802.18799980811309069 192785.38199991753208451, 530897.99999981513246894 192733.43900009343633428, 530907.93800016713794321 192726.03099989530164748, 530958.00000009406358004 192705.00000005358015187, 530998.7839999976567924 192674.56399984177551232, 530910.06099987518973649 192622.04199989628978074, 530893.56000013765878975 192566.28600006562191993)))</t>
  </si>
  <si>
    <t>E01001501</t>
  </si>
  <si>
    <t>Enfield 036E</t>
  </si>
  <si>
    <t>MultiPolygon (((530594.54599995247554034 193144.52900009934091941, 530498.43800009251572192 192963.68700025128782727, 530605.51099996140692383 192943.92600000236416236, 530695.88599983195308596 192888.11399995753890835, 530741.45800007507205009 192865.03100009154877625, 530821.15900019812397659 192814.26399997333646752, 530812.08800014399457723 192800.16399989216006361, 530802.18800026190001518 192785.38200005286489613, 530776.1930000534048304 192798.87400011671707034, 530654.5649999127490446 192568.06100022001191974, 530544.0629998316289857 192389.84399974293773994, 530584.93799974350258708 192373.21900007370277308, 530566.23599986452609301 192337.16599981088074856, 530522.50100024242419749 192240.19499985690345056, 530653.41899978090077639 192285.88900008730706759, 530567.18700022774282843 192084.79700008180225268, 530553.37599994125775993 192081.74100009561516345, 530385.88299992494285107 192072.98199999998905696, 530164.54300022893585265 192122.28700019005918875, 530208.93200019584037364 192244.45499981616740115, 530244.92999994801357388 192232.42700014731963165, 530270.30999987490940839 192296.33499975971062668, 530231.46000008843839169 192309.10699996163020842, 530245.99999987217597663 192349.00000021859887056, 530293.41699986415915191 192335.09499990593758412, 530325.03700005554128438 192422.90099977975478396, 530319.26999980013351887 192425.35500005338690244, 530452.90499991271644831 192521.25800000215531327, 530312.00000018218997866 192513.99999989796197042, 530299.99999992665834725 192585.99999978794949129, 530189.6020000142743811 192631.00000019860453904, 530297.99999988405033946 192607.00000023527536541, 530404.48400006140582263 192767.06899975152919069, 530245.25300000852439553 192797.96199981676181778, 530153.24100017885211855 192953.03199973391019739, 530088.99999981524888426 192848.99999991114600562, 530066.99999989452771842 192702.80399981263326481, 530047.11199986096471548 192707.44600018110941164, 529989.75899980193935335 192725.64999996835831553, 530068.11600014625582844 193017.72599982109386474, 530115.99999984249006957 193005.00099990618764423, 530129.00000011944212019 193050.99999983076122589, 530181.1009998737135902 193066.09600009536370635, 530208.04400001920294017 193127.02399992919526994, 530266.7040002605644986 193046.9900001508067362, 530350.14400008739903569 193021.2870001632545609, 530388.93500007328111678 193063.57399983779760078, 530384.51300010399427265 193009.41999999704421498, 530446.34100017615128309 192976.48000015009893104, 530470.99999973375815898 193029.99999993134406395, 530547.25700025248806924 193168.82800000000861473, 530594.54599995247554034 193144.52900009934091941)))</t>
  </si>
  <si>
    <t>E01001527</t>
  </si>
  <si>
    <t>Enfield 036F</t>
  </si>
  <si>
    <t>MultiPolygon (((529340.46900019014719874 192155.80700016970513389, 529293.24999986472539604 192066.97000015879166313, 529306.36100002005696297 192018.64599984011147171, 529215.12500017136335373 191911.43699996519717388, 529198.46100004948675632 191899.06600004088249989, 528975.37499998148996383 191791.60899986428557895, 528753.10599991003982723 192078.45299996237736195, 528721.15599996643140912 192127.17699997231829911, 528562.25 192369.90599988496978767, 528613.7430001589236781 192388.72199980934965424, 528653.0240000820485875 192319.0099998336227145, 528697.96899981261231005 192344.63500003670924343, 528673.99999998277053237 192278.99999986955663189, 528695.15099991962779313 192245.101000181020936, 528768.44699989957734942 192288.68399995917570777, 528754.99999987834598869 192320.99999993140227161, 528778.82599997613579035 192332.73499992789584212, 528842.85500017181038857 192304.28899981547147036, 528879.26300003391224891 192242.51900013320846483, 528946.54500013415236026 192113.22599995660129935, 529015.60999999195337296 192148.50999985283124261, 529173.00000008370261639 192144.99999998911516741, 529209.00000008079223335 192242.00000005736364983, 529221.65999987698160112 192275.95000002253800631, 529180.01899993617553264 192306.35200017876923084, 529234.64500013156794012 192310.2299998210510239, 529247.00000009953510016 192343.99999998387647793, 529282.73400008864700794 192422.45000013572280295, 529344.93099999986588955 192358.66700010045315139, 529336.6799999870127067 192261.47900005601695739, 529306.31000013486482203 192254.75800012418767437, 529282.26700016437098384 192196.09799983171978965, 529340.46900019014719874 192155.80700016970513389)))</t>
  </si>
  <si>
    <t>E01001528</t>
  </si>
  <si>
    <t>Enfield 032B</t>
  </si>
  <si>
    <t>MultiPolygon (((529932.24000015389174223 192446.06499992791214027, 529945.71899994241539389 192362.56799995264736935, 530014.94400000013411045 192325.69699999201111495, 529992.87899986561387777 192190.96399998152628541, 529947.84900005126837641 192208.67399989938712679, 529859.18799989635590464 192260.5000001780281309, 529842.4059998745797202 192228.7900000847002957, 529703.12500007019843906 191967.76600007209344767, 529636.74999997764825821 191996.49999990497599356, 529379.63099985930602998 192104.74400007433723658, 529359.13799999095499516 192080.66400008028722368, 529306.36099998618010432 192018.64600004613748752, 529293.25000004284083843 192066.96999988952302374, 529340.46899988048244268 192155.80700004997197539, 529282.26699999999254942 192196.09799996871151961, 529306.31000017188489437 192254.75799990521045402, 529336.6799999731592834 192261.47899988837889396, 529344.93099987972527742 192358.66700010842760094, 529434.37400011764839292 192396.71599998138844967, 529442.49699988693464547 192440.47399998872424476, 529647.49999994225800037 192400.70000004052417353, 529730.00000016496051103 192344.00000009927316569, 529773.39800006104633212 192377.04799991013715044, 529730.99500007566530257 192422.04000016456120647, 529822.96699983137659729 192419.45199999961187132, 529875.38000004109926522 192387.39999983721645549, 529932.24000015389174223 192446.06499992791214027)))</t>
  </si>
  <si>
    <t>E01001530</t>
  </si>
  <si>
    <t>Enfield 032D</t>
  </si>
  <si>
    <t>MultiPolygon (((530068.1160000542877242 193017.72599977033678442, 529989.75900010101031512 192725.64999991160584614, 530047.11199977109208703 192707.44599984094384126, 530066.99999987136106938 192702.80400007907883264, 530089.00000024167820811 192848.99999978081905283, 530153.24100025265943259 192953.03200000431388617, 530245.25299998268019408 192797.96200009546009824, 530404.48399997700471431 192767.06899980604066513, 530298.00000022281892598 192606.99999974953243509, 530189.6019997502444312 192631.00000019936123863, 530299.99999979720450938 192586.00000017686397769, 530311.99999976949766278 192513.99999983771704137, 530452.90500000002793968 192521.25799996839486994, 530319.27000001084525138 192425.35499986301874742, 530325.03700016473885626 192422.90100022964179516, 530293.41700020479038358 192335.09500011580530554, 530246.00000017427373677 192349.00000009193900041, 530231.46000019693747163 192309.10700020217336714, 530270.30999986105598509 192296.33500001826905645, 530244.92999982612673193 192232.42700017188326456, 530208.93200001178774983 192244.45500006549991667, 530164.54299976921174675 192122.28700022969860584, 530084.76299979246687144 192154.96900012731202878, 529992.87900006340350956 192190.9640000402869191, 530014.94399998034350574 192325.69699979384313338, 529945.7189998336834833 192362.56800020346418023, 529932.2399999953340739 192446.06500021478859708, 529875.38000011211261153 192387.39999990232172422, 529822.96699983521830291 192419.45199980263714679, 529730.9950001371325925 192422.04000025018467568, 529773.39800000807736069 192377.04800013301428407, 529729.99999984877649695 192344.00000014557735994, 529647.50000022840686142 192400.69999990114592947, 529442.49699999997392297 192440.47399999911431223, 529453.68699983146507293 192544.79000014602206647, 529506.14599994290620089 192545.98099988346803002, 529505.04399997333530337 192599.21599990656250156, 529608.17899988556746393 192687.76000000280328095, 529708.61499996902421117 192651.69700013659894466, 529792.13499989756383002 192829.81099993491079658, 529882.04499987082090229 192800.9579997569671832, 529933.33799975959118456 192900.3919999505742453, 529922.92500014370307326 192935.61099995192489587, 529999.00000019662547857 193014.99999981897417456, 530068.1160000542877242 193017.72599977033678442)))</t>
  </si>
  <si>
    <t>E01001535</t>
  </si>
  <si>
    <t>Enfield 028E</t>
  </si>
  <si>
    <t>E02000304</t>
  </si>
  <si>
    <t>Enfield 028</t>
  </si>
  <si>
    <t>MultiPolygon (((532257.99999990337528288 192262.00000002700835466, 532335.77999989874660969 192164.39800006363657303, 532414.87800009862985462 192179.52699993256828748, 532415.48599990003276616 192248.02800016000401229, 532440.36599982553161681 192258.22499992715893313, 532505.75699996564071625 192247.00799994601402432, 532528.16200007160659879 192170.27099991723662242, 532567.54200008860789239 192179.05899997090455145, 532581.05600003781728446 192177.71899990216479637, 532621.01500000001396984 192019.03900016692932695, 532595.8710001555737108 191996.5459998301230371, 532426.17400015506427735 192045.49900005228118971, 532329.83400007348973304 191995.10900014868821017, 532416.99999988009221852 191957.00000016883132048, 532526.99999985436443239 191819.99999987744376995, 532523.00000012258533388 191749.00000018946593627, 532395.67600013932678849 191773.04399985616328195, 532196.6250000293366611 191922.04700016844435595, 532171.762000139686279 192059.56899980711750686, 532000.13900013326201588 192044.90700001153163612, 531847.40700000000651926 192053.24400013932608999, 531909.9279999437276274 192154.79299995044129901, 532087.11300010443665087 192295.40400008735014126, 532255.50000016763806343 192367.98400012197089382, 532304.31300016329623759 192459.60899985345895402, 532391.49699989403598011 192470.84699981054291129, 532403.42600005492568016 192441.50700007186969742, 532347.65099996025674045 192355.61400007907650433, 532270.09500009519979358 192337.24000011148746125, 532257.99999990337528288 192262.00000002700835466)))</t>
  </si>
  <si>
    <t>E01001556</t>
  </si>
  <si>
    <t>Enfield 035E</t>
  </si>
  <si>
    <t>MultiPolygon (((529467.13399991171900183 191317.00499971667886712, 529679.89500004833098501 191115.85799985128687695, 529754.7059997619362548 191044.88499977072933689, 529875.17599999997764826 190930.77400020419736393, 529842.05999993428122252 190884.2419997752585914, 529800.85099979536607862 190850.47500006013433449, 529549.82300008554011583 190831.27499993750825524, 529558.0579999228939414 190799.6439999220892787, 529516.17900029860902578 190765.53900005907053128, 529561.84699991508387029 190657.17000003971043043, 529609.93899990653153509 190641.27199996178387664, 529602.99999977101106197 190603.99999978285632096, 529423.9999997525010258 190646.00000027864007279, 529233.99999987869523466 190642.00000000032014214, 529365.99900013173464686 190769.00000004054163583, 529500.00000018742866814 190869.00100015712087043, 529597.66500028711743653 191023.99699978542048484, 529606.57999974710401148 191035.47499988946947269, 529588.19100025575608015 191083.63700023465207778, 529459.11200002382975072 191063.23799986019730568, 529223.99999978952109814 190982.99999976440449245, 529204.00000021792948246 191036.99999988180934452, 529376.00000005261972547 191090.00000023300526664, 529268.25899991311598569 191224.50000003675813787, 529184.91500015638303012 191151.40600015898235142, 528955.77699986146762967 191185.59000007450231351, 528862.39799983857665211 191071.90799990232335404, 528767.82899986940901726 191059.80599985193111934, 528728.94499977852683514 191241.35799993880209513, 528661.787999999942258 191515.63099975700606592, 528664.24399984325282276 191638.05199988663662225, 528975.37499974179081619 191791.60900021714041941, 529165.66899988788645715 191601.90300000880961306, 529321.5529999298742041 191455.150000085006468, 529369.48599998466670513 191409.66500000646919943, 529467.13399991171900183 191317.00499971667886712)))</t>
  </si>
  <si>
    <t>E01001962</t>
  </si>
  <si>
    <t>Haringey 004A</t>
  </si>
  <si>
    <t>E02000400</t>
  </si>
  <si>
    <t>Haringey 004</t>
  </si>
  <si>
    <t>MultiPolygon (((529794.43200014985632151 191239.57999984521302395, 529821.35400019597727805 191209.87299997042282484, 529916.13999984844122082 191230.10000007555936463, 529925.18000022089108825 191160.17999979501473717, 529913.00000007438939065 191130.65899999008979648, 529813.9999999338760972 191164.99999993870733306, 529794.00000006926711649 191135.00000014176475815, 529827.82600006146822125 191078.23400014484650455, 529754.70600006601307541 191044.8850000622915104, 529679.89499975403305143 191115.85800019089947455, 529467.13399980333633721 191317.00500002782791853, 529369.48600018711294979 191409.66500017268117517, 529321.5530001336010173 191455.15000010744552128, 529165.66900019708555192 191601.90299997237161733, 528975.375 191791.60900024269358255, 529198.46100011130329221 191899.06600002181949094, 529215.12500022619497031 191911.43699993775226176, 529341.54500017501413822 191865.60299979834235273, 529437.81300013896543533 191828.75100017304066569, 529630.73400023602880538 191748.60200014381553046, 529827.1939998404122889 191719.41499992506578565, 529835.36100018722936511 191714.86400023379246704, 529972.15100012556649745 191520.65999992442084476, 529988.58799999998882413 191463.94500000384869054, 529963.99999993178062141 191425.00000020515290089, 529838.32100013876333833 191402.07799992928630672, 529797.10700000252109021 191319.74900019244523719, 529837.3949999543838203 191285.98599975826800801, 529794.43200014985632151 191239.57999984521302395)))</t>
  </si>
  <si>
    <t>E01001973</t>
  </si>
  <si>
    <t>Haringey 004D</t>
  </si>
  <si>
    <t>MultiPolygon (((528099.95000013685785234 190422.15999991737771779, 528139.31299986666999757 190352.14099993035779335, 528172.46099989197682589 190372.7050001765601337, 528138.92200022202450782 190342.68200006967526861, 528148.00000024866312742 190310.00000012404052541, 528175.23099990794435143 190323.01000021037179977, 528275.23300022934563458 190266.08799977492890321, 528181.62499977392144501 190172.64000000001396984, 528170.25600004207808524 190222.38200018930365331, 528107.26100018119905144 190181.83399984386051074, 528034.45300016703549773 190222.60200026331585832, 527829.51399996096733958 190218.46900014075799845, 527819.71100014843977988 190216.8579997482302133, 527431.31499977060593665 190383.12399987812386826, 527543.32000011438503861 190656.36699995223898441, 527619.53899982501752675 190861.66299981082556769, 527734.49999973631929606 191146.43000012700213119, 527771.69299974851310253 191223.01800011121667922, 527797.74999980349093676 191233.23399999999674037, 527787.68799975432921201 191195.31200017160153948, 527955.89300010749138892 190989.07499995303805918, 527987.34699977503623813 190864.02700020119664259, 527989.13399990857578814 190701.40900010301265866, 528010.59400004160124809 190591.81599998252931982, 528017.04200005112215877 190561.83200003823731095, 528099.95000013685785234 190422.15999991737771779)))</t>
  </si>
  <si>
    <t>E01001995</t>
  </si>
  <si>
    <t>Haringey 017D</t>
  </si>
  <si>
    <t>E02000413</t>
  </si>
  <si>
    <t>Haringey 017</t>
  </si>
  <si>
    <t>MultiPolygon (((532084.862000024295412 187425.27800004705204628, 532132.61700013466179371 187329.68100000655977055, 532185.76900014327839017 187336.06999991257907823, 532216.79200016148388386 187387.71700006301398389, 532275.56499991286545992 187417.48600005952175707, 532382.10699987376574427 187174.65800006943754852, 532601.84000000008381903 187146.2220000071101822, 532532.69200008478946984 187052.08700001798570156, 532429.7279998812591657 186957.76800006959820166, 532334.87499993364326656 186978.36499986134003848, 532297.24999999406281859 186944.81799998506903648, 532253.54700016102287918 186995.0470000971108675, 532225.27800003706943244 186951.75299992557847872, 532205.09800016263034195 187016.36199984737322666, 532155.86699990171473473 186996.98900016347761266, 532116.91999985696747899 186986.02899993778555654, 532152.71100004715844989 187043.21700006071478128, 532198.5490000193240121 187051.60700000301585533, 532160.6239998962264508 187102.47500016109552234, 532128.999000143725425 187193.18100010423222557, 532118.01899997552391142 187207.01300016400637105, 532074.65299994102679193 187231.56399988743942231, 532027.31700016022659838 187208.10199996281880885, 531971.53599989833310246 187248.00699997349875048, 531945.61100014939438552 187219.54500012518838048, 531905.07499999995343387 187195.22700001127668656, 531941.85499992780387402 187270.82999985208152793, 531905.82900006417185068 187292.61499999440275133, 532044.31299998192116618 187475.84399995766580105, 532058.59800006449222565 187481.40400001493981108, 532084.862000024295412 187425.27800004705204628)))</t>
  </si>
  <si>
    <t>E01001714</t>
  </si>
  <si>
    <t>Hackney 002A</t>
  </si>
  <si>
    <t>E02000346</t>
  </si>
  <si>
    <t>Hackney 002</t>
  </si>
  <si>
    <t>E09000012</t>
  </si>
  <si>
    <t>Hackney</t>
  </si>
  <si>
    <t>MultiPolygon (((531971.53600005246698856 187248.00699991965666413, 532027.31699994357768446 187208.10199992192792706, 532074.6530000678030774 187231.5639999715203885, 532118.01900000195018947 187207.01300001752679236, 532128.99899992439895868 187193.18100006127497181, 532160.62399989226832986 187102.47500007326016203, 532198.54899999999906868 187051.60699991291039623, 532152.71099991642404348 187043.21700005829916336, 532116.91999992181081325 186986.02900010938174091, 531922.60599993425421417 186921.25799989295774139, 531881.00000000651925802 186918.00000008032657206, 531865.11700006038881838 186954.94400002638576552, 531750.5299999451963231 186918.4580001171270851, 531730.03599999996367842 186959.46400004270253703, 531765.71199996490031481 186933.61199992589536123, 531916.38000001723412424 187056.60500008324743249, 531858.22100008232519031 187104.32999999212916009, 531848.69399999524466693 187132.42700008777319454, 531905.07499988854397088 187195.22700008036918007, 531945.61099998815916479 187219.54500008624745533, 531971.53600005246698856 187248.00699991965666413)))</t>
  </si>
  <si>
    <t>E01001715</t>
  </si>
  <si>
    <t>Hackney 007A</t>
  </si>
  <si>
    <t>E02000351</t>
  </si>
  <si>
    <t>Hackney 007</t>
  </si>
  <si>
    <t>MultiPolygon (((531916.38000000198371708 187056.60500008027884178, 531765.71200006979051977 186933.61199992956244387, 531730.03600001614540815 186959.46399996348191053, 531750.52999993972480297 186918.45800002902979031, 531865.11700010416097939 186954.94400007350486703, 531880.99999988393392414 186917.99999987037153915, 531922.605999915744178 186921.25799992110114545, 531948.16999995918013155 186845.96400010207435116, 531964.39099987817462534 186799.10299999071867205, 531893.75200004130601883 186730.28800000000046566, 531839.00000009743962437 186782.99999989400384948, 531859.84300011990126222 186804.92099989450071007, 531840.81799991452135146 186872.14300003441167064, 531799.86200012871995568 186819.74100005012587644, 531769.92500006454065442 186791.05599996418459341, 531727.29300011938903481 186813.98099995890515856, 531603.80800011369865388 186863.22100007673725486, 531582.54600012174341828 186903.43700002357945777, 531645.14099994662683457 186970.86100011187954806, 531680.29800001438707113 187009.20099986676359549, 531905.82900001900270581 187292.61499999999068677, 531941.85499998880550265 187270.8299999090959318, 531905.07499992474913597 187195.2269999977434054, 531848.69399995543062687 187132.42699992874986492, 531858.22099994099698961 187104.32999988200026564, 531916.38000000198371708 187056.60500008027884178)))</t>
  </si>
  <si>
    <t>E01001716</t>
  </si>
  <si>
    <t>Hackney 007B</t>
  </si>
  <si>
    <t>MultiPolygon (((531727.29300002544187009 186813.98100011528003961, 531769.92500010505318642 186791.05600008109468035, 531799.86199997365474701 186819.74099993708659895, 531840.81799991615116596 186872.1430000692489557, 531859.84300007368437946 186804.92099995410535485, 531839.00000010174699128 186782.99999997328268364, 531893.75200011464767158 186730.28799989208346233, 531910.8599999884609133 186710.47999996846192516, 531866.86799995449837297 186664.54599988961126655, 531958.15200011117849499 186587.0309998806042131, 531981.41999999992549419 186539.42000008546165191, 531920.22100012446753681 186503.70700010639848188, 531888.99999991676304489 186489.99999994857353158, 531837.52899996330961585 186445.47600009906454943, 531829.84900011727586389 186453.32900011885794811, 531659.73100004706066102 186625.07600004266714677, 531644.05700008315034211 186643.07199988389038481, 531619.9990001138066873 186664.63599988291389309, 531524.45899992855265737 186753.20900010492186993, 531479.875 186794.71899988353834487, 531582.54600009706337005 186903.43699990093591623, 531603.80800004058983177 186863.22100001483340748, 531727.29300002544187009 186813.98100011528003961)))</t>
  </si>
  <si>
    <t>E01001718</t>
  </si>
  <si>
    <t>Hackney 007D</t>
  </si>
  <si>
    <t>6b</t>
  </si>
  <si>
    <t>MultiPolygon (((532881.63700002536643296 187799.24599998389021493, 532892.82699996931478381 187722.53599999687867239, 532835.15799993590917438 187734.3779999942635186, 532746.02300003927666694 187698.00400010397424921, 532740.23899997514672577 187734.9580001336580608, 532689.90800010482780635 187704.27800006192410365, 532683.17300003417767584 187700.05799990444211289, 532635.36400011193472892 187650.5910001327865757, 532601.56699995894450694 187663.72000011237105355, 532571.48600000003352761 187785.89200009626802057, 532617.99900005664676428 187815.00000001996522769, 532690.99999988439958543 187883.00000008472125046, 532666.1039998767664656 187904.26499995766789652, 532645.81299996341113001 187938.51599990628892556, 532784.39699986495543271 187986.50900001687114127, 533042.98299997858703136 188040.50999989296542481, 533136.09599999990314245 188046.55999986716778949, 533131.02600009576417506 188013.426999988645548, 533032.58400001260451972 187961.34199991295463406, 532969.99999991769436747 187953.0000000849540811, 532894.70299997425172478 187943.0919999370817095, 532903.74099991307593882 187892.18300005837227218, 532862.85199989168904722 187882.92200006014900282, 532881.63700002536643296 187799.24599998389021493)))</t>
  </si>
  <si>
    <t>E01001811</t>
  </si>
  <si>
    <t>Hackney 002D</t>
  </si>
  <si>
    <t>MultiPolygon (((532178.9430000513093546 187832.32600009712041356, 532234.34099987766239792 187749.28100009384797886, 532352.98399995209183544 187773.4859998814354185, 532387.14899991441052407 187725.45199998386669904, 532410.00000012083910406 187689.00000007715425454, 532412.14599999994970858 187684.80499996768776327, 532275.29899993224535137 187608.79899995928280987, 532258.04900002141948789 187599.1840000657539349, 532109.98099987639579922 187515.37199995032278821, 532058.59800001280382276 187481.40399988379795104, 532044.31299995363224298 187475.84399990292149596, 531915.68700000015087426 187796.2659999969182536, 532011.57900011504534632 187819.81299997633323073, 532121.49999996472615749 187800.96900004052440636, 532178.9430000513093546 187832.32600009712041356)))</t>
  </si>
  <si>
    <t>E01001813</t>
  </si>
  <si>
    <t>Hackney 002E</t>
  </si>
  <si>
    <t>MultiPolygon (((531428.35199993767309934 188392.04899999999906868, 531452.00000004540197551 188321.00000009484938346, 531481.65700031293090433 188325.32500000717118382, 531510.81300021696370095 188291.44500001656706445, 531514.94300033338367939 188254.78899963907315396, 531481.11899969226215035 188245.13300016449647956, 531498.99999980628490448 188216.762999832368223, 531492.07300034840591252 188061.54000019549857825, 531538.16399979055859149 188037.54099981387844309, 531612.99999978893902153 188073.99999973163357936, 531619.90100023581180722 188077.22600038736709394, 531694.64199996355455369 188131.29899997109896503, 531676.99699962721206248 188239.00499978405423462, 531675.1590003672754392 188276.68500017488258891, 531795.79599974129814655 188293.63100015776581131, 531784.1380002781515941 188331.14199976361123845, 531788.15600009262561798 188368.10200004486250691, 531814.98900007281918079 188371.72799960366683081, 531825.97099960222840309 188297.85599974315846339, 531846.81299978611059487 188175.90599981971899979, 531853.13499963062349707 188113.86499993177130818, 531864.27599983208347112 188007.60199973057024181, 531872.80099984921980649 187955.40100027143489569, 531850.56299962208140641 187933.78099996465607546, 531915.68699999479576945 187796.26599993230774999, 532044.31300023070070893 187475.84399997745640576, 531905.82900000410154462 187292.61499978776555508, 531680.29800032777711749 187009.20100001458195038, 531645.14099971309769899 186970.86100019127479754, 531582.54600030637811869 186903.43700031458865851, 531479.87499960081186146 186794.71899966182536446, 531452.18799992266576737 186788.9529999999795109, 531359.9999998485436663 186883.81200007762527093, 531364.64000010932795703 186994.67699995054863393, 531384.65499993809498847 187344.99399981278111227, 531384.86600023519713432 187348.46399969520280138, 531402.10200028435792774 187642.2840001925942488, 531405.78299966233316809 187709.15699994313763455, 531416.44599992025177926 187887.16399987690965645, 531418.68800021253991872 187980.84699998932774179, 531349.3190000286558643 188360.8299999000155367, 531343.35799976938869804 188377.42700027284445241, 531428.35199993767309934 188392.04899999999906868)))</t>
  </si>
  <si>
    <t>E01002002</t>
  </si>
  <si>
    <t>Haringey 031C</t>
  </si>
  <si>
    <t>E02000427</t>
  </si>
  <si>
    <t>Haringey 031</t>
  </si>
  <si>
    <t>MultiPolygon (((533009.19200000388082117 188776.3960000247170683, 533076.78899992688093334 188717.10900009344913997, 533108.11300013621803373 188756.51399992639198899, 533264.1809999366523698 188666.40700012916931883, 533246.43800004967488348 188632.56200013717170805, 533277.86500004469417036 188617.59799992004991509, 533323.98600014369003475 188651.0209998530917801, 533443.37100000004284084 188735.71300018642796203, 533430.1249999871943146 188544.15600005883607082, 533420.98499980987980962 188542.21400014340179041, 533079.66699996928218752 188479.20999991404823959, 532968.94699986337218434 188463.03199983612284996, 532788.70000014477409422 188436.69399986014468595, 532673.92500007012858987 188419.22499989651259966, 532648.73300000000745058 188415.30099997532670386, 532690.20900008932221681 188605.55899980184040032, 532699.99099982914049178 188650.95500000205356628, 532764.2479999577626586 188645.90199986565858126, 532792.03700018068775535 188643.56500010122545063, 532857.99999989045318216 188612.99999996682163328, 532877.03799987083766609 188679.53700007876614109, 532833.56899999920278788 188689.56900008508819155, 532842.9239998176926747 188752.51500008415314369, 532946.80600007739849389 188775.32000017756945454, 533009.19200000388082117 188776.3960000247170683)))</t>
  </si>
  <si>
    <t>E01002046</t>
  </si>
  <si>
    <t>Haringey 026C</t>
  </si>
  <si>
    <t>E02000422</t>
  </si>
  <si>
    <t>Haringey 026</t>
  </si>
  <si>
    <t>MultiPolygon (((533464.8420001408085227 188320.75299992537475191, 533475.59799991559702903 188266.99399999433080666, 533435.21899989747907966 188254.75199988941312768, 533475.59799991559702903 188233.67100007575936615, 533470.71799999277573079 188154.11199987123836763, 533457.96400001319125295 188104.08800002909265459, 533445.04700007673818618 188052.11100002768216655, 533407.31399995402898639 187974.85899999999674037, 533314.22100011596921831 188008.14999996183905751, 533211.36599993833806366 188037.51999987367889844, 533214.53900000744033605 188100.8970000552944839, 533197.78600001230370253 188121.07100006763357669, 533239.65499992959666997 188229.51999998226528987, 533168.45199990994296968 188217.45499988610390574, 533159.00000007310882211 188250.99999985896283761, 533066.99999999743886292 188296.00099993625190109, 533064.00000008440110832 188298.00000010422081687, 533090.57900004857219756 188377.3790001267043408, 533171.29100007622037083 188381.98800009704427794, 533147.04800007224548608 188315.99400008705561049, 533216.82899995893239975 188309.1610000049113296, 533242.99999990779906511 188368.99999993751407601, 533082.00000013003591448 188476.99999992767698132, 533079.66700005927123129 188479.20999998750630766, 533420.98499993421137333 188542.21399999997811392, 533464.8420001408085227 188320.75299992537475191)))</t>
  </si>
  <si>
    <t>E01002053</t>
  </si>
  <si>
    <t>Haringey 032A</t>
  </si>
  <si>
    <t>E02000428</t>
  </si>
  <si>
    <t>Haringey 032</t>
  </si>
  <si>
    <t>MultiPolygon (((533082.00000012270174921 188476.99999993952224031, 533243 188369.00000006781192496, 533216.82899989606812596 188309.16100011914386414, 533147.04799991461914033 188315.99400002000038512, 533171.29100009601097554 188381.98799993094871752, 533090.57900008687283844 188377.37900004585389979, 533063.99999995448160917 188297.99999989394564182, 533067.00000002991873771 188296.00099989809677936, 533057.97999994712881744 188272.93899992606020533, 533031.01299992715939879 188273.13800004732911475, 532991.31700001878198236 188152.02499985881149769, 532898.78300010785460472 188210.38199989649001509, 532936.44600006542168558 188307.90999998582992703, 532888.86800012306775898 188336.33900006045587361, 532870.31499990075826645 188305.66200008557643741, 532832.07099997659679502 188243.49299994361354038, 532768.00000009522773325 188284.99999994627432898, 532784.52200009627267718 188328.76000002666842192, 532736.89099992287810892 188329.27900012565078214, 532748.35800002713222057 188367.86200001905672252, 532712.00000001420266926 188370.99999992843368091, 532673.92500000004656613 188419.22500001775915734, 532788.69999993313103914 188436.69400000254972838, 532968.94700008386280388 188463.03200000239303336, 533079.66700005054008216 188479.21000014117453247, 533082.00000012270174921 188476.99999993952224031)))</t>
  </si>
  <si>
    <t>E01002054</t>
  </si>
  <si>
    <t>Haringey 032B</t>
  </si>
  <si>
    <t>MultiPolygon (((532768.00000001862645149 188284.99999981751898304, 532832.07100007019471377 188243.49300000062794425, 532870.31500012590549886 188305.66200015525100753, 532888.86799982015509158 188336.33900022198213264, 532936.44600016321055591 188307.91000014080782421, 532898.78300019586458802 188210.38200008231797256, 532991.31699998292606324 188152.02500025654444471, 533031.01300022611394525 188273.13800020262715407, 533057.97999997495207936 188272.93899999116547406, 533067.0000002181623131 188296.00100000211386941, 533158.99999991699587554 188251.00000016801641323, 533168.4520002375356853 188217.4550000385788735, 533239.65500000002793968 188229.52000013244105503, 533197.78600007214117795 188121.07100000069476664, 533214.53899988054763526 188100.89699981833109632, 533211.36599985172506422 188037.52000007790047675, 533136.09599999489728361 188046.56000008701812476, 533042.98300025321077555 188040.50999991747085005, 532784.39700011734385043 187986.50900012993952259, 532645.81300001835916191 187938.5159997986338567, 532666.10400016710627824 187904.26500012719770893, 532462.18399976217187941 187900.99900016537867486, 532345.93799997610040009 187849.89100001694168895, 532218.0980001623975113 187849.1689999288355466, 532191.91599999996833503 187876.48600003391038626, 532311.06899983750190586 187888.48100016135140322, 532299 187931.00000007706694305, 532337.02500007825437933 187960.57499978877604008, 532476.24499975272919983 188067.84300004484248348, 532523.99999988381750882 188102.00000024028122425, 532546.00000011920928955 188172.00099977044737898, 532622.99999989557545632 188149.00000017177080736, 532698.3179998192936182 188336.07399978768080473, 532712.00000013364478946 188371.00000007115886547, 532748.35799979092553258 188367.86199976364150643, 532736.89099987444933504 188329.27900008737924509, 532784.52200009487569332 188328.75999995437450707, 532768.00000001862645149 188284.99999981751898304)))</t>
  </si>
  <si>
    <t>E01002056</t>
  </si>
  <si>
    <t>Haringey 032C</t>
  </si>
  <si>
    <t>MultiPolygon (((531239.96399986941833049 187498.53200009590364061, 531313.73000005842186511 187403.32700006078812294, 531384.86600012716371566 187348.46400013755192049, 531384.65499995776917785 187344.99399993105907924, 531364.63999997091013938 186994.67699992409325205, 531360.00000009150244296 186883.8120000000053551, 531347.05899987032171339 186897.01800008933059871, 531228.6139999347506091 187036.64300004451069981, 531038.95000008668284863 187216.97499988524941728, 531060.34200000076089054 187243.9089999700372573, 531043.70799999660812318 187285.22900011204183102, 531085.0370000321418047 187336.73999985939008184, 531057.04800011508632451 187360.98199995671166107, 530998.56899987289216369 187396.9220000388158951, 531020.99999995902180672 187434.0000001352163963, 531041.98900006094481796 187460.13799987596576102, 531077.49600012239534408 187504.66099989152280614, 531088.61299984762445092 187459.38499988699913956, 531165.88199996517505497 187447.01899988370132633, 531195.49300010234583169 187545.03399993691709824, 531238.81900008826050907 187560.21599999998579733, 531270.33900001551955938 187544.45500014213030227, 531239.96399986941833049 187498.53200009590364061)))</t>
  </si>
  <si>
    <t>E01002065</t>
  </si>
  <si>
    <t>Haringey 036D</t>
  </si>
  <si>
    <t>E02000432</t>
  </si>
  <si>
    <t>Haringey 036</t>
  </si>
  <si>
    <t>MultiPolygon (((533437.49400003743357956 189019.00200004750513472, 533481.56599995715077966 188954.26899986001080833, 533510.77900011779274791 188975.87799998570699245, 533597.09700010868255049 188958.4499999139807187, 533601.6350001294631511 188901.5779999663354829, 533653.00000000116415322 188893.00000000657746568, 533672.9999998330604285 188983.99999991949880496, 533698.26699990569613874 188936.47799991024658084, 533788.90800010715611279 188936.47799991024658084, 533835.82999985048081726 188932.20199996378505602, 533831.58599988208152354 188964.02300002941046841, 533884.13100012997165322 188919.67999999920721166, 533980.87799995427485555 188963.76400008003110997, 534016 188842.00000009633367881, 533939.9690000246046111 188784.48899995183455758, 533969.51200004364363849 188686.25799995978013612, 533913.00999992690049112 188667.20900011068442836, 533857.77199995948467404 188648.241999951278558, 533638.09000015014316887 188588.2839998337731231, 533604.96299987938255072 188581.36100005148909986, 533430.12499996821861714 188544.15599995249067433, 533443.37099994439631701 188735.7129998711461667, 533555.00000014703255147 188817.99999995922553353, 533585.99999988661147654 188841.00000010474468581, 533568.72799987718462944 188864.90700009389547631, 533456.22699993394780904 188812.5649998338194564, 533466.5779999055666849 188912.15699995096656494, 533359.52000008220784366 188919.33200006853439845, 533338.46499999985098839 188949.07700003372156061, 533385.94599999499041587 188992.43500001970096491, 533441.18000013451091945 188987.19300014301552437, 533437.49400003743357956 189019.00200004750513472)))</t>
  </si>
  <si>
    <t>E01002072</t>
  </si>
  <si>
    <t>Haringey 025D</t>
  </si>
  <si>
    <t>E02000421</t>
  </si>
  <si>
    <t>Haringey 025</t>
  </si>
  <si>
    <t>MultiPolygon (((533113.39899988216347992 189090.39600001639337279, 533164.68800000753253698 189058.75500001659383997, 533197.93799995759036392 189089.39199993526563048, 533266.74199997691903263 189050.79300004310789518, 533385.9460000132676214 188992.43499986384995282, 533338.46500008122529835 188949.07700003817444667, 533359.52000002691056579 188919.3320000862586312, 533466.57800002011936158 188912.1569999190105591, 533456.22699995979201049 188812.56500000189407729, 533568.72800000628922135 188864.90699988533742726, 533586 188841.00000010331859812, 533554.99999987555202097 188817.99999986434704624, 533443.37099988700356334 188735.71300008872640319, 533323.98599986627232283 188651.02100012867595069, 533277.86499998299404979 188617.59800010098842904, 533246.43800011544954032 188632.56199987977743149, 533264.18100004945881665 188666.40699988664709963, 533108.11300009314436466 188756.51400008462951519, 533134.685000010416843 188811.59199987884494476, 533298.61799997044727206 188845.30399990978185087, 533289.19499988318420947 188872.84899995004525408, 533232.60700001404620707 188863.95100009685847908, 533184.01900003012269735 188913.26599987642839551, 533203.05799990694504231 188987.49900004142546095, 533017.52199999988079071 189008.24600002789520659, 533019.78400011197663844 189034.32499990612268448, 533017.71800012898165733 189120.01599989901296794, 533140.4110000659711659 189119.00000010002986528, 533113.39899988216347992 189090.39600001639337279)))</t>
  </si>
  <si>
    <t>E01002073</t>
  </si>
  <si>
    <t>Haringey 024D</t>
  </si>
  <si>
    <t>E02000420</t>
  </si>
  <si>
    <t>Haringey 024</t>
  </si>
  <si>
    <t>MultiPolygon (((530946.14300013275351375 186395.25800010864622891, 531007.57200002775061876 186287.94899987048120238, 531028.80400012258905917 186351.41699986337334849, 531083.31099989882204682 186283.56599990130052902, 531138.68599999998696148 186309.82500009998329915, 531122.69199986942112446 186276.38300002677715383, 531037.99999998463317752 186185.00000011632801034, 531034.84000000916421413 186123.68799989411490969, 531030.75499991048127413 186083.09599995968164876, 530925.0970000879606232 186009.76699998654657975, 530821.84300001128576696 185948.30300002748845145, 530732.56599997612647712 185894.27999989720410667, 530684.99999997683335096 185950.88000004264176823, 530664.06299995095469058 185975.34099994110874832, 530692.85999999928753823 185998.78699990478344262, 530646.34099992283154279 186051.4500001359556336, 530615.02900005900301039 186071.61700012604705989, 530685.65699989220593125 186137.2549999700859189, 530589.67399999988265336 186169.3130000845703762, 530603.21700001636054367 186197.78599987761117518, 530640.13300006685312837 186220.56299989615217783, 530667.9990001143887639 186190.00000008454662748, 530753.77199996053241193 186268.09500013125943951, 530760.1689999426016584 186277.17700012208661065, 530842.47499998903367668 186351.61199986704741605, 530850.81799990672152489 186359.45099990608287044, 530917.99999992363154888 186411.99999999150168151, 530963.96000009938143194 186439.21900010280660354, 530984.00199993932619691 186421.95300010865321383, 530946.14300013275351375 186395.25800010864622891)))</t>
  </si>
  <si>
    <t>E01002730</t>
  </si>
  <si>
    <t>Islington 007A</t>
  </si>
  <si>
    <t>MultiPolygon (((531010.35900004650466144 186584.90200000000186265, 531046.71500013233162463 186528.77399990547564812, 531107.42999998445156962 186582.28599993584793992, 531132.9989999916870147 186539.99999990485957824, 531018.37399988144170493 186470.4600001068902202, 531055.79600012069568038 186451.62999986551585607, 531131.65100004826672375 186501.90200013050343841, 531166.09900007641408592 186451.23800002280040644, 531207.63899992255028337 186440.10499988924129866, 531196.14899993222206831 186490.95799992114189081, 531223.95999995991587639 186525.26300015195738524, 531316.21899994008708745 186499.72699988938984461, 531296.230999969644472 186351.4699999078293331, 531196.78199987194966525 186010.11900006551877595, 531188.80900002014823258 185989.88700014454661869, 531152.56299998692702502 185906.96900000004097819, 531118.61499995191115886 185971.57599998550722376, 531107.32599997776560485 185993.49399995637941174, 531063.47299984912388027 186076.05900004884460941, 531030.75500009534880519 186083.09599984038504772, 531034.83999995747581124 186123.6879998731019441, 531037.99999990023206919 186185.00000006685149856, 531122.69199986569583416 186276.38300010788952932, 531138.68599993747193366 186309.82500010388321243, 531083.31100002501625568 186283.56599988928064704, 531028.80400010326411575 186351.41700012277578935, 531007.57199985720217228 186287.94900011614663526, 530946.14299995254259557 186395.25800015940330923, 530984.00199987122323364 186421.9530001022212673, 530963.96000016445759684 186439.21900009945966303, 530917.99999986425973475 186411.99999997948179953, 530865.0110000598942861 186495.00699984619859606, 530931.97600016463547945 186530.81300000744522549, 531010.35900004650466144 186584.90200000000186265)))</t>
  </si>
  <si>
    <t>E01002732</t>
  </si>
  <si>
    <t>Islington 005A</t>
  </si>
  <si>
    <t>E02000558</t>
  </si>
  <si>
    <t>Islington 005</t>
  </si>
  <si>
    <t>MultiPolygon (((531054.74699999601580203 186876.7139999189239461, 531146.55800011323299259 186750.98900011295336299, 531200.0290000558597967 186808.01400004519382492, 531296.61399999679997563 186792.43999990407610312, 531347.05900012154597789 186897.01799989142455161, 531359.99999992514494807 186883.81199998411466368, 531452.18800003034994006 186788.95299992070067674, 531479.875 186794.71900000318419188, 531399.03799986909143627 186726.67900001365342177, 531328.25000000093132257 186668.57099991673021577, 531318.34299989358987659 186520.55699999956414104, 531316.21900004986673594 186499.72699989087413996, 531223.96000013139564544 186525.26299993137945421, 531196.14900006330572069 186490.95800000464078039, 531207.63900000718422234 186440.10499999948660843, 531166.09900008130352944 186451.23800004809163511, 531131.6510001135757193 186501.90199998419848271, 531055.7960000823950395 186451.62999990716343746, 531018.37399990309495479 186470.46000000604544766, 531132.99900011753197759 186540.00000006906338967, 531107.42999988445080817 186582.28600009242654778, 531046.71499991428572685 186528.77400007884716615, 531010.35899999272078276 186584.90199999412288889, 531030.83600001304876059 186651.260000098409364, 530974.20099990419112146 186697.79799988074228168, 531028.67699994100257754 186715.8049999616923742, 530999.66099990985821933 186746.75899995333747938, 530970.24199995549861342 186796.56600005787913688, 531012.0000000714790076 186833.99999992255470715, 530950.8349999999627471 186913.08499997612670995, 530985.03399988519959152 186930.48900000055436976, 531054.74699999601580203 186876.7139999189239461)))</t>
  </si>
  <si>
    <t>E01002734</t>
  </si>
  <si>
    <t>Islington 005B</t>
  </si>
  <si>
    <t>MultiPolygon (((531228.61400012590456754 187036.64299991680309176, 531347.05900000012479722 186897.01799986782134511, 531296.61399996804539114 186792.43999993795296177, 531200.02899998042266816 186808.01400000919238664, 531146.55800006364006549 186750.98900002829032019, 531054.74700004886835814 186876.71400008478667587, 530985.03400007111486048 186930.48899995267856866, 530950.83499990892596543 186913.0849998704798054, 530829.05900009896140546 186823.72799989077611826, 530811.99999992921948433 186842.99999994083191268, 530781.72199987422209233 186817.56600005939253606, 530756.15800000005401671 186844.47600002615945414, 530806.11200000520329922 186886.39300012329476885, 530927.06300008879043162 186994.32799992838408798, 530931.13499992387369275 187045.11299996409798041, 530954.75000000733416528 187070.37500008699134924, 530993.36700001696590334 187030.45899995483341627, 531053.93799985339865088 187078.60899988844175823, 531002.24999997753184289 187133.68699998321244493, 531019.96299991954583675 187151.07400013905134983, 531019.13599999330472201 187155.6539999274245929, 531038.95000014477409422 187216.97499997174600139, 531228.61400012590456754 187036.64299991680309176)))</t>
  </si>
  <si>
    <t>E01002735</t>
  </si>
  <si>
    <t>Islington 003A</t>
  </si>
  <si>
    <t>MultiPolygon (((531011.99999996868427843 186834.00000001039006747, 530970.24200007016770542 186796.566000075195916, 530999.66100007842760533 186746.75900002237176523, 531028.67699996090959758 186715.80499998645973392, 530974.20100003818515688 186697.7980000163661316, 531030.83599996753036976 186651.25999992722063325, 531010.35899992939084768 186584.90199998268508352, 530931.97600003553088754 186530.8129999999946449, 530881.99500008975155652 186596.59499994924408384, 530789.95400001341477036 186566.41000005803653039, 530776.74699994048569351 186613.45500004649511538, 530697.00000003259629011 186717.79999995324760675, 530727.00099998631048948 186772.00000006542541087, 530781.72199994523543864 186817.56600000723847188, 530811.99999992433004081 186843.00000000855652615, 530829.05899993004277349 186823.7280000624305103, 530950.8350000026402995 186913.08499999999185093, 531011.99999996868427843 186834.00000001039006747)))</t>
  </si>
  <si>
    <t>E01002736</t>
  </si>
  <si>
    <t>Islington 005C</t>
  </si>
  <si>
    <t>MultiPolygon (((530684.06300003710202873 186845.0780000019876752, 530714.68799994594883174 186814.0470000296481885, 530756.15800004149787128 186844.47600010165479034, 530781.72199997853022069 186817.56600008506211452, 530727.0009999341564253 186772.0000000813161023, 530697.00000010605435818 186717.80000006000045687, 530776.74700002325698733 186613.45500008101225831, 530789.95400004391558468 186566.40999996935715899, 530881.99500006902962923 186596.59499994886573404, 530931.97599999990779907 186530.81299997269525193, 530865.01099994301330298 186495.00699999337666668, 530838.21699991368222982 186440.11699999935808592, 530790.99999998498242348 186474.00000004630419426, 530746.20199996407609433 186533.46599991066614166, 530686.13500001095235348 186493.38800009473925456, 530621.8660000084200874 186501.22599999836529605, 530639.65699990594293922 186450.44799992567277513, 530606.3100000835256651 186431.43699999802629463, 530544.99999989219941199 186500.9989999468671158, 530517.99999996379483491 186478.00000009176437743, 530500.80299996002577245 186498.97500001252046786, 530540.40499992517288774 186518.14600007174885832, 530511.74600006523542106 186607.58600009352085181, 530526.23699995223432779 186616.01500002361717634, 530499.43799999996554106 186657.62499990992364474, 530546.20200006966479123 186697.64799992393818684, 530567.81299997284077108 186677.18700004738639109, 530664.1350000852253288 186771.95200004184152931, 530693.37499990942887962 186801.81100002356106415, 530667.31299994129221886 186826.40600000170525163, 530684.06300003710202873 186845.0780000019876752)))</t>
  </si>
  <si>
    <t>E01002737</t>
  </si>
  <si>
    <t>Islington 005D</t>
  </si>
  <si>
    <t>MultiPolygon (((531901.49899996037129313 186374.80599992207135074, 531901.51800003892276436 186249.83300012769177556, 531860.635000110254623 186235.6559998617740348, 531848.22400010016281158 186265.05200001894263551, 531873.48599992855452001 186341.02500005741603673, 531614.94499998912215233 186195.13000000000465661, 531630.4529999743681401 186262.2890000008919742, 531564.72199996188282967 186313.37399992224527523, 531634.99999997008126229 186350.0000000266591087, 531553.75399998750071973 186458.18199993314919993, 531480.71299996122252196 186640.41400000097928569, 531525.05699991667643189 186688.2399999379995279, 531524.45900013064965606 186753.20900000003166497, 531619.99899996723979712 186664.63600008012144826, 531644.05699988210108131 186643.07199996654526331, 531659.73099990782793611 186625.07600008742883801, 531829.84900012193247676 186453.32899991993326694, 531837.52900009474251419 186445.4759999216767028, 531901.49899996037129313 186374.80599992207135074)))</t>
  </si>
  <si>
    <t>E01002747</t>
  </si>
  <si>
    <t>Islington 006B</t>
  </si>
  <si>
    <t>E02000559</t>
  </si>
  <si>
    <t>Islington 006</t>
  </si>
  <si>
    <t>MultiPolygon (((531503.99999985354952514 186282.99999999214196578, 531532.18899986846372485 186189.07400017837062478, 531498.50700014631729573 186238.95799994847038761, 531448.05100017576478422 186244.87299983741831966, 531482.80400013632606715 186157.99099994826246984, 531451.29600005515385419 186168.31699984564329498, 531355.09500015981029719 186053.58600014532567002, 531266.64400001871399581 186024.20699982065707445, 531276.99500012106727809 185994.26000020036008209, 531264.53599996608681977 185987.27100000000791624, 531196.78199990792199969 186010.11899997142609209, 531296.23100015940144658 186351.4700001233140938, 531316.21899993601255119 186499.72700018846080638, 531318.34299997449852526 186520.55699987622210756, 531328.2500001669395715 186668.57100008067209274, 531399.03799981169868261 186726.67899984164978378, 531479.87499987648334354 186794.71899999998277053, 531524.45900019758846611 186753.20899983568233438, 531525.05699981993529946 186688.24000016483478248, 531480.71300009381957352 186640.41400003738817759, 531553.7540000919252634 186458.18199997942429036, 531498.45300004270393401 186432.17200013090041466, 531530.12200000672601163 186296.06099986686604097, 531503.99999985354952514 186282.99999999214196578)))</t>
  </si>
  <si>
    <t>E01002748</t>
  </si>
  <si>
    <t>Islington 006C</t>
  </si>
  <si>
    <t>MultiPolygon (((531118.61499992350582033 185971.57600010634632781, 531152.56299999018665403 185906.96899993187980726, 531188.80900011234916747 185989.88700002848054282, 531140.99999988870695233 185867.9999999973224476, 531100.54899994330480695 185874.06799997444613837, 531034.92800006701145321 185774.99099989782553166, 531054.16400000697467476 185713.71000005467794836, 530993.9540000626584515 185618.52400000000488944, 530959.94600005750544369 185643.73600002704188228, 530980.6179999471642077 185680.83400011024787091, 530960.69400000153109431 185704.41200006572762504, 530947.03199995774775743 185731.12599992824834771, 530872.17799998715054244 185719.8189999045280274, 530926.34499996737577021 185759.57599989691516384, 530895.72899994708131999 185815.22600011157919653, 530875.64699999347794801 185848.63999998345389031, 530853.00000000314321369 185890.99999991155345924, 530805.5229998875875026 185868.61099998140707612, 530840.92499997839331627 185912.08800010173581541, 530821.84300008160062134 185948.30300003115553409, 530925.09699999494478106 186009.76699989539338276, 531030.75499996310099959 186083.09599999999045394, 531063.4729998994152993 186076.05899992640479468, 531107.3259999742731452 185993.49399998600711115, 531118.61499992350582033 185971.57600010634632781)))</t>
  </si>
  <si>
    <t>E01002751</t>
  </si>
  <si>
    <t>Islington 005E</t>
  </si>
  <si>
    <t>MultiPolygon (((530840.92499986139591783 185912.08800007490208372, 530805.52300005243159831 185868.61100008705398068, 530853.00000006367918104 185891.00000009580980986, 530875.64700017194263637 185848.63999984358088113, 530895.72900012356694788 185815.22600000308011658, 530926.3450001209275797 185759.57599992101313546, 530872.17800007865298539 185719.8190000546455849, 530947.03200017707422376 185731.12600007237051614, 530960.69400005589704961 185704.41199983758269809, 530980.61800008383579552 185680.83399983376148157, 530959.9460001279367134 185643.73599981699953787, 530993.95400017173960805 185618.52399992110440508, 531054.16400008124765009 185713.71000004175584763, 531084.99800003401469439 185622.09999989264179021, 531199.99999997788108885 185793.00000007433118299, 531322.00000014016404748 185734.99999991853837855, 531316.00099987792782485 185542.99999989900970832, 531117.00000013667158782 185558.99999999289866537, 531164.31699994043447077 185444.12199994231923483, 531265.99400006677024066 185456.16500002928660251, 531298.97599982656538486 185343.07100013454328291, 531291.78300015081185848 185340.46800011771847494, 531203.24599995953030884 185246.35099992869072594, 531173.62600004579871893 185210.32699999999022111, 531133.48299998766742647 185247.97900007589487359, 531046.85700008703861386 185348.0630000428063795, 531042.43000013916753232 185353.26900007648509927, 530920.73000013548880816 185506.11200017778901383, 530826.95399983762763441 185613.76099986946792342, 530708.8930000786203891 185744.13400008520693518, 530702.49299989349674433 185751.12499986324110068, 530641.58299985993653536 185817.75800008693477139, 530732.56600010197144002 185894.28000010768300854, 530821.84299982339143753 185948.3030000000144355, 530840.92499986139591783 185912.08800007490208372)))</t>
  </si>
  <si>
    <t>E01033491</t>
  </si>
  <si>
    <t>Islington 011H</t>
  </si>
  <si>
    <t>E02000564</t>
  </si>
  <si>
    <t>Islington 011</t>
  </si>
  <si>
    <t>MultiPolygon (((532571.48599981085862964 187785.8920001478982158, 532601.56699984497390687 187663.71999995646183379, 532562.18699991295579821 187664.57599992604809813, 532595.30799987819045782 187601.97400005772942677, 532527.20199987932574004 187510.12100000798818655, 532530.52700010000262409 187504.96100016991840675, 532542.94099994539283216 187485.69400013706763275, 532637.87499981885775924 187339.14100001903716475, 532601.83999993500765413 187146.22200000000884756, 532382.10699995839968324 187174.65800010450766422, 532275.56500007188878953 187417.48600014628027566, 532216.79200009466148913 187387.71699999834527262, 532185.76900011254474521 187336.06999991950578988, 532132.61700003361329436 187329.68100012640934438, 532084.86200004152487963 187425.27799994760425761, 532058.59800007776357234 187481.40400018575019203, 532109.98099993215873837 187515.37199987602070905, 532258.04900015355087817 187599.18400005492730998, 532275.29900013003498316 187608.79900003195507452, 532412.14599986211396754 187684.80500011338153854, 532409.99999983818270266 187688.99999984179157764, 532387.14900016994215548 187725.45199993802816607, 532352.98399988585151732 187773.4859999303589575, 532234.34099989896640182 187749.28100015339441597, 532178.94299990055151284 187832.32599991720053367, 532218.09800016251392663 187849.16900016364525072, 532345.93800005537923425 187849.89100011409027502, 532462.18399985239375383 187900.99900016112951562, 532666.10399998433422297 187904.26500000001396984, 532690.99999992223456502 187882.99999987956834957, 532617.99900016852188855 187815.00000006562913768, 532571.48599981085862964 187785.8920001478982158)))</t>
  </si>
  <si>
    <t>E01033701</t>
  </si>
  <si>
    <t>Hackney 002F</t>
  </si>
  <si>
    <t>MultiPolygon (((529648.70600005483720452 184683.4600000444916077, 529611.59800004109274596 184592.55400003725662827, 529635.24200006725732237 184571.41900010249810293, 529662.65799989551305771 184604.45400010148296133, 529703.1530000000493601 184575.03800001923809759, 529746.00000009452924132 184603.0000000957516022, 529764.68199989583808929 184587.148999925237149, 529616.99999993608798832 184380.0000000580039341, 529646.53099993208888918 184356.3750000174914021, 529658.00000010035000741 184351.00000010224175639, 529661.90000002551823854 184333.70099992150790058, 529518.30500007001683116 184285.94599999999627471, 529492.77799992123618722 184324.02599994250340387, 529461.99999998358543962 184287.99999999423744157, 529397.50299990200437605 184335.4269999424868729, 529365.0449999087722972 184360.19600000200443901, 529396.62399990356061608 184404.69999994998215698, 529359.72599995159544051 184433.27100000824430026, 529327.65800010424572974 184456.07400000750203617, 529360.37999989953823388 184527.00000009074574336, 529350.79300007375422865 184547.35399995348416269, 529395.2470000593457371 184562.7150000529945828, 529417.8270000065676868 184714.32499991700751707, 529456.00100009783636779 184708.9999999642604962, 529518.00100007874425501 184622.00000009700306691, 529602.82600004249252379 184724.44599999999627471, 529648.70600005483720452 184683.4600000444916077)))</t>
  </si>
  <si>
    <t>E01000865</t>
  </si>
  <si>
    <t>Camden 015B</t>
  </si>
  <si>
    <t>E02000180</t>
  </si>
  <si>
    <t>Camden 015</t>
  </si>
  <si>
    <t>MultiPolygon (((529327.65800004720222205 184456.07400002307258546, 529359.72600004135165364 184433.2710000095248688, 529396.62399999110493809 184404.69999996814294718, 529365.04499992786440998 184360.19599992097937502, 529397.50299990619532764 184335.42700007106759585, 529462.00000005890615284 184287.99999996757833287, 529492.77800007187761366 184324.02600010292371735, 529518.30499995069112629 184285.94599993393057957, 529426.05099993105977774 184244.65499990311218426, 529371.27300006675068289 184212.16400001582223922, 529402.27199999010190368 184170.58199994775350206, 529254.68799992895219475 184086.9220000000204891, 529175.38599999877624214 184221.50700008135754615, 529135.71199990715831518 184290.74499991495395079, 529093.45200004952494055 184361.2409998981456738, 529132.52599999634549022 184380.68399998088716529, 529211.03899992315564305 184356.66999992812634446, 529218.01699991303030401 184397.75899997621309012, 529175.99999990500509739 184426.00000004799221642, 529236.00000008346978575 184499.00000006341724657, 529292.99999997788108885 184452.99999996327096596, 529360.37999995716381818 184527, 529327.65800004720222205 184456.07400002307258546)))</t>
  </si>
  <si>
    <t>E01000867</t>
  </si>
  <si>
    <t>Camden 015C</t>
  </si>
  <si>
    <t>MultiPolygon (((529823.87499999208375812 184994.34400000004097819, 529969.64200000686105341 184816.73799995798617601, 529916.81499994965270162 184771.25700009069987573, 529949.00500006333459169 184688.62900010330486111, 529935.24400000052992254 184660.17099997602053918, 529825.99999995226971805 184537, 529797.84700002323370427 184559.76199990377062932, 529817.96200010215397924 184608.86500006454298273, 529764.68199989816639572 184587.1490000840567518, 529745.99999989056959748 184603.00000002805609256, 529703.15300007362384349 184575.03799998766044155, 529662.65799993847031146 184604.45399996379273944, 529635.24200003256555647 184571.41900009947130457, 529611.59800010512117296 184592.55400009526056238, 529648.70599998708348721 184683.45999988634139299, 529602.82599995122291148 184724.44599996641045436, 529553.0699999111238867 184763.83199989888817072, 529586.40400007774587721 184801.77900009282166138, 529543.25599999318365008 184899.34199990428169258, 529633.92699997266754508 184913.15100004922715016, 529666.87799992191139609 184928.9409999078779947, 529669.21800004050601274 184925.55800004259799607, 529690.6759999223286286 184900.44000006900751032, 529724.87499995005782694 184874.76599990582326427, 529823.87499999208375812 184994.34400000004097819)))</t>
  </si>
  <si>
    <t>E01000869</t>
  </si>
  <si>
    <t>Camden 015E</t>
  </si>
  <si>
    <t>MultiPolygon (((529586.40400003688409925 184801.77899995259940624, 529553.06999989354517311 184763.83199999108910561, 529602.82600000000093132 184724.44600011879811063, 529518.0010000717593357 184622.00000005951733328, 529456.00100012728944421 184709.00000004304456525, 529417.82699997432064265 184714.32499990414362401, 529388.00000011303927749 184716.99999995381222107, 529385.00000014656689018 184688.99999994813697413, 529356.67099999508354813 184692.38899999621207826, 529052.00000004505272955 184723.99999987572664395, 529059.40600014687515795 184788.46900000565801747, 529201.31200002040714025 184774.17599985026754439, 529198.06399985309690237 184817.18499996518949047, 528966.8090000000083819 184822.93300010458915494, 528971.28900007728952914 184848.00000008253846318, 528973.88000008964445442 184862.4870000513328705, 528989.74900012568105012 184963.93399994049104862, 529025.03100013278890401 184961.30500013835262507, 529157.06700008467305452 184950.82399999132030644, 529407.01199995190836489 184929.14200015051756054, 529543.25599999667610973 184899.34199984691804275, 529586.40400003688409925 184801.77899995259940624)))</t>
  </si>
  <si>
    <t>E01000870</t>
  </si>
  <si>
    <t>Camden 009B</t>
  </si>
  <si>
    <t>E02000174</t>
  </si>
  <si>
    <t>Camden 009</t>
  </si>
  <si>
    <t>MultiPolygon (((529823.8750000154832378 184994.34399992946418934, 529724.87500008766073734 184874.76600000000325963, 529690.67599994095508009 184900.44000009351293556, 529669.21799996041227132 184925.55799988083890639, 529666.87800000014249235 184928.94100007941597141, 529633.92699988093227148 184913.1509999702393543, 529543.25600001215934753 184899.3420000541373156, 529407.01199998462107033 184929.14199987860047258, 529410.24899994186125696 184967.44300005983677693, 529415.00000010966323316 185021.00000011047814041, 529457.09300000942312181 185015.47699993575224653, 529458.49399995664134622 185067.29900002674548887, 529524.4659998978022486 184949.43000000057509169, 529576.90200002759229392 184961.03699997466173954, 529535.58599993970710784 185034.5729998896131292, 529546.97199992160312831 185100.98600000006263144, 529536.99999991501681507 185197.96400002023437992, 529536.99999991501681507 185230.38199995801551268, 529538.02299996034707874 185297.0240000405756291, 529587.18400010687764734 185303.43499993075965904, 529583.21900003228802234 185361.29399999999441206, 529667.48900010739453137 185291.25000007066410035, 529703.48099994636140764 185185.30299989625927992, 529709.72500007366761565 185166.30000001285225153, 529794.43399995821528137 185009.42100006603868678, 529823.8750000154832378 184994.34399992946418934)))</t>
  </si>
  <si>
    <t>E01000926</t>
  </si>
  <si>
    <t>Camden 009E</t>
  </si>
  <si>
    <t>MultiPolygon (((530589.74199981917627156 185647.97899997443892062, 530580.29600001615472138 185488.43200001964578405, 530502.24400001822505146 185497.88799991781706922, 530536.39699996681883931 185451.40800000258604996, 530582.00100016745273024 185450.00000004741013981, 530598.01800017862115055 185420.97600017432705499, 530623.00000001851003617 185303.99999997887061909, 530595.9990001079859212 185273.09899985193624161, 530683.8480001074494794 185275.90599982277490199, 530699.82599989348091185 185250.6880001483077649, 530589.16299993521533906 185146.71299997699679807, 530586.00000008370261639 185158.99999992834636942, 530521.19199993810616434 185112.45099986781133339, 530481.99300004635006189 185123.75400009972508997, 530454.97199994535185397 185194.17199992961832322, 530345.71100010443478823 185122.64499992111814208, 530350.38600002403836697 185094.57299990140018053, 530297.43200002005323768 185081.89199999999254942, 530207.19400008209049702 185199.56999986153095961, 530207.90599984338041395 185252.06199992590700276, 530181.00000010640360415 185254.0000001757289283, 530202.99899998097680509 185290.00000009249197319, 530237.86200011055916548 185262.74000005520065315, 530273.85500003374181688 185287.48400011446210556, 530300.25199982221238315 185318.34900011794525199, 530271.80499988712836057 185358.66600012773415074, 530291.01899992732796818 185395.80500014321296476, 530327.26599992974661291 185424.26600006537046283, 530293.87299990700557828 185463.48099989010370336, 530337.70799985877238214 185434.70799999448354356, 530323.3479998343391344 185495.69900005610543303, 530403.38500009104609489 185556.34500012247008272, 530489.8590001572156325 185621.86599981962353922, 530442.36900012870319188 185682.77699985055369325, 530611.99999982048757374 185813, 530576.99999992176890373 185759.00000012488453649, 530589.74199981917627156 185647.97899997443892062)))</t>
  </si>
  <si>
    <t>E01002762</t>
  </si>
  <si>
    <t>Islington 011C</t>
  </si>
  <si>
    <t>MultiPolygon (((530311.27699986356310546 185572.76999999998952262, 530293.87300000584218651 185463.48100014586816542, 530327.26599996734876186 185424.26599983804044314, 530291.01899990509264171 185395.80500012126867659, 530271.80499999376479536 185358.66600009694229811, 530300.25200003944337368 185318.34899990141275339, 530273.85500014759600163 185287.48400010971818119, 530237.86199985665734857 185262.73999988756258972, 530202.99900009133853018 185290.0000001449661795, 530181.00000012421514839 185254.00000001845182851, 530207.90600013663060963 185252.06200014887144789, 530207.19399992586113513 185199.57000002704444341, 530297.43200015800539404 185081.89200011017965153, 530244.14699996972922236 185052.65699997314368375, 530232.99999991105869412 185073.00000015602563508, 530176.99999996612314135 185042.99999994260724634, 530159.88900007423944771 185079.44399986576172523, 530042.67100013338495046 185013.59599993476876989, 530005.5899999497924 184924.9370000000053551, 529953.34900013240985572 184964.50199986004736274, 529869.10700009251013398 184986.18899989131023176, 529852.60200003243517131 185036.11700008739717305, 529887.21500007121358067 185086.54900010515120812, 529984.73200006480328739 185228.63199992451700382, 530022.23900000518187881 185284.45899995378567837, 530034.86700007191393524 185303.52700000934419222, 530086.66199990815948695 185378.44699996965937316, 530143.43500001914799213 185456.75900007173186168, 530179.78699988243170083 185509.8700000902172178, 530195.00000002945307642 185492.00000002721208148, 530311.27699986356310546 185572.76999999998952262)))</t>
  </si>
  <si>
    <t>E01002764</t>
  </si>
  <si>
    <t>Islington 010A</t>
  </si>
  <si>
    <t>MultiPolygon (((530159.8890000336105004 185079.44399998191511258, 530176.99999988335184753 185043.00000005308538675, 530232.99999999313149601 185073.0000000921136234, 530244.14699998241849244 185052.65699993388261646, 530277.40000008407514542 184991.19999999305582605, 530210.59499989182222635 184957.820000127365347, 530283.5319999132771045 184942.93499993337900378, 530321.26199988962616771 184858.337000067520421, 530357.26800012704916298 184785.14300011852174066, 530377.04600000008940697 184744.93900009777280502, 530364.42300010705366731 184738.60200007451931015, 530114.57899990421719849 184615.56000001908978447, 530017.81600001093465835 184568.2820000181091018, 529985.00900011288467795 184750.52600009241723455, 529969.64199989975895733 184816.73799986628000624, 529823.875 184994.34399992279941216, 529852.60200006316881627 185036.11700006207684055, 529869.10699997597839683 184986.18900008901255205, 529953.34900000679772347 184964.50199990381952375, 530005.58999988122377545 184924.93700006566359662, 530042.67100000288337469 185013.5960000021441374, 530159.8890000336105004 185079.44399998191511258)))</t>
  </si>
  <si>
    <t>E01002766</t>
  </si>
  <si>
    <t>Islington 015E</t>
  </si>
  <si>
    <t>E02000568</t>
  </si>
  <si>
    <t>Islington 015</t>
  </si>
  <si>
    <t>MultiPolygon (((530920.7299999532988295 185506.11200011358596385, 530878.72900007024873048 185451.53899992234073579, 530799.21799991559237242 185361.39199997289688326, 530705.99800000234972686 185258.03299997668364085, 530699.82599991501774639 185250.6879999999946449, 530683.84799997741356492 185275.90600013252696954, 530595.99899988318793476 185273.09899994658189826, 530622.99999993946403265 185304.0000001109438017, 530598.017999880714342 185420.97600013026385568, 530582.00099998735822737 185450.00000001231092028, 530536.39700007345527411 185451.4079999474924989, 530502.24400004663038999 185497.88799995725275949, 530580.29599997506011277 185488.43199996397015639, 530589.74199997237883508 185647.9789999169879593, 530577.00000001722946763 185758.99999995887628756, 530611.99999989639036357 185813.00000001559965312, 530641.58300008880905807 185817.75800000000162981, 530702.4929998746374622 185751.12499991516233422, 530708.89300009561702609 185744.1339999072952196, 530826.95400009700097144 185613.7610000585555099, 530920.7299999532988295 185506.11200011358596385)))</t>
  </si>
  <si>
    <t>E01002767</t>
  </si>
  <si>
    <t>Islington 011D</t>
  </si>
  <si>
    <t>MultiPolygon (((529938.66899992129765451 185425.35999999998603016, 529999.91000008769333363 185369.45499989541713148, 530057.21199998469091952 185400.32299992570187896, 530086.66200004552956671 185378.44700007778010331, 530034.86699998972471803 185303.5270000696182251, 530022.23899990669451654 185284.45900006810552441, 529984.7320000862237066 185228.63200006700935774, 529887.21499989787116647 185086.54899995939922519, 529852.60199989972170442 185036.11700007627950981, 529823.8750000853324309 184994.34400000004097819, 529794.43400006950832903 185009.42100002226652578, 529709.7250000040512532 185166.29999991744989529, 529703.48100008594337851 185185.3029999045538716, 529667.48899995454121381 185291.25000002133310772, 529696.93200010003056377 185282.45800009879167192, 529688.62299993971828371 185342.07100003375671804, 529816.59999998169951141 185422.52000001718988642, 529885.54700008861254901 185392.97599989236914553, 529938.66899992129765451 185425.35999999998603016)))</t>
  </si>
  <si>
    <t>E01002783</t>
  </si>
  <si>
    <t>Islington 010B</t>
  </si>
  <si>
    <t>MultiPolygon (((530281.97700014128349721 185721.86899989159428515, 530179.78699989197775722 185509.86999994001234882, 530143.4350000856211409 185456.75899987359298393, 530086.66199995519127697 185378.4469999611901585, 530057.21199988888110965 185400.32300006799050607, 529999.91000002645887434 185369.45500000001629815, 529938.66900005599018186 185425.35999993039877154, 529885.5470000624191016 185392.97600001399405301, 529816.59999985876493156 185422.51999992760829628, 529848.5459999623708427 185430.97800008559715934, 529924.42900004598777741 185514.08799994841683656, 529897.20099990081507713 185542.0730000896146521, 529948.97299988602753729 185570.99499992199707776, 530008.56300009321421385 185636.18500014281016774, 529999.99999987403862178 185697.99999991239747033, 529958.00000005878973752 185799.00000013719545677, 529908.219000089680776 185776.42499988520285115, 529893.93900008359923959 185795.42499999279971235, 529940.32499989040661603 185878.6089999916148372, 529972.30599991884082556 185809.43800009720143862, 530124.38500012643635273 185690.51200008761952631, 530133.8820001088315621 185704.20899993681814522, 530108.35599993681535125 185749.23499987961258739, 530138.28499988361727446 185768.99999998239218257, 530198.9269999855896458 185833.27900007920106873, 530144.0040001004235819 185891.88500009800191037, 530148.12100004719104618 185943.05499999999301508, 530159.00000003480818123 185929.99999994321842678, 530276.76800001680385321 185791.71200000561657362, 530241.76899986003991216 185756.04700005881022662, 530281.97700014128349721 185721.86899989159428515)))</t>
  </si>
  <si>
    <t>E01002787</t>
  </si>
  <si>
    <t>Islington 010E</t>
  </si>
  <si>
    <t>MultiPolygon (((531713.28200004785321653 185433.43599992306553759, 531668.99999988614581525 185201.00000012348755263, 531597.00000003422610462 185216.99999999979627319, 531530.30100011744070798 185242.8930000850232318, 531517.85899996838998049 185311.2939999665832147, 531483.25200010417029262 185267.17200008960207924, 531485.2999999359017238 185237.53300007877987809, 531322.7509998707100749 185190.83499997522449121, 531297.96000004443340003 185176.8520000456192065, 531345.20400009828153998 185133.80199989749235101, 531332.4819999955361709 185111.32399999993504025, 531354.01299987605307251 185118.96000010741408914, 531339.85000003466848284 185163.28399986724252813, 531471.56600007484667003 185203.20299992454238236, 531526.15700009639840573 185163.3319999526720494, 531482.5250000701053068 185123.60199999337783083, 531439.16200001176912338 185091.91900002185138874, 531397.74900008738040924 185125.23000003083143383, 531396.19799994863569736 185096.00000010104849935, 531294.2159999180585146 185063.11099995789118111, 531263.27800008084159344 185102.09100001232582144, 531240.78899992536753416 185129.597999905818142, 531173.62599999993108213 185210.32699993791175075, 531203.24600001098588109 185246.35100004277774133, 531291.78300004813354462 185340.46800006908597425, 531298.97599994600750506 185343.07100003730738536, 531438.15599992370698601 185403.53700013045454398, 531444.54399998916778713 185411.26599989269743674, 531485.67300008900929242 185481.28299992656684481, 531529.30099997203797102 185497.64700004213955253, 531551.15300004929304123 185482.66600003870553337, 531627.42600004968699068 185470.77999992581317201, 531718.38199999998323619 185458.46999987540766597, 531713.28200004785321653 185433.43599992306553759)))</t>
  </si>
  <si>
    <t>E01002739</t>
  </si>
  <si>
    <t>Islington 013A</t>
  </si>
  <si>
    <t>E02000566</t>
  </si>
  <si>
    <t>Islington 013</t>
  </si>
  <si>
    <t>MultiPolygon (((531596.99999996507540345 185217.00000011062365957, 531668.99999984342139214 185201.00000013766111806, 531768.99999983818270266 185184.99999983722227626, 531799.49999997089616954 185250.09999991959193721, 531830.15800008387304842 185235.58299992574029602, 531796.96900012216065079 185177.88499990428681485, 531831.02100014011375606 185161.39200015645474195, 531897.80599984899163246 185145.34900002510403283, 531891.64999996044207364 185049.2689998698187992, 531917.55200001050252467 185041.15499989752424881, 531906.78099987783934921 184858.28199990445864387, 531949.20200000004842877 184869.08999986882554367, 531942.68800015607848763 184812.81199999808450229, 531812.62500013795215636 184758.07799993510707282, 531690.90099990041926503 184735.17399983922950923, 531620.99799992481712252 184746.90899985193391331, 531610.08900013670790941 184753.45500001942855306, 531468.86700003431178629 184863.87700002660858445, 531294.21600000001490116 185063.1110001114429906, 531396.19800007552839816 185096.00000011044903658, 531397.74900004616938531 185125.23000007373047993, 531439.16199996636714786 185091.91900012729456648, 531482.52499997126869857 185123.6019999489071779, 531526.15700010652653873 185163.3319999149243813, 531471.56599986192304641 185203.20300002713338472, 531339.84999988600611687 185163.28399992090999149, 531354.01299992389976978 185118.95999987187678926, 531332.48200014827307314 185111.32399984006769955, 531345.2039998744148761 185133.80199998899479397, 531297.95999986142851412 185176.85199986916268244, 531322.75099988607689738 185190.83499992947326973, 531485.30000011704396456 185237.53300001047318801, 531483.25200004456564784 185267.17200008657528087, 531517.85900015709921718 185311.29400016076397151, 531530.30099991802126169 185242.89299999811919406, 531596.99999996507540345 185217.00000011062365957)))</t>
  </si>
  <si>
    <t>E01002740</t>
  </si>
  <si>
    <t>Islington 013B</t>
  </si>
  <si>
    <t>MultiPolygon (((531439.70599998789839447 184504.4759998912923038, 531456.00000005774199963 184459.9999999399879016, 531582.13000000780448318 184478.73700009979074821, 531618.12100007990375161 184545.77299995379871689, 531616.99999991327058524 184578.99900000891648233, 531648.00000003329478204 184578.99900000891648233, 531653.0000000138534233 184403.99999991708318703, 531599.46800002653617412 184394.47299998850212432, 531604.95199996768496931 184355.93400005431612954, 531615.38599999796133488 184280.68600006576161832, 531649.00000002945307642 184276.99999992951052263, 531644.00000004889443517 184318.00000001073931344, 531706.7999999972525984 184333.93399989925092086, 531735.99999993189703673 184333.99899999881745316, 531754.88500010746065527 184243.50800001827883534, 531655.06399991537909955 184237.91199993516784161, 531697.61400000262074172 184181.20699999795760959, 531668.99999995168764144 184147.99899999998160638, 531655.64900008996482939 184177.41600008943350986, 531593.09900008048862219 184216.63499999209307134, 531514.14099995954893529 184196.25099989233422093, 531502.71300011267885566 184246.23699992083129473, 531530.80499994871206582 184271.96299988485407084, 531482.23800001794006675 184340.95000002978486009, 531479.91300000890623778 184352.06599992790143006, 531477.07000006490852684 184365.66400011992664076, 531393.17099988367408514 184345.22200004974729382, 531390.05400000466033816 184357.95700009286520071, 531374.90100005804561079 184415.63800003012875095, 531356.665999916032888 184476.87100010560243391, 531347.06799994898028672 184503.90900001447880641, 531332.22900009108707309 184544.95300004837918095, 531306.58899989246856421 184610.82099993387237191, 531387.14300011203158647 184629.09099999998579733, 531422.90100011206232011 184557.35099995642667636, 531439.70599998789839447 184504.4759998912923038)))</t>
  </si>
  <si>
    <t>E01002790</t>
  </si>
  <si>
    <t>Islington 016D</t>
  </si>
  <si>
    <t>E02000569</t>
  </si>
  <si>
    <t>Islington 016</t>
  </si>
  <si>
    <t>MultiPolygon (((531821.61100014136172831 184736.18000007953378372, 531916.65699994622264057 184521.10799993501859717, 531913.11300000385381281 184515.15000007345224731, 531979.33100008068140596 184318.25200001403572969, 531989.34099996404256672 184262.64599990539136343, 531967.99999993713572621 184264.99999995721736923, 531935.45599991024937481 184257.65099989314330742, 531874.00099991238676012 184242.99999991315416992, 531882.33499993232544512 184201.62600010947789997, 531858.93700012774206698 184200.33200013855821453, 531772.32000003603752702 184220.64300001828814857, 531756.13400005549192429 184176.35699999998905696, 531697.61400006629992276 184181.2069999449304305, 531655.06400006962940097 184237.91199987378786318, 531754.88499998510815203 184243.50799999255104922, 531736.00000013352837414 184333.998999879026087, 531706.80000000633299351 184333.93400011965422891, 531643.99999997578561306 184317.99999993114033714, 531648.9999998799758032 184276.99999990192009136, 531615.38599998818244785 184280.68599997641285881, 531604.95199995615985245 184355.93399987285374664, 531599.46800003584939986 184394.47300012552295811, 531652.99999986158218235 184403.99999997115810402, 531647.99999995727557689 184578.99900013170554303, 531617.00000002747401595 184578.99900013170554303, 531610.08900010050274432 184753.4550000962917693, 531620.9980000521754846 184746.90900013822829351, 531690.90099993441253901 184735.17399999560439028, 531812.62499995320104063 184758.07800000000861473, 531821.61100014136172831 184736.18000007953378372)))</t>
  </si>
  <si>
    <t>E01002791</t>
  </si>
  <si>
    <t>Islington 016E</t>
  </si>
  <si>
    <t>MultiPolygon (((531502.71299990871921182 184246.23700002685654908, 531514.14100010169204324 184196.25099993165349588, 531593.09900009352713823 184216.63500007594120689, 531655.64899995201267302 184177.41600004318752326, 531669.00000004307366908 184147.99900002128561027, 531697.61399990075733513 184181.2069998919905629, 531756.13400009658653289 184176.35699993316666223, 531775.45999996038153768 184110.71600000132457353, 531781.09299999661743641 184069.41000005786190741, 531746.52999989641830325 184069.22700002099736594, 531749.00000001292210072 184043.9999998900166247, 531791.00000005529727787 184050.99999997476697899, 531836.20800003805197775 184011.77600009512389079, 531803.55700007954146713 183954.55599994829390198, 531658.07100009312853217 184007.75900008110329509, 531596.10300008067861199 183926.26799999066861346, 531562.12600007676519454 183928.82000011345371604, 531420.13299992762040347 183900.45699988855631091, 531389.74899996188469231 183899.54300000000512227, 531391.75099991157185286 183917.98300009677768685, 531422.59299988416023552 184088.95199992691050284, 531431.87799992330837995 184133.96800000852090307, 531434.14599997876212001 184147.22999988810624927, 531427.06099993293173611 184206.76600006563239731, 531410.21500011242460459 184275.58800011189305224, 531393.17100001533981413 184345.22199995355913416, 531477.07000006968155503 184365.66399999998975545, 531479.9129999988945201 184352.06600006041117013, 531482.23799989384133369 184340.95000005632755347, 531530.80499994789715856 184271.96299993482534774, 531502.71299990871921182 184246.23700002685654908)))</t>
  </si>
  <si>
    <t>E01002792</t>
  </si>
  <si>
    <t>Islington 017E</t>
  </si>
  <si>
    <t>E02000570</t>
  </si>
  <si>
    <t>Islington 017</t>
  </si>
  <si>
    <t>MultiPolygon (((531795.81899985065683722 183929.41300005215452984, 531878.95999983616638929 183892.49999990736250766, 531882.90799998375587165 183856.5460001333267428, 531830.55499998095910996 183879.70499982850742526, 531789.75900002918206155 183860.56999999753315933, 531773.51100004964973778 183815.90999998620827682, 531730.72000009275507182 183838.47000005163135938, 531708.6029998566955328 183811.62800003288430162, 531696.25000005995389074 183844.88199987926054746, 531680.17799990193452686 183799.93300001870375127, 531712.07399995776358992 183787.97199990696390159, 531706.52000012248754501 183705.75600007493630983, 531741.72999984212219715 183679.31800011693849228, 531768.29400011396501213 183764.74500014045042917, 531840.91199986229185015 183809.55699994807946496, 531869.51399991195648909 183806.787000128562795, 531842.22000014525838196 183769.90600001736311242, 531791.01099989016074687 183703.88799993073916994, 531699.50599984463769943 183615.44500001121195965, 531612.50600007735192776 183555.38499982064240612, 531466.81299982871860266 183281.34400000001187436, 531405.06299986236263067 183350.06200001426623203, 531383.79000014869961888 183444.6849998812249396, 531377.14399989380035549 183480.71200000427779742, 531377.00100001622922719 183525.00099989867885597, 531380.68899989104829729 183614.01200005106511526, 531381.77399984921794385 183647.01399999624118209, 531386.06199999037198722 183744.90400011342717335, 531387.08199997118208557 183769.12000010057818145, 531389.748999954899773 183899.54300012477324344, 531420.13299987686332315 183900.45700017589842901, 531562.12599987490102649 183928.8199998838827014, 531596.10299984435550869 183926.26800011153682135, 531658.07099985796958208 184007.7589999999909196, 531803.55700016173068434 183954.55600001325365156, 531795.81899985065683722 183929.41300005215452984)))</t>
  </si>
  <si>
    <t>E01002794</t>
  </si>
  <si>
    <t>Islington 020B</t>
  </si>
  <si>
    <t>E02000573</t>
  </si>
  <si>
    <t>Islington 020</t>
  </si>
  <si>
    <t>MultiPolygon (((531610.08899983658920974 184753.4549999262962956, 531616.99999999336432666 184578.99900001432979479, 531618.12100019410718232 184545.77299988441518508, 531582.1299998767208308 184478.73700002039549872, 531455.99999990884680301 184460, 531439.70599994331132621 184504.47599995229393244, 531422.90099993022158742 184557.35099990540766157, 531387.14299988129641861 184629.0909999756840989, 531306.5890000321669504 184610.82100004350650124, 531257.03100004349835217 184603.18699999910313636, 531257.19199991272762418 184636.06000011463765986, 531292.3399998084641993 184651.22100014105672017, 531248.12199994036927819 184663.78499986074166372, 531278.89700005855411291 184685.09100014209980145, 531247.00000018824357539 184761.00000010660733096, 531156.28699999302625656 184940.54400012106634676, 531084.44099980581086129 185107.0330000632093288, 531133.48300002003088593 185247.97899999999208376, 531173.62599997874349356 185210.32699983697966672, 531240.78899999416898936 185129.59800009566242807, 531263.27799984603188932 185102.09099986177170649, 531294.21600011829286814 185063.11100017256103456, 531468.86700001137796789 184863.87699981761397794, 531610.08899983658920974 184753.4549999262962956)))</t>
  </si>
  <si>
    <t>E01002795</t>
  </si>
  <si>
    <t>Islington 013D</t>
  </si>
  <si>
    <t>MultiPolygon (((531156.28700004098936915 184940.54399998232838698, 531062.82400006102398038 184876.45199999999022111, 530994.05699993798043579 184961.187999951740494, 530937.69800009904429317 184966.13000006624497473, 530913.75400001648813486 185010.36499999219086021, 530936.52000000362750143 185022.99599988711997867, 530910.59699990425724536 185055.51700011073262431, 530889.17399995913729072 185121.26699996914248914, 530997.67000001866836101 185206.17700009190593846, 530983.08899993891827762 185306.17699990706751123, 531046.85700009879656136 185348.06300000002374873, 531133.4829999974463135 185247.97899989900179207, 531084.44100002059713006 185107.03299994455301203, 531156.28700004098936915 184940.54399998232838698)))</t>
  </si>
  <si>
    <t>E01033486</t>
  </si>
  <si>
    <t>Islington 011E</t>
  </si>
  <si>
    <t>MultiPolygon (((530997.67000014113727957 185206.1769999188836664, 530889.17400015040766448 185121.26699987892061472, 530910.596999934874475 185055.51699987810570747, 530936.51999985217116773 185022.99600003592786379, 530913.75399983278475702 185010.36499989536241628, 530937.69800013373605907 184966.12999995402060449, 530994.05699996009934694 184961.18799993983702734, 531062.82400016020983458 184876.45200005997321568, 530991.68799989786930382 184825.42600015681819059, 530938.31299999239854515 184786.29699999999138527, 530917.36900001985486597 184813.39599983298103325, 530817.89799982961267233 184941.79500010405899957, 530859.93799986888188869 184976.6480000777519308, 530834.03500001144129783 185007.5650001646426972, 530690.97799983993172646 184866.91300016295281239, 530713.35099994437769055 184913.79000008260481991, 530768.29399985750205815 184958.33600005367770791, 530747.54200009896885604 185045.98199999300413765, 530788.00000008894130588 185076.99999984193709679, 530740.05400003341492265 185135.9299999742070213, 530794.0100000558886677 185204.25400010999874212, 530808.64199987857136875 185179.22699999136966653, 530920.99999989487696439 185272.02699985867366195, 530848.07200003520119935 185325.02299989116727374, 530799.21800014527980238 185361.39200007691397332, 530878.72900006489362568 185451.53900011299992912, 530920.73000016761943698 185506.11199999999371357, 531042.43000003206543624 185353.2690000930451788, 531046.85700012661982328 185348.06300000962801278, 530983.08899993100203574 185306.17700007066014223, 530997.67000014113727957 185206.1769999188836664)))</t>
  </si>
  <si>
    <t>E01033488</t>
  </si>
  <si>
    <t>Islington 011G</t>
  </si>
  <si>
    <t>MultiPolygon (((529175.38599994359537959 184221.50699991782312281, 529254.68799987295642495 184086.92200014131958596, 529311.23399993719067425 183978.03699985091225244, 529312.71000012196600437 183975.22500007075723261, 529355.24999992828816175 183894.20300013871747069, 529307.7549999508773908 183860.36400002698064782, 529246.74300002434756607 183816.89400007904623635, 529228.90699995099566877 183804.18600010848604143, 529186.70200002123601735 183774.43400003568967804, 529160.90300003672018647 183755.51100015081465244, 529097.81299989356193691 183711.86000014047021978, 529015.42999991890974343 183672.85499999998137355, 528960.71099986857734621 183765.77300006806035526, 528990.02399990940466523 183835.53800007596146315, 528964.03800015070009977 183872.01499998121289536, 528952.02500007161870599 183967.35000005332403816, 528990.81699993542861193 183979.59999987448100001, 528974.33500013803131878 183913.05799999329610728, 529047.16399987472686917 183959.97799987826147117, 529082.4560001427307725 183982.09199998463736847, 529109.31000003369990736 184013.0399999902874697, 529176.77100006968248636 184084.19299998017959297, 529150.47800011956132948 184105.79400000348687172, 529183.00000013550743461 184165.00000014359829947, 529142.40199986728839576 184171.9439999645401258, 529076.84400000632740557 184070.24900004075607285, 529038.00000006472691894 184140.99999986981856637, 529065.13200009753927588 184156.92600000120000914, 529061.39500014181248844 184207.06000013605807908, 529117.65200007730163634 184227.2749999783700332, 529135.71200010494794697 184290.74499999999534339, 529175.38599994359537959 184221.50699991782312281)))</t>
  </si>
  <si>
    <t>E01000861</t>
  </si>
  <si>
    <t>Camden 019B</t>
  </si>
  <si>
    <t>E02000184</t>
  </si>
  <si>
    <t>Camden 019</t>
  </si>
  <si>
    <t>MultiPolygon (((528854.10799994471017271 184135.51300015448941849, 528939.99999985913746059 184099.99999992724042386, 528933.32599992433097214 184015.69399992423132062, 528984.98600011004600674 184028.1970001422741916, 529047.16399989242199808 183959.97799992799991742, 528974.33499984710942954 183913.05799994117114693, 528990.81699994776863605 183979.59999988990603015, 528952.02499988488852978 183967.35000003318418749, 528964.03800000553019345 183872.0149998577835504, 528990.02399999205954373 183835.5380000610020943, 528960.7109999053645879 183765.77300004847347736, 529015.42999994871206582 183672.85499997661099769, 528946.65899991279002279 183631.66500008953153156, 528850.7610001100692898 183582.24699999557924457, 528837.6949999425560236 183579.7930000773339998, 528832.58099991001654416 183579.29899990421836264, 528720.81299999810289592 183577.875, 528665.85600011912174523 183611.07199986168416217, 528641.00000010745134205 183645.99999988390482031, 528642.00000003655441105 183699.99999992310767993, 528710.3430000216467306 183862.90100010871537961, 528677.13500003213994205 183941.97000008562463336, 528714.56199993879999965 183983.86400009549106471, 528761.00500015495344996 183996.38400007164455019, 528730.69899986905511469 184042.2650001157016959, 528656.6230001300573349 184057.75500011656549759, 528688.89599989098496735 184089.49799998913658783, 528649.4590000978205353 184145.59799984731944278, 528677.00000013352837414 184170.00000012130476534, 528728.24199997447431087 184125.63299991391249932, 528795.13900012196972966 184167.45499984896741807, 528791.47799997904803604 184218.70400006417185068, 528854.84599990595597774 184222.268999999971129, 528854.10799994471017271 184135.51300015448941849)))</t>
  </si>
  <si>
    <t>E01000863</t>
  </si>
  <si>
    <t>Camden 021A</t>
  </si>
  <si>
    <t>E02000186</t>
  </si>
  <si>
    <t>Camden 021</t>
  </si>
  <si>
    <t>MultiPolygon (((528853.38799992855638266 182768.05099991199676879, 528856.00000003387685865 182728.00000005625770427, 528905.99999993853271008 182728.9999999726715032, 528917.31100000289734453 182702.56400000577559695, 528952.80900000268593431 182703.9999999230785761, 529018.5460000823950395 182651.99399994645500556, 529017.7910000755218789 182566.99300007507554255, 528976.23299993656110018 182533.11999993945937604, 529019.27000008570030332 182509.1260000453912653, 529020.19900002516806126 182457.18599997612182051, 528956.21999998821411282 182433.96199990875902586, 528958.68500007002148777 182384.79699995758710429, 528855.74100008502136916 182383.17500001849839464, 528833.99999992805533111 182382.00000000002910383, 528827.85300001711584628 182524.66800003449316137, 528798.00700003956444561 182516.65799998058355413, 528797.40000003122258931 182576.58899999488494359, 528796.06299997493624687 182607.00399995749467053, 528855.57399997767060995 182591.56299997391761281, 528864.69700004276819527 182650.04099991213297471, 528819.99999993131496012 182705.9999999504070729, 528817.36699996166862547 182770.9439999999885913, 528853.38799992855638266 182768.05099991199676879)))</t>
  </si>
  <si>
    <t>E01000944</t>
  </si>
  <si>
    <t>Camden 023A</t>
  </si>
  <si>
    <t>E02000188</t>
  </si>
  <si>
    <t>Camden 023</t>
  </si>
  <si>
    <t>MultiPolygon (((529174.32500010135117918 183076.41100019242730923, 529337.93800007458776236 182985.75000010366784409, 529442.27000010793562979 183011.71200005666469224, 529451.99199997377581894 183015.95500014294520952, 529480.53599984152242541 182979.78899994332459755, 529580.36300005961675197 182844.18099995880038477, 529683.13599987456109375 182704.76599989362875931, 529764.56299999984912574 182589.96899980495800264, 529370.29300010821316391 182379.06799980756477453, 529321.56500008027069271 182491.84199988312320784, 529250.29800007108133286 182461.47600014769705012, 529236.25100018840748817 182488.29299985032412224, 529220.0000001696171239 182560.99999986318289302, 529116.52000012504868209 182555.5310000948375091, 529159.85199982009362429 182526.47799997770925984, 529162.93499981355853379 182463.64499984009307809, 529001.19600000907666981 182382.78100010575144552, 528958.68499994452577084 182384.79699986850027926, 528956.21999999997206032 182433.96199982237885706, 529020.19900013378355652 182457.18600017021526583, 529019.26999981584958732 182509.12600001340615563, 528976.23300004855263978 182533.12000001521664672, 529017.79100009158719331 182566.9929998978623189, 529065.99999985890462995 182554.00000006952905096, 529065.99999985890462995 182704.99999983361340128, 529106.99999992060475051 182708.99999988893978298, 529119.29900009965058416 182664.30900020041735843, 529178.39200007042381912 182666.60200011319830082, 529217.42199993622489274 182639.48500007297843695, 529213.99999988463241607 182805.00000000395812094, 529207.00000009092036635 182908.99999982540612109, 529174.32500010135117918 183076.41100019242730923)))</t>
  </si>
  <si>
    <t>E01000945</t>
  </si>
  <si>
    <t>Camden 023B</t>
  </si>
  <si>
    <t>MultiPolygon (((528505.99999995494727045 183499.99999992558150552, 528632.02700013318099082 183128.67199980132863857, 528662.86099984939210117 183137.43800034848391078, 528712.00099986745044589 183163.00000006362097338, 528666.00800002925097942 183218.52299967242288403, 528863.74699972500093281 183245.0839999923191499, 528895.53100005269516259 183175.55099993149633519, 528858.66600005468353629 183159.53500024173990823, 528880.86399971984792501 183080.95899985762662254, 528783.5460001362953335 183020.8600001375307329, 528758.20400007662829012 183012.33800032787257805, 528782.26899982697796077 182964.1410000225296244, 528815.48900028492789716 182977.96599971465184353, 528800.58099969977047294 182933.24299998680362478, 528854.46800019114743918 182932.16400020706350915, 528868.99999968579504639 182884.00000033984542824, 528802.00000034656841308 182864.00000017153797671, 528815.00000028102658689 182800.00000033271498978, 528852.2509999544126913 182796.38400011757039465, 528853.38799978327006102 182768.05099991359747946, 528817.36700028285849839 182770.94400007143849507, 528820.00000014808028936 182705.99999989158823155, 528864.69700033660046756 182650.04099998591118492, 528855.57400013855658472 182591.56299975657020696, 528796.06300033733714372 182607.00399999690125696, 528797.3999998529907316 182576.58899969459162094, 528798.00699981208890676 182516.65799985133344308, 528827.85300023574382067 182524.66799990300205536, 528833.99999991606455296 182381.99999996408587322, 528855.74100008700042963 182383.17499987338669598, 528958.68500023672822863 182384.79699999233707786, 529001.19600006972905248 182382.78100007053581066, 529162.93500016233883798 182463.64499981055269018, 529159.85200030205305666 182526.4779998674930539, 529116.51999972539488226 182555.53100034341332503, 529220.0000000154832378 182561.00000024584005587, 529236.25099968700669706 182488.29299983746022917, 529250.29800029098987579 182461.47600033829803579, 529321.56500015547499061 182491.84199994761729613, 529370.293000259087421 182379.06799979737843387, 529340.68399967416189611 182370.33299983144388534, 529103.45199975755531341 182258.3669999552948866, 529076.04299992590676993 182246.02000018779654056, 528891.05399985634721816 182192.52000000001862645, 528896.6879998502554372 182258.64099994607386179, 528856.37500021373853087 182273.87500030061346479, 528846.87499969638884068 182196.74999967348412611, 528813.01400031219236553 182202.80999997988692485, 528773.25099981436505914 182198.75000004019238986, 528728.24699989682994783 182335.37399992754217237, 528637.00300031783990562 182308.74400034546852112, 528633.06300019018817693 182307.59400004713097587, 528538.87100018968340009 182617.99099979491438717, 528517.82899969385471195 182687.3320002963882871, 528377.67299987969454378 183145.14900009863777086, 528244.11399974080268294 183584.02899995725601912, 528325.00000000617001206 183592, 528505.99999995494727045 183499.99999992558150552)))</t>
  </si>
  <si>
    <t>E01000946</t>
  </si>
  <si>
    <t>Camden 021B</t>
  </si>
  <si>
    <t>MultiPolygon (((529097.81300002313219011 183711.85999999998603016, 529190.97200013697147369 183562.98400004452560097, 529257.1539999587694183 183449.61599992067203857, 529262.23799997009336948 183441.63099989111651666, 529286.12500015378464013 183404.10900001437403262, 529416.50000009057112038 183460.39099985451321118, 529416.42899993958417326 183370.34599989090929739, 529371.71400013461243361 183278.2950000032724347, 529281.74299992574378848 183195.47099990979768336, 529248.85899997560773045 183176.13800014808657579, 529234.89299989060964435 183170.89299998889327981, 529159.56299990427214652 183150.76599985465873033, 529172.4240000091958791 183085.98599997043493204, 529105.45799988589715213 183069.40899999998509884, 528942.02700012619607151 183220.00100006791763008, 528854.16199990944005549 183347.13900004077004269, 528899.99999988649506122 183378.99999988681520335, 528967.49000007030554116 183279.75700004590908065, 529071.99999984120950103 183273.99999984717578627, 529094.37799987324979156 183341.79700005979975685, 529143.75399999308865517 183384.33699999286909588, 529106.10899998142849654 183405.56800013207248412, 529096.86799989501014352 183367.23899988681660034, 529006.01399993419181556 183335.96800005625118501, 528957.00000007322523743 183415.99999997418490238, 529031.99999996379483491 183455.00000013576936908, 529022.00099988910369575 183472.99999983969610184, 529056.42399988288525492 183491.22500001773005351, 529025.47600000200327486 183578.65599984969594516, 529039.83599986636545509 183636.02900002003298141, 528998.64399993699043989 183633.85299985198071226, 528946.65899988170713186 183631.66499998411745764, 529015.43000013951677829 183672.85499996348517016, 529097.81300002313219011 183711.85999999998603016)))</t>
  </si>
  <si>
    <t>E01000947</t>
  </si>
  <si>
    <t>Camden 021C</t>
  </si>
  <si>
    <t>MultiPolygon (((528942.0270001016324386 183220.00099991544266231, 529105.45800010859966278 183069.40900004407740198, 529172.42400012142024934 183085.98599985989858396, 529174.32500007539056242 183076.41100001762970351, 529207.00000003690365702 182908.99999999994179234, 529213.99999982642475516 182804.99999999298597686, 529217.42200015124399215 182639.48499999998603016, 529178.39200013037770987 182666.60200017318129539, 529151.08299998147413135 182710.99999983698944561, 529179.99899992265272886 182710.99999983698944561, 529178.00000015064142644 182765.99999990192009136, 529141.00000010058283806 182764.99999988143099472, 529137.99799985508434474 182804.02899998726206832, 529068.00000002083834261 182802.42700012426939793, 529061.77399997820612043 182907.2589999076735694, 529060.99999987741466612 182915.00000012281816453, 529023.92399991070851684 183047.05499992592376657, 528895.53099987120367587 183175.55100006659631617, 528863.74699998460710049 183245.08400010361219756, 528834.99999984877649695 183333.99999985826434568, 528854.16199992981273681 183347.13899999996647239, 528942.0270001016324386 183220.00099991544266231)))</t>
  </si>
  <si>
    <t>E01000950</t>
  </si>
  <si>
    <t>Camden 023D</t>
  </si>
  <si>
    <t>MultiPolygon (((529061.77399999985937029 182907.25899999996181577, 529067.99999999813735485 182802.42700000992044806, 529137.998000075109303 182804.02900007780408487, 529141.0000000026775524 182765.00000008344068192, 529178.00000005587935448 182766.00000000849831849, 529179.99900000635534525 182711.00000006795744412, 529151.08299992815591395 182711.00000006795744412, 529178.39200008730404079 182666.60200005065416917, 529119.29900006914976984 182664.30899994412902743, 529107.00000007799826562 182709.00000004121102393, 529065.99999997136183083 182704.99999998771818355, 529065.99999997136183083 182554, 529017.79100000089965761 182566.99300008176942356, 529018.54599997261539102 182651.99399996979627758, 528952.8090000624069944 182704.00000006266054697, 528917.31100004923064262 182702.56399993147351779, 528905.99999995157122612 182728.99999995535472408, 528855.99999998963903636 182728.00000003029708751, 528853.38799994089640677 182768.05100003708503209, 528852.25099999364465475 182796.38400000781985, 528884.40100002160761505 182796.79099994621356018, 528888.99999998928979039 182820.9999999490682967, 528985.74499995238147676 182840.77599992099567316, 528992.0499999673338607 182902.95400001175585203, 529026.84799996227957308 182881.1419999182689935, 529061.77399999985937029 182907.25899999996181577)))</t>
  </si>
  <si>
    <t>E01000951</t>
  </si>
  <si>
    <t>Camden 023E</t>
  </si>
  <si>
    <t>MultiPolygon (((529452.96499997738283128 183470.93299995991401374, 529496.65799998468719423 183380.50900003424612805, 529542.46399998979177326 183412.01199994148919359, 529585.70500006491784006 183459.90800007415236905, 529669.96200003160629421 183400.14699990901863202, 529685.38399992336053401 183386.77899996371706948, 529671.08900001691654325 183367.77600009192246944, 529715.55799999996088445 183314.23600004412583075, 529634.18899998301640153 183277.64200007656472735, 529704.58199992636218667 183167.97199990635272115, 529606.77000007452443242 183140.40400006039999425, 529550.99999995029065758 183220.99999994673999026, 529489.72799990756902844 183179.99699991280795075, 529444.59599993168376386 183172.33099991004564799, 529403.94100006215739995 183213.79300004357355647, 529351.76600002613849938 183165.82399997801985592, 529329.42699991492554545 183149.06999995722435415, 529281.74300009338185191 183195.47099991512368433, 529371.71400006301701069 183278.29500005679437891, 529416.42900003725662827 183370.3459999148035422, 529416.49999992235098034 183460.39100006787339225, 529286.12499996728729457 183404.10899993617204018, 529262.23800000012852252 183441.63099988881731406, 529317.61199994513299316 183450.77699993422720581, 529328.69099998928140849 183486.07599997779470868, 529445.63699989987071604 183506.16299993963912129, 529452.96499997738283128 183470.93299995991401374)))</t>
  </si>
  <si>
    <t>E01000952</t>
  </si>
  <si>
    <t>Camden 022A</t>
  </si>
  <si>
    <t>E02000187</t>
  </si>
  <si>
    <t>Camden 022</t>
  </si>
  <si>
    <t>MultiPolygon (((529550.99999990500509739 183221.00000004965113476, 529606.77000000013504177 183140.4040000980894547, 529576.86199994490016252 183124.04399993340484798, 529549.86800003098323941 183161.42000001735868864, 529523.38000007963273674 183152.33600005297921598, 529528.31999998120591044 183116.21500010354793631, 529472.34400001890026033 183133.59799992054468021, 529462.19100001943297684 183069.64000010435120203, 529470.42700003308709711 183052.46000006643589586, 529444.00000001094304025 183034.99999992456287146, 529451.99200008425395936 183015.95500001276377589, 529442.27000007941387594 183011.71199994752532803, 529337.93800002918578684 182985.74999995034886524, 529174.32500008726492524 183076.41100007321801968, 529172.42400004994124174 183085.98600000666920096, 529159.56299999996554106 183150.76600005303043872, 529234.89300001040101051 183170.89300008385907859, 529248.85900003532879055 183176.13800007870304398, 529281.74299989209976047 183195.47099995688768104, 529329.42699990945402533 183149.0699999280332122, 529351.7660000235773623 183165.82399996908497997, 529403.9410000896314159 183213.79300008818972856, 529444.59599993517622352 183172.33100000605918467, 529489.72800001432187855 183179.99700003970065154, 529550.99999990500509739 183221.00000004965113476)))</t>
  </si>
  <si>
    <t>E01000954</t>
  </si>
  <si>
    <t>Camden 022C</t>
  </si>
  <si>
    <t>MultiPolygon (((529798.1989999677753076 184060.5419998319412116, 529914.9030000000493601 183692.39000003132969141, 529874.44600002735387534 183659.22700001773773693, 529786.96899986127391458 183704.06299989079707302, 529802.58399993216153234 183507.55799995420966297, 529693.4589999841991812 183517.43600004221661948, 529650.45300008449703455 183480.66800015413900837, 529711.71800013817846775 183431.76200007597799413, 529669.96199985477142036 183400.14700011408422142, 529585.70500008610542864 183459.90799989941297099, 529542.46399990865029395 183412.01199996398645453, 529496.65799997665453702 183380.50900016803643666, 529452.96500012173783034 183470.93300004830234684, 529531.3569999139290303 183491.02000015426892787, 529516.90399989241268486 183522.86800002955715172, 529556.99999995820689946 183531.00000001137959771, 529536.27600008749868721 183569.85799990280065686, 529515.41200009523890913 183607.91900003748014569, 529457.97199986223131418 183709.98499996098689735, 529407.0000000367872417 183681.99999996877158992, 529378.54100013244897127 183666.52299999821116216, 529429.98499984876252711 183579.69700008918880485, 529369.07700000249315053 183558.12500008920324035, 529325.00000016670674086 183637.00000006097252481, 529305.83299992932006717 183626.21900011430261657, 529263.83800001151394099 183659.13900010785437189, 529275.79199995344970375 183722.60100010587484576, 529228.90700000000651926 183804.18599983581225388, 529246.74299992842134088 183816.89399993326514959, 529307.75499985518399626 183860.36399998140404932, 529355.25000014284159988 183894.20300000431598164, 529312.71000006992835552 183975.22500007305643521, 529311.23400010040495545 183978.03699989046435803, 529386.85000011615920812 184018.1470001055567991, 529409.37100012262817472 183999.78999993507750332, 529438.42599986877758056 183977.27700001397170126, 529493.05399994133040309 183934.94799996275105514, 529528.07299986272118986 183907.81500014258199371, 529537.82099993573501706 183900.26100015349220484, 529578.56999993685167283 183949.000999832584057, 529620.99499998334795237 183932.93299990208470263, 529633.9999999909196049 183906.99999985078466125, 529737.9990001292899251 183969.00000002863816917, 529707.57399982959032059 184045.32699991267872974, 529798.1989999677753076 184060.5419998319412116)))</t>
  </si>
  <si>
    <t>E01000958</t>
  </si>
  <si>
    <t>Camden 019D</t>
  </si>
  <si>
    <t>MultiPolygon (((529263.83799989311955869 183659.13899991690414026, 529305.83300001418683678 183626.21899995193234645, 529324.99999988789204508 183636.99999989045318216, 529369.07700001518242061 183558.12500004516914487, 529429.98500003223307431 183579.69700009669759311, 529378.54099997924640775 183666.52300009317696095, 529407.00000007590278983 183682.00000009729410522, 529457.97199997480493039 183709.98500005097594112, 529515.41200004681013525 183607.91900000712485053, 529536.27600009692832828 183569.85800001811003312, 529557.00000000011641532 183530.99999994409154169, 529516.90400009008590132 183522.86799998677452095, 529531.35699999739881605 183491.02000008369213901, 529452.96499990113079548 183470.93299999926239252, 529445.63700010511092842 183506.16300009164842777, 529328.69100009626708925 183486.07600000721868128, 529317.61199996317736804 183450.77699995069997385, 529262.23799998569302261 183441.63100007103639655, 529257.15399999194778502 183449.61600003484636545, 529190.97200010996311903 183562.98400001606205478, 529097.81299999996554106 183711.8599999352300074, 529160.90299993136432022 183755.51100011428934522, 529186.7019999927142635 183774.43399995501386002, 529228.90700010454747826 183804.18599992894451134, 529275.79199991084169596 183722.60100009420420974, 529263.83799989311955869 183659.13899991690414026)))</t>
  </si>
  <si>
    <t>E01000959</t>
  </si>
  <si>
    <t>Camden 019E</t>
  </si>
  <si>
    <t>MultiPolygon (((532022.37400027958210558 181893.4689999608672224, 532021.188000253518112 181803.89099976373836398, 532069.81300000997725874 181825.90599997769459151, 532077.70500013011042029 181797.66899974600528367, 532095.56299999996554106 181577.35100012243492529, 532064.37499972863588482 181561.59399975000997074, 532052.50000010593794286 181600.39100020992918871, 531985.87499985774047673 181583.49999974499223754, 531951.87500018335413188 181548.00000007663038559, 531948.31299993663560599 181471.96899997111177072, 531822.43800021009519696 181410.57799987419275567, 531784.81300003291107714 181132.40599977024248801, 531641.22900008352007717 181109.70500028081005439, 531648.68799987761303782 180855.99999986312468536, 531625.62500009080395103 180797.99900010242708959, 531145.12699995341245085 180782.10200003912905231, 531147.43800011614803225 180882.15599974687211215, 531074.68800012790597975 180990.3439998951216694, 531127.93800019496120512 181049.49900002669892274, 531112.31299974070861936 181104.29699985260958783, 531172.2330000780057162 181124.63799979561008513, 531133.75000015029218048 181278.98499992024153471, 530966.68799999996554106 181596.7340000520052854, 531158.53799995838198811 181603.54699999850708991, 531186.62799978081602603 181599.89599981118226424, 531274.9780001575127244 181581.08400009642355144, 531410.66500019957311451 181576.11199997956282459, 531521.64399985375348479 181639.84899987961398438, 531554.87499971827492118 181659.28099975743680261, 531627.81900026183575392 181695.6859998868603725, 531796.37499987112823874 181784.46900002512848005, 532022.37400027958210558 181893.4689999608672224)))</t>
  </si>
  <si>
    <t>E01032740</t>
  </si>
  <si>
    <t>City of London 001G</t>
  </si>
  <si>
    <t>E02000001</t>
  </si>
  <si>
    <t>City of London 001</t>
  </si>
  <si>
    <t>E09000001</t>
  </si>
  <si>
    <t>City of London</t>
  </si>
  <si>
    <t>MultiPolygon (((531314.87800014950335026 182095.34700003426405601, 531341.74999987799674273 182048.18700010958127677, 531388.73500007332768291 182052.19299985803081654, 531426.74899989028926939 182058.06199985687271692, 531506.68399993702769279 181871.21699993871152401, 531554.87500005657784641 181659.28099996640230529, 531521.6440001284936443 181639.84899991631391458, 531410.66500003088731319 181576.11199999999371357, 531287.46000011509750038 181727.25399991447920911, 531261.00000013306271285 181843.00000005343463272, 531222.51199996273498982 181829.82299991653417237, 531214.01900005934294313 181866.11099997416022234, 531224.68099993164651096 181865.83499988974654116, 531229.0000000906875357 181951.99999988827039488, 531166.38500010082498193 181953.71699985326267779, 531144.90599995711818337 181997.12099996244069189, 531146.22700002312194556 181946.87500014479155652, 531120.61799987545236945 181938.82399994149454869, 531095.86199994222261012 182012.74100009191897698, 531132.90699985180981457 182025.54799984247074462, 531090.67699997208546847 182077.00400002559763379, 531074.86300001468043774 182048.80299998781993054, 531053.83299994352273643 182062.12600009067682549, 531061.22599995008204132 182090.54299998618080281, 531062.14900005655363202 182215.00700000001234002, 531145.43600009602960199 182183.54500002035638317, 531186.00000012363307178 182170.33599986904300749, 531221.96399991540238261 182161.96399997037951834, 531291.62599993566982448 182147.14099995041033253, 531314.87800014950335026 182095.34700003426405601)))</t>
  </si>
  <si>
    <t>E01000916</t>
  </si>
  <si>
    <t>Camden 027B</t>
  </si>
  <si>
    <t>E02000192</t>
  </si>
  <si>
    <t>Camden 027</t>
  </si>
  <si>
    <t>MultiPolygon (((530804.09200009750202298 182287.2079999971028883, 530649.30900010943878442 182224.2440000000060536, 530606.99999995925463736 182297.99999993643723428, 530676.00000004202593118 182334.99999988442868926, 530653.76899995561689138 182416.67800009064376354, 530705.06199993286281824 182427.20299994500237517, 530695.23000004445202649 182445.38599988271016628, 530650.99999999057035893 182528.99999997793929651, 530649.52499994833488017 182531.95000006235204637, 530770.81199997698422521 182587.32000011092168279, 530765.50699996796902269 182688.36299994171713479, 530764.00000010477378964 182717, 530780.5439999628579244 182673.9920000868733041, 530835.66600010497495532 182651.64100011726259254, 530932.30699993460439146 182558.58200010168366134, 530981.3309999528573826 182527.95799990836530924, 531005.3320000406820327 182520.2369999849179294, 530920.31200003321282566 182412.48299998647416942, 530875.55699999770149589 182345.46299994696164504, 530804.09200009750202298 182287.2079999971028883)))</t>
  </si>
  <si>
    <t>E01000936</t>
  </si>
  <si>
    <t>Camden 024A</t>
  </si>
  <si>
    <t>E02000189</t>
  </si>
  <si>
    <t>Camden 024</t>
  </si>
  <si>
    <t>MultiPolygon (((530657.2280000897590071 182963.11399996193358675, 530772.33899996243417263 182905.00600006527383812, 530788.26799996383488178 182887.1679999505286105, 530803.64099996036384255 182797.5550000371877104, 530806.6720000640489161 182760.94099992391420528, 530835.66599999985191971 182651.64099992281990126, 530780.54400003771297634 182673.99199995052185841, 530763.99999994039535522 182716.99999999051215127, 530623.2679999356623739 182664.26099994604010135, 530616.47400001110509038 182699.14699990465305746, 530561.99999997892882675 182726.99999993795063347, 530542.00000008405186236 182761.99999988189665601, 530673.54600005899555981 182804.53300006830249913, 530623.21400009072385728 182844.40499995081336237, 530590.9159999112598598 182883.52900009564473294, 530500.00000004889443517 182839.99999998355633579, 530471.55899997008964419 182890.49500004752189852, 530419.77599992824252695 182865.58199998596683145, 530404.00000004190951586 182889.00000010975054465, 530433.37100012227892876 182911.03700002524419688, 530381.59700001194141805 182879.81599992266274057, 530391.80600001767743379 182923.66599997997400351, 530324.00100000004749745 182979.64900012765428983, 530326.06299997249152511 182983.3279999055666849, 530510.00100004568230361 183011.641000077186618, 530657.2280000897590071 182963.11399996193358675)))</t>
  </si>
  <si>
    <t>E01000938</t>
  </si>
  <si>
    <t>Camden 024B</t>
  </si>
  <si>
    <t>MultiPolygon (((531474.15799991332460195 182400.02900012023746967, 531554.82599985203705728 182315.00100017350632697, 531592.19699986325576901 182323.18199982674559578, 531617.13700012082699686 182436.85400018232758157, 531674.38700015470385551 182322.89200007033650763, 531727.36400010751094669 182233.01100012182723731, 531736.11000010184943676 182214.64100005509681068, 531774.3640001870226115 182081.73399995156796649, 531793.46700004593003541 182015.11900003545451909, 531796.37500005017500371 181784.46900006220676005, 531627.81900012015830725 181695.68600000703008845, 531554.87499981082510203 181659.28099999995902181, 531506.68399991607293487 181871.21700019543641247, 531426.74900017736945301 182058.0619998523616232, 531388.73499989055562764 182052.19299988835700788, 531341.74999979848507792 182048.18699999077944085, 531314.87799994030501693 182095.34699993586400524, 531291.62599989608861506 182147.14100006673834287, 531221.96400009247008711 182161.96399985029711388, 531215.78299998270813376 182220.32500017448910512, 531133.2849999499740079 182247.14300007803831249, 531172.6769998949021101 182382.56500010812305845, 531226.41300002578645945 182349.41399981468566693, 531214.99999982479494065 182318.00000010133953765, 531287.99900008796248585 182238.99999998504063115, 531327.99999992921948433 182274.99999992444645613, 531308.00000000814907253 182326.9999998822750058, 531334.12700008437968791 182364.15800007246434689, 531393.9999999541323632 182460.99999988335184753, 531476.33400012459605932 182474.9409999999916181, 531512.99999991245567799 182459.99999990768264979, 531474.15799991332460195 182400.02900012023746967)))</t>
  </si>
  <si>
    <t>E01002724</t>
  </si>
  <si>
    <t>Islington 022D</t>
  </si>
  <si>
    <t>E02000575</t>
  </si>
  <si>
    <t>Islington 022</t>
  </si>
  <si>
    <t>MultiPolygon (((531197.56299993523862213 182756.39300000001094304, 531254.00100011413451284 182655.00000014124088921, 531389.32899990200530738 182689.13499986848910339, 531314.00000003492459655 182583.00000002462184057, 531374.0000000826548785 182512.00000008710776456, 531464.27899986342526972 182484.28399987320881337, 531476.33400007011368871 182474.94099994789576158, 531394.00000009848736227 182460.99999986827606335, 531334.12700010393746197 182364.15799985162448138, 531307.99999985191971064 182326.99999994016252458, 531327.9999998677521944 182275.00000013664248399, 531287.99900000635534525 182238.99999992971424945, 531215.00000013469252735 182318.00000011135125533, 531226.41300008003599942 182349.41399990220088512, 531172.67700010351836681 182382.56499999293009751, 531133.28499988582916558 182247.14299987786216661, 531215.78300014359410852 182220.32499998770072125, 531221.96400009340140969 182161.96400000000721775, 531185.99999999278225005 182170.33599985661567189, 531145.43600007868371904 182183.54499985504662618, 531062.14899994293227792 182215.00700008487910964, 530971.75000010489020497 182299.53100013372022659, 530920.31199993006885052 182412.48300002227188088, 531005.33199985849205405 182520.2370000651862938, 530981.33099989092443138 182527.9580000055138953, 530990.35000004840549082 182554.01199991814792156, 531011.1949999094940722 182613.57099992662551813, 531077.51699995179660618 182717.52199985957122408, 531111.74900008935946971 182704.99599997102632187, 531169.57100009522400796 182737.28500014153541997, 531197.56299993523862213 182756.39300000001094304)))</t>
  </si>
  <si>
    <t>E01002726</t>
  </si>
  <si>
    <t>Islington 022F</t>
  </si>
  <si>
    <t>MultiPolygon (((531232.73199999995995313 183000.31100002970197238, 531193.82600009685847908 182975.10400016838684678, 531105.15199984365608543 182976.36799995298497379, 531115.84500012593343854 182944.85800016307621263, 531066.14299993205349892 182924.52000002126442268, 531029.14900006691459566 182931.06300012394785881, 530931.52399986737873405 182983.61500003637047485, 530891.77800007769837976 182957.60099982452811673, 530926.17500016104895622 182857.3060000370896887, 530803.64100015978328884 182797.55499985933420248, 530788.2680000961991027 182887.16800005294498987, 530772.33899982203729451 182905.00599994719959795, 530657.22800007998012006 182963.11399984257877804, 530510.00100000004749745 183011.64099987674853764, 530546.91500004811678082 183018.62100000132340938, 530710.12499997159466147 183038.48400000936817378, 530795.70899997092783451 183053.42499990409123711, 530882.24500003445427865 183068.09899984003277496, 530909.20499983639456332 183072.13199998904019594, 530954.91999990260228515 183078.97199989159707911, 530986.46500010939780623 183083.88300003908807412, 531204.11300009675323963 183121.31900014061830007, 531232.73199999995995313 183000.31100002970197238)))</t>
  </si>
  <si>
    <t>E01002728</t>
  </si>
  <si>
    <t>Islington 021D</t>
  </si>
  <si>
    <t>E02000574</t>
  </si>
  <si>
    <t>Islington 021</t>
  </si>
  <si>
    <t>MultiPolygon (((531342.99999995855614543 182999.00000011865631677, 531357.99999995005782694 182956.00000010523945093, 531370 182913.00000009179348126, 531272.29099999147001654 182871.52200012296088971, 531292.59999997576233 182830.201999872981105, 531291.44800000044051558 182778.91699995411909185, 531231.3500001048669219 182791.10299994540400803, 531197.56299989041872323 182756.39299993784516118, 531169.57099997252225876 182737.2849998936871998, 531111.74900008819531649 182704.99599997809855267, 531077.5169999971985817 182717.52200000244192779, 531011.19500013650394976 182613.57100000718492083, 530990.34999997681006789 182554.01200000735116191, 530981.33099994016811252 182527.95799988132785074, 530932.30700001434888691 182558.5820000515668653, 530835.66599987982772291 182651.64100010797847062, 530806.67199988465290517 182760.94100004990468733, 530803.64099999982863665 182797.5549999026407022, 530926.1749999716412276 182857.30600013432558626, 530891.77799996454268694 182957.60099986765999347, 530931.52399991836864501 182983.61500003977562301, 531029.14900010847486556 182931.06300010107224807, 531066.14299994823522866 182924.52000012833741494, 531115.84500012639909983 182944.85799995885463431, 531105.15200005029328167 182976.36799997198977508, 531193.82600009709130973 182975.10399995578336529, 531196.674999950802885 182968.81099990737857297, 531274.16599999042227864 182998.30500003448105417, 531342.99999995855614543 182999.00000011865631677)))</t>
  </si>
  <si>
    <t>E01002729</t>
  </si>
  <si>
    <t>Islington 021E</t>
  </si>
  <si>
    <t>MultiPolygon (((529960.28299992228858173 181025.97400020947679877, 530024.69899996742606163 180965.35800019089947455, 530084.01400020194705576 181009.56100005217012949, 530119.36300020397175103 180964.63700009122840129, 530085.63800008944235742 180922.66099985243636183, 530085.54899999825283885 180889.03299980479641818, 530123.00000012305099517 180912.00000005902256817, 530123.00000012305099517 180846.99999985969043337, 530170.82600018684752285 180829.78099998147808947, 530137.0000000175787136 180868.00000018367427401, 530167.14999978372361511 180887.07500020880252123, 530203.7830002240370959 180823.48700005889986642, 530217.11200010811444372 180800.33400012867059559, 530256.82200024032499641 180812.82199979553115554, 530380.99999976460821927 180969.99999982895678841, 530448.5559999126708135 180874.27400016703177243, 530398.00000018754508346 180809.99999993166420609, 530421.87500009383074939 180777.85799994968692772, 530370.99999977101106197 180677.99999982354347594, 530468.74200005794409662 180560.00300020352005959, 530535.99999990616925061 180623.99999995462712832, 530498.59599975903984159 180677.74100000772159547, 530490.54000012716278434 180653.72100018028868362, 530439.28400011803023517 180693.2469999072200153, 530453.99999976588878781 180735.00100009728339501, 530575.99999988044146448 180802.00000012962846085, 530615 180740.99999983131419867, 530564.00000017741695046 180710.9999998505518306, 530595.99999986763577908 180653.0000000806467142, 530535.59600016928743571 180529.14200006632017903, 530490.55799983150791377 180457.8860000700224191, 530400.7259998609079048 180454.42299986342550255, 530343.6129999274853617 180473.13999977085040882, 530318.91499999025836587 180449.14600010550930165, 530263.99400014709681273 180497.00300019574933685, 530200.80499986989889294 180570.24799981439718977, 530163.00000009732320905 180494.00000003806781024, 530074.99999986460898072 180424.00000008297502063, 530079.48100011225324124 180611.99999976946855895, 530010.24399988818913698 180643.00800006274948828, 529975.9999997834675014 180653.0000000806467142, 529957.10399981716182083 180615.18400022099376656, 529985.07600017357617617 180497.4309998597309459, 529887.0000001781154424 180461.00000001103035174, 529839.17400011420249939 180561.6529997710022144, 529787.31199977651704103 180558.90000005907495506, 529750.15700019884388894 180496.97899978657369502, 529725.17399980162736028 180538.2360001606575679, 529771.02999982389155775 180590.67800018264097162, 529650.799000000115484 180823.44999980973079801, 529794.94299985584802926 180929.36399985832395032, 529811.46999990788754076 180940.15800009138183668, 529888.5190000229049474 180995.82200020836899057, 529916.5290000227978453 181032.27699998419848271, 529927.56300000892952085 181049.35899991702171974, 529960.28299992228858173 181025.97400020947679877)))</t>
  </si>
  <si>
    <t>E01004734</t>
  </si>
  <si>
    <t>Westminster 018A</t>
  </si>
  <si>
    <t>E02000977</t>
  </si>
  <si>
    <t>Westminster 018</t>
  </si>
  <si>
    <t>MultiPolygon (((530914.18799990566913038 181358.20300007006153464, 530977.99899977457243949 181223.54699974207323976, 531133.74999972828663886 181278.98499995208112523, 531172.23300000000745058 181124.6380000201461371, 531112.31300007633399218 181104.29700013407273218, 531127.93799997307360172 181049.4990000176767353, 531074.68800008995458484 180990.34400009538512677, 531147.43799973104614764 180882.1560001774050761, 531145.12700018705800176 180782.1019998203846626, 530776.49999999115243554 180692.99999980040593073, 530641.80000024847686291 180612.09999997029080987, 530560.5400001616217196 180517.62799992994405329, 530535.59599985892418772 180529.14200008736224845, 530595.99999987380579114 180652.99999993419623934, 530564.00000008963979781 180711.00000012110103853, 530615.00000000069849193 180740.99999974871752784, 530575.99999994074460119 180801.99999989839852788, 530454.00000018544960767 180735.00099989646696486, 530439.28399995749350637 180693.2469999402819667, 530490.54000012367032468 180653.72099997673649341, 530498.59599995543248951 180677.74100005583022721, 530536.00000007450580597 180624.00000011277734302, 530468.74200014176312834 180560.00300022013834678, 530370.99999994609970599 180677.99999998661223799, 530421.87499994947575033 180777.8580001313239336, 530398.00000015506520867 180809.99999998047132976, 530448.55600018484983593 180874.27400003437651321, 530381.00000018475111574 180969.99999998952262104, 530256.82199974695686251 180812.82199996139388531, 530217.11199990625027567 180800.3340002702025231, 530203.78300008689984679 180823.48699994871276431, 530167.1499998647486791 180887.07499980364809744, 530137.0000001301523298 180868.00000016737612896, 530170.82599983795080334 180829.78100019271369092, 530123.00000012258533388 180846.99999988393392414, 530123.00000012258533388 180911.99999980258871801, 530085.54899982491042465 180889.03300014790147543, 530085.63799981586635113 180922.66100004100007936, 530119.36299974180292338 180964.63699993782211095, 530084.01399999996647239 181009.56099979663849808, 530233.47000018053222448 181127.99999984202440828, 530257.59100004145875573 181150.27999976859427989, 530308.67299997468944639 181203.32700001483317465, 530347.62499978288542479 181246.04700000688899308, 530406.48499985749367625 181190.51499998377403244, 530421.50000022619497031 181214.89100002654595301, 530519.07300001103430986 181192.97299995907815173, 530601.21700011158827692 181187.40600019719568081, 530648.44899983878713101 181230.2469998040178325, 530914.18799990566913038 181358.20300007006153464)))</t>
  </si>
  <si>
    <t>E01004735</t>
  </si>
  <si>
    <t>Westminster 018B</t>
  </si>
  <si>
    <t>MultiPolygon (((529076.04299990902654827 182246.02000015755766071, 529138.33500002406071872 182211.72599988951697014, 529154.679999940097332 182238.64299997809575871, 529259.43000002205371857 182240.09699999078293331, 529209.99999987019691616 182190.00000000194995664, 529196.37900016026105732 182210.70399998035281897, 529126.41799993859604001 182167.37299987947335467, 529151.27500001061707735 182131.05399996705818921, 529197.28899999405257404 182152.02300009177997708, 529231.0000000714790076 182106.99999994091922417, 529190.00000008475035429 182076.99999993469100446, 529289.37199984269682318 182077.55700000817887485, 529306.70699992752633989 182055.02200012348475866, 529276.00000008079223335 182031.99999992534867488, 529312.85799988463986665 181982.00900006067240611, 529269.08000013011042029 181958.92000007815659046, 529294.54900015727616847 181921.65899993543280289, 529363.99999992409721017 181973.00000000058207661, 529402.89499993121717125 181916.56499993163743056, 529472.90300009958446026 181936.61100000000442378, 529518.37599987967405468 181861.47000014432705939, 529547.43200000002980232 181820.49299997100024484, 529486.68900011107325554 181798.01599994371645153, 529511.76500004634726793 181743.23499990499112755, 529461.3720001628389582 181747.02300000755349174, 529479.62999997590668499 181722.74500015869853087, 529430.31299989146646112 181688.76799994305474684, 529457.33200013660825789 181659.9230000791430939, 529418.40200008545070887 181650.31999991773045622, 529386.99400002136826515 181660.60000016316189431, 529358.47300015308428556 181642.72799984246375971, 529279.6440000394359231 181750.25999998796032742, 529205.12100009038113058 181846.67500011817901395, 529201.31500013382174075 181851.581999998918036, 529135.61900008120574057 181935.19699999081785791, 529043.22300014761276543 182048.7369999413494952, 529011.02399994025472552 182089.17099992756266147, 528948.13500007637776434 182168.20200004245270975, 528891.05400000000372529 182192.51999989483738318, 529076.04299990902654827 182246.02000015755766071)))</t>
  </si>
  <si>
    <t>E01000851</t>
  </si>
  <si>
    <t>Camden 026B</t>
  </si>
  <si>
    <t>E02000191</t>
  </si>
  <si>
    <t>Camden 026</t>
  </si>
  <si>
    <t>MultiPolygon (((529826.30799998843576759 182504.04300005399272777, 529913.06800013722386211 182383.44800003565615043, 529971.88400015828665346 182303.29400009399978444, 529997.38000008824747056 182322.01199993817135692, 530015.047000169637613 182297.46300019806949422, 530105.43499988771509379 182330.60800003836629912, 530116.99999990861397237 182242.99999998582643457, 530140.89000000001396984 182198.82399999420158565, 530088.28399984212592244 182186.84999988292111084, 530068.77499996789265424 182172.5299998321570456, 530095.45799987157806754 182133.57600015948992223, 530121.99999987718183547 182096.99999986399780028, 530033.31800014094915241 182039.2540000969893299, 530037.46599997591692954 182096.08400005477597006, 529902.65300016512628645 182253.06900008587399498, 529842.61499995994381607 182211.54200003616278991, 529757.00000017276033759 182329.99999991862569004, 529681.99000007018912584 182300.99399999645538628, 529668.25399996060878038 182321.12100016477052122, 529601.00000011385418475 182425.00000012121745385, 529381.27999997895676643 182311.30799996771384031, 529340.6840000000083819 182370.33300019256421365, 529370.29299995477776974 182379.06800007598940283, 529764.56299994385335594 182589.96899990300880745, 529817.23400003486312926 182516.67299984171404503, 529826.30799998843576759 182504.04300005399272777)))</t>
  </si>
  <si>
    <t>E01000852</t>
  </si>
  <si>
    <t>Camden 026C</t>
  </si>
  <si>
    <t>MultiPolygon (((529668.25400013360194862 182321.12100000848295167, 529681.98999984341207892 182300.99400012954720296, 529615.99999991105869412 182216.00000003748573363, 529644.443999950774014 182175.43200013565365225, 529726.19400011061225086 182237.74700005931663327, 529744.15399999998044223 182212.18199988873675466, 529677.91100012813694775 182169.639000066294102, 529743.69999986840412021 182156.87800012700608931, 529708.00000002235174179 182085.00000008594361134, 529627.93299986631609499 182031.2890000973129645, 529589.26900006318464875 182130.60799987567588687, 529555.07400008395779878 182102.11200008861487731, 529531.75100003927946091 182142.20500012795673683, 529493.14000014553312212 182116.7489999286190141, 529553.62000013631768525 182031.92399985020165332, 529578.67100013280287385 182059.67799990338971838, 529608.00000004656612873 182018.00000005209585652, 529577.99999988684430718 181998.00000005692709237, 529594.52099992276635021 181974.79100012633716688, 529601.41000000957865268 181965.11399989496567287, 529662.00000013376120478 181880.00000005212496035, 529626.00000007566995919 181853.99899999648914672, 529540.62100001762155443 181874.92599999546655454, 529518.37600007804576308 181861.46999992683413438, 529472.90300013322848827 181936.61099997491692193, 529402.89500002202112228 181916.56499986929702573, 529363.99999983853194863 181972.99999997948179953, 529294.54899985936935991 181921.65900016282103024, 529269.079999890178442 181958.91999993746867403, 529312.85799988964572549 181982.00900011727935635, 529275.99999999348074198 182032.00000014889519662, 529306.70699989015702158 182055.02200015331618488, 529289.37200013629626483 182077.5570000195002649, 529190.00000011455267668 182076.99999988745548762, 529230.99999992083758116 182107.000000047206413, 529197.28899992734659463 182152.02299984099227004, 529151.27500010677613318 182131.05400004616240039, 529126.41799983533564955 182167.37300005691940896, 529196.37900000787340105 182210.70400005773990415, 529210.00000010966323316 182190.0000001440057531, 529259.43000002868939191 182240.09699999445001595, 529154.68000009167008102 182238.64300004680990241, 529138.33499986841343343 182211.72600010089809075, 529076.04299999994691461 182246.0200001000193879, 529103.45199989271350205 182258.36700004732119851, 529340.6839999268995598 182370.33299998499569483, 529381.28000002668704838 182311.30800010412349366, 529600.99999999813735485 182425.00000000352156349, 529668.25400013360194862 182321.12100000848295167)))</t>
  </si>
  <si>
    <t>E01000854</t>
  </si>
  <si>
    <t>Camden 026D</t>
  </si>
  <si>
    <t>MultiPolygon (((530391.80600010219495744 182923.66599996099830605, 530381.59700002998579293 182879.81599998733145185, 530433.37100006593391299 182911.03700003505218774, 530404.00000000768341124 182889.00000008437200449, 530419.77599999541416764 182865.58200005904654972, 530471.55899998953100294 182890.49499994344660081, 530499.99999997147824615 182840.00000006356276572, 530590.91599997412413359 182883.52900003676768392, 530623.21400004322640598 182844.40499998634913936, 530673.54599999997299165 182804.53299990398227237, 530541.99999995564576238 182762.00000009295763448, 530562.0000000266591087 182726.99999990983633325, 530529.75599994219373912 182716.36799991852603853, 530542.76399996562395245 182625.76399995817337185, 530479.99999990046489984 182647.99999990031938069, 530440.2490000935504213 182566.31599992871633731, 530430.24899994023144245 182633.58499989690608345, 530397.11399999097920954 182623.29300002721720375, 530338.01500004134140909 182716.12199996222625487, 530343.06299993419088423 182717.87500011446536519, 530339.69899996451567858 182748.00299992723739706, 530278.07899997592903674 182807.0750000023690518, 530257.99999998416751623 182793.99999992386437953, 530256.01200000767130405 182796.92799990391358733, 530202.41799999994691461 182875.97899999053333886, 530240.66799989715218544 182904.33200009353458881, 530324.00099992845207453 182979.6490000712510664, 530391.80600010219495744 182923.66599996099830605)))</t>
  </si>
  <si>
    <t>E01000939</t>
  </si>
  <si>
    <t>Camden 024C</t>
  </si>
  <si>
    <t>MultiPolygon (((530278.07899993401952088 182807.07500000004074536, 530339.69899995520245284 182748.00299994836677797, 530343.06300002941861749 182717.87500001929583959, 530338.0149999528657645 182716.12200008379295468, 530397.11399997083935887 182623.29300001749652438, 530430.24899999366607517 182633.58500007429393008, 530440.24900007282849401 182566.31600005552172661, 530430.00000005285255611 182589.99999995296820998, 530355.00100005196873099 182566.99899994520819746, 530373.0000000549480319 182516.99999996792757884, 530332.80099997390061617 182458.25399999998626299, 530316.0000000570435077 182498.00000002680462785, 530304.95400003774557263 182528.62299997705849819, 530288.49400003091432154 182553.83100004438892938, 530227.27900002710521221 182541.50999997049802914, 530182.50799995963461697 182530.03199996758485213, 530163.00199992710258812 182566.15699994406895712, 530178.81700008071493357 182575.68700000311946496, 530203.60799999069422483 182590.62400008432450704, 530164.71000003500375897 182655.70199993957066908, 530204.09900008141994476 182651.52600003988482058, 530217.18300004838965833 182679.30200007758685388, 530204.41300002508796751 182746.79000003598048352, 530256.0120000708848238 182796.92799994943197817, 530258.00000001641456038 182793.99999996364931576, 530278.07899993401952088 182807.07500000004074536)))</t>
  </si>
  <si>
    <t>E01000941</t>
  </si>
  <si>
    <t>Camden 025C</t>
  </si>
  <si>
    <t>E02000190</t>
  </si>
  <si>
    <t>Camden 025</t>
  </si>
  <si>
    <t>MultiPolygon (((530217.18300005176570266 182679.30199998570606112, 530204.09899999259505421 182651.52600011756294407, 530164.71000005200039595 182655.70200002568890341, 530203.6079999313224107 182590.6240000722464174, 530178.8170001037651673 182575.68699991327594034, 530163.00200001383200288 182566.15700003845267929, 530120.98799993982538581 182635.80100006583961658, 530131.8109999222215265 182613.05799992961692624, 530044.72299994761124253 182576.70600000253762119, 530018.00000008486676961 182621.00000006300979294, 529976.01200012036133558 182575.66900010220706463, 529930.87900004722177982 182589.25599993285140954, 529911.99999998125713319 182547.0000000509317033, 529817.2339998873649165 182516.6729999827221036, 529764.56299999996554106 182589.96900003944756463, 530025.73999993584584445 182759.63199998630443588, 530202.41799991670995951 182875.97900001727975905, 530256.01199999998789281 182796.92799997076508589, 530204.41300002788193524 182746.78999998097424395, 530217.18300005176570266 182679.30199998570606112)))</t>
  </si>
  <si>
    <t>E01000942</t>
  </si>
  <si>
    <t>Camden 025D</t>
  </si>
  <si>
    <t>MultiPolygon (((530120.98800008988473564 182635.80099993778276257, 530163.00199992151465267 182566.15699999299249612, 530182.50800007907673717 182530.03200002413359471, 530227.27899999998044223 182541.50999996135942638, 530210.53999990422744304 182493.93699997256044298, 530222.71300007868558168 182452.99799994580098428, 530174.70299996167887002 182434.76700006698956713, 530132.11300007754471153 182418.59400005140923895, 529997.38000003714114428 182322.01199993136106059, 529971.88399998773820698 182303.29400006218929775, 529913.0679999265121296 182383.4479999469476752, 529826.30800000263843685 182504.04300000093644485, 529817.23400000005494803 182516.67300004331627861, 529911.99999999988358468 182547.00000000119325705, 529930.87899993790779263 182589.25599998587858863, 529976.01200009125750512 182575.66900001844624057, 530017.99999999441206455 182621.00000003605964594, 530044.72300004481803626 182576.70599992800271139, 530131.81100008985958993 182613.05799998881411739, 530120.98800008988473564 182635.80099993778276257)))</t>
  </si>
  <si>
    <t>E01000943</t>
  </si>
  <si>
    <t>Camden 025E</t>
  </si>
  <si>
    <t>MultiPolygon (((529960.99999995203688741 183165.00000013911630958, 530032.63300002017058432 182967.4680000064545311, 530160.37200005492195487 183002.89200005677412264, 530240.66799999994691461 182904.33200012851739302, 530202.41799986828118563 182875.97899997787317261, 530025.73999985994305462 182759.63200010641594417, 529764.56300010846462101 182589.96899986092466861, 529683.13600004569161683 182704.76600010553374887, 529580.36300000001210719 182844.18100012515787967, 529604.59199990297202021 182854.63700012266053818, 529685.50700012897141278 182778.43799989356193691, 529720.48500013852026314 182753.9100000202015508, 529770.2600000569364056 182785.73500007452093996, 529721.10699985502287745 182857.53599989312351681, 529748.29300005931872874 182846.70699987403349951, 529744.07500011241063476 182878.81099992062081583, 529678.45799994119442999 182978.0359999475767836, 529705.53399993549101055 182996.33600008956273086, 529733.07599994889460504 182964.81400013333768584, 529815.00000002980232239 182998.00100008596200496, 529783.85699995665345341 183048.21599985376815312, 529844.0000000346917659 183088.99999998969724402, 529960.99999995203688741 183165.00000013911630958)))</t>
  </si>
  <si>
    <t>E01000956</t>
  </si>
  <si>
    <t>Camden 022E</t>
  </si>
  <si>
    <t>MultiPolygon (((527617.16799991053994745 182073.6150000846828334, 527640.46999991056509316 181994.10599997316603549, 527600.44299996213521808 181983.43199998140335083, 527583.99999999522697181 181977.99900003074435517, 527487.99999987846240401 181951.00000008501228876, 527461.3170001037651673 182006.75199999575852416, 527390.27600000996608287 181975.184000058012316, 527278.64100000262260437 182106.55800006407662295, 527235.18799999996554106 182160.87499988527270034, 527262.74999998894054443 182185.31599990098038688, 527305.53900003025773913 182223.25799989074585028, 527467.31300009763799608 182291.53099988677422516, 527516.80099988169968128 182305.03800010934355669, 527558.65599998971447349 182320.34399989972007461, 527618.16499989409931004 182342.1059999700228218, 527665.01200008811429143 182344.98799991499981843, 527722.5969999999506399 182298.34399996433057822, 527660.41499991121236235 182290.24499999743420631, 527685.03399998776149005 182214.89199995438684709, 527663.05200006684754044 182207.52300000161631033, 527659.67400005075614899 182171.18099998941761442, 527676.99999991036020219 182113.9999999938881956, 527617.16799991053994745 182073.6150000846828334)))</t>
  </si>
  <si>
    <t>E01004659</t>
  </si>
  <si>
    <t>Westminster 008A</t>
  </si>
  <si>
    <t>E02000967</t>
  </si>
  <si>
    <t>Westminster 008</t>
  </si>
  <si>
    <t>MultiPolygon (((527878.73499997518956661 182107.37600004597334191, 527920.74899998831097037 181970.63299992034444585, 527921.86399996990803629 181967.00400002070819028, 527965.13799988245591521 181830.77700007410021499, 527818.95500005828216672 181784.8219999999855645, 527776.3000000596512109 181810.98599995078984648, 527798.83500011079013348 181851.30300009646452963, 527773.99999996076803654 181927.99999999330611899, 527759.00000005657784641 181975.99999989019124769, 527751.84000009135343134 181997.47900005950941704, 527709.19800008891616017 181984.06100001776940189, 527689.55300011765211821 182011.87300004600547254, 527731.99999992398079485 182033.0000000853324309, 527730.91099993465468287 182066.1489999164477922, 527728.39099988166708499 182074.42999999821768142, 527751.03400007670279592 182098.97600003861589357, 527708.13900001242291182 182246.01800009631551802, 527729.03500006173271686 182292.94199999998090789, 527851.41500009398441762 182197.11199988215230405, 527857.1820000036386773 182179.60699988133274019, 527878.73499997518956661 182107.37600004597334191)))</t>
  </si>
  <si>
    <t>E01004660</t>
  </si>
  <si>
    <t>Westminster 008B</t>
  </si>
  <si>
    <t>MultiPolygon (((527461.31699984462466091 182006.75199996944866143, 527487.99999992945231497 181950.99999983387533575, 527583.99999991804361343 181977.99899983845534734, 527603.62300005613360554 181873.00699992934823968, 527637.99999993317760527 181869.00000006725895219, 527652.53499987348914146 181823.26700002420693636, 527630.21300003200303763 181835.24599982926156372, 527640.38900008134078234 181776.63899986335309222, 527678.99999998963903636 181740.00000005020410754, 527744.52799999993294477 181657.52399987858370878, 527696.65100003255065531 181673.17199990546214394, 527675.04000009701121598 181602.75599995764787309, 527626.1949999633943662 181627.94799984816927463, 527620.55800000485032797 181583.68199992662994191, 527598.50100010144524276 181552.45699991512810811, 527591.84700000123120844 181591.92500017216661945, 527562.87999991362448782 181583.3350000859645661, 527543.14399995212443173 181646.8130001108511351, 527537.0329999407986179 181663.64000007821596228, 527533.13699989602901042 181676.54499992198543623, 527488.8389998774509877 181707.72899998223874718, 527451.90199985296931118 181694.00400007501593791, 527438.87200014933478087 181644.35000008452334441, 527388.58999998529907316 181649.59099988077650778, 527375.5049999417969957 181631.49500004618312232, 527348.214000090258196 181652.41100012429524213, 527291.13299990550149232 181562.51099994065589271, 527246.64500000316184014 181500.66900003052433021, 527194.38999991398304701 181555.87699990108376369, 527065.25599983672145754 181687.40699997456977144, 527052.125 181700.78300003506592475, 527126.43899999849963933 181713.9370001146744471, 527235.18000002589542419 181754.73800008688704111, 527261.01299995626322925 181765.37600015252246521, 527376.38099982892163098 181798.45099988920264877, 527455.06299991894047707 181818.92199982947204262, 527390.27599990542512387 181975.18400012940401211, 527461.31699984462466091 182006.75199996944866143)))</t>
  </si>
  <si>
    <t>E01004661</t>
  </si>
  <si>
    <t>Westminster 012C</t>
  </si>
  <si>
    <t>E02000971</t>
  </si>
  <si>
    <t>Westminster 012</t>
  </si>
  <si>
    <t>MultiPolygon (((527689.55299998063128442 182011.87299992132466286, 527709.19799997727386653 181984.06099986715707928, 527751.83999985421542078 181997.47900005790870637, 527759.00000015669502318 181975.99999984199530445, 527774.0000000869622454 181927.99999984429450706, 527798.83500000718049705 181851.30300008851918392, 527776.30000002472661436 181810.986000132659683, 527818.95500005502253771 181784.82200017155264504, 527839.78300001320894808 181717.4379998852382414, 527873.65200013399589807 181608.70499990467214957, 527795.28800003277137876 181605.65400014413171448, 527764.99999983422458172 181596.00000013643875718, 527773.27499983448069543 181567.44599985584500246, 527685.99999990710057318 181572.00099990866146982, 527647.99999986297916621 181562, 527620.55800015095155686 181583.6819999479339458, 527626.19499990879558027 181627.94799988978775218, 527675.03999993158504367 181602.75600014891824685, 527696.65100011834874749 181673.17199994338443503, 527744.52800010971259326 181657.52399998906184919, 527679.0000001605367288 181740.0000001294829417, 527640.38899990567006171 181776.6390000952524133, 527630.21300011372659355 181835.24600006843684241, 527652.53500007640104741 181823.26700013966183178, 527637.99999990942887962 181868.99999982412555255, 527603.62300011294428259 181873.00700015429174528, 527583.99999986600596458 181977.99900002480717376, 527600.44299987889826298 181983.43200009549036622, 527640.46999995468650013 181994.10600001152488403, 527617.1680001305649057 182073.6149999377084896, 527677.00000002258457243 182114.0000001574808266, 527659.67399984796065837 182171.18100002195569687, 527663.05200003832578659 182207.52300005339202471, 527685.03400015411898494 182214.89199981876299717, 527660.41500011924654245 182290.24499983820714988, 527722.5969999156659469 182298.34400000004097819, 527729.03499983111396432 182292.94200001173885539, 527708.13899997714906931 182246.01799998813658021, 527751.03399992082268 182098.9759998309018556, 527728.39099999575410038 182074.42999983561458066, 527730.91100000764708966 182066.14900010454584844, 527732.00000013504177332 182033.00000009234645404, 527689.55299998063128442 182011.87299992132466286)))</t>
  </si>
  <si>
    <t>E01004662</t>
  </si>
  <si>
    <t>Westminster 012D</t>
  </si>
  <si>
    <t>MultiPolygon (((528212.94700010330416262 182056.26900000000023283, 528226.04499997396487743 181964.40899994736537337, 528252.64900009531993419 181966.27600009288289584, 528229.17300001182593405 181934.41199996997602284, 528200.2820000380743295 181949.84199991365312599, 528230.42000007955357432 181912.50700007917475887, 528204.27599994838237762 181893.30300008412450552, 528138.81399998289998621 181919.06700000743148848, 528126.46499988134019077 181802.82499997701961547, 528200.99999993410892785 181811.00000006979098544, 528209.13400001754052937 181745.14500005927402526, 528163.2019998854957521 181759.53699993185000494, 528091.90400007413700223 181693.23100007988978177, 528120.26700012502260506 181661.86499999414081685, 528017.5169999977806583 181670.16400010246434249, 527916.0000001136213541 181640.99999988786294125, 527896.79499986965674907 181602.454000057594385, 527919.26799996662884951 181543.0510000208450947, 527896.28300000785384327 181533.26300000000628643, 527873.65200005983933806 181608.70499993447447196, 527839.78299995127599686 181717.43799989655963145, 527818.95499990449752659 181784.82200010301312432, 527965.13800009083934128 181830.77699994685826823, 527921.86399987025652081 181967.00400012510363013, 527950.47599993972107768 181975.87199990404769778, 528014.76899990625679493 181995.56600003645871766, 528091.16199995577335358 182018.96500003864639439, 528212.94700010330416262 182056.26900000000023283)))</t>
  </si>
  <si>
    <t>E01004712</t>
  </si>
  <si>
    <t>Westminster 008C</t>
  </si>
  <si>
    <t>MultiPolygon (((528896.68800010252743959 182258.64099987520603463, 528891.05399987602140754 182192.52000000118277967, 528948.13499991199932992 182168.20200004131766036, 529011.02400008740369231 182089.17100012814626098, 529043.2229999543633312 182048.73700003081467003, 529135.61899988714139909 181935.19699986564228311, 529201.31500007712747902 181851.58199997569317929, 529096.69900008151307702 181812.99499998503597453, 529047.16199998883530498 181797.76999992181663401, 528999.39499987137969583 181783.08899987014592625, 528815.8080000082263723 181726.65899999998509884, 528801.2509999229805544 181776.6759999098139815, 528833.65099988761357963 181803.89500010132906027, 528896.49799986707512289 181795.00500010341056623, 528891.8250001328997314 181829.20999997877515852, 528933.18999987887218595 181843.34399990714155138, 528913.99999990733340383 181901.00000001461012289, 528868.99999995634425431 181886.99999987785122357, 528799.16200010688044131 181893.59000013666809537, 528806.97800005576573312 181961.84599989818525501, 528779.00000005436595529 182054.00000012159580365, 528800.49499995110090822 182062.43499986542155966, 528855.04799996549263597 182088.78299990665982477, 528831.29900012735743076 182129.67300002172123641, 528775.18800009798724204 182142.52300001532421447, 528773.2509999229805544 182198.74999998678686097, 528813.0139999306993559 182202.80999987595714629, 528846.87500012863893062 182196.74999992817174643, 528856.37500013352837414 182273.875, 528896.68800010252743959 182258.64099987520603463)))</t>
  </si>
  <si>
    <t>E01004715</t>
  </si>
  <si>
    <t>Westminster 013A</t>
  </si>
  <si>
    <t>E02000972</t>
  </si>
  <si>
    <t>Westminster 013</t>
  </si>
  <si>
    <t>MultiPolygon (((528831.29900003969669342 182129.67300006028381176, 528855.04799999995157123 182088.78299992336542346, 528800.4949999125674367 182062.43499994542798959, 528778.99999984703026712 182053.99999990631476976, 528806.97800000663846731 181961.84599994609015994, 528799.16200011479668319 181893.58999997045611963, 528812.39399990509264171 181870.62099988406407647, 528728.15800009702797979 181845.06800002799718641, 528716.43899997998960316 181912.40099995650234632, 528752.52100001834332943 181940.91600012706476264, 528740.9999999504070729 181979.00000011033262126, 528679.88700012897606939 181962.70799995615379885, 528690.1579998901579529 182007.45000003295717761, 528582.44800012116320431 181987.21100012521492317, 528572.00000009988434613 181928.99999993617529981, 528540.29799992556218058 181920.62899985967669636, 528518.9999999338760972 181913.00099995487835258, 528413.11399987456388772 181906.12300004801363684, 528418.99999989580828696 181884.00000005858601071, 528388.99300015112385154 181897.85399992164457217, 528400.79899997008033097 181857.52800005613244139, 528379.7279999281745404 181826.24500002956483513, 528346.40999984508380294 181822.33799990374245681, 528354.06699996069073677 181863.87099990242859349, 528312.93399996089283377 181859.00000012657255866, 528285.23000013560522348 181887.40799985080957413, 528325.56099987693596631 181930.66499986962298863, 528264.60199995595030487 181942.88200003487872891, 528309.00099985999986529 182026.99999997977283783, 528355.0000000698491931 182014.00000001513399184, 528356.00000006717164069 182094.00000010768417269, 528265.13200014061294496 182081.03000001888722181, 528234.71600000001490116 182183.93699987544096075, 528633.06299992138519883 182307.59399998572189361, 528637.00299984868615866 182308.74399998260196298, 528728.24700005946215242 182335.37400009625707753, 528773.25100014801137149 182198.7500001329171937, 528775.18799984501674771 182142.52300002533593215, 528831.29900003969669342 182129.67300006028381176)))</t>
  </si>
  <si>
    <t>E01004716</t>
  </si>
  <si>
    <t>Westminster 011C</t>
  </si>
  <si>
    <t>E02000970</t>
  </si>
  <si>
    <t>Westminster 011</t>
  </si>
  <si>
    <t>MultiPolygon (((528356.00000001862645149 182094, 528355.00000005261972547 182014.00000011076917872, 528309.00100006838329136 182026.99999995873076841, 528264.60200002987403423 181942.8819999544066377, 528325.56099996925331652 181930.66500001607346348, 528285.23000004747882485 181887.40799985756166279, 528312.93399987090379 181858.9999998725252226, 528354.06699985824525356 181863.87099995618336834, 528346.40999993879813701 181822.33799998252652586, 528379.7279999308520928 181826.24500002941931598, 528422.00000009383074939 181686.99999992226366885, 528384.99999990232754499 181677.99999993835808709, 528390.97000004723668098 181626.67699989170068875, 528379.72700002940837294 181634.18500000747735612, 528369.26999991526827216 181566.65099985682172701, 528319.32100006542168558 181514.34700000000884756, 528318.87199998216237873 181535.88699996343348175, 528223.98499989754054695 181529.44400007231160998, 528184.44100007077213377 181561.23799987271195278, 528161.32500011450611055 181568.82400012496509589, 528234.88699990953318775 181619.42299995277426206, 528144.65299995080567896 181605.13999992236495018, 528120.26699997973628342 181661.86499987813294865, 528091.90399990626610816 181693.2310001336154528, 528163.20199999853502959 181759.53699989707092755, 528209.1339999211486429 181745.14499988776515238, 528201.00000007019843906 181811.00000005488982424, 528126.46499996620696038 181802.82499989803181961, 528138.81399993482045829 181919.06699992337962613, 528204.27600000519305468 181893.30299986005411483, 528230.41999999759718776 181912.50699997245101258, 528200.28200012934394181 181949.84199989173794165, 528229.17300003417767584 181934.41199989450979047, 528252.64899986225645989 181966.27600004032137804, 528226.04500000143889338 181964.40900004000286572, 528212.94699995964765549 182056.268999989842996, 528265.13199995388276875 182081.03000009307288565, 528356.00000001862645149 182094)))</t>
  </si>
  <si>
    <t>E01004717</t>
  </si>
  <si>
    <t>Westminster 011D</t>
  </si>
  <si>
    <t>MultiPolygon (((527390.27600000414531678 181975.18400002850103192, 527455.06300000101327896 181818.92200004748883657, 527376.3810000364901498 181798.45100004030973651, 527261.01300002716016024 181765.37599999998928979, 527244.97599992726463825 181861.84900000848574564, 527203.90300001343712211 181831.22299992881016806, 527213.05800007923971862 181807.25000006012851372, 527174.20699997060000896 181808.29999994765967131, 527168.5679999990388751 181844.87600001564715058, 527229.19199992762878537 181900.38200006927945651, 527271.7479999465867877 181928.50399994401959702, 527250.72900006407871842 181972.25399997836211696, 527211.63700007903389633 182011.4159999331459403, 527246.11300003074575216 182069.62200003882753663, 527278.64100002951454371 182106.55800000001909211, 527390.27600000414531678 181975.18400002850103192)))</t>
  </si>
  <si>
    <t>E01033603</t>
  </si>
  <si>
    <t>Westminster 009I</t>
  </si>
  <si>
    <t>E02000968</t>
  </si>
  <si>
    <t>Westminster 009</t>
  </si>
  <si>
    <t>MultiPolygon (((526962.19600009056739509 181855.93400000515975989, 527006.35800001549068838 181854.40299999018316157, 527063.1050000935792923 181907.49899987917160615, 527042.99999994260724634 181934.00000006638583727, 527077.72299987659789622 181967.21299988275859505, 527125.99999999790452421 182012.99999988029594533, 527156.9999999008141458 181977.99899996057501994, 527198.68199989863205701 181990.31899992233957164, 527229.19199993426445872 181900.38200001884251833, 527168.56799994432367384 181844.87599995109485462, 527174.20700009947177023 181808.30000012807431631, 527213.05800002417527139 181807.25000010200892575, 527203.90300002845469862 181831.22300001495750621, 527244.97600001667160541 181861.84900005237432197, 527261.01300000003539026 181765.37600007306900807, 527235.1799998702481389 181754.73799986648373306, 527126.43899992061778903 181713.93700012611225247, 527052.12499989103525877 181700.78299993576365523, 526838.60299998917616904 181939.49600004139938392, 526740.09299992129672319 182040.25600012630457059, 526717.95200000004842877 182063.7080000777496025, 526740.26599987724330276 182106.48100012101349421, 526771.40299995092209429 182123.52600006424472667, 526779.16800001810770482 182062.71399995897081681, 526845.99999992887023836 182044.99999991146614775, 526837.99999998894054443 182010.00000003859167919, 526925.78699994250200689 181923.78699994148337282, 526962.19600009056739509 181855.93400000515975989)))</t>
  </si>
  <si>
    <t>E01033604</t>
  </si>
  <si>
    <t>Westminster 009J</t>
  </si>
  <si>
    <t>MultiPolygon (((537323.3469999780645594 183354.69000000000232831, 537376.90800001425668597 183310.29599990491988137, 537403.47699993650894612 183340.529999990016222, 537415.00099994149059057 183331.24499989557079971, 537440.79400004737544805 183348.19500006438465789, 537536.33100010734051466 183268.06099999535945244, 537619.39399988832883537 183148.80800011064275168, 537624.5050001103663817 183089.39100008460809477, 537624.49300002749077976 183084.1600000266043935, 537574.4039999790256843 183008.89599992136936635, 537531.33500001777429134 183071.30200007421080954, 537488.2209999937331304 183036.1950000045762863, 537470.27499989536590874 183054.06999994331272319, 537495.68600001046434045 183022.91999990204931237, 537462.96299994271248579 183010.24499997260863893, 537518.53899991419166327 182953.90500001923646778, 537512.28199996775947511 182884.71200006519211456, 537481.8349999007768929 182879.13600010648951866, 537376.00000003061722964 182857.75099999998928979, 537371.55999989272095263 182866.20800008418154903, 537288.34400004777126014 183036.09199995498056524, 537231.99500003212597221 183121.05599987687310204, 537209.25299990188796073 183177.81600000106845982, 537184.88699988962616771 183219.64699993323301896, 537229.36200004781130701 183270.8209999467653688, 537300.76099993253592402 183332.1050000442774035, 537323.3469999780645594 183354.69000000000232831)))</t>
  </si>
  <si>
    <t>E01004225</t>
  </si>
  <si>
    <t>Tower Hamlets 004A</t>
  </si>
  <si>
    <t>E02000867</t>
  </si>
  <si>
    <t>Tower Hamlets 004</t>
  </si>
  <si>
    <t>MultiPolygon (((536746.65999997651670128 183023.83700000544195063, 536801.29800006956793368 183015.22499993912060745, 536866.87300002039410174 183027.33299998211441562, 536873.91000007360707968 183028.51899991056416184, 536939.68299989786464721 183039.51999997795792297, 536982.88499997393228114 182950.76999995895312168, 536958.7360000463668257 182858.83400009508477524, 536915.65199990815017372 182868.28100000732229091, 536971.82700001227203757 182718.58100004837615415, 536898.30900007241871208 182690.78800006708479486, 536842.37000006157904863 182670.58200007799314335, 536832.42200002411846071 182667.02600004069972783, 536771.27300001005642116 182645.17100000000209548, 536766.57399996079038829 182656.36799997519119643, 536754.00699994387105107 182689.35500001607579179, 536714.06899990024976432 182684.03800010427949019, 536675.82599999115336686 182780.69800002456759103, 536701.19499991787597537 182826.46599989957758226, 536695.85200001602061093 182837.94600003366940655, 536580.63000002619810402 183044.22800009074853733, 536684.58399995102081448 183072.30599997902754694, 536712.45600010280031711 183080.51399999999557622, 536746.65999997651670128 183023.83700000544195063)))</t>
  </si>
  <si>
    <t>E01004229</t>
  </si>
  <si>
    <t>Tower Hamlets 004C</t>
  </si>
  <si>
    <t>MultiPolygon (((537371.55999993265140802 182866.20799994069966488, 537376 182857.75100000289967284, 537261.2229999543633312 182824.98999990988522768, 537166.78099998901598155 182790.6169999158300925, 537066.05300010298378766 182754.20500009015086107, 537052.17499989084899426 182748.9549999933806248, 536971.82700002263300121 182718.5810000327473972, 536915.65200000000186265 182868.28099992472562008, 536958.73599993309471756 182858.83399997654487379, 536982.88499999605119228 182950.77000008174218237, 536939.68299998075235635 183039.52000004058936611, 536963.70600003399886191 183043.65199990526889451, 537018.29299993813037872 183054.2730000386654865, 537080.6900000007590279 183069.80300001977593638, 537231.99499997228849679 183121.05599996724049561, 537288.34400003030896187 183036.09200001449789852, 537371.55999993265140802 182866.20799994069966488)))</t>
  </si>
  <si>
    <t>E01004231</t>
  </si>
  <si>
    <t>Tower Hamlets 004D</t>
  </si>
  <si>
    <t>MultiPolygon (((537802.82900004566181451 182887.25599999833502807, 537765.58300002687610686 182822.62500004176399671, 537711.91500006814021617 182811.26999991919728927, 537744.54699995345436037 182864.88799996799207292, 537699.94500001484993845 182848.34900005703093484, 537627.48799997905734926 182842.90199998300522566, 537597.51699999999254942 182907.1039999918139074, 537694.6260000477777794 182952.40200006574741565, 537723.75099999946542084 182970.83400005244766362, 537749.77100005920510739 182993.5850000225182157, 537831.52099998539779335 183053.58899992090300657, 537838.68500006932299584 183057.89399992302060127, 537876.45200005185324699 183080.5480000807729084, 537922 182983.00000000587897375, 537839.82800003560259938 182902.86499999416992068, 537802.82900004566181451 182887.25599999833502807)))</t>
  </si>
  <si>
    <t>E01004235</t>
  </si>
  <si>
    <t>Tower Hamlets 008A</t>
  </si>
  <si>
    <t>E02000871</t>
  </si>
  <si>
    <t>Tower Hamlets 008</t>
  </si>
  <si>
    <t>MultiPolygon (((537597.51700002537108958 182907.10399999999208376, 537627.48799992294516414 182842.90199999490869232, 537699.94499992439523339 182848.34900003537768498, 537744.54700003180187196 182864.8879999034688808, 537711.91499991901218891 182811.2700000312179327, 537666.14099995896685869 182777.90100003255065531, 537721.06099989952053875 182709.5219999392866157, 537683.99999990942887962 182693.00000000503496267, 537638.61700006341561675 182672.74599993453011848, 537628.56999990926124156 182682.06700006380560808, 537592.87899992731399834 182670.81599994105636142, 537581.06800002360250801 182663.21200008090818301, 537556.39000006846617907 182655.73800002757343464, 537527.88200008170679212 182632.28400001127738506, 537574.4350000285776332 182548.38500008903793059, 537541.79099997458979487 182498.32399999996414408, 537535.5849999173078686 182498.49800006844452582, 537467.72899990540463477 182668.09699997544521466, 537375.99999996821861714 182857.7509999216417782, 537481.83500007772818208 182879.13600002837483771, 537512.2819999628700316 182884.71199999979580753, 537597.51700002537108958 182907.10399999999208376)))</t>
  </si>
  <si>
    <t>E01004237</t>
  </si>
  <si>
    <t>Tower Hamlets 008C</t>
  </si>
  <si>
    <t>MultiPolygon (((537535.58499983977526426 182498.49799998023081571, 537492.04999998526182026 182483.36299987850361504, 537487.73499990068376064 182483.39799982524709776, 537417.50099981017410755 182481.49500010698102415, 537370.06099988345522434 182472.05899981124093756, 537230.92099983303342015 182385.2939998694928363, 537203.83600004552863538 182349.76000006549293175, 537156.90000008046627045 182280.15399995623738505, 537056.93599983223248273 182160.89899989272817038, 536957.26700000243727118 182048.25099999998928979, 536948.99999987101182342 182051.00000007322523743, 536958.99999986367765814 182112.00000006949994713, 536885.00000016018748283 182271.99999995349207893, 536886.0000002000015229 182340.99999986297916621, 536961.99999998300336301 182353.99999997499980964, 537051.64800017571542412 182425.68200007124687545, 537094.99599986372049898 182425.60600016373791732, 537110.00099993194453418 182461.99999981574364938, 537033.05899997474625707 182498.03900012347730808, 537037.86700013023801148 182508.93200004124082625, 537079.00099991401657462 182534.99999988422496244, 537123.37499997217673808 182555.74599985650274903, 537100.99999984167516232 182623.00000014423858374, 537084.73300020175520331 182664.57100000322679989, 537052.17500005627516657 182748.95500019073369913, 537066.05300005828030407 182754.20499989349627867, 537166.78099993045907468 182790.61699999222764745, 537261.2229999762494117 182824.98999992047902197, 537375.99999984470196068 182857.75099999998928979, 537467.72899990121368319 182668.09699986575287767, 537535.58499983977526426 182498.49799998023081571)))</t>
  </si>
  <si>
    <t>E01004267</t>
  </si>
  <si>
    <t>Tower Hamlets 012D</t>
  </si>
  <si>
    <t>E02000875</t>
  </si>
  <si>
    <t>Tower Hamlets 012</t>
  </si>
  <si>
    <t>MultiPolygon (((536973.81099995644763112 182469.95599999974365346, 536912.99999994307290763 182446, 536863.00000000116415322 182570.99999993055826053, 536841.0000000266591087 182633.99999993314850144, 536908.00000002456363291 182666.99999997054692358, 536898.30900004878640175 182690.78800006199162453, 536971.82700007269158959 182718.5809999666234944, 537052.17499999538995326 182748.95499999995809048, 537084.7330000486690551 182664.57099993922747672, 537101.00000002770684659 182623.00000002165324986, 537123.3749999733408913 182555.74599997661425732, 537079.00099995627533644 182534.9999999723804649, 537037.8670000535203144 182508.93199993507005274, 537033.05899998696986586 182498.03899994265520945, 536973.81099995644763112 182469.95599999974365346)))</t>
  </si>
  <si>
    <t>E01004268</t>
  </si>
  <si>
    <t>Tower Hamlets 012E</t>
  </si>
  <si>
    <t>MultiPolygon (((527543.1440000047441572 181646.81299988750834018, 527562.87999992992263287 181583.33499987161485478, 527591.84699995920527726 181591.92500005397596397, 527598.50100003567058593 181552.45699999495991506, 527620.55800002603791654 181583.68200004665413871, 527648.00000004714820534 181562.00000012954114936, 527686.00000004610046744 181572.0009998804598581, 527790.05799999996088445 181361.34300008969148621, 527709.13600007421337068 181337.95499989064410329, 527705.41899999778252095 181300.14899996292660944, 527706.36700000695418566 181272.06699990012566559, 527611.33000010519754142 181237.7180000233638566, 527595.10400011599995196 181303.67399999964982271, 527642.32500006118789315 181317.87900003665708937, 527633.50799996638670564 181348.94699992146342993, 527669.0000000752042979 181326.0000000215950422, 527659.60500010137911886 181358.58399990847101435, 527631.25499988696537912 181450.76899992817197926, 527609.69999993522651494 181437.65100005504791625, 527594.00000009150244296 181481.00000006024492905, 527577.00000012060627341 181452.99999993230449036, 527547.36199996818322688 181464.64700010561500676, 527518.93599991349037737 181474.01199987789732404, 527504.99999990803189576 181446.00000010410440154, 527454.7699999138712883 181446.10900005730218254, 527431.70999999775085598 181415.64899998120381497, 527348.00099999248050153 181506.99999988792114891, 527300.99999998509883881 181451.99999991804361343, 527323.48600008548237383 181418.58800001282361336, 527291.65299995336681604 181451.95300012765801512, 527246.64500000001862645 181500.6689998796209693, 527291.13299990247469395 181562.51099990261718631, 527348.21399995591491461 181652.41099988154019229, 527375.50499990466050804 181631.4950000916433055, 527388.58999993652105331 181649.59099996084114537, 527438.87199993582908064 181644.35000002788729034, 527451.90200005122460425 181694.00399990298319608, 527488.83899999316781759 181707.7289999766217079, 527533.1369998874142766 181676.54499989235773683, 527537.03299993427935988 181663.6399999825807754, 527543.1440000047441572 181646.81299988750834018)))</t>
  </si>
  <si>
    <t>E01004663</t>
  </si>
  <si>
    <t>Westminster 012E</t>
  </si>
  <si>
    <t>MultiPolygon (((527385.38199991057626903 182439.67799996354733594, 527415.81699998711701483 182399.82900008116848767, 527462.4370000745402649 182310.04099986536311917, 527467.31299999996554106 182291.53100004984298721, 527305.53900000569410622 182223.25799987179925665, 527283.91299997374881059 182248.77200001786695793, 527324.44900008314289153 182281.95899994214414619, 527301.29199986276216805 182331.77899990408332087, 527291.99999991059303284 182342.00000004324829206, 527252.07299988972954452 182315.13900005689356476, 527175.81599994702264667 182407.34699987241765484, 527151.8870001066243276 182387.68400013406062499, 527130.35500013479031622 182408.90300009457860142, 527105.79299990693107247 182425.82000005998997949, 527054.50099993613548577 182381.30100004150881432, 527031.37600011425092816 182385.74200010194908828, 526985.32999995711725205 182289.27299996904912405, 526967.87699997937306762 182291.69899992112186737, 526921.00000002281740308 182337.99999992246739566, 526954.00000011688098311 182388.99999986588954926, 526912.0590000000083819 182417.93100009034969844, 527094.270999945118092 182471.89700004793121479, 527156.10599990095943213 182531.47899998520733789, 527222.74099994613789022 182630.55700012820307165, 527313.80399993842002004 182531.56599995819851756, 527354.16100003966130316 182480.55699990267748944, 527385.38199991057626903 182439.67799996354733594)))</t>
  </si>
  <si>
    <t>E01004670</t>
  </si>
  <si>
    <t>Westminster 009A</t>
  </si>
  <si>
    <t>MultiPolygon (((527130.35500005632638931 182408.90299999105627649, 527151.8870000469032675 182387.68400000178371556, 527175.81600011582486331 182407.34699994957190938, 527252.07299990823958069 182315.13900004629977047, 527291.99999999173451215 182342.00000011437805369, 527301.29200006241444498 182331.77899991313461214, 527324.44900008721742779 182281.95900009645265527, 527283.91300002229399979 182248.77199999883305281, 527305.53900008276104927 182223.25799991431995295, 527262.74999990139622241 182185.31600003270432353, 527235.18800012429710478 182160.87500004062894732, 527278.64099998434539884 182106.55799995581037365, 527246.11300002282951027 182069.6219999909226317, 527211.63699988985899836 182011.41599997362936847, 527250.72899991297163069 181972.25400004937546328, 527271.74800007173325866 181928.50400003790855408, 527229.19200011715292931 181900.38200000004144385, 527198.68199996557086706 181990.3190001200127881, 527156.99999991874210536 181977.99899990030098706, 527125.99999993317760527 182013.00000008070492186, 527171.86299999593757093 182013.0739998787175864, 527207.11999987519811839 182048.43799995229346678, 527191.99999992793891579 182074.00000011170050129, 527147.43800011638086289 182122.31799993832828477, 527117.06500004173722118 182183.82399991594138555, 527184.94099996436852962 182256.941999993781792, 527077.20800012222025543 182311.98300004791235551, 527099.05700001085642725 182343.37000009551411495, 527054.50099991296883672 182381.30099993260228075, 527105.79300009983126074 182425.82000000000698492, 527130.35500005632638931 182408.90299999105627649)))</t>
  </si>
  <si>
    <t>E01033601</t>
  </si>
  <si>
    <t>Westminster 009G</t>
  </si>
  <si>
    <t>MultiPolygon (((527184.94100002280902117 182256.94199993403162807, 527117.06499996676575392 182183.82399992094724439, 527147.43799993209540844 182122.31800003509852104, 527191.99999993853271008 182073.9999999716237653, 527207.11999999394174665 182048.43800005587399937, 527171.86299993086140603 182013.07399993378203362, 527125.99999998637940735 182013.00000005244510248, 527077.72299997124355286 181967.21299999998882413, 527069.53700002026744187 181980.65699999424396083, 527023.20599996892269701 181997.41699991709901951, 526904.14599993056617677 182066.88299991606618278, 526933.85799995646812022 182139.00699992038425989, 526940.75000000710133463 182149.97000000046682544, 526956.8719999419990927 182170.86899997419095598, 526890.93900000595021993 182250.88100004868465476, 526939.97399996558669955 182254.77599999230005778, 526998.58099992736242712 182185.19400005822535604, 527042.05999996291939169 182232.15000002749729902, 527044.99999993538949639 182236.8880000286444556, 527077.20799995621200651 182311.98300000000745058, 527184.94100002280902117 182256.94199993403162807)))</t>
  </si>
  <si>
    <t>E01033602</t>
  </si>
  <si>
    <t>Westminster 009H</t>
  </si>
  <si>
    <t>MultiPolygon (((527348.00099999736994505 181506.99999993474921212, 527431.71000013325829059 181415.64899986964883283, 527454.77000006544403732 181446.1089998995885253, 527505.00000009010545909 181445.9999998674611561, 527518.93600014690309763 181474.01200014082132839, 527547.36200000310782343 181464.64699989775544964, 527577.00000000093132257 181452.99999992817174643, 527594.00000010640360415 181480.99999987715273164, 527609.69999994453974068 181437.65099995362106711, 527631.25499992095865309 181450.76899989048251882, 527659.60499997576698661 181358.58400005669682287, 527669.00000000128056854 181325.99999991816002876, 527633.5079999165609479 181348.94699990598019212, 527642.3250001382548362 181317.87899999605724588, 527595.10399997362401336 181303.67399989237310365, 527611.32999987516086549 181237.71799986553378403, 527706.36700000253040344 181272.06700013086083345, 527688.24600003566592932 181226.43300003235344775, 527754.08099999977275729 181210.79800001659896225, 527701.53399991476908326 181181.13099999399855733, 527708.80400007392745465 181149.08700005241553299, 527719.26500006590504199 181114.96799988189013675, 527790.0000000431900844 181167.99999997511622496, 527773.14099985524080694 181225.35000007163034752, 527802.70699996408075094 181231.31299989667604677, 527813.02100002323277295 181192.40800000276067294, 527819.00000008486676961 181080.00000005148467608, 527866.48700014187488705 181089.79900002619251609, 527888.74699999997392297 180994.79300002657691948, 527764.68799987307284027 180966.42200006527127698, 527662.65499989106319845 181077.51400010037468746, 527571.57299987284932286 181165.86599993906565942, 527536.40000006021000445 181203.44399993779370561, 527515.50000003422610462 181225.06000011821743101, 527371.6450000423938036 181370.36099996484699659, 527357.53099992510396987 181384.49700004010810517, 527323.48600004066247493 181418.58799994355649687, 527301 181452.00000012942473404, 527348.00099999736994505 181506.99999993474921212)))</t>
  </si>
  <si>
    <t>E01004658</t>
  </si>
  <si>
    <t>Westminster 012B</t>
  </si>
  <si>
    <t>MultiPolygon (((527536.39999987941700965 181203.44399989349767566, 527571.57300007517915219 181165.86600004995125346, 527662.65499989048112184 181077.51399988573393784, 527764.68799999996554106 180966.42200006160419434, 527583.18599993526004255 180936.18199998550699092, 527455.50000000896397978 180909.27300011023180559, 527296.64700011885724962 180879.7340000529657118, 527224.30500013974960893 180866.59200010646600276, 527135.97800000000279397 181043.45100008341250941, 527150.77099995105527341 181067.13599991274531931, 527209.00000014086253941 181077.99999994589597918, 527219.33899997512344271 181028.55899999791290611, 527300.81799994630273432 181084.48800013979780488, 527325.00000006030313671 181111.00000014249235392, 527384.35799994564149529 181134.43999985803384334, 527433.41199996799696237 181146.05300003243610263, 527411.56000005698297173 181167.73000008665258065, 527439.2000001062406227 181183.36200001538963988, 527482.10500005236826837 181166.57199988508364186, 527536.39999987941700965 181203.44399989349767566)))</t>
  </si>
  <si>
    <t>E01004680</t>
  </si>
  <si>
    <t>Westminster 015A</t>
  </si>
  <si>
    <t>E02000974</t>
  </si>
  <si>
    <t>Westminster 015</t>
  </si>
  <si>
    <t>MultiPolygon (((527246.64500000863336027 181500.66900010479730554, 527291.65300007734913379 181451.953000039444305, 527323.48599990003276616 181418.58799993293359876, 527357.53100005118176341 181384.49699991472880356, 527371.64500000001862645 181370.36099993600510061, 527346.99999999755527824 181346.00000008486676961, 527333.2320000302279368 181332.63699989605811425, 527312.9999999173451215 181312.99999995646066964, 527323.04399992479011416 181233.10300001630093902, 527298.50600003835279495 181260.07000006674206816, 527237.01300007232930511 181243.90000002103624865, 527240.46800004760734737 181295.72999992078985088, 527170.67299990064930171 181204.03299999071168713, 527141.51599998155143112 181236.42700003829668276, 527138.09599996590986848 181225.31099992257077247, 527057.05900002061389387 181215.34999997896375135, 527055.00000010523945093 181178.00000001728767529, 526984.93399995157960802 181254.07599999292870052, 527001.3250000923871994 181270.24800006093573757, 526957.21599992620758712 181317.53799994743894786, 527000.59999997692648321 181357.49200008617481217, 526950.22000009322073311 181372.17299989677849226, 526941.81000000005587935 181417.16900004690978676, 526944.44200005882885307 181426.17300008737947792, 527041.8220000407891348 181385.45700006617698818, 527094.3740000226534903 181435.00000009252107702, 527096.13100001611746848 181471.81599991489201784, 527151.88899999647401273 181463.6109999536711257, 527206.3180000176653266 181511.718999915960012, 527194.38999989291187376 181555.87699998269090429, 527246.64500000863336027 181500.66900010479730554)))</t>
  </si>
  <si>
    <t>E01004684</t>
  </si>
  <si>
    <t>Westminster 015C</t>
  </si>
  <si>
    <t>MultiPolygon (((527371.64499991177581251 181370.36100008743233047, 527515.49999993201345205 181225.06000001373467967, 527536.40000000002328306 181203.4439999126479961, 527482.10500004980713129 181166.57200008453219198, 527439.2000000630505383 181183.36199995590141043, 527411.56000007968395948 181167.73000005792709999, 527433.41200008045416325 181146.05300009757047519, 527384.35800006869249046 181134.44000008047441952, 527325.00000004703179002 181111.00000006979098544, 527300.81799991300795227 181084.48800000170012936, 527219.33899990713689476 181028.55899991260957904, 527208.99999992887023836 181078.00000005678157322, 527150.77099996386095881 181067.13599995747790672, 527138.09600000001955777 181225.31100004201289266, 527141.5160000545438379 181236.42699991265544668, 527170.67299997014924884 181204.03299991873791441, 527240.4680000803200528 181295.72999992733821273, 527237.01300005742814392 181243.90000007330672815, 527298.50599993416108191 181260.06999993827776052, 527323.04400000115856528 181233.10300008390913717, 527313.00000009662471712 181312.99999993215897121, 527333.23199994571041316 181332.6369999228627421, 527347.00000005576293916 181345.99999994516838342, 527371.64499991177581251 181370.36100008743233047)))</t>
  </si>
  <si>
    <t>E01004686</t>
  </si>
  <si>
    <t>Westminster 015E</t>
  </si>
  <si>
    <t>MultiPolygon (((528427.71900000004097819 180115.1090004516299814, 528410.1260000194888562 179966.21900041139451787, 528340.6249997525010258 179976.48399984411662444, 528313.54099981009494513 179938.0509997904591728, 527774.11499965691473335 180096.49899953076965176, 527802.64199952932540327 180086.28700010397005826, 527695.67999999015592039 179780.67899986237171106, 527902.99999996705446392 179813.99999980768188834, 527907.81299967668019235 179751.79699964265455492, 527725.25400022929534316 179661.37299987013102509, 527610.43400008324533701 179504.65299970700289123, 527525.23400031612254679 179426.94200046712649055, 527430.65800042683258653 179361.37100048433057964, 527414.29100044851657003 179405.68700017454102635, 527279.70400009886361659 179309.09200015634996817, 527254.70400006184354424 179367.32999968700460158, 527302.87300048943143338 179391.88000017384183593, 527274.03400046681053936 179533.11999970735632814, 527300.4569997969083488 179590.61000028936541639, 527336.26000019209459424 179611.89599998915218748, 527340.06699977023527026 179586.63699980793171562, 527298.27999963110778481 179559.8389994936005678, 527300.85300037963315845 179527.45699994146707468, 527385.93200042168609798 179542.98799959587631747, 527371.40099999401718378 179688.73299963166937232, 527284.99999974691309035 179690.53199988993583247, 527200.21100027556531131 179690.96699972686474212, 527181.95299975946545601 179732.05300001861178316, 526843.29600048752035946 179717.05200042331125587, 526860.00000013806857169 179659.00000039409496821, 526721.24999988207127899 179656.66600017235032283, 526635.0009997864253819 179646.0000002525630407, 526560.05299970065243542 179642.55399988760473207, 526526.76300018199253827 179834.9290002177876886, 526568.92400030500721186 180436.37599993875483051, 526389.02199999988079071 180683.80299955978989601, 526401.26600032649002969 180687.51899985867203213, 526668.43799955234862864 180759.28099970467155799, 526770.48200037039350718 180784.05000008130446076, 526926.10100018000230193 180814.5280003635562025, 526998.3930000850232318 180826.86899985463242047, 527224.30500030773691833 180866.59199970590998419, 527296.64700027613434941 180879.73400019024848007, 527455.50000042701140046 180909.27300007932353765, 527583.1860002187313512 180936.18200030986918136, 527764.68799949064850807 180966.42200004632468335, 527888.74700033979024738 180994.79299984365934506, 527964.84999974654056132 180783.94600003122468479, 527973.34300044341944158 180759.8470000947418157, 528044.91499984508845955 180617.97400043293600902, 528186.73600050120148808 180451.43800040634232573, 528427.71900000004097819 180115.1090004516299814)))</t>
  </si>
  <si>
    <t>E01004689</t>
  </si>
  <si>
    <t>Westminster 019C</t>
  </si>
  <si>
    <t>E02000978</t>
  </si>
  <si>
    <t>Westminster 019</t>
  </si>
  <si>
    <t>MultiPolygon (((528418.23999989230651408 181098.11999999999534339, 528427.57399996882304549 181068.27799978078110144, 528458.17500018386635929 181079.47400012472644448, 528478.9580001113936305 181017.12699978650198318, 528420.83600021991878748 180998.44300014653708786, 528474.94900011224672198 180927.15399994337349199, 528464.11600017233286053 180973.91199996197246946, 528561.9999997578561306 181005.00000004607136361, 528588.00099999841768295 180931.00000000750878826, 528608.21299980091862381 180870.38200002300436608, 528580.91700003761798143 180847.24800002304255031, 528465.20499990985263139 180825.58999988666619174, 528396.000000229338184 180871.99999975759419613, 528188.59200020378921181 180797.9359998048748821, 528227.660000029951334 180713.01999978409730829, 528156.88599978119600564 180713.92199986460036598, 528173.00000022607855499 180661.99999976775143296, 528226.10600020946003497 180635.99700008286163211, 528237.21300021198112518 180683.07099980054772459, 528289.94100002653431147 180700.15700004773680121, 528311.21000010101124644 180652.84000001088134013, 528307.99999979825224727 180706.00000022904714569, 528394.30099989683367312 180728.9899999306362588, 528406.9999999760184437 180647.99999986673356034, 528374.70699994137976319 180614.12299999041715637, 528440.45799976913258433 180604.29199987396714278, 528459.23100024205632508 180541.8499998782062903, 528447.72300007077865303 180473.6229998076451011, 528408.26199981942772865 180456.61399979508132674, 528431.2009999273577705 180331.84700023027835414, 528472.22499995632097125 180361.48000002329354174, 528460.10400002356618643 180291.15600009256741032, 528527.00400012289173901 180283.20399994432227686, 528537.99999999778810889 180244.00000005480251275, 528492.95699979865457863 180233.99199996070819907, 528420.99999987706542015 180213.99999998603016138, 528447.10299979639239609 180173.10499999905005097, 528427.71899998933076859 180115.10899999999674037, 528186.73600023542530835 180451.43800010159611702, 528044.91499988897703588 180617.9740001400350593, 527973.34300015750341117 180759.8469998023356311, 527964.84999990544747561 180783.94600007476401515, 527888.74700019904412329 180994.79300018813228235, 528055.54099983011838049 181032.95899993382045068, 528327.42199986160267144 181082.42300019387039356, 528374.62300017685629427 181089.99900010912097059, 528418.23999989230651408 181098.11999999999534339)))</t>
  </si>
  <si>
    <t>E01004762</t>
  </si>
  <si>
    <t>Westminster 011E</t>
  </si>
  <si>
    <t>MultiPolygon (((527206.31799999997019768 181511.71899991828831844, 527151.88900009903591126 181463.61100018527940847, 527096.13099986838642508 181471.81599989056121558, 527094.37400018039625138 181435.00000001708394848, 527041.82200002705212682 181385.45699986274121329, 526944.44199982762802392 181426.17300011942279525, 526941.80999999644700438 181417.16900015328428708, 526950.22000009485054761 181372.17300010146573186, 527000.59999986866023391 181357.49200005421880633, 526957.21599991817492992 181317.53800005943048745, 527001.32500013161916286 181270.24800007240264677, 526984.93399981770198792 181254.07600011973408982, 527055.00000008521601558 181178.00000016891863197, 526918.00000001804437488 181049.99999991053482518, 526873.90700004575774074 181095.76399987770128064, 526846.7630000039935112 181125.65400015670456924, 526784.25899987982120365 181191.61399989988422021, 526733.9999999136198312 181250.99999991268850863, 526693.4879999136319384 181214.93399982911068946, 526664.99999982595909387 181188.00000008594361134, 526571.31699988956097513 181276.13599981160950847, 526548.78900004294700921 181250.20299992471700534, 526517.00000012200325727 181283.99999998841667548, 526429.51300000003539026 181381.84799995418870822, 526527.04399982781615108 181435.98699990523164161, 526532.14200014574453235 181509.90499983303016052, 526558.23500011209398508 181582.16600012255366892, 526628.99999981396831572 181548.99999992558150552, 526794.09100017952732742 181598.02899986348347738, 526822.09600000793579966 181524.69699987713829614, 526861.03599992638919502 181536.17499986788607202, 526886.7180001352680847 181477.40999991103308275, 526921.01800007978454232 181427.01900019001914188, 526926.87499986193142831 181432.87499983567977324, 527013.38199988554697484 181514.54400005892966874, 527065.2559999740915373 181687.40700008947169408, 527194.38999997999053448 181555.87699982582125813, 527206.31799999997019768 181511.71899991828831844)))</t>
  </si>
  <si>
    <t>E01033594</t>
  </si>
  <si>
    <t>Westminster 015G</t>
  </si>
  <si>
    <t>MultiPolygon (((525802.22499993001110852 179074.02600009654997848, 525809.31300001998897642 179038.31200008891755715, 525836.92399992165155709 179044.68700001874822192, 525816.24599993205629289 178949.72599998413352296, 525752.18800006434321404 178863.78099993948126212, 525724.50199995178263634 178863.79699997158604674, 525674.65499991097021848 178863.82500007611815818, 525668.87599996698554605 178863.8280000458471477, 525619.54599993512965739 178862.30499993014382198, 525529.97399990877602249 178858.36599999997997656, 525524.99899998097680509 178929.00000009182258509, 525517.08099994366057217 178927.57499995495891199, 525506.72099996730685234 178978.60600004842854105, 525483.50000008998904377 178975.75000002878368832, 525475.42600007844157517 179006.48899991513462737, 525552.99900002183858305 179014.99999996862607077, 525554.48800009361002594 178983.66299992299173027, 525583.9989999842364341 178988.00000009505311027, 525574.48799995693843812 179077.21400005643954501, 525580.02400003024376929 179078.35999991185963154, 525567.00000003224704415 179178.99999993169330992, 525608.40299992414657027 179201.85799998801667243, 525661.53700008720625192 179240.16599994941498153, 525777.7499999322462827 179245.35899999999674037, 525787.67500004009343684 179125.75900007411837578, 525802.22499993001110852 179074.02600009654997848)))</t>
  </si>
  <si>
    <t>E01002812</t>
  </si>
  <si>
    <t>Kensington and Chelsea 013A</t>
  </si>
  <si>
    <t>E02000589</t>
  </si>
  <si>
    <t>Kensington and Chelsea 013</t>
  </si>
  <si>
    <t>E09000020</t>
  </si>
  <si>
    <t>Kensington and Chelsea</t>
  </si>
  <si>
    <t>MultiPolygon (((525506.72100002330262214 178978.60600006193271838, 525517.08100009197369218 178927.57500011692172848, 525524.99899988260585815 178929.00000004286994226, 525529.97400000016205013 178858.36599988158559427, 525503.3249999632826075 178856.83700012500048615, 525445.67000004171859473 178853.54799989817547612, 525367.83699992916081101 178832.27500006309128366, 525264.20699999108910561 178770.95600011083297431, 525224.10600008512847126 178806.8770000618242193, 525111.67400011792778969 178791.13800004700897262, 525131.62200011243112385 178754.97799989191116765, 525074.65100000042002648 178742.32599993143230677, 525050.65799990796949714 178738.10099993806215934, 525013.5779999999795109 178807.43900002536247484, 525021.303999884868972 178824.35600001341663301, 525053.99999992188531905 178865.99999994607060216, 525059.99899988109245896 178865.99999994607060216, 525052.86599998630117625 178889.17600011531612836, 525119.51300009922124445 178930.50200003461213782, 525151.36599993275012821 178952.7219999038206879, 525179.48499993397854269 178916.18299994149128906, 525250.06700005079619586 178955.62600006005959585, 525291.45500002312473953 178962.9090000829892233, 525320.99999995110556483 178916.00000004339381121, 525338.61000001453794539 178885.32499992495286278, 525377.67400006763637066 178904.87400009512202814, 525364.84599995682947338 178939.5199999900360126, 525483.50000007380731404 178975.74999994671088643, 525506.72100002330262214 178978.60600006193271838)))</t>
  </si>
  <si>
    <t>E01002815</t>
  </si>
  <si>
    <t>Kensington and Chelsea 011B</t>
  </si>
  <si>
    <t>E02000587</t>
  </si>
  <si>
    <t>Kensington and Chelsea 011</t>
  </si>
  <si>
    <t>MultiPolygon (((528073.92399986006785184 179277.75100000808015466, 528096.12500005436595529 179230.75099991183378734, 527980.94200009864289314 179209.2949999135453254, 527891.80999986140523106 179190.72200006784987636, 527785.67799999692942947 179168.61200006396393292, 527769.9279999271966517 179165.40599992248462513, 527626.55799988331273198 179138.11000011791475117, 527586.02400000568013638 179079.55400000000372529, 527538.60100007697474211 179107.2989999795681797, 527472.51400011219084263 179175.09699988656211644, 527445.42799994547385722 179195.78599986442713998, 527455.88100012263748795 179247.5579999182082247, 527511.38199999404605478 179223.54599993815645576, 527540.08899987384211272 179255.73600004048785195, 527566.01300011691637337 179298.66600001562619582, 527640.99999994190875441 179252.9999999369319994, 527693.01300011959392577 179381.36500010697636753, 527694.99999984516762197 179431.99999994598329067, 527610.43400010943878442 179504.65299997309921309, 527725.25399993709288538 179661.37300014332868159, 527907.81299992871936411 179751.7970000000204891, 527914.30399985623080283 179669.03200009927968495, 527943.7909999277908355 179503.78199992710142396, 527953.33999998623039573 179455.04399992083199322, 527965.12499992188531905 179394.89099983708001673, 528073.92399986006785184 179277.75100000808015466)))</t>
  </si>
  <si>
    <t>E01002818</t>
  </si>
  <si>
    <t>Kensington and Chelsea 012A</t>
  </si>
  <si>
    <t>E02000588</t>
  </si>
  <si>
    <t>Kensington and Chelsea 012</t>
  </si>
  <si>
    <t>MultiPolygon (((527693.01299980224575847 179381.36500015528872609, 527640.9999999338760972 179252.99999987971386872, 527566.01299992389976978 179298.66600010902038775, 527540.08900018280837685 179255.73599980212748051, 527511.38200008287094533 179223.54600019185454585, 527455.88100014848168939 179247.55799994966946542, 527445.42800006142351776 179195.78600010913214646, 527472.51400020637083799 179175.09700003117904998, 527538.60100013506598771 179107.29899997575557791, 527463.51299984205979854 179028.56300021364586428, 527415.94600016809999943 178983.71899978668079711, 527362.02500016265548766 179057.55100008531007916, 527335.97700006130617112 179036.4889999270089902, 527358.99300008360296488 178987.94400003901682794, 527340.38600007595960051 178951.90399996610358357, 527272.69000015826895833 179006.14899990617414005, 527300.85100009932648391 179070.27200014173286036, 527267.71100005297921598 179083.94900018980843015, 527211.80700012331362814 179021.55100018373923376, 527179.99999999511055648 179107.99999983681482263, 527110.99999979184940457 179070.99999992610537447, 526998.22600011189933866 179123.13200002643861808, 526935.38499993935693055 179087.84700008865911514, 526865.14400012663099915 179091.93000003191991709, 526858.00000004423782229 179154.99999983893940225, 526840.05799999996088445 179273.61400017072446644, 526997.54600019124336541 179316.33500007388647646, 527087.20500013011042029 179348.61100000981241465, 527149.5369998961687088 179361.7809997881995514, 527207.57500003336463124 179372.27199990974622779, 527254.70400009653531015 179367.32999998427112587, 527279.70399989758152515 179309.09199984523002058, 527414.29100002476479858 179405.68700017241644673, 527430.65799984091427177 179361.37099995545577258, 527525.2339999187970534 179426.94200006744358689, 527610.43399984261486679 179504.65300003392621875, 527695 179431.99999980590655468, 527693.01299980224575847 179381.36500015528872609)))</t>
  </si>
  <si>
    <t>E01002819</t>
  </si>
  <si>
    <t>Kensington and Chelsea 012B</t>
  </si>
  <si>
    <t>MultiPolygon (((526723.81400016776751727 178665.27900004154071212, 526699.22000014141667634 178621.1430001676781103, 526618.79299997654743493 178630.07699977821903303, 526678.54400011640973389 178559.65500009158859029, 526615.94899995275773108 178480.53599978389684111, 526620.09699997038114816 178473.12400014337617904, 526617.67900001560337842 178464.26100001935265027, 526517.40999990398995578 178381.28800022337236442, 526508.1879997841315344 178373.65600000001722947, 526443.72199998784344643 178495.86500014716875739, 526557.84199988923501223 178585.06899999958113767, 526550.70899982820264995 178644.84599992606672458, 526548.52300004626158625 178659.96899990312522277, 526530.51999992551282048 178782.50300008291378617, 526522.60999997600447387 178833.6559999315359164, 526504.68800012499559671 178949.56199978242511861, 526475.08899977616965771 179139.01400012648082338, 526462.68999987316783518 179219.53100014114170335, 526618.40800019400194287 179241.84900008587283082, 526840.05799994466360658 179273.61400000000139698, 526858.00000001222360879 179154.99999997834675014, 526700.05299991625361145 179119.46100009241490625, 526691.70199984777718782 178974.68699977771029808, 526683.38999990921001881 178865.25700004937243648, 526725.99999994970858097 178864.99999994324753061, 526733.88100010249763727 178813.93999995445483364, 526705.55000007757917047 178785.63800017608446069, 526728.44100013107527047 178722.70800009646336548, 526693.59199984360020608 178703.0669999192468822, 526723.81400016776751727 178665.27900004154071212)))</t>
  </si>
  <si>
    <t>E01002820</t>
  </si>
  <si>
    <t>Kensington and Chelsea 016A</t>
  </si>
  <si>
    <t>E02000592</t>
  </si>
  <si>
    <t>Kensington and Chelsea 016</t>
  </si>
  <si>
    <t>MultiPolygon (((526865.14399995794519782 179091.92999996180878952, 526935.38500015786848962 179087.84699983446625993, 526998.22599984845146537 179123.13200014585163444, 527110.9999998944113031 179071.00000000366708264, 527180.00000005029141903 179107.99999998637940735, 527211.80699992075096816 179021.55100013004266657, 527267.71100013353861868 179083.94900013192091137, 527300.85099992481991649 179070.27200013570836745, 527272.69000012648757547 179006.14899997427710332, 527340.38600005593616515 178951.90399992201128043, 527358.99300010688602924 178987.94399991782847792, 527335.97700005513615906 179036.48900004799361341, 527362.02499994332902133 179057.55100000434322283, 527415.94599999999627471 178983.71900003662449308, 527396.88299995532725006 178965.80000009838840924, 527253.81300007924437523 178782.06200004552374594, 527210.54300018225330859 178774.9170000821177382, 527208.63499984203372151 178766.03499995934544131, 527185.3349999162601307 178733.91399984891177155, 527163.25399991287849844 178770.40299989964114502, 527106.04399996215943247 178775.90999988542171195, 527126.88200004363898188 178808.85499986249487847, 527057.53399989253375679 178913.61800007897545584, 527013.99599987710826099 178922.1559999622986652, 526901.82199982297606766 178867.27399997980683111, 526924.88499993504956365 178759.62100004698731937, 526986.74499982222914696 178727.35900012162164785, 527025.01700015377718955 178642.05699982232181355, 526998.95799983839970082 178612.32400004551163875, 526920.00000006286427379 178711.00000016205012798, 526873.00000009476207197 178794.00000000445288606, 526799.73200011940207332 178772.2439999355119653, 526792.99899990612175316 178769.99999996618134901, 526728.44099993375129998 178722.70799987995997071, 526705.54999994137324393 178785.63799999665934592, 526733.88099998154211789 178813.93999997613718733, 526725.99999990605283529 178865.00000001088483259, 526683.39000000013038516 178865.2570000684063416, 526691.70200013066641986 178974.68699991589528508, 526700.0530000776052475 179119.46100013496470638, 526857.99999993352685124 179154.999999954510713, 526865.14399995794519782 179091.92999996180878952)))</t>
  </si>
  <si>
    <t>E01002821</t>
  </si>
  <si>
    <t>Kensington and Chelsea 014A</t>
  </si>
  <si>
    <t>E02000590</t>
  </si>
  <si>
    <t>Kensington and Chelsea 014</t>
  </si>
  <si>
    <t>MultiPolygon (((526522.60999996261671185 178833.65600003901636228, 526530.52000000479165465 178782.50300009059719741, 526548.52299991995096207 178659.96900010146782734, 526550.70899987418670207 178644.84599986585089937, 526557.84199999994598329 178585.0690000640170183, 526443.72200006595812738 178495.86500005351263098, 526409.54999989143107086 178480.05800013555563055, 526440.72099992143921554 178500.38399993130587973, 526389.99900011392310262 178582.99999995005782694, 526381.2019999586045742 178545.7630001290817745, 526360.0949998979922384 178566.62400001584319398, 526322.39300001075025648 178533.71399990995996632, 526298.88399995083454996 178557.9009999577247072, 526275.33900006744079292 178677.62699991418048739, 526172.99899996933527291 178689.00099999271333218, 526158.83400009677279741 178725.62199998192954808, 526101.45700011996086687 178679.90100008103763685, 526062.71399995463434607 178735.14999991116928868, 526005.68900000001303852 178712.44099997694138438, 526033.26799988513812423 178744.69799992637126707, 526009.32000009168405086 178831.6330000675516203, 526037.99599988828413188 178830.51299994677538052, 526026.91000005381647497 178881.76699999798438512, 526176.28599990741349757 178902.47300004673888907, 526212.32199986686464399 178907.46799998279311694, 526239.89299988327547908 178911.28900006285402924, 526274.34000013547483832 178916.11299987125676125, 526419.04399989545345306 178937.126000024843961, 526423.86600008176174015 178937.8259999968286138, 526504.68800006422679871 178949.56199986443971284, 526522.60999996261671185 178833.65600003901636228)))</t>
  </si>
  <si>
    <t>E01002835</t>
  </si>
  <si>
    <t>Kensington and Chelsea 016C</t>
  </si>
  <si>
    <t>MultiPolygon (((526026.9099999062018469 178881.7670000120124314, 526037.99599991797003895 178830.51300011927378364, 526009.32000004395376891 178831.63300010591046885, 526033.2679999383399263 178744.69800002666306682, 526005.68899994320236146 178712.4409999793570023, 526062.71400005521718413 178735.14999988849740475, 526101.45699998911004514 178679.90099989940063097, 526158.83399995288345963 178725.62200007418869063, 526172.99899999995250255 178689.00100004291743971, 526046.34799999836832285 178648.49299994998727925, 525940.66999992670025676 178593.98899998798151501, 525932.19699999166186899 178612.25699991412693635, 525893.08899988210760057 178693.43599995400290936, 525915.16400008683558553 178715.20899998233653605, 525954.61199990438763052 178705.91499994916375726, 525959.5039999180007726 178651.70000009177601896, 525998.88800006033852696 178673.56500004700501449, 525967.95600010524503887 178742.4020000540476758, 525957.78300011856481433 178774.75899995616055094, 525913.99600002879742533 178766.39899994785082527, 525862.3020000692922622 178749.02799993901862763, 525768.97799992223735899 178661.98500007711118087, 525765.3459998934995383 178666.96599998167948797, 525753.42699989164248109 178683.71399999794084579, 525730.21000002464279532 178716.34200004083686508, 525683.47699989785905927 178782.01600001362385228, 525672.57599991990718991 178797.335000118939206, 525668.87600000004749745 178863.8280000819650013, 525674.65499989513773471 178863.82500004599569365, 525724.50200005667284131 178863.79700004632468335, 525752.18799990648403764 178863.78099993849173188, 525843.09700008237268776 178860.61300001229392365, 525922.41100010846275836 178865.75300005899043754, 525961.33900007617194206 178871.80400002282112837, 526026.9099999062018469 178881.7670000120124314)))</t>
  </si>
  <si>
    <t>E01002839</t>
  </si>
  <si>
    <t>Kensington and Chelsea 013C</t>
  </si>
  <si>
    <t>MultiPolygon (((525765.34600000001955777 178666.9660000394214876, 525723.2120000139111653 178627.68399992966442369, 525710.29699994588736445 178663.87900007719872519, 525662.65199992840643972 178623.07500007870839909, 525620.62800004542805254 178586.05999991804128513, 525630.47300003957934678 178535.95100002860999666, 525557.05999996757600456 178550.25599997249082662, 525483.13300008873920888 178526.3690000560018234, 525495.50000001909211278 178606.95400009138393216, 525466.10000006249174476 178581.61200001987162977, 525444.93900003505405039 178615.78799999077455141, 525441.7019999825861305 178690.71799993008607998, 525469.15100005466956645 178698.36799991503357887, 525447.76799999724607915 178723.54700002513709478, 525430.07100007392000407 178758.67500002204906195, 525395.99999999988358468 178777.99999992008088157, 525433.82499994605313987 178792.75799996286514215, 525445.67000003531575203 178853.54799992829794064, 525503.32500001706648618 178856.83700001941178925, 525529.97399997722823173 178858.36599993822164834, 525619.54600001510698348 178862.30500005098292604, 525668.87600006756838411 178863.82799994404194877, 525672.57600007718428969 178797.33500004574307241, 525683.47699998994357884 178782.01599999421159737, 525730.20999996864702553 178716.34199992005596869, 525753.42699996230658144 178683.7139999495993834, 525765.34600000001955777 178666.9660000394214876)))</t>
  </si>
  <si>
    <t>E01002850</t>
  </si>
  <si>
    <t>Kensington and Chelsea 013D</t>
  </si>
  <si>
    <t>MultiPolygon (((525441.70200001960620284 178690.71799990360159427, 525444.93900007847696543 178615.78800008352845907, 525466.10000002873130143 178581.61200006984290667, 525495.5 178606.95399999123765156, 525483.13299990922678262 178526.36899991641985252, 525457.89200005237944424 178502.90700008315616287, 525429.24199998832773417 178551.57399999021436088, 525397.5139999573584646 178504.04099993829731829, 525364.52400002395734191 178521.42199998363503255, 525371.48299996030982584 178489.0519999762182124, 525302.59799995133653283 178572.60300002503208816, 525370.0069999365368858 178622.04500008185277693, 525344.99999992980156094 178651.00000007980270311, 525317.88300004694610834 178682.70000006406917237, 525238.0859999842941761 178635.52500004129251465, 525224.21800001489464194 178668.47300000154064037, 525191.00000003376044333 178648.00000006292248145, 525213.87700004794169217 178609.87199999601580203, 525175.77899996179621667 178594.16099997944547795, 525107.72800000011920929 178676.67300004762364551, 525192.31699996558018029 178727.09600005764514208, 525258.59200009563937783 178767.5190000114380382, 525264.20699992356821895 178770.95600007145549171, 525367.83699990494642407 178832.27500008064089343, 525445.66999993333593011 178853.54800002375850454, 525433.825000089709647 178792.75799993416876532, 525396.00000002258457243 178778.00000001798616722, 525430.07099990965798497 178758.67500005479087122, 525447.76800001098308712 178723.54700000473530963, 525469.15100001287646592 178698.36800004352699034, 525441.70200001960620284 178690.71799990360159427)))</t>
  </si>
  <si>
    <t>E01002851</t>
  </si>
  <si>
    <t>Kensington and Chelsea 015D</t>
  </si>
  <si>
    <t>E02000591</t>
  </si>
  <si>
    <t>Kensington and Chelsea 015</t>
  </si>
  <si>
    <t>MultiPolygon (((526172.99899992509745061 179299.00000009057112038, 526231.7460000446299091 179268.11799992810119875, 526251.40599995048251003 179291.0949999387958087, 526343.1509999050758779 179280.91600007950910367, 526205.99999999802093953 179249.00000002738670446, 526211.97199995454866439 179202.22200008717481978, 526218.25399991706945002 179168.19600001446087845, 526306.8489998976001516 179185.30499994038837031, 526311.60500008589588106 179150.74799997970694676, 526284.05700000340584666 179146.62699996304581873, 526290.41899999405723065 179110.90499995343270712, 526339.99999992025550455 179116.99999998410930857, 526352.97400009236298501 179044.83300009183585644, 526387.25099995464552194 179059.50900005872244947, 526384.25800000480376184 178995.15499995643040165, 526423.86600000003818423 178937.82599990264861844, 526419.04399993258994073 178937.12600006855791435, 526274.3399999151006341 178916.11299996537854895, 526239.89300009608268738 178911.28900008267373778, 526212.32199997454881668 178907.46799996547633782, 526176.28599991649389267 178902.47299990942701697, 526205.64599993545562029 179002.71199990354944021, 526154.615000014542602 179000.3080000474001281, 526153.85499995341524482 178950.14100005937507376, 526132.18400005158036947 178998.84499991434859112, 526087.99999993131496012 178998.14700010156957433, 526050.99999990512151271 178960.99999995165853761, 526011.99999999988358468 178990.9999999895808287, 526047.44299992185551673 179039.08200001728255302, 526014.83200008887797594 179049.68800009868573397, 526029.63199993455782533 179081.93299994719563983, 526079.33299990301020443 179078.46500008789007552, 526086.99999999173451215 179123.00100004352862015, 526126.56999999424442649 179129.84500001813285053, 526101.07399993250146508 179156.18500000573112629, 526169.37900009471923113 179173.19699992844834924, 526172.99899992509745061 179299.00000009057112038)))</t>
  </si>
  <si>
    <t>E01002887</t>
  </si>
  <si>
    <t>Kensington and Chelsea 010A</t>
  </si>
  <si>
    <t>E02000586</t>
  </si>
  <si>
    <t>Kensington and Chelsea 010</t>
  </si>
  <si>
    <t>MultiPolygon (((525858.99999993108212948 179174.5589999204967171, 526004.48900005989708006 179159.00700006965780631, 526080.12399989983532578 179166.45799995798734017, 526101.07400005927775055 179156.18500011303694919, 526126.57000010507181287 179129.84500000442494638, 526087.00000008009374142 179123.00099990182206966, 526079.33300000801682472 179078.46499993561883457, 526029.63200005725957453 179081.93300001343595795, 526014.83199998957570642 179049.68799999629845843, 526047.44300001568626612 179039.08200009484426118, 526011.99999992363154888 178991.00000006004120223, 526051.00000006845220923 178961.00000008818460628, 526087.99999989778734744 178998.14699989132350311, 526132.18399991723708808 178998.84500008192844689, 526153.85500011057592928 178950.14100009750109166, 526154.61500002641696483 179000.30800001631723717, 526205.64599999994970858 179002.71199989452725276, 526176.28599999297875911 178902.47299996137735434, 526026.91000005975365639 178881.76700011020875536, 525961.3389999121427536 178871.80400002509122714, 525922.41100005537737161 178865.7530000175756868, 525843.0970000084489584 178860.613000079523772, 525752.18799999984912574 178863.78100005333544686, 525816.24599989352282137 178949.72600009720190428, 525836.92400007357355207 179044.68699989936430939, 525877.58399999281391501 179074.6179998881125357, 525823.99999996391125023 179085.9999999709543772, 525828.00100001646205783 179155.85799998606671579, 525858.99999993108212948 179174.5589999204967171)))</t>
  </si>
  <si>
    <t>E01002888</t>
  </si>
  <si>
    <t>Kensington and Chelsea 013E</t>
  </si>
  <si>
    <t>MultiPolygon (((526171.00000011757947505 179412, 526199.73100010119378567 179340.06300010610721074, 526242.03400011616759002 179349.52399999095359817, 526304.25299995101522654 179360.46799992443993688, 526304.91999989014584571 179318.69199997521354817, 526387.00099989853333682 179330.0000000539876055, 526404.17300006397999823 179332.97200011200038716, 526444.57899989630095661 179339.85799998653237708, 526462.68999995850026608 179219.5309999892488122, 526475.08899996592663229 179139.01400009187636897, 526504.68800011358689517 178949.56199996298528276, 526423.86599988210946321 178937.82600000000093132, 526384.25800003996118903 178995.15500008733943105, 526387.25100007909350097 179059.50899988974560983, 526352.97400006011594087 179044.83299997530411929, 526340.00000006414484233 179117.00000010165967979, 526290.41900005470961332 179110.90499998658197001, 526284.05699990992434323 179146.62699998688185588, 526311.60500001406762749 179150.74799998893286102, 526306.84899994230363518 179185.30499999196035787, 526218.25399999425280839 179168.19600000663194805, 526211.97200011590030044 179202.22200004916521721, 526206.00000002514570951 179248.99999988178024068, 526343.1510000959970057 179280.91600006961380132, 526251.40599991206545383 179291.09499991533812135, 526231.74599999631755054 179268.1179999485029839, 526172.99900010647252202 179298.99999995293910615, 526097.07499988621566445 179380.47699996508890763, 526137.09500003349967301 179380.79500001645646989, 526138.25200000416953117 179409.54399988218210638, 526171.00000011757947505 179412)))</t>
  </si>
  <si>
    <t>E01002892</t>
  </si>
  <si>
    <t>Kensington and Chelsea 010E</t>
  </si>
  <si>
    <t>MultiPolygon (((528313.54100007610395551 179938.05099998440709896, 528391.00000021758023649 179722.07799996915855445, 528421.43400017498061061 179688.43199996871408075, 528330.17300026270095259 179652.08999995124759153, 528328.99999981862492859 179589.00000008646748029, 528358.22299989860039204 179509.49299982521915808, 528316.11700021021533757 179494.04400007292861119, 528263.07400007348041981 179531.93100017146207392, 528261.49900002172216773 179411.5260001021088101, 528215.21000017854385078 179350.78900005944888107, 528260.99999997904524207 179302.00000000806176104, 528231.2869998476235196 179283.287000263488153, 528255.5480000035604462 179253.852999859751435, 528212.4820001928601414 179244.94100008328678086, 528226.14200010220520198 179215.46500025020213798, 528253.99999992549419403 179190.00000021001324058, 528292.09799981804098934 179206.52799996850080788, 528306.86600023496430367 179169.92400020675268024, 528307.78499986766837537 179205.95799999515293166, 528357.00000003294553608 179220.00000006132177077, 528379.90699992142617702 179196.3769998123170808, 528332.01800005102995783 179149.41300009837141261, 528306.28799973975401372 179160.93999997089849785, 528329.35899999784305692 179141.38799998586182483, 528300.75599984242580831 179148.19500022783176973, 528262.24299982516095042 179081.38099976038211025, 528225.06300009589176625 179133.79599998041521758, 528174.80599988834001124 179091.19400024643982761, 528155.01800013368483633 179111.06899991622776724, 528137.28799995931331068 179076.30299994957749732, 528167.72299991582985967 179070.04200023403973319, 528124.80199996347073466 179037.1780000000144355, 528102.73299978673458099 179186.14900026094983332, 528096.12499988020863384 179230.75100016157375649, 528073.92399983236100525 179277.75099984035477974, 527965.1250000880099833 179394.89099991839611903, 527953.33999993768520653 179455.04400000139139593, 527943.79100025328807533 179503.78200010253931396, 527914.30399990128353238 179669.03199983533704653, 527907.81299988052342087 179751.79700009475345723, 527902.99999981105793267 179813.99999976591789164, 527695.67999982507899404 179780.67899997791391797, 527802.64199977333191782 180086.28699990338645875, 527774.11500007333233953 180096.49900000001071021, 528313.54100007610395551 179938.05099998440709896)))</t>
  </si>
  <si>
    <t>E01004691</t>
  </si>
  <si>
    <t>Westminster 019E</t>
  </si>
  <si>
    <t>MultiPolygon (((527286.97700000018812716 177948.45200012618442997, 527321.30300001346040517 177871.05700006228289567, 527388.68100020184647292 177903.25900020718108863, 527412.99900008598342538 177889.99999999100691639, 527361.00000009499490261 177841.00000013448880054, 527376.00000015657860786 177819.99999986018519849, 527434.49599999247584492 177840.83999994077021256, 527445.99999981734436005 177814.00000011760857888, 527566.67200018360745162 177871.52000018212129362, 527579.68499980808701366 177873.07500009622890502, 527611.52700022235512733 177841.69900018748012371, 527632.52500008279457688 177886.91599990049144253, 527689.00099994114134461 177869.0000001868174877, 527713.65700017579365522 177902.24200018052943051, 527759.6190000562928617 177917.21000020339852199, 527756.48100007663015276 177956.40099996604840271, 527848.05199990968685597 177857.53099984605796635, 527844.99300005508121103 177865.30799983028555289, 527869.99999980384018272 177879.0000000711879693, 527926.9999999440042302 177817.00000022395397536, 527942.65699983143713325 177832.65700011141598225, 527959.00000013818498701 177772.0000000390864443, 528118.58400013495702296 177811.02700019086478278, 528128.30099999997764826 177802.10000016586855054, 527592.98499980941414833 177675.06599991253460757, 527362.7160001746378839 177620.10400018314248882, 527301.50299978174734861 177757.49999999519786797, 527280.0630001500248909 177801.03100019379053265, 527269.55999986233655363 177821.78199996094917879, 527199.20099997264333069 177952.14000012527685612, 527188.0359999998472631 178018.50099981683888473, 527264.59500010940246284 177998.28200010614818893, 527247.11599983763881028 177985.79700018069706857, 527286.97700000018812716 177948.45200012618442997)))</t>
  </si>
  <si>
    <t>E01002900</t>
  </si>
  <si>
    <t>Kensington and Chelsea 018B</t>
  </si>
  <si>
    <t>E02000594</t>
  </si>
  <si>
    <t>Kensington and Chelsea 018</t>
  </si>
  <si>
    <t>MultiPolygon (((526779.63199988391716033 177599.50500008917879313, 526822.3800001114141196 177584.20600008303881623, 526854.99400011776015162 177606.5880000377073884, 526903.81600013596471399 177533.73500005758251064, 526929.99999994749668986 177492.00000000646105036, 527058.32499991322401911 177542.12200012867106125, 527081.7099999978672713 177550.89100010009133257, 527083.52599999995436519 177539.0049998618196696, 526900.30000004591420293 177447.59999991394579411, 526771.80000004812609404 177429.40000001946464181, 526631.4000000593950972 177274.99999996772385202, 526651.99999985750764608 177254.50000000937143341, 526592.42100000381469727 177162.85400003526592627, 526584.55200015241280198 177275.57800015373504721, 526555.11500006704591215 177289.0800000898889266, 526566.62799997837282717 177334.01300000335322693, 526594.27299986081197858 177330.19799993000924587, 526605.77800004731398076 177281.6860001023451332, 526667.52699998568277806 177338.02899991720914841, 526634.18100001488346606 177389.13899994356324896, 526651.84800008847378194 177404.92299985999125056, 526610.55000003695022315 177427.03300011286046356, 526558.14500008604954928 177361.10200011427514255, 526535.9209999282611534 177349.06299994612345472, 526509.34299984842073172 177408.2389999580627773, 526472.99099997011944652 177401.89100014400901273, 526459.01100000005681068 177463.44400010898243636, 526513.20600014470983297 177498.19099987210938707, 526536.47500000288709998 177515.4359998595318757, 526673.62800005788449198 177614.92200001879245974, 526683.49399997130967677 177632.96099994625546969, 526748.42200015217531472 177669.98199996474431828, 526779.63199988391716033 177599.50500008917879313)))</t>
  </si>
  <si>
    <t>E01002840</t>
  </si>
  <si>
    <t>Kensington and Chelsea 021A</t>
  </si>
  <si>
    <t>E02000597</t>
  </si>
  <si>
    <t>Kensington and Chelsea 021</t>
  </si>
  <si>
    <t>MultiPolygon (((528029.31200014159549028 178240.86100006874767132, 528084.01300004019867629 178178.33899979048874229, 528113.01100010657683015 178243.9589999284944497, 528192.39399991068057716 178295.40000016102567315, 528324.58800024201627821 178173.61900004584458657, 528424.29999984672758728 178076.72700002332567237, 528543.53499994962476194 177942.94800023981952108, 528549.44400000001769513 177903.78999996892525814, 528128.30100021185353398 177802.10000009575742297, 528118.58399988838937134 177811.02700003507197835, 527958.9999998330604285 177772.00000019921571948, 527942.65700000815559179 177832.65699990501161665, 527926.99999977415427566 177817.00000015989644453, 527869.99999979138374329 177879.0000000296276994, 527844.9929998517036438 177865.30799996477435343, 527848.05199990293476731 177857.53100003371946514, 527756.48100007208995521 177956.40099983566324227, 527759.61900016164872795 177917.20999983962974511, 527713.6570001975633204 177902.24199997144751251, 527689.00100000156089664 177868.99999976670369506, 527632.52499980316497386 177886.9159998549730517, 527611.52700024051591754 177841.69899989402620122, 527579.68499976932071149 177873.07500008287024684, 527576.0969997828360647 177885.46600007844972424, 527633.43399996648076922 177945.20000007821363397, 527688.95299982349388301 177952.24600003764498979, 527658.43499982275534421 177989.02899998330394737, 527676.92999988922383636 178032.28699985836283304, 527633.99999984563328326 178038.00099988820147701, 527571.51500000001396984 178087.91099995202966966, 527664.34499980555847287 178171.4439998921006918, 527682.87200015364214778 178193.89500000642146915, 527708.00000022642780095 178171.0000000785512384, 527786.00000012561213225 178256.00000011289375834, 527840.87499999743886292 178314.9540000305569265, 527872.0000000394647941 178351.99999980078428052, 528029.31200014159549028 178240.86100006874767132)))</t>
  </si>
  <si>
    <t>E01002901</t>
  </si>
  <si>
    <t>Kensington and Chelsea 018C</t>
  </si>
  <si>
    <t>MultiPolygon (((526461.2480000436771661 177289.45899990590987727, 526477.0000000698491931 177269.99999988914350979, 526584.55199994274880737 177275.5779999912774656, 526592.42099999997299165 177162.85399994809995405, 526530.74600006593391299 177019.51300002002972178, 526262.55000001902226359 176942.53600007033674046, 526219.7240000325255096 176948.00700003813835792, 526167.50300009665079415 177016.42000010592164472, 526201.58800005516968668 177046.0519999882671982, 526139.49599999992642552 177171.10400006236159243, 526186.889999984879978 177203.57899997892673127, 526281.19500005536247045 177253.41599996367585845, 526339.48399994859937578 177277.27499990549404174, 526386.71599998418241739 177243.89899990984122269, 526443.14300006511621177 177250.01899996001156978, 526381.1720000560162589 177350.35000002614106052, 526404.51399992452934384 177365.71599992964183912, 526409.13100006687454879 177360.06199991836911067, 526461.2480000436771661 177289.45899990590987727)))</t>
  </si>
  <si>
    <t>E01002841</t>
  </si>
  <si>
    <t>Kensington and Chelsea 021B</t>
  </si>
  <si>
    <t>MultiPolygon (((526667.52700000000186265 177338.02900002332171425, 526605.77799999970011413 177281.68600002507446334, 526594.27300001122057438 177330.19799994330969639, 526566.62799994985107332 177334.01299995987210423, 526555.11500002117827535 177289.08000001471373253, 526584.55199998582247645 177275.57799997684196569, 526476.9999999589053914 177269.9999999693245627, 526461.24799995520152152 177289.45900002215057611, 526409.13100000005215406 177360.06199994392227381, 526445.00000004412140697 177376.9999999909196049, 526487.34799994539935142 177311.75600003520958126, 526535.92100005329120904 177349.06300004650256597, 526558.14499996649101377 177361.10200004579382949, 526610.54999996372498572 177427.03300003067124635, 526651.8479999671690166 177404.92300004002754577, 526634.1809999467805028 177389.13900001739966683, 526667.52700000000186265 177338.02900002332171425)))</t>
  </si>
  <si>
    <t>E01002842</t>
  </si>
  <si>
    <t>Kensington and Chelsea 021C</t>
  </si>
  <si>
    <t>MultiPolygon (((526459.01099994336254895 177463.44400010895333253, 526472.99100006720982492 177401.89099998614983633, 526509.34299988299608231 177408.23899994639214128, 526535.92100000008940697 177349.06299993384163827, 526487.34799995517823845 177311.75599990636692382, 526445.0000001200241968 177376.9999999781139195, 526409.13100000005215406 177360.06200012101908214, 526404.51399991905782372 177365.71600007780943997, 526381.17200007068458945 177350.35000007535563782, 526443.14300004381220788 177250.01899993579718284, 526386.71600009361281991 177243.89900010195560753, 526339.48400009307079017 177277.27500004743342288, 526281.19500000029802322 177253.41600010308320634, 526186.89000002376269549 177203.57900012010941282, 526139.49600006046239287 177171.10399997505010106, 526201.58799991011619568 177046.05200004883226939, 526167.50300001644063741 177016.41999989104806446, 526112.49900002882350236 177077.21799991306033917, 526027.5 177216.06200011313194409, 526084.98800009361002594 177266.83800004469230771, 526166.56899987999349833 177320.36700004077283666, 526188.00100006768479943 177333.28099995496449992, 526314.49999996984843165 177399.96900006459327415, 526369.89800004882272333 177423.91300011958810501, 526459.01099994336254895 177463.44400010895333253)))</t>
  </si>
  <si>
    <t>E01002843</t>
  </si>
  <si>
    <t>Kensington and Chelsea 021D</t>
  </si>
  <si>
    <t>MultiPolygon (((527199.20100012246984988 177952.13999999451334588, 527269.55999993253499269 177821.78200007436680607, 527280.06299992674030364 177801.03100007760804147, 527301.50299988558981568 177757.50000007695052773, 527362.71600000001490116 177620.10399988287827, 527264.41499992448370904 177594.56900000057066791, 527083.52600011718459427 177539.00500005672802217, 527081.71000008785631508 177550.89100007954402827, 527058.32499989483039826 177542.12200002768076956, 527022.14300000830553472 177600.06800008655409329, 527054.21700010634958744 177638.668999997258652, 527028.67200001515448093 177691.26799999497598037, 526999.74100012623239309 177639.40500007738592103, 526970.87199990649241954 177667.75500007523805834, 527020.9899999569170177 177704.03799998835893348, 526998.18699987907893956 177772.89300008764257655, 526958.24699989333748817 177759.56500002313987352, 526994.68599996576085687 177780.75899997525266372, 526976.39600000658538193 177823.73199990479042754, 526887.16600009240210056 177813.03199996208422817, 526854.47200000006705523 177827.82999999259482138, 526947.41999993997160345 177899.7709999741637148, 527102.15400012477766722 178004.46099992675590329, 527147.81299996492452919 178032.24999994327663444, 527168.90599989041220397 177999.36699991696514189, 527199.20100012246984988 177952.13999999451334588)))</t>
  </si>
  <si>
    <t>E01002844</t>
  </si>
  <si>
    <t>Kensington and Chelsea 019A</t>
  </si>
  <si>
    <t>E02000595</t>
  </si>
  <si>
    <t>Kensington and Chelsea 019</t>
  </si>
  <si>
    <t>MultiPolygon (((526854.47200006456114352 177827.83000007554073818, 526887.16600004211068153 177813.03200000742799602, 526976.39600008155684918 177823.73200006355182268, 526994.68600007728673518 177780.75899995720828883, 526958.24700001208111644 177759.56500009444425814, 526998.18700001679826528 177772.89299991368898191, 527020.99000000883825123 177704.03800002054776996, 526970.87200005142949522 177667.75500003091292456, 526999.7410000521922484 177639.40500006490037777, 527028.67199991829693317 177691.26799996325280517, 527054.21699995314702392 177638.66899991757236421, 527022.14299999189097434 177600.06800007569836453, 527058.32499999995343387 177542.12199997351854108, 526930.00000007357448339 177491.9999999244173523, 526903.81599997577723116 177533.73500004390371032, 526854.99399997352156788 177606.58799999032635242, 526822.38000007963273674 177584.20599992564530112, 526779.63200007483828813 177599.50500000474858098, 526748.42200008372310549 177669.98199993622256443, 526683.49399997759610415 177632.96099994782707654, 526669.43799999984912574 177675.60899999382672831, 526736.7140000625513494 177730.37499993070377968, 526760.91500001423992217 177750.07599998966907151, 526854.47200006456114352 177827.83000007554073818)))</t>
  </si>
  <si>
    <t>E01002845</t>
  </si>
  <si>
    <t>Kensington and Chelsea 019B</t>
  </si>
  <si>
    <t>MultiPolygon (((528593.33900010411161929 179522.26099987974157557, 528773.00000007089693099 179216.71899989197845571, 528747.91000018024351448 179146.07099985665990971, 528638.97899987734854221 178959.49600021546939388, 528625.16200021759141237 178936.80599985181470402, 528539.69599997997283936 178901.40899987184093334, 528505.40900004340801388 178814.6780000000144355, 528452.5559997926466167 178833.20699989041895606, 528482.99999983992893249 178870.00000013122917153, 528446.99999994377139956 178903.99999983893940225, 528412.92000019352417439 178864.07900003393297084, 528379.92100015457253903 178892.07900005023111589, 528445.68200013937894255 178935.85499988193623722, 528428.83999991079326719 178976.12999980940367095, 528464.75800017837900668 179014.20399986769189127, 528537.61300015158485621 179076.55200008230167441, 528522.79899999510962516 179111.83000001002801582, 528601.00000003329478204 179196.99999991568620317, 528566.99999988870695233 179229.99999996609403752, 528460.99999995192047209 179117.99999990095966496, 528382.54000000550877303 179169.0900000564288348, 528491.79600009880959988 179266.97600011838949285, 528491.91800018539652228 179300.76199999643722549, 528379.90699999430216849 179196.37700020737247542, 528357.00000020349398255 179219.9999998978455551, 528307.78500011540018022 179205.95799984555924311, 528306.8660000751260668 179169.92399999694316648, 528292.09800000861287117 179206.52799982062424533, 528254.00000011234078556 179190.00000013006501831, 528226.14199997496325523 179215.46499994685291313, 528212.48199992894660681 179244.94099982955958694, 528255.54799992963671684 179253.85300010637729429, 528231.28699992224574089 179283.28699994491762482, 528260.99999989802017808 179302.00000019517028704, 528215.21000015444587916 179350.78900020991568454, 528261.49899993371218443 179411.52599988572183065, 528263.07400006020907313 179531.93100010036141612, 528316.11699986574240029 179494.04399999941233546, 528358.22299979359377176 179509.49300000161747448, 528329.0000001871958375 179589.0000001436274033, 528330.17300007841549814 179652.0900001188274473, 528421.43399984401185066 179688.43199999997159466, 528593.33900010411161929 179522.26099987974157557)))</t>
  </si>
  <si>
    <t>E01004690</t>
  </si>
  <si>
    <t>Westminster 019D</t>
  </si>
  <si>
    <t>MultiPolygon (((529396.61599999258760363 179907.67099976722965948, 529469.88299971155356616 179808.12899985400144942, 529656.21900008479133248 179898.04600030693109147, 529832.37299999443348497 179893.6329997968277894, 529976.45700007921550423 179808.41300012887222692, 530039.3659999999217689 179804.01099998925928958, 530036.05300027597695589 179686.05999996123136953, 529923.00000031036324799 179696.99999988166382536, 529945.00000037183053792 179503.00000008876668289, 529913.0000000576255843 179482.00000021737650968, 529767.99999968986958265 179396.00000035166158341, 529724.99999975704122335 179370.00000035393168218, 529678.75800016883295029 179288.38999969913857058, 529732.06699974799994379 179276.43099969791364856, 529695.83599995891563594 179272.32299964551930316, 529629.99999982863664627 179271.99999985526665114, 529667.99999963515438139 179114.00000031280796975, 529663.2279998455196619 179072.04299984555109404, 529591.8730000153882429 179025.10400023279362358, 529547.81300019414629787 179104.79699985639308579, 529573.12500024575274438 179125.79699972775415517, 529514.56300026050303131 179149.7810003048798535, 529514.74099988711532205 179206.13899978212430142, 529514.93699967057909817 179268.02100010184221901, 529397.5360000355867669 179234.71999972409685142, 529328.27800033125095069 179215.43999971818993799, 529261.14000040350947529 179197.26499999238876626, 529073.47800002375151962 179150.83200011483859271, 529029.93800033431034535 179150.24999999266583472, 529010.24900033883750439 179151.81400014823884703, 528876.13500024552922696 179162.46800032583996654, 528773.00000009348150343 179216.71899986491189338, 528593.33900014439132065 179522.26100020398735069, 528421.43399986648000777 179688.43200028358842246, 528391 179722.07800036840490066, 528498.57899983308743685 179787.11200038404786028, 528736.41799972089938819 179786.6839996796043124, 529034.06600001140031964 179488.51300005527446046, 529058.32799998694099486 179505.26100026885978878, 529094.98299989628139883 179461.21400028612697497, 529076.8290003533475101 179399.54500017256941646, 529135.14600040332879871 179474.25200006639352068, 529158.8119998601032421 179451.41100037499563769, 529122.99999987287446856 179383.0000003527966328, 529181.00000018475111574 179358.99999991108779795, 529201.25399987970013171 179405.8620002270617988, 529234.42899998463690281 179396.77099964686203748, 529294.99999960430432111 179453.99999983943416737, 529343.69899998011533171 179431.93199973533046432, 529437.09000018530059606 179466.10300027023185976, 529421.06199964706320316 179507.11400019339635037, 529471.12000031676143408 179622.51600000631879084, 529263.00000011420343071 179582.99999963800655678, 529177.99999961443245411 179704.99999975415994413, 529186.99999967706389725 179761.99999987601768225, 529289.30600030370987952 179832.92399979985202663, 529396.61599999258760363 179907.67099976722965948)))</t>
  </si>
  <si>
    <t>E01004731</t>
  </si>
  <si>
    <t>Westminster 020A</t>
  </si>
  <si>
    <t>E02000979</t>
  </si>
  <si>
    <t>Westminster 020</t>
  </si>
  <si>
    <t>MultiPolygon (((530035.8820000090636313 178246.99600002032821067, 529934.83599999372381717 178129.69799992762273178, 529886.37400010344572365 178129.84199995890958235, 529840.85300011315848678 178059.98400003561982885, 529787.44299995864275843 178019.09500009415205568, 529736.99999999382998794 177996, 529728.66199997940566391 178022.62499991946970113, 529651.87099999096244574 178210.69399998857988976, 529717.17599997681099921 178252.10800009677768685, 529775.86800006916746497 178192.97800009115599096, 529790.72199994802940637 178206.59500001888955012, 529747.0000000725267455 178249.99999997712438926, 529771.3639999971492216 178346.80500008453964256, 529669.84300007158890367 178376.3799999778275378, 529739.59699998516589403 178455.63300000003073364, 529851.60400006617419422 178370.05700001009972766, 529955.97300004865974188 178295.71699988868203945, 530035.8820000090636313 178246.99600002032821067)))</t>
  </si>
  <si>
    <t>E01004737</t>
  </si>
  <si>
    <t>Westminster 024C</t>
  </si>
  <si>
    <t>E02000983</t>
  </si>
  <si>
    <t>Westminster 024</t>
  </si>
  <si>
    <t>MultiPolygon (((529651.87099993473384529 178210.69399991401587613, 529728.66199994110502303 178022.62500003358582035, 529737.00000006437767297 177995.9999998563725967, 529787.44299989670980722 178019.09500013865181245, 529840.85300002375151962 178059.98400006804149598, 529886.37399993860162795 178129.8419999027682934, 529934.83600000001024455 178129.6980000204348471, 529752.80000001157168299 177958.10000003440654837, 529375.37500003341119736 177850.09200002608122304, 529375.38799996243324131 177883.08200006565311924, 529427.68600003130268306 177899.65500009420793504, 529415.60599994461517781 177944.64000006028800271, 529459.10400005034171045 177944.0000000998552423, 529527.03799995873123407 177957.49299993825843558, 529531.60500000929459929 177929.10099993605399504, 529597.00000009522773325 177950.00000012756208889, 529572.98700005549471825 178005.2789999236993026, 529549.87999992805998772 178082.56300004685181193, 529546.38200010359287262 178084.38299996146815829, 529532.01500013354234397 178154.95000002652523108, 529449.61699995957314968 178129.77999992927652784, 529404.00000012328382581 178116.00000011996598914, 529429.54999986162874848 178055.52200011289096437, 529436.63600008946377784 178032.97499991455697455, 529395.81399997242260724 178018.34199999261181802, 529387.77099991019349545 178048.27399994488223456, 529368.04799991787876934 178121.73300011205719784, 529354.74100000003818423 178171.28700000623939559, 529426.17700006801169366 178244.09599995528697036, 529496.01399988366756588 178265.87300003357813694, 529568.36799999908544123 178290.12599987714202143, 529557.23599986277986318 178199.28100001948769204, 529578.15200002829078585 178192.09100006995140575, 529607.9330000919289887 178220.92499997682170942, 529606.36199986503925174 178302.44499997392995283, 529642.99099994008429348 178277.42900001670932397, 529651.87099993473384529 178210.69399991401587613)))</t>
  </si>
  <si>
    <t>E01004738</t>
  </si>
  <si>
    <t>Westminster 024D</t>
  </si>
  <si>
    <t>MultiPolygon (((529544.47899992915336043 178501.61499993421602994, 529614.61800001957453787 178439.09599996663746424, 529552.79899996670428663 178408.26399999999557622, 529535.00000007695052773 178414.00000000011641532, 529448.72800000326242298 178477.31599998398451135, 529428.20699995884206146 178417.30799996553105302, 529347.2400000283960253 178472.82800000606221147, 529379.35299997322726995 178523.65699992285226472, 529395.38099996105302125 178549.30500002653570846, 529298.22199998027645051 178707.61599993566051126, 529351.12500002735760063 178739.40599999998812564, 529357.69699996174313128 178734.43100007920293137, 529381.99999994167592376 178716.09099992716801353, 529395.87199993361718953 178705.62299995328066871, 529466.70300004479940981 178652.41500007698778063, 529492.22600000409875065 178634.6219999834720511, 529577.69100006972439587 178575.05199999827891588, 529581.81000007293187082 178572.07300004083663225, 529544.47899992915336043 178501.61499993421602994)))</t>
  </si>
  <si>
    <t>E01004740</t>
  </si>
  <si>
    <t>Westminster 021A</t>
  </si>
  <si>
    <t>E02000980</t>
  </si>
  <si>
    <t>Westminster 021</t>
  </si>
  <si>
    <t>MultiPolygon (((529739.59699995955452323 178455.63300000023446046, 529669.84299992292653769 178376.37999998751911335, 529771.36399996560066938 178346.80500005494104698, 529747.00000003457535058 178249.99999993215897121, 529790.72199999436270446 178206.59499995585065335, 529775.86799994821194559 178192.9779999621969182, 529717.17599998728837818 178252.10800004479824565, 529651.87100000854115933 178210.69399992350372486, 529642.99100002006161958 178277.42900003219256178, 529606.36199999006930739 178302.44500005763256922, 529607.93300004082266241 178220.92500007423222996, 529578.15200008649844676 178192.09099999998579733, 529557.23599995137192309 178199.28100002490100451, 529568.36799993109889328 178290.12599995685741305, 529496.01400003826711327 178265.87299998759408481, 529480.76200000557582825 178341.23100001903367229, 529500.00000000873114914 178363.00000008702045307, 529520.47300002910196781 178392.83200008535641246, 529534.99999991548247635 178413.99999991312506609, 529552.79899991501588374 178408.2640000612300355, 529614.61799999792128801 178439.09600001890794374, 529544.47899991890881211 178501.61500009230803698, 529581.8099999746773392 178572.07300000000395812, 529619.33200007257983088 178544.99999990602373146, 529681.33200002135708928 178500.26500004270928912, 529701.28400007181335241 178485.86900009078090079, 529739.59699995955452323 178455.63300000023446046)))</t>
  </si>
  <si>
    <t>E01004741</t>
  </si>
  <si>
    <t>Westminster 024F</t>
  </si>
  <si>
    <t>MultiPolygon (((529448.72800004773307592 178477.3159999999916181, 529534.99999996845144778 178413.99999998268322088, 529520.47299996216315776 178392.83200006512925029, 529500.00000001338776201 178362.99999996935366653, 529480.76199998601805419 178341.23099995069787838, 529496.0139999840175733 178265.87299993421765976, 529426.17699999397154897 178244.09600001148646697, 529354.74100000911857933 178171.28700000001117587, 529351.10199998924508691 178184.79999999844585545, 529341.99999993608798832 178218.68700002317200415, 529328.47699998109601438 178246.59499992735800333, 529243.10400003159884363 178308.87700002349447459, 529298.64299998572096229 178395.90900001360569149, 529310.91699995775707066 178415.3369999818096403, 529329.05200001131743193 178444.04000003298278898, 529347.24000000336673111 178472.82799994497327134, 529428.20700006233528256 178417.3079999542387668, 529448.72800004773307592 178477.3159999999916181)))</t>
  </si>
  <si>
    <t>E01004742</t>
  </si>
  <si>
    <t>Westminster 022A</t>
  </si>
  <si>
    <t>E02000981</t>
  </si>
  <si>
    <t>Westminster 022</t>
  </si>
  <si>
    <t>MultiPolygon (((529623.99999999301508069 178946.07799999124836177, 529598.43799993116408587 178902.1409998809103854, 529638.68599996413104236 178877.68600004000472836, 529682.99199997028335929 178850.76700003608129919, 529655.3549999282695353 178770.84400012707919814, 529551.96099990047514439 178811.7999999210878741, 529434.72000000940170139 178786.43900001069414429, 529479.99999999417923391 178876.99999992790981196, 529456.18400005740113556 178923.28000013131531887, 529399.87599993380717933 178854.16299997491296381, 529357.6970001207664609 178734.43100000004051253, 529351.12499993375968188 178739.40600000045378692, 529294.44600001897197217 178782.40700001071672887, 529220.32400009839329869 178838.64299990091240034, 529219.00000002980232239 178864.00000002066371962, 529255.91000002308283001 178858.85500011380645446, 529288.47700001951307058 178905.14199995083617978, 529318.00000006228219718 178974.00000005678157322, 529322.17599999555386603 178980.60200000760960393, 529378.00000010628718883 179041.00000003023887984, 529397.99999994307290763 179074.00000004106550477, 529422.85899998224340379 179118.38300001891911961, 529397.53599995048716664 179234.72000000262050889, 529514.93700000457465649 179268.02100000000791624, 529514.74100012506823987 179206.13900001259753481, 529514.56300010369159281 179149.78100010479101911, 529573.12499990954529494 179125.79699989009532146, 529547.81300010252743959 179104.79700010147644207, 529591.87299991131294519 179025.1039998932974413, 529623.99999999301508069 178946.07799999124836177)))</t>
  </si>
  <si>
    <t>E01004744</t>
  </si>
  <si>
    <t>Westminster 020D</t>
  </si>
  <si>
    <t>MultiPolygon (((530271.6000001656357199 178751.89999986017937772, 530216.53200004785321653 178576.98700003005797043, 530035.88199993397574872 178246.99600000001373701, 529955.9730001458665356 178295.71700001176213846, 529851.60400015499908477 178370.05700011033331975, 529851.14999990805517882 178466.08399981920956634, 529921.02300016453955323 178433.66700000362470746, 529937.63300011039245874 178468.26600010902620852, 529864.71200005023274571 178510.63300003614858724, 529851.21300008473917842 178534.85100013500778005, 529825.79599990765564144 178561.22699996375013143, 529821.81000001856591552 178561.99699982421589084, 529805.8180000816937536 178645.95700009408756159, 529819.50999993155710399 178710.03899991529760882, 529845.70800004107877612 178771.26799986386322416, 529890.54099986399523914 178745.32799986205645837, 529887.19100003433413804 178690.64399983588373289, 529992.45700007758568972 178702.40600010272464715, 529984.9999999376013875 178762.00000014604302123, 529949.38300009723752737 178802.35099996149074286, 529948.54100003489293158 178879.58299991892999969, 530019.30699988093692809 178881.89099982313928194, 530057.30900012876372784 178883.64500010319170542, 530129.95299982256256044 178886.88699999937671237, 530125.93499992601573467 178985.97500000000582077, 530281.30499991844408214 178974.11799991835141554, 530271.6000001656357199 178751.89999986017937772)))</t>
  </si>
  <si>
    <t>E01004745</t>
  </si>
  <si>
    <t>Westminster 021C</t>
  </si>
  <si>
    <t>MultiPolygon (((529479.99999996728729457 178876.99999988553463481, 529434.71999995247460902 178786.43900004622992128, 529551.96100012678653002 178811.80000003223540261, 529655.35500007460359484 178770.84399993374245241, 529701.39899994677398354 178758.62800011489889584, 529673.79099994292482734 178682.6449999712058343, 529740.53499994496814907 178678.7999999338935595, 529758.85400004498660564 178725.91599990325630642, 529806.9969999777385965 178720.95200001541525126, 529819.51000010047573596 178710.03900011139921844, 529805.81799994863104075 178645.95700000901706517, 529821.80999988946132362 178561.99699990314547904, 529825.79600005643442273 178561.22700002804049291, 529851.21300011232960969 178534.85100011437316425, 529864.71199988317675889 178510.6330000503512565, 529937.63300000003073364 178468.26600000556209125, 529921.02299995988141745 178433.6669999775767792, 529851.14999992493540049 178466.08400008454918861, 529851.60399992286693305 178370.05699992668814957, 529739.59699985990300775 178455.63300010559032671, 529701.2840000877622515 178485.86900010120007209, 529681.33199996070470661 178500.26499993176548742, 529619.33199996501207352 178544.99999987115734257, 529581.81000013055745512 178572.07299992596381344, 529577.69100005109794438 178575.05200009242980741, 529492.22599991247989237 178634.62200010564993136, 529466.70300002431031317 178652.41499999345978722, 529395.87199994141701609 178705.62300001794937998, 529382.0000001237494871 178716.09099995082942769, 529357.69700000004377216 178734.4310001133417245, 529399.87599987199064344 178854.16299996845191345, 529456.1839999397052452 178923.28000007331138477, 529479.99999996728729457 178876.99999988553463481)))</t>
  </si>
  <si>
    <t>E01004747</t>
  </si>
  <si>
    <t>Westminster 021E</t>
  </si>
  <si>
    <t>MultiPolygon (((529288.47700002079363912 178905.1419999613717664, 529255.91000002366490662 178858.85500002108165063, 529219.00000007648486644 178864.00000004927278496, 529220.32399993482977152 178838.64300000001094304, 529156.37600003683473915 178889.49500005863956176, 529130.90699990803841501 178927.84000004737754352, 529068.44600001070648432 179035.23999993881443515, 529029.93800007773097605 179150.24999992083758116, 529073.47800006298348308 179150.83200001952354796, 529261.13999995833728462 179197.26500008118455298, 529328.27800005360040814 179215.44000005393172614, 529397.53599991486407816 179234.72000000000116415, 529422.85899992228951305 179118.38300007436191663, 529397.9999999615829438 179073.99999990229844116, 529377.99999995669350028 179041.00000001309672371, 529322.17599996621720493 178980.6020000446587801, 529317.99999994214158505 178974.00000007601920515, 529288.47700002079363912 178905.1419999613717664)))</t>
  </si>
  <si>
    <t>E01004748</t>
  </si>
  <si>
    <t>Westminster 020E</t>
  </si>
  <si>
    <t>MultiPolygon (((529220.32400011096615344 178838.64299989270512015, 529294.44600010174326599 178782.40700008158455603, 529351.12500002875458449 178739.40599986223969609, 529298.22200000262819231 178707.61599986153305508, 529395.38099999341648072 178549.30499990363023244, 529379.3530000007012859 178523.65700003746314906, 529347.24000005831476301 178472.82800006377510726, 529329.0520000095712021 178444.03999993213801645, 529274.58800010173581541 178485.17699998390162364, 529261.00000010477378964 178505.99899996482417919, 529251.30799990287050605 178500.54099987132940441, 529235.75000007916241884 178519.0499998681480065, 529211.90000003261957318 178493.06799995573237538, 529156.98999987868592143 178409.88300012089894153, 529173.5649999330053106 178389.90299995310488157, 529158.20399989595171064 178367.85300000000279397, 529074.00000011699739844 178427.99999997793929651, 529058.29599992255680263 178440.40399986124248244, 529013.27199990686494857 178472.80199986736988649, 529016.57100008113775402 178502.79899989225668833, 528961.37500000663567334 178538.77299988217419013, 529030.19000011845491827 178671.2209999650658574, 529086.14999997685663402 178664.00000007930793799, 529109.8909999537281692 178701.76799990181461908, 529090.0340000904398039 178726.28400004716240801, 529035.99999992037191987 178793.00000004694447853, 529029.91900000965688378 178750.07000001936103217, 528984.88399988925084472 178747.85600013699149713, 528965.20599987066816539 178804.94000002191751264, 529021.70399995951447636 178909.14100005399086513, 529130.90699987101834267 178927.83999999996740371, 529156.37599989259615541 178889.4949999324453529, 529220.32400011096615344 178838.64299989270512015)))</t>
  </si>
  <si>
    <t>E01004749</t>
  </si>
  <si>
    <t>Westminster 022B</t>
  </si>
  <si>
    <t>MultiPolygon (((528984.88400002394337207 178747.8560001683072187, 528904.27500017057172954 178661.58300015851273201, 528864.98900007829070091 178668.31799979109200649, 528847.84400000260211527 178643.08700013687484898, 528874.13000021560583264 178619.49899997492320836, 528841.27699993783608079 178627.55599992565112188, 528818.83799994399305433 178614.73900002188747749, 528871.99999989347998053 178577.00000011519296095, 528788.15800017537549138 178591.46800008579157293, 528745.99900018470361829 178532.99999980270513333, 528828.65299983497243375 178471.93199981161160395, 528795.00000012770760804 178454.00000012424425222, 528824.00000020186416805 178383.0000000967993401, 528836.25300021772272885 178347.25699981561047025, 528757.99499982036650181 178323.9970000000030268, 528735.80299993499647826 178348.31799991260049865, 528655.94699992961250246 178414.86700008466141298, 528645.1899997842265293 178421.97599979641381651, 528553.05999981693457812 178497.97000006755115464, 528612.86799992551095784 178584.60000005149049684, 528674.37599982600659132 178692.56600004030042328, 528504.87500000617001206 178775.21899984197807498, 528623.63300019910093397 178934.29500015004305169, 528625.16199998476076871 178936.8059999382821843, 528638.97899984486866742 178959.4959998814156279, 528747.9100001776823774 179146.07099981082137674, 528773.00000019464641809 179216.71900000001187436, 528876.13499981793574989 179162.46800017441273667, 529010.24899992847349495 179151.81400006156763993, 529029.93800015386659652 179150.25000021726009436, 529068.44600016495678574 179035.24000005188281648, 529130.90699999395292252 178927.84000009461306036, 529021.70400021213572472 178909.14100000014877878, 528965.20599991909693927 178804.94000014392076991, 528984.88400002394337207 178747.8560001683072187)))</t>
  </si>
  <si>
    <t>E01004750</t>
  </si>
  <si>
    <t>Westminster 023E</t>
  </si>
  <si>
    <t>E02000982</t>
  </si>
  <si>
    <t>Westminster 023</t>
  </si>
  <si>
    <t>MultiPolygon (((529109.89100012893322855 178701.76800009014550596, 529086.15000009525101632 178664.00000009525683708, 529030.18999993137549609 178671.2209999558981508, 528961.37500006530899554 178538.77300011599436402, 529016.5709999124519527 178502.79900001417263411, 529013.27199993981048465 178472.80199996713781729, 529058.29599995992612094 178440.40400004084222019, 529073.99999997904524207 178428.00000000672298484, 529015.41999991342891008 178355.55999989627161995, 528971.64800006744917482 178362.99399997413274832, 528947.00000009790528566 178381.99899999075569212, 528900.78999991423916072 178318.21300000482005998, 528886.75999991584103554 178298.56200005699065514, 528854.56100003339815885 178254.92499999998835847, 528788.07399994938168675 178301.71799987246049568, 528757.9949999627424404 178323.99700009013758972, 528836.25300004158634692 178347.25700008423882537, 528823.99999999476131052 178383.00000001493026502, 528794.99999992235098034 178454.00000004383036867, 528828.65300005977042019 178471.93199995151371695, 528745.99899987096432596 178532.99999989790376276, 528788.15799991379026324 178591.46799992129672319, 528872.0000000218860805 178576.99999987793853506, 528818.83800008136313409 178614.73900005166069604, 528841.27700012875720859 178627.5560000901168678, 528874.13000004156492651 178619.49900009695556946, 528847.84399995906278491 178643.08700011856853962, 528864.98900007223710418 178668.31800004601245746, 528904.27500003867316991 178661.58300001782481559, 528984.88399991544429213 178747.85600010765483603, 529029.91900007182266563 178750.07000009177136235, 529036.00000006973277777 178793, 529090.03400005062576383 178726.28400003875140101, 529109.89100012893322855 178701.76800009014550596)))</t>
  </si>
  <si>
    <t>E01004751</t>
  </si>
  <si>
    <t>Westminster 022C</t>
  </si>
  <si>
    <t>MultiPolygon (((529235.75000007124617696 178519.04999999998835847, 529251.30800003639888018 178500.54100007467786781, 529261.00000004714820534 178505.99900004951632582, 529274.58800006483215839 178485.17699995983275585, 529329.05199999385513365 178444.03999998141080141, 529310.91700006311293691 178415.33700003253761679, 529298.64300005650147796 178395.90899996546795592, 529243.10399992379825562 178308.87700001592747867, 529328.47699998039752245 178246.59500000992557034, 529342.00000007741618901 178218.68699998781085014, 529272.5659999914932996 178203.52100000000791624, 529208.39899992197751999 178259.71199995014467277, 529177.00100004975683987 178215.99999998669954948, 529127.20099992246832699 178252.16300002028583549, 529162.17400000209454447 178328.31600005502696149, 529158.20399992528837174 178367.8529999615275301, 529173.56499999039806426 178389.90299995138775557, 529156.99000004690606147 178409.88300001883180812, 529211.90000005974434316 178493.06800003739772364, 529235.75000007124617696 178519.04999999998835847)))</t>
  </si>
  <si>
    <t>E01004752</t>
  </si>
  <si>
    <t>Westminster 022D</t>
  </si>
  <si>
    <t>MultiPolygon (((525967.95600007323082536 178742.40199993160786107, 525998.88799999991897494 178673.56500008961302228, 525959.50399997842032462 178651.69999999954598024, 525954.61199994466733187 178705.91499996726633981, 525915.16400005726609379 178715.20899995137006044, 525893.08899993146769702 178693.43599998575518839, 525932.19699994241818786 178612.25699993164744228, 525940.67000000458210707 178593.98900001784204505, 525958.0510000215144828 178557.03100000967970118, 525988.72900005022529513 178487.78899991748039611, 525942.01699997973628342 178464.80800003666081466, 525929.18000004615169019 178458.49099994206335396, 525897.31299996050074697 178442.81199996059876867, 525854.64299996057525277 178520.80299994428060018, 525821.76799999363720417 178503.97299998477683403, 525772.01599995046854019 178477.49499994472716935, 525752.38700002292171121 178466.99300004541873932, 525708.34299993445165455 178442.23700004420243204, 525675.03800007584504783 178423.89000008068978786, 525636.18799999996554106 178477.0779999463702552, 525694.59699999145232141 178535.2249999659252353, 525733.71000000322237611 178574.45200003337231465, 525723.21199995954521 178627.68399994279025123, 525765.34600008593406528 178666.96600001960177906, 525768.97800008684862405 178661.98499993450241163, 525862.30200002936180681 178749.02799993366352282, 525913.99599996756296605 178766.39899994886945933, 525957.783000084804371 178774.75899991928599775, 525967.95600007323082536 178742.40199993160786107)))</t>
  </si>
  <si>
    <t>E01002834</t>
  </si>
  <si>
    <t>Kensington and Chelsea 013B</t>
  </si>
  <si>
    <t>MultiPolygon (((525499.77400000276975334 178378.67600002902327105, 525443.58399990363977849 178283.32000008909380995, 525456.61100005533080548 178276.03600004676263779, 525487.21200004417914897 178314.68899990036152303, 525526.61300000571645796 178231.69000008911825716, 525566.86800000013317913 178169.14800006547011435, 525513.99499988765455782 178135.00900000895489939, 525412.3359999229433015 178071.06999991412158124, 525351.68799994641449302 178034.01599988460657187, 525320.06299995467998087 178014.65599989672773518, 525159.72599993424955755 178152.50300002942094579, 525138.53500007861293852 178191.730000078008743, 525087.43099999998230487 178254.04700007784413174, 525140.07499990600626916 178323.70900008809985593, 525228.00000010442454368 178326.00000010049552657, 525330.01699999195989221 178376.574000074993819, 525366.95300002815201879 178346.15700009604915977, 525397.13499988638795912 178383.03100005854503252, 525401.71099999686703086 178321.81199996400391683, 525478.14200009079650044 178396.22500010326621123, 525499.77400000276975334 178378.67600002902327105)))</t>
  </si>
  <si>
    <t>E01002846</t>
  </si>
  <si>
    <t>Kensington and Chelsea 017A</t>
  </si>
  <si>
    <t>E02000593</t>
  </si>
  <si>
    <t>Kensington and Chelsea 017</t>
  </si>
  <si>
    <t>MultiPolygon (((525345.00000007054768503 178651.00000010058283806, 525370.00700001325458288 178622.04499997000675648, 525302.59800002060364932 178572.60300007482874207, 525371.48299999430309981 178489.0520000925171189, 525364.52400007843971252 178521.42200003820471466, 525397.51399992266669869 178504.04100003489293158, 525429.24200003047008067 178551.57400009469711222, 525457.89199991291388869 178502.90699990466237068, 525483.13300002471078187 178526.36900002611218952, 525557.0600000194972381 178550.25599994254298508, 525551.27300006791483611 178488.30599993059877306, 525588.10700000007636845 178438.92000000312691554, 525553.14200005435850471 178412.03800002939533442, 525516.59199999063275754 178434.8510000370151829, 525545.00100009993184358 178405.23299991266685538, 525499.77399991068523377 178378.67600011161994189, 525478.14199993421789259 178396.22500001807929948, 525401.71099994296673685 178321.8119999994232785, 525397.1350000211969018 178383.03099996081436984, 525366.95299996598623693 178346.15699995579780079, 525330.01699994865339249 178376.57399996346794069, 525227.99999997264239937 178325.99999995291000232, 525140.07499999995343387 178323.70899996973457746, 525144.43300009553786367 178368.89200005636666901, 525288.65199998090974987 178402.42200010133092292, 525177.22000000078696758 178457.97300009848549962, 525198.4390000473940745 178482.67199999475269578, 525238.12000005808658898 178491.16300008344114758, 525271.61500006727874279 178469.49200004144222476, 525294.00000003364402801 178499.00000002118758857, 525203.99999988928902894 178566.99999992112861946, 525230.00000003550667316 178582.99999997662962414, 525213.87699996295850724 178609.87200010012020357, 525190.99999992817174643 178648.00000000617001206, 525224.21799989696592093 178668.47299989085877314, 525238.08600002969615161 178635.52499991038348526, 525317.88299992028623819 178682.70000000056461431, 525345.00000007054768503 178651.00000010058283806)))</t>
  </si>
  <si>
    <t>E01002847</t>
  </si>
  <si>
    <t>Kensington and Chelsea 015B</t>
  </si>
  <si>
    <t>MultiPolygon (((525107.72799991921056062 178676.67300000000977889, 525175.77900007809512317 178594.16100008229841478, 525213.87699994363356382 178609.8719999160093721, 525229.99999990314245224 178583.00000000579166226, 525203.99999999243300408 178567.00000006073969416, 525293.99999989464413375 178499.00000008306233212, 525271.614999940386042 178469.49200003271107562, 525238.12000009079929441 178491.1629999854194466, 525198.43900002352893353 178482.67200009941007011, 525177.22000005701556802 178457.97300002229167148, 525288.65200004866346717 178402.42199997889110819, 525144.43299997644498944 178368.89199993453803472, 525140.07500005629844964 178323.70899996711523272, 525087.43099998903926462 178254.04699999996228144, 524894.18800010543782264 178502.8279999511432834, 524930.37499994202516973 178524.85899991527548991, 524985.6829999671317637 178575.58700007657171227, 525029.34299994597677141 178626.65699997404590249, 525107.72799991921056062 178676.67300000000977889)))</t>
  </si>
  <si>
    <t>E01002848</t>
  </si>
  <si>
    <t>Kensington and Chelsea 015C</t>
  </si>
  <si>
    <t>MultiPolygon (((525733.70999999705236405 178574.4520000595075544, 525694.59700002672616392 178535.22499996691476554, 525636.18799993710126728 178477.07800001502619125, 525675.0379999183351174 178423.89000006191781722, 525710.093999880598858 178346.17200005394988693, 525744.89100000134203583 178279.81699995903181843, 525729.39300004870165139 178269.94399995109415613, 525602.71499990799929947 178192.35500006191432476, 525591.80199989164248109 178185.28999995318008587, 525566.86800002842210233 178169.14799999998649582, 525526.61300012248102576 178231.68999993184115738, 525487.21199992147739977 178314.68900006252806634, 525456.610999925294891 178276.03599998648860492, 525443.58399999875109643 178283.31999994596117176, 525499.77399995492305607 178378.6759999098139815, 525545.00099990610033274 178405.23299994433182292, 525516.59200009913183749 178434.85100011675967835, 525553.14200011396314949 178412.03800011277780868, 525588.1069999982137233 178438.92000007262686267, 525551.27299990016035736 178488.30599995906231925, 525557.0600000056438148 178550.25600007636239752, 525630.47300001292023808 178535.95099989909795113, 525620.62800004810560495 178586.0599999162950553, 525662.65199994342401624 178623.07500007172347978, 525710.29699988348875195 178663.87900000001536682, 525723.21199988527223468 178627.68399990355828777, 525733.70999999705236405 178574.4520000595075544)))</t>
  </si>
  <si>
    <t>E01002849</t>
  </si>
  <si>
    <t>Kensington and Chelsea 017B</t>
  </si>
  <si>
    <t>MultiPolygon (((525889.03399992105551064 178046.18200013195746578, 525937.00000004540197551 177977.00000001484295353, 525923.6250001264270395 177900.8040000032633543, 525953.18900003633461893 177882.17399992007995024, 525965.16900008241645992 177851.64599992652074434, 526002.24799994204659015 177829.16800000873627141, 526030.99999987648334354 177854.00000001091393642, 526084 177792.00000001609441824, 526054.33900004415772855 177760.70800011212122627, 525992.10900005558505654 177747.70199992271955125, 525937.02299986861180514 177757.4739999110752251, 525959.42800006666220725 177779.58199988992419094, 525926.15599997364915907 177811.65999990541604348, 525906.17699995764996856 177787.57800011278595775, 525866.16999994474463165 177816.49400002486072481, 525850.20499986608047038 177806.56400014035170898, 525837.45099987159483135 177784.93800005654338747, 525799.41199988464359194 177816.38399990016478114, 525766.00000014016404748 177869.00000009019277059, 525595.96799998148344457 177756.57700005281367339, 525522.68000004696659744 177861.64200012074434198, 525496.67799999983981252 177893.33700011851033196, 525701.91700012260116637 178024.91599994903663173, 525721.32500011066440493 178001.97999987512594089, 525745.49600003624800593 178025.3789999773434829, 525720.82599988661240786 178093.29400000363239087, 525756.27999987977091223 178093.92199992534006014, 525828.00000013504177332 178137.00000007727066986, 525889.03399992105551064 178046.18200013195746578)))</t>
  </si>
  <si>
    <t>E01002893</t>
  </si>
  <si>
    <t>Kensington and Chelsea 017C</t>
  </si>
  <si>
    <t>MultiPolygon (((525708.34299990278668702 178442.2370000000228174, 525739.66499998851213604 178358.8899999312707223, 525765.00000012014061213 178367.99999991824734025, 525799.57099995936732739 178340.71400005571194924, 525808.49799997976515442 178254.01399987607146613, 525842.00000005308538675 178205.99999991685035639, 525878.43299987935461104 178220.12800006632460281, 525885.77099999331403524 178181.06300003951764666, 525828.00000009022187442 178137.00000011955853552, 525756.27999989548698068 178093.92199987734784372, 525720.82599999546073377 178093.29400009397068061, 525745.49600009259302169 178025.3789999486762099, 525721.32500004535540938 178001.98000003205379471, 525701.91699988325126469 178024.91600005415966734, 525496.67800013395026326 177893.33699999999953434, 525405.68099997669924051 177987.57499996767728589, 525401.76800001005176455 177990.80299990490311757, 525351.68800000648479909 178034.0159999065217562, 525412.33599997835699469 178071.06999994340003468, 525513.99500005238223821 178135.0090001244971063, 525566.86800003657117486 178169.14800002006813884, 525591.80199990095570683 178185.28999989791191183, 525602.71499998634681106 178192.35499993120902218, 525729.39300010865554214 178269.94400002807378769, 525744.89100004255305976 178279.81700010676286183, 525710.09399995964486152 178346.1720001048524864, 525675.0380000394070521 178423.88999993519973941, 525708.34299990278668702 178442.2370000000228174)))</t>
  </si>
  <si>
    <t>E01002894</t>
  </si>
  <si>
    <t>Kensington and Chelsea 017D</t>
  </si>
  <si>
    <t>MultiPolygon (((526219.52999994077254087 178138.63900001783622429, 526239.08399995905347168 178087.11300005871453322, 526094.27199989266227931 177974.21599986508954316, 526281.48400013067293912 177794.48599995084805414, 526245.43800004699733108 177760.85600006705499254, 526233.90299988305196166 177750.10500009838142432, 526170.28000010689720511 177691.018999999971129, 526126.00000000488944352 177743.00000013198587112, 526095.3230001290794462 177709.76599988804082386, 526054.33899998175911605 177760.70800007547950372, 526084.00000012549571693 177792.00000013003591448, 526030.99999998032581061 177853.99999991231015883, 526002.24800008861348033 177829.16799988719867542, 525965.16900006763171405 177851.64599997145705856, 525953.18900011270307004 177882.17400003955117427, 525923.62499989964999259 177900.80400006554555148, 525937.00000013131648302 177977.00000013405224308, 525889.03399988682940602 178046.18199988210108131, 525827.99999986949842423 178136.99999991242657416, 525885.77099997154437006 178181.0629999405646231, 525930.00000001268927008 178136.99999991242657416, 525975.372000030009076 178170.9979998652706854, 526009.9999999018618837 178196.99999989874777384, 525975.06200012261979282 178246.16399999998975545, 526056.62400011788122356 178236.25700002070516348, 526126.41500003752298653 178142.56899998890003189, 526219.52999994077254087 178138.63900001783622429)))</t>
  </si>
  <si>
    <t>E01002896</t>
  </si>
  <si>
    <t>Kensington and Chelsea 020C</t>
  </si>
  <si>
    <t>E02000596</t>
  </si>
  <si>
    <t>Kensington and Chelsea 020</t>
  </si>
  <si>
    <t>MultiPolygon (((525799.41200003144331276 177816.38399997443775646, 525837.45099999173544347 177784.93800012092106044, 525850.20500013441778719 177806.56399989378405735, 525866.16999991878401488 177816.4939999618800357, 525906.17699997825548053 177787.578000106906984, 525926.1559998580487445 177811.66000006432295777, 525959.42800002021249384 177779.58200000616488978, 525937.02300000458490103 177757.47399998546461575, 525992.1090001113479957 177747.7020000402990263, 526054.33900013926904649 177760.70799996113055386, 526095.32299995946232229 177709.76600006563239731, 526126.00000006519258022 177743.0000000128056854, 526170.28000000002793968 177691.01899993041297421, 526124.32100008171983063 177640.43799992327694781, 526092.65200004749931395 177605.60900001446134411, 526047.62700000172480941 177557.37199987570056692, 526027.86899997398722917 177532.85400005156407133, 525934.18600009067449719 177370.14099989793612622, 525904.76699998241383582 177333.70700010698055848, 525734.70399993634782732 177560.03199998993659392, 525723.68799999728798866 177575.04699985648039728, 525705.91900007426738739 177600.85399989120196551, 525639.8949999256292358 177687.19399988380610012, 525595.96800000010989606 177756.5769998763280455, 525766.00000012025702745 177868.99999989301431924, 525799.41200003144331276 177816.38399997443775646)))</t>
  </si>
  <si>
    <t>E01002897</t>
  </si>
  <si>
    <t>Kensington and Chelsea 020D</t>
  </si>
  <si>
    <t>MultiPolygon (((525854.64299991622101516 178520.80300009081838652, 525897.31299988366663456 178442.81199996231589466, 525929.17999989469535649 178458.4909999092342332, 525942.01700009021442384 178464.80799997298163362, 525988.72899994917679578 178487.78899987740442157, 526033.14500007405877113 178417.07400002001668327, 526153.07199985755141824 178446.65100008610170335, 526238.64200011175125837 178428.88499996205791831, 526261.92599987075664103 178387.39900009706616402, 526308.56200000003445894 178310.79700006861821748, 526271.79100008204113692 178294.31800002823001705, 526241.55400010396260768 178360.31999986825394444, 526210.27399986959062517 178353.29600004374515265, 526235.12199988041538745 178287.58199998526833951, 526202.9250000633765012 178262.87299989091116004, 526244.9999999349238351 178160.00000004621688277, 526240.85199986735824496 178156.54300000157672912, 526219.52999987697694451 178138.63899992592632771, 526126.41500010271556675 178142.56899985251948237, 526056.62399988214019686 178236.25699989552958868, 525975.06200011435430497 178246.16400013121892698, 526009.99999993143137544 178197.00000001868465915, 525975.37200002302415669 178170.99800005153520033, 525929.99999988544732332 178136.99999990919604897, 525885.77100009087007493 178181.06300013614236377, 525878.43299989798106253 178220.12799985852325335, 525842.00000010512303561 178206.00000002008164302, 525808.49799993669148535 178254.01400003576418385, 525799.57100007066037506 178340.71399988932535052, 525764.99999995960388333 178368.00000004551839083, 525739.66499995859339833 178358.89000000874511898, 525708.34299999999348074 178442.23700006393482909, 525752.38699999439995736 178466.99300000700168312, 525772.01600006525404751 178477.49500003838329576, 525821.76799991948064417 178503.97300008215825073, 525854.64299991622101516 178520.80300009081838652)))</t>
  </si>
  <si>
    <t>E01002898</t>
  </si>
  <si>
    <t>Kensington and Chelsea 017E</t>
  </si>
  <si>
    <t>MultiPolygon (((526588.94100006576627493 177755.60600012136274017, 526640.2060001326026395 177696.62299986183643341, 526568.93700010702013969 177647.97499993481324054, 526535.0000001274747774 177702.00000014816760086, 526526.97199988772626966 177654.19099996006116271, 526443.44299989833962172 177628.57399985077790916, 526415.40099992044270039 177584.12200006618513726, 526374.32100005238316953 177590.00600009149638936, 526353.21399998187553138 177573.97900000493973494, 526326.49100010830443352 177619.79799996168003418, 526323.37100007873959839 177585.18500012159347534, 526303.96499994851183146 177593.67499999754363671, 526240.43499987164977938 177683.47799985954770818, 526201.31900011992547661 177674.18300005813944153, 526259.14299987570848316 177588.55499995703576133, 526235.74899989704135805 177562.52300008240854368, 526181.47500007459893823 177616.48300000844756141, 526156.69100008672103286 177584.04600011519505642, 526150.58500013872981071 177569.32000002934364602, 526117.7910000147530809 177567.89799997498630546, 526058.92400007543619722 177531.46100005984771997, 526114.92799991823267192 177506.28199986572144553, 526134.07599991851020604 177442.38599997543497011, 526201.28599987784400582 177384.6369999737944454, 526155.49200015200767666 177375.3030000000144355, 526027.86899986735079437 177532.85400003415998071, 526047.62699986936058849 177557.37199988082284108, 526092.6519998770672828 177605.60899989173049107, 526124.32099993631709367 177640.43800003701471724, 526170.27999993448611349 177691.01899991938262247, 526233.90299986908212304 177750.10500012896955013, 526245.43800002045463771 177760.8560001109726727, 526281.48399989143945277 177794.48600000870646909, 526301.7249999112682417 177813.29399999772431329, 526351.10399989364668727 177858.89600007788976654, 526383.66500011854805052 177889.34999986691400409, 526492.14000009011942893 178000.81699999998090789, 526502.19299994595348835 177953.68800014714361168, 526474.86899996607098728 177937.80299987026955932, 526550.81299998983740807 177900.23700004108832218, 526516.46000004792585969 177878.39800003095297143, 526547.90099994139745831 177857.36399994627572596, 526591.50800005672499537 177801.94300010625738651, 526566.00000014062970877 177781.99999996012775227, 526588.94100006576627493 177755.60600012136274017)))</t>
  </si>
  <si>
    <t>E01002912</t>
  </si>
  <si>
    <t>Kensington and Chelsea 020E</t>
  </si>
  <si>
    <t>MultiPolygon (((526303.96500005770940334 177593.67499997702543624, 526323.37100011797156185 177585.18500006094109267, 526326.49099986348301172 177619.79799988496233709, 526353.2140000268118456 177573.97899994044564664, 526374.3209999178070575 177590.00599994158255868, 526442.48899989551864564 177488.91699994105147198, 526496.70800006773788482 177521.85099987155990675, 526513.20600000000558794 177498.1909999757190235, 526459.01100000843871385 177463.44399998008157127, 526369.89800006558652967 177423.91299988786340691, 526314.49999995913822204 177399.96900013685808517, 526188.00099990121088922 177333.2810000384633895, 526166.56899988453369588 177320.36699999641859904, 526084.98799987509846687 177266.83800007219542749, 526027.49999993911478668 177216.06200013644411229, 525924.57100008858833462 177310.45900013513164595, 525904.76699999999254942 177333.70700012540328316, 525934.18600006506312639 177370.14100007474189624, 526027.86899993941187859 177532.85400009987642989, 526155.4920000882120803 177375.30299989713239484, 526201.28599988261703402 177384.63699992693727836, 526134.07599988766014576 177442.38600011542439461, 526114.92799986724276096 177506.28199989392305724, 526058.92399999278131872 177531.4610000005341135, 526117.79100015095900744 177567.89799985833815299, 526150.58500009286217391 177569.319999985746108, 526156.6910000208299607 177584.04600012340233661, 526181.47500000754371285 177616.4830000031797681, 526235.74900002311915159 177562.5230001445452217, 526259.14300012320745736 177588.55500009033130482, 526201.31900009291712195 177674.18299986104830168, 526240.43500006687827408 177683.47799986359314062, 526303.96500005770940334 177593.67499997702543624)))</t>
  </si>
  <si>
    <t>E01002913</t>
  </si>
  <si>
    <t>Kensington and Chelsea 021E</t>
  </si>
  <si>
    <t>MultiPolygon (((530676.00000010570511222 178445.99999993227538653, 530728.73700011533219367 178429.22399988610413857, 530756.87799988291226327 178513.80799983267206699, 530791.40800004929769784 178443.73000005565700121, 530748.00000010663643479 178422.00000018734135665, 530724.28199998114723712 178329.70800004320335574, 530804.78699992469046265 178325.12099984270753339, 530865.89699981058947742 178327.55000016489066184, 530921.39900013722945005 178310.66500003490364179, 530908.92600009066518396 178289.87600001887767576, 530900.00000015099067241 178274.99999993017991073, 530910.67900002643000335 178190.80700007002451457, 530964.69999981136061251 178176.90100002815597691, 531010.37400000006891787 178177.78700017201481387, 531006.6529998752521351 178131.99999988588388078, 530873.32000009110197425 178113.57400015887105837, 530853.06900018325541168 178109.13100006562308408, 530797.88600008084904402 178094.43999993649777025, 530752.35599999944679439 178082.88800005722441711, 530537.48500010615680367 178033.33400006426381879, 530364.43800012487918139 178043.7510000052570831, 530288.22199994185939431 178078.04999986392795108, 530259.84800005133729428 178099.05300003400770947, 530244.30799999996088445 178108.40900009710458107, 530297.30000001599546522 178209.70000014218385331, 530333.90000014414545149 178210.09999997194972821, 530478.70000018842983991 178727.69999993572128005, 530486.11299986043013632 178725.72599991780589335, 530540.0000001466833055 178711.00000014831312001, 530593.0000001898733899 178695.00000006298068911, 530696.00100012007169425 178651.00000001990702003, 530636.28199989499989897 178517.94800013914937153, 530615.00000001990702003 178462.99999997502891347, 530676.00000010570511222 178445.99999993227538653)))</t>
  </si>
  <si>
    <t>E01003109</t>
  </si>
  <si>
    <t>Lambeth 003E</t>
  </si>
  <si>
    <t>E02000620</t>
  </si>
  <si>
    <t>Lambeth 003</t>
  </si>
  <si>
    <t>E09000022</t>
  </si>
  <si>
    <t>Lambeth</t>
  </si>
  <si>
    <t>MultiPolygon (((530617.93800013186410069 178967.85899990805773996, 530635.00000006007030606 178904.46000014775199816, 530828.9409998613409698 178864.19700001459568739, 530869.68500005290843546 178937.56400008176569827, 530936.06899999501183629 178901.64100011572008952, 530956.87500013806857169 178925.84999996708938852, 531028.20600014692172408 178871.27399985623196699, 531089.96099999989382923 178822.20000004395842552, 531021.32799999136477709 178718.11899998973240145, 530883.297000108868815 178654.99899992143036798, 530861.41800004721153527 178598.38700005781720392, 530914.2019999036565423 178602.80300013881060295, 530879.33400005358271301 178550.50100005805143155, 530872.12299988116137683 178540.20400013186736032, 530868.99999988789204508 178541.99999986693728715, 530817.18299995746929199 178574.6679998605104629, 530752.19099993456620723 178617.64700010218075477, 530725.36400008876807988 178514.57800009197671898, 530636.28199989476706833 178517.94799995835637674, 530696.00099999504163861 178650.99999995520920493, 530593.00000002037268132 178695.00000014225952327, 530540.00000008684583008 178711.00000009915675037, 530486.11299992736894637 178725.72600009964662604, 530478.69999999995343387 178727.69999995481339283, 530500.08500000985804945 178858.69099992964765988, 530513.69299997377675027 178942.55800000674207695, 530540.18800013128202409 178905.78099996244418435, 530575.33099988696631044 178930.54800011473707855, 530617.93800013186410069 178967.85899990805773996)))</t>
  </si>
  <si>
    <t>E01003112</t>
  </si>
  <si>
    <t>Lambeth 002E</t>
  </si>
  <si>
    <t>E02000619</t>
  </si>
  <si>
    <t>Lambeth 002</t>
  </si>
  <si>
    <t>MultiPolygon (((530949.54200020094867796 179644.86299975385190919, 530978.2039999176049605 179566.23800024372758344, 531023.25700022384990007 179590.59299992202431895, 531062.07099969510454684 179568.94200023837038316, 531158.50499972177203745 179532.18799982807831839, 531116.00000000151339918 179461.00000020087463781, 531066.46799988055136055 179427.52099983501830138, 531105.00000013806857169 179402.99999976661638357, 531052.99999993294477463 179330.99999968835618347, 530974.27799998968839645 179377.02999993585399352, 530941.00000010814983398 179393.99999975683749653, 530920.64099987829104066 179269.90399994025938213, 530807.8320002977270633 179315.31799973038141616, 530825.80900033167563379 179371.81100032234098762, 530783.81200009048916399 179420.62299993471242487, 530636.99900006561074406 179284.99999971257057041, 530597.44999995001126081 179194.72000019645201974, 530659.15199984214268625 179194.61399968172190711, 530735.50300013460218906 179028.93500003329245374, 530821.00000020046718419 179040.00000026283669285, 530812.35500028834212571 179013.40400032955221832, 530891.9999996836995706 179024.00000009697396308, 530869.68499977595638484 178937.56400021145236678, 530828.94099997170269489 178864.1969999999855645, 530634.99999977555125952 178904.45999990167911164, 530617.93800001207273453 178967.85900024365400895, 530575.33100003597792238 178930.54799968769657426, 530540.18800018739420921 178905.78100006360909902, 530513.69300027808640152 178942.55799979134462774, 530588.03099970822222531 179662.1700001775752753, 530589.01900019450113177 179671.91600004059728235, 530597.33800004899967462 179737.81100027481443249, 530627.89999982714653015 180023.69999972876394168, 530685.19499988877214491 180200.51199999998789281, 530723.99999994644895196 180087.99999976897379383, 530793.00000024423934519 180057.00000003221794032, 530747.84599991387221962 179903.70599987535388209, 530839.00000022002495825 179872.0000002023007255, 530831.00000013702083379 179838.99899971191189252, 531015.99999996705446392 179663.00000012354576029, 530949.54200020094867796 179644.86299975385190919)))</t>
  </si>
  <si>
    <t>E01003013</t>
  </si>
  <si>
    <t>Lambeth 036A</t>
  </si>
  <si>
    <t>E02006801</t>
  </si>
  <si>
    <t>Lambeth 036</t>
  </si>
  <si>
    <t>MultiPolygon (((531323.20300006400793791 179409.2120001069852151, 531283.15700015239417553 179272.65799989909282885, 531273.99900004081428051 179230.10900003951974213, 531195.2950000879354775 179191.12599985772976652, 531231.75500003935303539 179086.65499988343799487, 531232.5870001824805513 179078.89399996298016049, 531132.98600011772941798 179086.17399986114469357, 531128.95400004915427417 179056.69700006282073446, 531110.99999990884680301 179084.00000011033262126, 531076.99999987834598869 179146.9999999733408913, 530970.65100007771980017 179102.62899991750600748, 530884.23499992908909917 179066.70600000544800423, 530821.00000003585591912 179040.00000007089693099, 530735.50299990479834378 179028.93499991684802808, 530659.15200010279659182 179194.6139999815786723, 530597.44999999995343387 179194.71999993099598214, 530636.99900005024392158 179285.00000009703217074, 530783.81199986243154854 179420.62300011780462228, 530825.80900005123112351 179371.81099982719752006, 530807.83200016641058028 179315.31799997214693576, 530920.64099989167880267 179269.90400008196593262, 530941.00000014342367649 179394.00000000128056854, 530974.27800003660377115 179377.02999982936307788, 531052.99999985692556947 179331.0000001382722985, 531104.99999990349169821 179402.99999981588916853, 531066.4680000941734761 179427.52100003769737668, 531116.00000010675285012 179460.99999986786860973, 531159.03499986580573022 179434.73500016450998373, 531269.99999985797330737 179396.0000000030559022, 531285.00099988549482077 179454.99999986248440109, 531258.47399996407330036 179469.52900018834043294, 531293.41699996427632868 179580.58300008319201879, 531371.30499999993480742 179554.25700009867432527, 531357.91300006222445518 179516.62899990167352371, 531323.20300006400793791 179409.2120001069852151)))</t>
  </si>
  <si>
    <t>E01003014</t>
  </si>
  <si>
    <t>Lambeth 036B</t>
  </si>
  <si>
    <t>MultiPolygon (((531110.99999991385266185 179084.00000004033790901, 531128.95400008873548359 179056.69699991375091486, 531132.98600009188521653 179086.17399997854954563, 531232.58700000634416938 179078.89400006213691086, 531239.26400001463480294 179016.27900005810079165, 531239.76399991998914629 178995.29999998441780917, 531241.33400000003166497 178904.83300003674230538, 531239.73900009621866047 178826.43200009581050836, 531237.98400003404822201 178734.5490000972058624, 531134.81200003938283771 178786.73000008048256859, 531089.96100004890467972 178822.20000000178697519, 531028.2059999848715961 178871.27400010690325871, 530956.87499994004610926 178925.84999992820667103, 530936.06900001899339259 178901.64099990014801733, 530869.68499995849560946 178937.56399992955266498, 530892.00000000384170562 179024.00000003853347152, 530812.35499999998137355 179013.40399995926418342, 530820.99999994097743183 179040.0000000104191713, 530884.23500007635448128 179066.70599992922507226, 530970.65099989739246666 179102.62899995860061608, 531076.9999999200226739 179146.99999990279320627, 531110.99999991385266185 179084.00000004033790901)))</t>
  </si>
  <si>
    <t>E01003015</t>
  </si>
  <si>
    <t>Lambeth 002A</t>
  </si>
  <si>
    <t>MultiPolygon (((531335.51099993544630706 180529.46099990894435905, 531343.15700010908767581 180471.95700011911685579, 531345.89400010684039444 180451.38099992141360417, 531391.19599999999627471 180362.08400008993339725, 531344.00000000395812094 180333.00000003052991815, 531380.00000002945307642 180276.99999992951052263, 531285.00099991785828024 180221.00000010506482795, 531260.25400007248390466 180278.44099999824538827, 531173.0000000906875357 180223.00000002965680324, 531202.92799994675442576 180160.28800011536804959, 531168.99999996484257281 180122.99999992828816175, 531194.99899991240818053 180062.9999999781139195, 531124.00000000221189111 180038.0000000910658855, 530971.99300006008706987 180072.42700001399498433, 530982.00000010174699128 180115.99999991565709934, 530961.00000006379559636 180093.99999991548247635, 530838 180150.9999999787833076, 530948.9999999632127583 180258.0000000927830115, 530862.66099999530706555 180402.93699998353258707, 531160.0999998856568709 180515.40000006716581993, 531205.50000010977964848 180488.59999997139675543, 531335.51099993544630706 180529.46099990894435905)))</t>
  </si>
  <si>
    <t>E01003016</t>
  </si>
  <si>
    <t>Lambeth 036C</t>
  </si>
  <si>
    <t>MultiPolygon (((531475.65500006708316505 180286.18499995954334736, 531513.56299999193288386 180158.17199993089889176, 531511.05499995173886418 180065.49600011613802053, 531525.6880001244135201 179970.29699987996718846, 531475.61400012811645865 179941.40699999069329351, 531456.02600004675332457 179930.10500009276438504, 531313.00000011525116861 179849.00000011853990145, 531287.9990000668913126 179835.00000003952300176, 531277.99999991757795215 179828, 531123.99999987566843629 180038.0000000822765287, 531194.9990000146208331 180063.0000001052103471, 531168.99999997206032276 180123.00000004991306923, 531202.92799994931556284 180160.28799993576831184, 531172.99999987648334354 180222.99999986583134159, 531260.2540000471053645 180278.44100003875792027, 531285.00099998258519918 180221.00000005154288374, 531380.00000009941868484 180277.00000009188079275, 531344.00000013259705156 180333.00000013218959793, 531391.19600006099790335 180362.08399998827371746, 531447.93799993174616247 180379.58600000001024455, 531473.27700002177152783 180294.15600013436051086, 531475.65500006708316505 180286.18499995954334736)))</t>
  </si>
  <si>
    <t>E01003017</t>
  </si>
  <si>
    <t>Lambeth 036D</t>
  </si>
  <si>
    <t>MultiPolygon (((531626.67500005394686013 180538.98299998824950308, 531647.18200002308003604 180532.93400011063204147, 531667.62400009157136083 180534.99199987045722082, 531668.00100004451815039 180542.48100001493003219, 531995.90500006638467312 180550.1720000236236956, 531997.02700000000186265 180440.8650000266788993, 531956.15000002551823854 180340.93999998268554918, 531915.99999985052272677 180314.99999986606417224, 531906.99999991920776665 180262.00000012360396795, 531855.00000002200249583 180132.00000005005858839, 531867.99999999639112502 180016.99999997226404957, 531867.99999999639112502 180010.00000006245682016, 531878.03600013523828238 179913.24300014245091006, 531815.16399999300483614 179952.54100012371782213, 531722.10199989518150687 179959.00000001068110578, 531704.6790000869659707 180006.99999986484181136, 531773.99999997881241143 180006.99999986484181136, 531767.99999991431832314 180084.00100007734727114, 531651.00000014575198293 180085.00000004126923159, 531651.00000014575198293 180177.99999988271156326, 531513.56300004676450044 180158.17200011224485934, 531475.65499997627921402 180286.18499994598096237, 531473.27700012037530541 180294.15600016276584938, 531447.93799985863734037 180379.58599987160414457, 531391.19599991280119866 180362.08399983803974465, 531345.89400001056492329 180451.38100014429073781, 531343.15700005216058344 180471.95699987051193602, 531335.511000000173226 180529.4610000966640655, 531544.44299988902639598 180554.58099986377055757, 531566.53500013228040189 180555.40399985754629597, 531626.57700009690597653 180555.04699984859325923, 531621.51600016443990171 180547.18100008193869144, 531625.17499995522666723 180542.29999997609411366, 531626.67500005394686013 180538.98299998824950308)))</t>
  </si>
  <si>
    <t>E01003934</t>
  </si>
  <si>
    <t>Southwark 002C</t>
  </si>
  <si>
    <t>E02000808</t>
  </si>
  <si>
    <t>Southwark 002</t>
  </si>
  <si>
    <t>E09000028</t>
  </si>
  <si>
    <t>Southwark</t>
  </si>
  <si>
    <t>MultiPolygon (((530837.99999982258304954 180151.00000021426239982, 530961.00000009953510016 180093.9999997666454874, 530981.99999999953433871 180115.99999987756018527, 530971.9930001808097586 180072.42699984950013459, 531123.99999975436367095 180038.00000003349850886, 531278.00000002747401595 179828.00000002724118531, 531287.99900023522786796 179834.9999999938881956, 531312.99999986065085977 179848.9999999271822162, 531456.02599994686897844 179930.10499976688879542, 531479.72999976889695972 179883.26699997123796493, 531504.31300021044444293 179841.79699995092232712, 531546.12099978048354387 179876.35600014522788115, 531549.06900017289444804 179832.80900023743743077, 531550.11899984069168568 179809.13400020101107657, 531477.62900004151742905 179740.10199978423770517, 531415.92799992207437754 179660.10399979850626551, 531380.4429998203413561 179577.49400020006578416, 531371.30500022624619305 179554.25700013723690063, 531293.41699997079558671 179580.58299996677669697, 531258.47399982030037791 179469.52900019058142789, 531285.00099988258443773 179454.99999986271723174, 531269.99999984982423484 179396, 531159.03500021423678845 179434.73500003229128197, 531116.00000008021015674 179461.00000012182863429, 531158.50499993120320141 179532.18800017185276374, 531062.07099989696871489 179568.94200017981347628, 531023.25700011884327978 179590.59299995430046692, 530978.20400006044656038 179566.23799975425936282, 530949.54200003610458225 179644.86299985609366558, 531016.00000012514647096 179662.9999999504070729, 530830.9999998559942469 179838.99899994253064506, 530839.00000003364402801 179872.00000024912878871, 530747.84600002598017454 179903.7060000256751664, 530792.99999989324714988 180057.00000001487205736, 530723.99999993434175849 180088.00000001100124791, 530685.1950001590885222 180200.5119997544970829, 530862.66100012150127441 180402.93700000003445894, 530949.00000008486676961 180258.00000013591488823, 530837.99999982258304954 180151.00000021426239982)))</t>
  </si>
  <si>
    <t>E01032582</t>
  </si>
  <si>
    <t>Lambeth 036E</t>
  </si>
  <si>
    <t>MultiPolygon (((531878.03599999658763409 179913.24300006960402243, 531932.07200010062661022 179810.196000044234097, 531861.63599984918255359 179779.24400001406320371, 531893.00000002328306437 179740.00000002310844138, 531867.00000001769512892 179715.9999999251740519, 531928.84000011719763279 179625.45600004168227315, 531865.45199989015236497 179576.77300003278651275, 531844.14500010071787983 179606.83099988393951207, 531862.13199992279987782 179615.87999990483513102, 531809.999999935971573 179689.99999991964432411, 531651.99999999534338713 179703.51199991081375629, 531651.99999999534338713 179636.8650000138732139, 531578.81499988446012139 179612.2469998509332072, 531543.36800005449913442 179574.44599999999627471, 531515.69300008867867291 179650.75400005248957314, 531606.38400007551535964 179662.7049999664304778, 531547.40299996617250144 179690.64700015078415163, 531568.99999990803189576 179715.9999999251740519, 531508.99999996495898813 179731.00000013725366443, 531550.11899990704841912 179809.13400000578258187, 531549.06900003098417073 179832.80899985469295643, 531546.12099996802862734 179876.35600006475578994, 531504.31299998087342829 179841.7969998799089808, 531479.72999991441611201 179883.26699997019022703, 531456.02599989937152714 179930.10499998138402589, 531475.6140000382438302 179941.40700008979183622, 531525.68800008704420179 179970.29700012772809714, 531511.05499993788544089 180065.49599986395332962, 531513.56300008157268167 180158.1719999325578101, 531651.00000004156026989 180178, 531651.00000004156026989 180085.00000007310882211, 531768.00000006635673344 180084.00099990653689019, 531774.00000009080395103 180007.00000005654874258, 531704.67900006705895066 180007.00000005654874258, 531722.1020001022843644 179958.9999998606799636, 531815.1640001138439402 179952.54100003695930354, 531878.03599999658763409 179913.24300006960402243)))</t>
  </si>
  <si>
    <t>E01032583</t>
  </si>
  <si>
    <t>Southwark 034D</t>
  </si>
  <si>
    <t>E02006802</t>
  </si>
  <si>
    <t>Southwark 034</t>
  </si>
  <si>
    <t>MultiPolygon (((533807.94600012071896344 180767.77000008884351701, 533649.06300008425023407 180733.85899999999674037, 533602.43800000555347651 180815.17300019561662339, 533575.12499981513246894 181143.29699979000724852, 533319.18800008681137115 181386.00100006890716031, 533378.86300014005973935 181459.76599994671414606, 533439.56299991777632385 181591.15600000001722947, 533499.06299993442371488 181582.40599988409667276, 533604.24399986898060888 181418.12899985822150484, 533610.97399992973078042 181410.96800016047200188, 533743.68800003954675049 181261.3280000246304553, 533782.5770001778146252 181161.62300010889885016, 533803.17399996751919389 181053.4319999732542783, 533837.93799985514488071 180857.85900003818096593, 533842.31299991311971098 180789.31300011320854537, 533807.94600012071896344 180767.77000008884351701)))</t>
  </si>
  <si>
    <t>E01000005</t>
  </si>
  <si>
    <t>City of London 001E</t>
  </si>
  <si>
    <t>MultiPolygon (((531667.62400032242294401 180534.99200049004866742, 531647.18200046929996461 180532.93399978015804663, 531626.67500003951136023 180538.98300011662649922, 531667.62400032242294401 180534.99200049004866742)),((533410.68799990206025541 182037.85999964436632581, 533351.99999996356200427 181739.73400031815981492, 533443.01399954850785434 181755.48999954902683385, 533460.36100015137344599 181669.50299984053708613, 533499.06299959868192673 181582.40599986442248337, 533439.56299999868497252 181591.15599986372399144, 533378.8629997888347134 181459.76600000055623241, 533319.18799985281657428 181386.00099952568416484, 533575.12500044028274715 181143.29699964434257708, 533602.43799999996554106 180815.17300043161958456, 533551.1939997726585716 180812.79699969847570173, 533556.31299953768029809 180777.99999961658613756, 533483.87500002386514097 180758.20300023953313939, 533420.12499974644742906 180691.78100014600204304, 533403.37499963480513543 180649.85899965520366095, 533434.12499994307290763 180623.17200043346383609, 533395.00599970063194633 180515.23900002834852785, 533385.37999973061960191 180516.54100023541832343, 533382.01699998823460191 180510.67100031609879807, 533236.69999967899639159 180573.30000034993281588, 532916.81100015435367823 180594.59799976833164692, 532643.1000004371162504 180624.6010000032838434, 532474.18899962154682726 180677.00500002945773304, 532274.59999995771795511 180742.30000025196932256, 532279.10000026796478778 180789.79999968342599459, 532217.0000003349268809 180749.3999999068910256, 532016.01099995954427868 180800.79900006472598761, 531625.62500000011641532 180797.99899963004281744, 531648.68799987074453384 180855.99999972342629917, 531641.22900010249577463 181109.7049995324050542, 531784.81299961998593062 181132.40600046448525973, 531822.43799971591215581 181410.5779999483784195, 531948.31299969193059951 181471.96900008441298269, 532080.24999952665530145 181456.75000012820237316, 532074.37500024726614356 181338.29699991145753302, 532173.12499953352380544 181263.45299955041264184, 532227.68799959938041866 181278.8750004104222171, 532248.24899964150972664 181332.03600021841702983, 532279.68800032965373248 181314.79699982856982388, 532268.3130002316320315 181238.0000001453445293, 532305.62499966437462717 181231.95300034360843711, 532300.43799950904212892 181199.56200012055342086, 532352.68799987202510238 181184.87500007890048437, 532459.81299970834515989 181380.99999968230258673, 532523.62499976030085236 181584.90600014661322348, 532574.8119995731394738 181574.109000401746016, 532567.31299998227041215 181543.10900046065216884, 532602.31299997959285975 181523.70299986889585853, 532614.31300014804583043 181568.29700017583672889, 532671.68799990357365459 181574.109000401746016, 532746.81300027889665216 181786.8909999608004, 532883.50000005681067705 181715.39599955239100382, 532946.06499978131614625 181894.82700017961906269, 533078.82999960205052048 181840.52899980364600196, 533195.29900011513382196 181970.89599992774310522, 533204.66799956921022385 182000.04100006268708967, 533230.50000048149377108 182082.45299968391191214, 533410.68799990206025541 182037.85999964436632581)))</t>
  </si>
  <si>
    <t>E01032739</t>
  </si>
  <si>
    <t>City of London 001F</t>
  </si>
  <si>
    <t>MultiPolygon (((532546.88600007188506424 183159.87100001453654841, 532528.19000009493902326 183106.66700004605809227, 532562.40799989993683994 183077.55899995076470077, 532565.20299989532213658 183076.02600006450666115, 532628.03400004736613482 183093.33500001748325303, 532636.03999987989664078 183059.80699996667681262, 532642.01600000669714063 183030.78000008707749657, 532657.49499990441836417 182964.65999996039317921, 532615.09499987063463777 182953.04700003689504229, 532589.42499998561106622 182953.34999988612253219, 532538.14499995065853 182938.46700013062218204, 532502.78700011130422354 182921.59100011963164434, 532515.99999990535434335 182869.00000009854556993, 532560.00000007613562047 182878.00000010323128663, 532571.0000000522704795 182791.99999999938881956, 532546.00000000966247171 182736, 532456.89699988346546888 182768.86499992417520843, 532405.7009999044239521 182788.37199996114941314, 532213.56299987179227173 182861.57799998152768239, 532232.74899995245505124 182950.14000005592242815, 532186.19500009552575648 183069.34900005874806084, 532207.49300013307947665 183023.200999983062502, 532249.69700012553948909 183041.90499997808365151, 532235.19500006164889783 183089.55599993912619539, 532292.04399987345095724 183115.84000007371651009, 532266.48800004506483674 183174.60199996089795604, 532274.896000049659051 183228.89600005105603486, 532322.44500011426862329 183244.4039999142405577, 532350.1700000612763688 183184.49800011696061119, 532373.19900009781122208 183189.20499988563824445, 532383.99999992572702467 183120.99999996265978552, 532408.56000004382804036 183126.30299987370381132, 532400.79100011184345931 183194.04500012032804079, 532486.13799991167616099 183269.06799999997019768, 532506.68599992676172405 183226.30099997285287827, 532546.88600007188506424 183159.87100001453654841)))</t>
  </si>
  <si>
    <t>E01001779</t>
  </si>
  <si>
    <t>Hackney 026A</t>
  </si>
  <si>
    <t>E02000370</t>
  </si>
  <si>
    <t>Hackney 026</t>
  </si>
  <si>
    <t>MultiPolygon (((533190.00000008929055184 182931.99999999636202119, 533192.8620000071823597 182867.02800013005617075, 533279.76599999982863665 182869.46800004175747745, 533274.87499999662395567 182774.42200010980013758, 533243.51100007141940296 182772.18000012650736608, 533155.25700006552506238 182761.48999988831928931, 533130.46400003763847053 182761.15199987680534832, 533033.87800001900177449 182758.02800008706981316, 533034.09099991689436138 182626.00600001937709749, 533030.37500009883660823 182589.07800011700601317, 532939.98699994513299316 182561.23000004875939339, 532942.68799998809117824 182547.84400012515834533, 532820.81300010427366942 182498.59400004817871377, 532765.5920000133337453 182522.39799989882158116, 532728.18500000005587935 182601.49899998001637869, 532737.9999999946448952 182629.99999997089616954, 532870.75799996335990727 182662.54399988727527671, 532892.99999991909135133 182668.00000002890010364, 532833.38499995449092239 182777.00000007188646123, 532756.01600006595253944 182774.99999990916694514, 532806.18600001931190491 182817.68999999295920134, 532775.06299989833496511 182860.62299991369945928, 532840.18099994584918022 182873.73099997959798202, 532877.30800006876233965 182845.45200003377976827, 532991.78600006154738367 182851.21699998847907409, 533031.99999992072116584 182821.99999987203045748, 533031.99999992072116584 182884.54800008828169666, 533055.00000013737007976 182943.00000006394111551, 533187.27499992970842868 182945.50599995179800317, 533190.00000008929055184 182931.99999999636202119)))</t>
  </si>
  <si>
    <t>E01001780</t>
  </si>
  <si>
    <t>Hackney 027D</t>
  </si>
  <si>
    <t>E02000371</t>
  </si>
  <si>
    <t>Hackney 027</t>
  </si>
  <si>
    <t>MultiPolygon (((531087.89700005273334682 183500.75000006382470019, 531089.17699999501928687 183460.93299987292266451, 531083.24100012017879635 183419.08800003654323518, 531082.99999991164077073 183409.99999986265902407, 531124.20599997893441468 183378.40099994349293411, 531256.5609998709987849 183407.76300008356338367, 531288.85000000009313226 183385.25200006036902778, 531282.18899992888327688 183273.99099993691197596, 531233.54700004996266216 183307.80700003990205005, 531208.15499988512601703 183277.1710000584134832, 531239.25200006959494203 183265.57899992272723466, 531266.38699995039496571 183128.84199988908949308, 531204.1130000886041671 183121.31899986500502564, 530986.46499992022290826 183083.88299992954125628, 530975.44699989631772041 183136.46900008738157339, 531034.99999999126885086 183158.99999998373095877, 531025.41099986794870347 183200.23099996199016459, 531091.83799986448138952 183230.95300009287893772, 531081.83799991582054645 183333.80900008830940351, 531032.38700009533204138 183332.86399989752680995, 530974.96100006019696593 183334.12299990351311862, 530925.51600006269291043 183260.7409998937509954, 530866.91900001931935549 183262.57500007463386282, 530788.84699987585190684 183290.7900000543158967, 530733.10499999998137355 183304.44599988509435207, 530737.83499988017138094 183383.07999993857811205, 530838.00000005750916898 183376.99999986530747265, 530855.00000008137430996 183515.99999993000528775, 530949.0000000991858542 183487.99999990698415786, 530981.12599994183983654 183526.40800007042707875, 531087.89700005273334682 183500.75000006382470019)))</t>
  </si>
  <si>
    <t>E01002695</t>
  </si>
  <si>
    <t>Islington 021A</t>
  </si>
  <si>
    <t>MultiPolygon (((531377.14399986935313791 183480.7119999251444824, 531383.78999989596195519 183444.6849998643156141, 531405.0629999233642593 183350.06200011397595517, 531466.81299983616918325 183281.34400005263159983, 531450.31299990089610219 183151.85900004804716446, 531450.18800015933811665 183142.833000101352809, 531367.01599985454231501 183136.83699996152427047, 531266.38700014911592007 183128.84200000000419095, 531239.25199980335310102 183265.57900007464922965, 531208.15500013367272913 183277.17099995064199902, 531233.54700019408483058 183307.8070001796586439, 531282.18900018185377121 183273.99100004369392991, 531288.84999993140809238 183385.25200013309950009, 531256.56099980522412807 183407.76299993097200058, 531249.99999984900932759 183437.99999990189098753, 531235.39700006123166531 183479.85499984276248142, 531205.25800000259187073 183454.90099997614743188, 531198.44299998076166958 183504.30599989605252631, 531148.36699998774565756 183523.29000012698816136, 531138.85499983152840286 183562.57300008530728519, 531104.87600016384385526 183580.09100016381125897, 531125.91099999414291233 183726.86599986499641091, 531187.48500012315344065 183744.56500004517147318, 531245.82400013064034283 183751.00000011423253454, 531271.31700012995861471 183875.60200000795884989, 531240.9999999962747097 183899.00000015436671674, 531306.89399989054072648 183906.74499981227563694, 531303.06599997775629163 183938.04799994218046777, 531358.8500000168569386 183949.30600000004051253, 531391.75099982938263565 183917.98299982942990027, 531389.74899998109322041 183899.54300004907418042, 531387.08200011285953224 183769.1200000639364589, 531386.06200008851010352 183744.90400018115178682, 531381.77400006027892232 183647.01400016222032718, 531380.68900000618305057 183614.01200000062817708, 531377.00099996803328395 183525.00099985490669496, 531377.14399986935313791 183480.7119999251444824)))</t>
  </si>
  <si>
    <t>E01002696</t>
  </si>
  <si>
    <t>Islington 020A</t>
  </si>
  <si>
    <t>MultiPolygon (((530855.00000007881317288 183516.00000011053634807, 530838.00000000046566129 183377.00000005561742, 530737.83499989646952599 183383.07999988266965374, 530733.10499995423015207 183304.44599994458258152, 530788.84699999273288995 183290.79000005577108823, 530866.91899993747938424 183262.57500012873788364, 530925.51599992008414119 183260.74100005911896005, 530974.96100005810149014 183334.12299997801892459, 531032.38700005249120295 183332.86400005975156091, 531081.83799997868482023 183333.80899986519943923, 531091.83799987402744591 183230.95300010094069876, 531025.41099987621419132 183200.23099990145419724, 531034.99999990407377481 183158.99999988757190295, 530975.44699998246505857 183136.46900010231183842, 530986.46500000054948032 183083.88299996277783066, 530954.92000005394220352 183078.97200009966036305, 530909.20499995409045368 183072.13199986709514633, 530882.24499989673495293 183068.09900013450533152, 530795.70899992308113724 183053.42500012292293832, 530710.12500012456439435 183038.48399999999674037, 530698.21400007838383317 183123.00299995896057226, 530684.22100008209235966 183235.63700005388818681, 530675.76300012599676847 183291.94000007363501936, 530687.36899988388177007 183385.92299996572546661, 530703.79999988386407495 183543.72700008892570622, 530712.0769999191397801 183607.96700000000419095, 530758.23700001486577094 183537.17099988952395506, 530830.15300006349571049 183518.79999995595426299, 530855.00000007881317288 183516.00000011053634807)))</t>
  </si>
  <si>
    <t>E01002697</t>
  </si>
  <si>
    <t>Islington 019B</t>
  </si>
  <si>
    <t>E02000572</t>
  </si>
  <si>
    <t>Islington 019</t>
  </si>
  <si>
    <t>MultiPolygon (((532728.18499992205761373 182601.49900003705988638, 532765.59199999994598329 182522.39799991325708106, 532733.99999990500509739 182490.99999991283402778, 532661.73600007209461182 182459.49199990637134761, 532628.40099999599624425 182452.32300002034753561, 532608.62100009201094508 182507.30599992460338399, 532531.03500002424698323 182515.25099998831865378, 532546.0000000917352736 182434.99999994708923623, 532451.64499993750359863 182408.41699998392141424, 532422.28199994878377765 182493.5970000248926226, 532411.99999995157122612 182574.00000001612352207, 532399.05499995895661414 182569.3940000104776118, 532384.99400007992517203 182608.85100003713159822, 532364.27200000011362135 182684.0340000873839017, 532449.1999999760882929 182701.45200002903584391, 532456.89699993131216615 182768.86500001608510502, 532546.0000000917352736 182736.00000003882450983, 532603.86799998150672764 182712.86799991736188531, 532691.06300005142111331 182669.32799990836065263, 532728.18499992205761373 182601.49900003705988638)))</t>
  </si>
  <si>
    <t>E01002701</t>
  </si>
  <si>
    <t>Islington 023A</t>
  </si>
  <si>
    <t>E02000576</t>
  </si>
  <si>
    <t>Islington 023</t>
  </si>
  <si>
    <t>MultiPolygon (((532364.27200012875255197 182684.03400008374592289, 532384.99400004744529724 182608.8510000238311477, 532399.05500004999339581 182569.39399988268269226, 532300.78199991548899561 182555.62499998416751623, 532289.00999996939208359 182591.50500005288631655, 532220.32600011175964028 182586.75799994048429653, 532147.95299987855833024 182515.03500005576643161, 532121.27700008871033788 182622.50300002511357889, 532053.00000007427297533 182607.00000012351665646, 532034.13600007479544729 182669.25099991922616027, 531991.38699994620401412 182651.77100004319800064, 531922.95200000004842877 182694.25999992556171492, 532003.84700003871694207 182720.75999996365862899, 531991.08800009032711387 182772.86299993802094832, 531957.07199988083448261 182836.09100001401384361, 531978.00000005215406418 182846.99999987415503711, 532072.97000013128854334 182916.48099994423682801, 532191.43200000014621764 182870.25700005749240518, 532213.5629998812219128 182861.57800013205269352, 532405.70100011629983783 182788.37200004656915553, 532456.89699999988079071 182768.86499998447834514, 532449.19999994873069227 182701.4519998682080768, 532364.27200012875255197 182684.03400008374592289)))</t>
  </si>
  <si>
    <t>E01002702</t>
  </si>
  <si>
    <t>Islington 023B</t>
  </si>
  <si>
    <t>MultiPolygon (((532942.68799986655358225 182547.84399999998277053, 532963.11399995477404445 182463.20900018571410328, 532918.31300007412210107 182358.93699990847380832, 532941.12500008021015674 182294.23400014961953275, 533004.7509998440509662 182293.2190000492555555, 532989.37299980677198619 182091.75900003174319863, 532946.06499999260995537 181894.82700018401374109, 532883.50000015692785382 181715.39600000000791624, 532746.81300003442447633 181786.89100001353654079, 532619.1410001062322408 181847.18799985168152489, 532634.49999993410892785 181926.03100004734005779, 532572.32499990530777723 181938.86900020041503012, 532445.76900016097351909 181957.87100017204647884, 532435.7920001654420048 182003.32000005201552995, 532419.59200018306728452 181998.30499990459065884, 532310.09099985368084162 182003.63699999643722549, 532293.06800015608314425 182068.42299981557880528, 532378.65499998989980668 182117.79899988012039103, 532417.99999998952262104 182134.99999985244357958, 532399.78500010306015611 182188.85000001746811904, 532425.25899982615374029 182217.97300016952794977, 532416.21800019952934235 182245.60099988259025849, 532456.00000002013985068 182261.99999988917261362, 532492.99999983096495271 182202.99999981967266649, 532549.67100019461940974 182192.65899986558360979, 532559.47899992705788463 182237.5180001444532536, 532524.46800017182249576 182274.80500013861455955, 532577.0920000581536442 182320.17999996984144673, 532568.00000008859205991 182352.00000011513475329, 532567.1939997939625755 182355.22600000115926377, 532545.99999982991721481 182435.00000005064066499, 532531.03500013775192201 182515.25099987996509299, 532608.62100010737776756 182507.30600004145526327, 532628.40100015269126743 182452.32299985582358204, 532661.73599988396745175 182459.49199999321717769, 532733.99999995960388333 182490.99999987677438185, 532765.59200008981861174 182522.39800008159363642, 532820.8130000721430406 182498.59400009718956426, 532942.68799986655358225 182547.84399999998277053)))</t>
  </si>
  <si>
    <t>E01002704</t>
  </si>
  <si>
    <t>Islington 023D</t>
  </si>
  <si>
    <t>MultiPolygon (((532072.96999999997206032 182916.4809999845456332, 531977.99999984656460583 182847.00000012817326933, 531957.07199988828506321 182836.09099998988676816, 531991.08799992233980447 182772.86300014395965263, 532003.84700014838017523 182720.7599999173253309, 531922.95199993113055825 182694.25999992142897099, 531860.21199991623871028 182665.75999999046325684, 531843.39600000879727304 182717.47499986906768754, 531824.24199987121392041 182775.57999996526632458, 531766.85000015527475625 182866.68700014427304268, 531722.18600013444665819 182911.20399994740728289, 531636.65699987486004829 182854.60599995002849028, 531553.06300010450650007 182883.92199999649892561, 531533.03699991677422076 182921.77500010194489732, 531530.32500010065268725 182926.43899986456381157, 531489.54799989273305982 182995.86999997944803908, 531484.99500012292992324 183005.23199997658957727, 531454.13100005884189159 183117.35000013932585716, 531450.18799999984912574 183142.8329999317356851, 531450.31300013209693134 183151.85900000954279676, 531585.2030001477105543 183103.79100000145263039, 531757.681999864988029 183038.62599991340539418, 531859.42999996116850525 182998.2900000472436659, 531962.09899997245520353 182958.33399996010120958, 532004.10200010670814663 182942.27099985248059966, 532028.07999986468348652 182933.42700002939091064, 532072.96999999997206032 182916.4809999845456332)))</t>
  </si>
  <si>
    <t>E01002707</t>
  </si>
  <si>
    <t>Islington 022B</t>
  </si>
  <si>
    <t>MultiPolygon (((530529.85599992261268198 183419.30599998557590879, 530541.49800013191998005 183393.90200003693462349, 530569.00000010780058801 183424.99999997866689228, 530583.48200005968101323 183295.68600003185565583, 530615.61599998152814806 183276.37100011890288442, 530675.76300001528579742 183291.94000011048046872, 530684.22099996567703784 183235.63700008628075011, 530698.21400008432101458 183123.00300008888007142, 530710.12500003236345947 183038.48400005575967953, 530546.91500005801208317 183018.62099992163712159, 530510.00100011681206524 183011.64100002276245505, 530326.06299994548317045 182983.3279999999795109, 530325.23499996750615537 183094.99999992063385434, 530328.99400005571078509 183302.0000000006693881, 530327.4990000732941553 183516.70100000000093132, 530538.99000001326203346 183491.67800011945655569, 530529.85599992261268198 183419.30599998557590879)))</t>
  </si>
  <si>
    <t>E01002711</t>
  </si>
  <si>
    <t>Islington 021B</t>
  </si>
  <si>
    <t>MultiPolygon (((531824.24200004816520959 182775.5800000068556983, 531843.3959999728249386 182717.47500010818475857, 531860.21199991065077484 182665.75999988144030795, 531893.31900000013411045 182557.09899991424754262, 531817.21099992084782571 182528.66200004640268162, 531794.71800002676900476 182521.04999996392871253, 531740.47600004891864955 182503.40499988943338394, 531660.36599995708093047 182477.26800008871941827, 531645.52699989988468587 182515.67199994434486143, 531631.9070000050123781 182527.84899999340996146, 531608.3989999620243907 182581.502999932912644, 531575.99999991862569004 182654.00000010771327652, 531570.2749999591615051 182687.68100006916210987, 531464.99999988183844835 182627.99999998504063115, 531397 182702.99999990937067196, 531421.02899999427609146 182750.61100011682719924, 531462.7469999830937013 182703.66700003555160947, 531501.58800003270152956 182712.26899993437109515, 531519.69199988897889853 182790.05300004009041004, 531563.40500000782776624 182786.15400011689052917, 531564.61700008681509644 182756.9999999541323632, 531634.0000000586733222 182812.00099998142104596, 531636.65699990093708038 182854.6059999453718774, 531722.1859999323496595 182911.20399991128942929, 531766.85000011324882507 182866.68699998816009611, 531824.24200004816520959 182775.5800000068556983)))</t>
  </si>
  <si>
    <t>E01002723</t>
  </si>
  <si>
    <t>Islington 022C</t>
  </si>
  <si>
    <t>MultiPolygon (((531484.99500008183531463 183005.23199995476170443, 531489.5480001081014052 182995.87000002266722731, 531530.32500003499444574 182926.43899999529821798, 531533.03700003132689744 182921.7749999116640538, 531553.06300007342360914 182883.92200000715092756, 531636.65699996531475335 182854.60600003716535866, 531633.99999996880069375 182812.00100009806919843, 531564.61700002558063716 182756.99999996100086719, 531563.40499991388060153 182786.15400010443408974, 531519.69200000469572842 182790.05299999075941741, 531501.58800002781208605 182712.26899990410311148, 531462.74699999764561653 182703.66699988103937358, 531421.0289999715751037 182750.61099994907272048, 531396.99999990151263773 182702.99999996728729457, 531389.32899988896679133 182689.13499996441532858, 531254.00099989911541343 182654.99999999997089617, 531197.56300009449478239 182756.3930000914260745, 531231.34999999788124114 182791.10300003195879981, 531291.44800005760043859 182778.91699998857802711, 531292.59999988123308867 182830.20200005694641732, 531272.29100011044647545 182871.52200006641214713, 531370.0000000266591087 182912.99999991574441083, 531357.99999997380655259 182955.99999994234531187, 531342.99999990779906511 182998.99999996897531673, 531274.16599990532267839 182998.30499990453245118, 531196.67499987978953868 182968.81099991733208299, 531193.82600003469269723 182975.10400000493973494, 531232.73199990950524807 183000.31099993400857784, 531204.11300011922139674 183121.31900003331247717, 531266.38700000836979598 183128.84200005070306361, 531367.01599996024742723 183136.83699996027280577, 531450.18799991544801742 183142.83300000001327135, 531454.13099989923648536 183117.35000001412117854, 531484.99500008183531463 183005.23199995476170443)))</t>
  </si>
  <si>
    <t>E01002727</t>
  </si>
  <si>
    <t>Islington 021C</t>
  </si>
  <si>
    <t>MultiPolygon (((531706.90500002750195563 183522.65799985197372735, 531696.05300001334398985 183472.94299993405002169, 531631.44999997538980097 183516.57699997865711339, 531608.1970000525470823 183464.88199999020434916, 531635.65499999769963324 183445.00199989875545725, 531567.78299995663110167 183393.48000003086053766, 531652.00000001362059265 183309.99999991530785337, 531676.46399999805726111 183296.31800009080325253, 531708.35700015746988356 183290.03599984219181351, 531846.43199992610607296 183262.83899981208378449, 531835.23699992161709815 183242.72899991989834234, 531878.55700018384959549 183211.48399995427462272, 531888.00000001210719347 183230.0000001014850568, 531934.00000006158370525 183195.00000018291757442, 531992.00000000488944352 183111.99999990663491189, 532007.12699989567045122 183078.41900009728851728, 532052.97400006232783198 183143.75900007667951286, 532088.17200010525994003 183068.63399984073475935, 532169.49399987247306854 183105.183000045013614, 532186.19500005291774869 183069.34900002920767292, 532232.74899999995250255 182950.14000007047434337, 532213.56299990590196103 182861.57799989130580798, 532191.43199990561697632 182870.25699986782274209, 532072.96999981172848493 182916.48099999874830246, 532028.07999985513743013 182933.42700006038649008, 532004.10199982055928558 182942.27100014060852118, 531962.09900013683363795 182958.33400005046860315, 531859.43000006768852472 182998.2900000601366628, 531757.68199993704911321 183038.62599989367299713, 531585.20300013828091323 183103.79099984606727958, 531450.31299999996554106 183151.85900015171500854, 531466.81299980508629233 183281.34400008275406435, 531612.50599990307819098 183555.38500010868301615, 531706.90500002750195563 183522.65799985197372735)))</t>
  </si>
  <si>
    <t>E01002803</t>
  </si>
  <si>
    <t>Islington 020E</t>
  </si>
  <si>
    <t>MultiPolygon (((533471.99999988754279912 183062.00000004263711162, 533428.99999982048757374 182845.99899982026545331, 533466.99999986228067428 182838.00000011225347407, 533515.05099987832363695 182925.02399982718634419, 533552.9999999962747097 182914.9999999008141458, 533532.99999989534262568 182821.99999995648977347, 533582.06200012203771621 182805.79600010541616939, 533531.00000011024530977 182740.00000014269608073, 533523.69499981426633894 182731.48199993034359068, 533478.31799984874669462 182683.62300004667486064, 533533.07599987741559744 182670.99500008282484487, 533543.66199989826418459 182668.14799998918897472, 533528.61600006045773625 182504.01100013236282393, 533531.52600001578684896 182471.46799981564981863, 533538.99600002134684473 182394.58400017739040777, 533540.22499985492322594 182382.02100006499676965, 533480.82999998680315912 182395.28300012607360259, 533466.99999986228067428 182468.00000012005330063, 533445.64099984976928681 182510.98599988443311304, 533479.87499986158218235 182636.48300000827293843, 533424.99999987531919032 182568.99999995474354364, 533310.38100013777147979 182560.08599991470691748, 533332.96199983253609389 182458.86200011309119873, 533335.00000017113052309 182366.99999991036020219, 533271.41800001217052341 182362.95699999999487773, 533271.79799992253538221 182397.55899998426320963, 533215.80999987793620676 182422.04999992941156961, 533240.44699981820303947 182450.05700007203267887, 533231.00600006524473429 182519.53500012401491404, 533261.66399981488939375 182515.11700008987099864, 533266.17699992039706558 182545.62699985457584262, 533266.00100008025765419 182552.49600015467149206, 533215.94199994544032961 182624.10299988728365861, 533280.99999997357372195 182665.00000013920362107, 533273.99600018397904932 182754.71199983233236708, 533243.51100010250229388 182772.17999989856616594, 533274.87499995215330273 182774.42199993252870627, 533279.76599997840821743 182869.4680001741508022, 533277.83300003432668746 182917.85600013541989028, 533327.31000017805490643 182924.27100015769246966, 533361.71800004027318209 182846.80100017398945056, 533396.13399986119475216 182875.83399988719611429, 533399.28099990379996598 182921.78800005716038868, 533363.39999996940605342 182924.30699997153715231, 533375.89399987610522658 183112.68200014406465925, 533475.99999983271118253 183113, 533471.99999988754279912 183062.00000004263711162)))</t>
  </si>
  <si>
    <t>E01033706</t>
  </si>
  <si>
    <t>Hackney 027F</t>
  </si>
  <si>
    <t>MultiPolygon (((533266.17699977569282055 182545.62700018344912678, 533261.66399988054763526 182515.11700023122830316, 533231.00600017956458032 182519.53500013970187865, 533240.44700018118601292 182450.05700011015869677, 533215.81000003090593964 182422.04999982073786668, 533271.7980000936659053 182397.55900009616743773, 533271.41800014697946608 182362.95699982679798268, 533334.99999977473635226 182366.99999995960388333, 533332.96200016909278929 182458.86200017170631327, 533310.38100005337037146 182560.08600010722875595, 533424.99999996914993972 182569.00000007500057109, 533479.87499990384094417 182636.4829999191861134, 533445.64099991624243557 182510.98600007157074288, 533466.99999999767169356 182467.99999978439882398, 533480.82999994128476828 182395.28299999446608126, 533540.22500019671861082 182382.0210001819068566, 533543.31299982639029622 182350.42099976996541955, 533577.48099979397375137 182354.76600016435259022, 533594.14200017799157649 182244.70800020077149384, 533567.18799982871860266 182113.39099984744098037, 533541.45099980861414224 182106.10399978331406601, 533425.93800017063040286 182076.5159998583549168, 533410.68800013256259263 182037.8599999186117202, 533230.50000002514570951 182082.45299989162595011, 533204.66800001834053546 182000.04099989554379135, 533195.29899986938107759 181970.89600002110819332, 533078.83000006666406989 181840.52900000003864989, 532946.06499977956991643 181894.82700005514197983, 532989.37300008034799248 182091.75899993669008836, 533004.75100011518225074 182293.21900022609042935, 532941.12500000826548785 182294.23399998532840982, 532918.31299982208292931 182358.93699982803082094, 532963.11400019738357514 182463.2089998891169671, 532942.68800014653243124 182547.84400022483896464, 532939.98699995747301728 182561.22999999052262865, 533030.37500018556602299 182589.07800006202887744, 533034.09100013389252126 182626.0059998131764587, 533033.87800002645235509 182758.02800004289019853, 533130.46399998641572893 182761.15200006464147009, 533155.25699997250922024 182761.48999978665960953, 533243.51100001519080251 182772.17999999999301508, 533273.99600004451349378 182754.71199979315861128, 533280.9999999376013875 182664.99999994074460119, 533215.94200007116887718 182624.10300016406108625, 533266.00100018782541156 182552.49600012000882998, 533266.17699977569282055 182545.62700018344912678)))</t>
  </si>
  <si>
    <t>E01033708</t>
  </si>
  <si>
    <t>Hackney 027G</t>
  </si>
  <si>
    <t>MultiPolygon (((532726.57000000297557563 183211.59399986284552142, 532719.19699994556140155 183188.15200012328568846, 532799.57199989084620029 183198.83499986925744452, 532818.99999991187360138 183153.99999997048871592, 532858.93900009500794113 183159.60500011473777704, 532839.12500003317836672 183206.14899990716367029, 532884.7440000562928617 183215.50699998359777965, 532887.04700006451457739 183163.00000001053558663, 532900.05500008736271411 183085.82600003224797547, 532977.0899999518878758 183083.04500013182405382, 532994.77100013440940529 183107.80000006943009794, 533007.7960000274470076 183107.80000006943009794, 533045.01900006539653987 183053.42499992251396179, 533074 183069.63300000407616608, 533055.99999991990625858 182961.99999987724004313, 532955.91399989847559482 183022.90600013165385462, 532922.36600008618552238 182955.89699995997943915, 532837.95499986805953085 183003.43999988021096215, 532786.69799986877478659 182917.44599993119481951, 532767.00000002945307642 182858.99999986289185472, 532747.06300010113045573 182834.84399986729840748, 532735.02899992663878947 182864.12500001266016625, 532697.00000006682239473 182818.00000009289942682, 532621.24499999731779099 182825.52199991897214204, 532628.00000014039687812 182795.00000011743395589, 532571.00000007706694305 182792.00000000887666829, 532559.99999996460974216 182877.99999997924896888, 532516.00000008603092283 182868.99999993917299435, 532502.78700000001117587 182921.59099992553819902, 532538.14499987487215549 182938.46699990902561694, 532589.42500005115289241 182953.35000003545428626, 532615.09500010323245078 182953.04700009961379692, 532657.49500009533949196 182964.66000001347856596, 532667.64600004244130105 182922.43100005874293856, 532740.94000001740641892 182947.05100008714362048, 532722.28599989484064281 182979.29800002963747829, 532708.39499996649101377 183030.15399993467144668, 532807.6219998822780326 183053.49399988245568238, 532819.43700013414490968 183099.25800004077609628, 532732.99999994144309312 183079.99999986312468536, 532716.36499986366834491 183130.0390000976040028, 532683.60600000305566937 183108.71600009227404371, 532654.93199992342852056 183173.81400003228918649, 532684.84200011752545834 183196.33700002392288297, 532675.18800003489013761 183229.72000010579358786, 532702.37099994951859117 183253.63099999111727811, 532726.57000000297557563 183211.59399986284552142)))</t>
  </si>
  <si>
    <t>E01033709</t>
  </si>
  <si>
    <t>Hackney 027H</t>
  </si>
  <si>
    <t>MultiPolygon (((533056 182961.99999988000490703, 533054.99999990500509739 182943.00000011501833797, 533032.00000001501757652 182884.54799996502697468, 533032.00000001501757652 182822.00000009502400644, 532991.78599996003322303 182851.21699994502705522, 532877.308000045013614 182845.45199998002499342, 532840.18099989998154342 182873.73099992502829991, 532775.06300012499559671 182860.62300007001613267, 532806.18600002501625568 182817.69000004002009518, 532756.01600003498606384 182774.99999996501719579, 532833.38500000000931323 182776.99999990002834238, 532893.00000006996560842 182668, 532870.75799992005340755 182662.54400011000689119, 532737.9999998799758032 182629.99999996001133695, 532728.18499990005511791 182601.4990000750112813, 532691.06300005002412945 182669.32799996502581052, 532603.86799991503357887 182712.86799995502224192, 532546 182736.00000008501228876, 532571.0000000799773261 182792.00000005000038072, 532627.99999988498166203 182795.00000008000642993, 532621.24499990500044078 182825.5219999150140211, 532697.00000006495974958 182817.99999997002305463, 532735.02899997995700687 182864.12499998501152731, 532747.06300001498311758 182834.84399998001754284, 532767.00000008498318493 182859.00000004001776688, 532786.69799987494479865 182917.44600004001404159, 532837.95500009495299309 183003.43999990000156686, 532922.36599999002646655 182955.89699996501440182, 532955.91399991000071168 183022.90599992501665838, 533056 182961.99999988000490703)))</t>
  </si>
  <si>
    <t>E01033711</t>
  </si>
  <si>
    <t>Hackney 027I</t>
  </si>
  <si>
    <t>MultiPolygon (((538672.62199998833239079 181233.86700011714128777, 538695.19700000016018748 181160.34600004021194763, 538649.41899990348611027 181145.51700000677374192, 538583.44799989077728242 181124.14600011269794777, 538346.55300003534648567 181053.31500006827991456, 538332.00000007555354387 181080.00000005887704901, 538369.00000009289942682 181086.99999996725819074, 538340.58099999406840652 181227.50499998818850145, 538305.99999991420190781 181156.00000006749178283, 538261.32900009932927787 181179.37399992256541736, 538193.44299999997019768 181293.52100005923421122, 538218.96799993561580777 181300.60900009289616719, 538312.05600009777117521 181334.9539999280241318, 538433.323999876040034 181356.38400007146992721, 538392.14699991559609771 181418.5909998795541469, 538437.39100003882776946 181433.78800009482074529, 538439.99999991618096828 181472.99999993172241375, 538507.00000004249159247 181446.00000003431341611, 538623.00000002922024578 181398.99999989694333635, 538672.62199998833239079 181233.86700011714128777)))</t>
  </si>
  <si>
    <t>E01004243</t>
  </si>
  <si>
    <t>Tower Hamlets 020A</t>
  </si>
  <si>
    <t>E02000883</t>
  </si>
  <si>
    <t>Tower Hamlets 020</t>
  </si>
  <si>
    <t>MultiPolygon (((538109.17099999287165701 181350.09799990602186881, 538121.17499993881210685 181310.08300002262694761, 538159.62199987948406488 181314.67900003812974319, 538182.99999993212986737 181322.00000005288165994, 538193.44299998972564936 181293.52100012844312005, 538261.32900005346164107 181179.3739999660756439, 538306.00000011443626136 181155.99999990640208125, 538340.58099997160024941 181227.50499988306546584, 538369 181087.00000004438334145, 538332.00000001234002411 181079.99999993879464455, 538346.55299999658018351 181053.31499996443744749, 538215.28800010564737022 181037.29699992539826781, 538105.28899993700906634 181023.44099999687750824, 538018.76500011887401342 181015.18499993986915797, 537971.87500011269003153 181011.68700001668184996, 537878.34500006621237844 181000.32200009396183304, 537886.48599998990539461 181046.27200013305991888, 537869.94099999964237213 181080.90099990688031539, 537919.82899999746587127 181131.15599986718734726, 537843.08400005742441863 181125.95300003924057819, 537836.55500000016763806 181257.05799994146218523, 537886.25000013294629753 181273.04400003599585034, 537896.9999999909196049 181231.99999987403862178, 537955.00000002922024578 181248.99999994036625139, 537945.00000006856862456 181297.00000001801527105, 538109.17099999287165701 181350.09799990602186881)))</t>
  </si>
  <si>
    <t>E01004247</t>
  </si>
  <si>
    <t>Tower Hamlets 020C</t>
  </si>
  <si>
    <t>MultiPolygon (((537871.22099998325575143 181945.73999999999068677, 537887.7330001697409898 181887.09899990732083097, 537941.99999991082586348 181929.00100015953648835, 538049.00000012177042663 181941.99999990189098753, 538056.00000017555430532 181887.99999994554673322, 538003.3419998618774116 181881.41699998863623478, 538016.90000005846377462 181829.38400002385606058, 537918.86099983763415366 181816.87700017759925686, 538055.98900001472793519 181751.08299986977363005, 538055.33400010294280946 181721.64000009192386642, 537938.0000000330619514 181698.99899997015018016, 537899.25399996736086905 181704.40299994318047538, 537898.99999988614581525 181740.99999988594208844, 537843.95200014242436737 181698.3619998674839735, 537897.46300005179364234 181444.12899988770368509, 537911.20699982182122767 181451.82599988355650567, 537905.99999993992969394 181472.99999986466718838, 538055.00000011688098311 181543.00000004598405212, 538080.00000015622936189 181521.99999988454510458, 538099.11600008001551032 181497.477000138402218, 538239.98900010390207171 181559.11800005022087134, 538287.00000016728881747 181434.00000007462222129, 538170.00000008346978575 181355.00100002874387428, 538183.00000013236422092 181321.99999992724042386, 538159.62199993780814111 181314.67899994773324579, 538121.17499983299057931 181310.08300004780176096, 538109.17100004362873733 181350.09799985637073405, 537945.00000008684583008 181296.99999988797935657, 537954.99999995983671397 181248.99999992677476257, 537897.00000012561213225 181232, 537886.25000011944212019 181273.04399983715848066, 537836.55500005709473044 181257.05799997915164568, 537765.07500003161840141 181247.38799993641441688, 537755.00000000256113708 181300.00000006399932317, 537719.89200016530230641 181351.91399994291714393, 537733.67600006621796638 181404.57299984950805083, 537704.70600006880704314 181399.51499997315113433, 537685.28600007854402065 181487.85700008075218648, 537636.55699999921489507 181474.27400007002870552, 537622.96999983268324286 181536.53200001909863204, 537684.75099984544795007 181588.8209999646351207, 537771.82700005942024291 181549.76500013421173207, 537751.83700016781222075 181672.98800006820238195, 537738.28200017719063908 181754.1610000510700047, 537709.75599999038968235 181831.63099986055749469, 537793.41800013743340969 181889.73100002176943235, 537871.22099998325575143 181945.73999999999068677)))</t>
  </si>
  <si>
    <t>E01004246</t>
  </si>
  <si>
    <t>Tower Hamlets 018B</t>
  </si>
  <si>
    <t>E02000881</t>
  </si>
  <si>
    <t>Tower Hamlets 018</t>
  </si>
  <si>
    <t>MultiPolygon (((538221.49999999022111297 181982.70000007204362191, 538274.35199986374936998 181930.58499987074173987, 538159.5410000232513994 181900.95000000091386028, 538203.55200013692956418 181741.98199996227049269, 538186.29100007051602006 181756.89199990965425968, 538158.27500011154916137 181698.7249999463383574, 538081.71599993528798223 181689.65100006188731641, 538077.95199992728885263 181689.20799996965797618, 537967.47400016756728292 181667.15799999999580905, 537937.99999989825300872 181698.99900017166510224, 538055.33400015230290592 181721.64000010368181393, 538055.98899999773129821 181751.082999949605437, 537918.86099996115081012 181816.877000181179028, 538016.90000014146789908 181829.38399996413500048, 538003.34199987852480263 181881.41699996401439421, 538055.99999994249083102 181888.0000001257576514, 538048.99999989860225469 181941.99999982217559591, 537942.00000008393544704 181929.00099995455821045, 537887.73300016112625599 181887.0990000506862998, 537871.22099997918121517 181945.74000015496858396, 537898.63299987092614174 181965.78800005887751468, 537922.69300017273053527 181983.61799982335651293, 538036.60500009835232049 182059.74099990635295399, 538221.87499987881164998 182262.73400005651637912, 538284.31299982545897365 182416.42199999996228144, 538304.90000002086162567 182346.06400009791832417, 538302.29999999387655407 182312.40000015398254618, 538272.09900010435376316 182309.30000015060068108, 538258.00000013876706362 182199.60000016377307475, 538207.29999998677521944 182198.09999986001639627, 538221.49999999022111297 181982.70000007204362191)))</t>
  </si>
  <si>
    <t>E01004248</t>
  </si>
  <si>
    <t>Tower Hamlets 018C</t>
  </si>
  <si>
    <t>MultiPolygon (((538402.00000011525116861 181806.19999997885315679, 538437.93100001395214349 181638.59400015164283104, 538392.08699984091799706 181590.71700008792686276, 538365.99999995273537934 181560.00000010622898117, 538528 181493.99999992229277268, 538507.0000000192085281 181446.00000016161357053, 538439.99999998277053237 181472.99999994150130078, 538437.39099986781366169 181433.78800006528035738, 538392.14700008509680629 181418.59099987396621145, 538433.32400000840425491 181356.38400001879199408, 538312.0559999825200066 181334.95399994068429805, 538218.96799997962079942 181300.60899987435550429, 538193.44299990520812571 181293.52099984174128622, 538182.99999992456287146 181321.99999998183920979, 538170.00000013189855963 181355.0009999809844885, 538286.9999999760184437 181433.99999987942283042, 538239.98899989202618599 181559.11799990182043985, 538099.11599983519408852 181497.47699983115307987, 538080.00000006763730198 181521.99999989668140188, 538054.99999999278225005 181542.99999987747287378, 537906.00000008009374142 181472.99999994150130078, 537911.20700013404712081 181451.82600003902916797, 537897.46299998043105006 181444.12899993857718073, 537843.95200000004842877 181698.3619998429203406, 537899.00000008649658412 181741.00000008731149137, 537899.2540001057786867 181704.40300011102226563, 537938.00000014854595065 181698.99900004756636918, 537967.47400009236298501 181667.15800009621307254, 538077.95200003043282777 181689.20800007606158033, 538081.7160001442534849 181689.65100016360520385, 538158.2750001426320523 181698.72499983280431479, 538186.29099999973550439 181756.89199988712789491, 538203.55200011096894741 181741.9819999007449951, 538159.54099992651026696 181900.94999994107638486, 538274.35199999739415944 181930.58500015828758478, 538402.00000011525116861 181806.19999997885315679)))</t>
  </si>
  <si>
    <t>E01004249</t>
  </si>
  <si>
    <t>Tower Hamlets 018D</t>
  </si>
  <si>
    <t>MultiPolygon (((538089.99999998440034688 182788.9999999314895831, 538069.99999998486600816 182677.20000010301009752, 538064.97900006338022649 182668.66499997099163011, 538051.25199988845270127 182666.29900012150756083, 538042.75099992635659873 182669.37999987849616446, 538042.00000008346978575 182666.00000009351060726, 538037.77399998041801155 182642.24699991100351326, 538004.50699990545399487 182683.98500004250672646, 537977.30200006696395576 182661.55400011301389895, 537960.84899995394516736 182668.42299998350790702, 537962.92100004490930587 182675.56199998149531893, 537957.13599997095298022 182714.84900008299155161, 537836.72899989492725581 182696.85900010899058543, 537833.00400009646546096 182670.08399997549713589, 537834.94300001137889922 182661.79500009550247341, 537819.73900003090966493 182605.46500010951422155, 537813.9999999423744157 182564.99999998600105755, 537851.9379999004304409 182495.00899991049664095, 537789.99999999196734279 182494, 537732.63799998036120087 182495.11899997151340358, 537694.46300005994271487 182541.73100002299179323, 537748.99999988288618624 182570.99999991251388565, 537684.00000006787013263 182692.99999988501076587, 537721.06100004189647734 182709.52200009851367213, 537666.14100001542828977 182777.90099993799231015, 537711.91500003344845027 182811.27000003401190042, 537765.5829999124398455 182822.62500008501228876, 537802.82900007790885866 182887.25600001099519432, 537839.82799998635891825 182902.86500006049755029, 537922.0000000863801688 182983, 537966.22999996389262378 182969.36000001549837179, 538089.99999998440034688 182788.9999999314895831)))</t>
  </si>
  <si>
    <t>E01004236</t>
  </si>
  <si>
    <t>Tower Hamlets 008B</t>
  </si>
  <si>
    <t>MultiPolygon (((538576.00000014062970877 181034.9999998843704816, 538600 180962.99999999220017344, 538505.12700002500787377 180930.56000008282717317, 538508.62099998432677239 180970.34199985468876548, 538395.85600008442997932 180984.62399989375262521, 538411.63700002187397331 180872.62999987657531165, 538355.84899997035972774 180871.01799997655325569, 538360.35200014372821897 180780.82199990781373344, 538446.167000129702501 180770.92399987656972371, 538516.99999998905695975 180670.99999992342782207, 538521.99999998591374606 180662.99999986562761478, 538527.87099987815599889 180654.96899995469721034, 538367.99999989371281117 180644.99900015312596224, 538377.00000007660128176 180605.00000015311525203, 538329.99999985471367836 180564.99999986405600794, 538140.14800004218704998 180592.20599997343379073, 538054.61499991558957845 180581.54600014843163081, 538058.99999989848583937 180612.26600003126077354, 538071.26299984846264124 180688.03699986718129367, 538039.16199994378257543 180752.94000005311681889, 537997.60000007494818419 180875.47999991875258274, 537971.875 181011.68700012343470007, 538018.76500014530029148 181015.18499998282641172, 538105.28899999370332807 181023.44099992187693715, 538215.28799995000008494 181037.29699993281974457, 538346.55299996410030872 181053.31499991251621395, 538583.4479998656315729 181124.14600013595190831, 538560.00000002502929419 181087.00000010311487131, 538576.00000014062970877 181034.9999998843704816)))</t>
  </si>
  <si>
    <t>E01004219</t>
  </si>
  <si>
    <t>Tower Hamlets 028B</t>
  </si>
  <si>
    <t>E02000891</t>
  </si>
  <si>
    <t>Tower Hamlets 028</t>
  </si>
  <si>
    <t>MultiPolygon (((538327.93799999635666609 182673.65599973048665561, 538329.3130001334939152 182665.12600023896084167, 538315.0000001834705472 182602.75000027337227948, 538287.83299996517598629 182468.58799984602956101, 538285.36999976495280862 182438.00000024324981496, 538284.31299985980149359 182416.42199976526899263, 538221.87500013725366443 182262.7340000310796313, 538036.60500013432465494 182059.74100002850173041, 537922.69299974641762674 181983.61799993194290437, 537898.6329999630106613 181965.78800000000046566, 537785.28100026503670961 182082.84800027453457005, 537736.48599974671378732 182214.08099976758239791, 537735.99999986658804119 182307.00000027869828045, 537812.99999972619116306 182322.99999979219865054, 537803.34399972553364933 182391.70399973000166938, 537789.99999997136183083 182493.99999993795063347, 537851.93799979658797383 182495.00900010330951773, 537814.00000008009374142 182564.99999991018557921, 537819.73899984557647258 182605.46500022520194761, 537834.94300013489555568 182661.79500008700415492, 537833.0040002609603107 182670.0839997207513079, 537836.72899986035190523 182696.85900001495610923, 537957.13599982741288841 182714.84899982463684864, 537962.92099980928469449 182675.5619999231712427, 537960.84900005080271512 182668.42300010946928523, 537977.30199976323638111 182661.55400022922549397, 538004.50699986866675317 182683.98500004148809239, 538037.7740001775091514 182642.24699987462372519, 538042.00000027450732887 182665.99999987860792316, 538042.75099988235160708 182669.37999981147004291, 538051.2519998571369797 182666.29899988771649078, 538064.97899972391314805 182668.66500000841915607, 538070.00000012177042663 182677.20000026474008337, 538089.99999993294477463 182788.99999980692518875, 537966.23000017367303371 182969.36000006773974746, 537921.99999973084777594 182983.00000026647467166, 537876.45199981995392591 183080.54800013345084153, 537883.71000005980022252 183083.77700000000186265, 538097.59299998660571873 183015.65399993967730552, 538121.43799986445810646 182941.18699980757082812, 538236.99999996996484697 182843.7500000374566298, 538327.93799999635666609 182673.65599973048665561)))</t>
  </si>
  <si>
    <t>E01004238</t>
  </si>
  <si>
    <t>Tower Hamlets 008D</t>
  </si>
  <si>
    <t>MultiPolygon (((537560.68799985211808234 184224.0470000367204193, 537513.15799973567482084 184162.22099969975533895, 537482.51099972450174391 184104.18399994150968269, 537414.99999998207204044 184147.99899997856118716, 537371.09200023591984063 184136.59499991603661329, 537326.1920001731486991 184202.44599979030317627, 537294.99999991559889168 184177.00000014677061699, 537294.00000013411045074 184118.00000021557207219, 537162.99999990651849657 184012.00000029569491744, 537127.00000007881317288 184101.00000008326605894, 537056.00000020512379706 184042.99999993355595507, 537027.99999991175718606 183972.00000005980837159, 537124.99999987473711371 183883.00000027223723009, 537163.9999996880069375 183806.99900011532008648, 537153.72399982006754726 183759.87999991289689206, 537061.94099979568272829 183714.18800025901873596, 537041.31400010827928782 183761.71899982780450955, 536968.0630003121914342 183747.85799983923789114, 537022.27999980235472322 183627.43999984607216902, 537048.361999855726026 183575.27599973938777111, 537061.8760001368355006 183549.96200024138670415, 537072.85599971236661077 183529.95000028505455703, 537094.51599969842936844 183488.54699981849989854, 537124.99999987473711371 183382.00000010657822713, 537048.999999811174348 183326.99999994251993485, 537033.00000010151416063 183315, 536919.12799977825488895 183474.07100009892019443, 536901.99999987392220646 183502.00000017313868739, 536955.00099992728792131 183535.9999997966515366, 536876.61199987668078393 183701.16300012372084893, 536868.00000025040935725 183731.99999992671655491, 536903.83199977630283684 183737.63100005939486437, 536827.20799978240393102 183827.70600022113649175, 536882.78399988217279315 183850.37899992044549435, 536880.80699990259017795 183882.99200016626855358, 536831.05199972726404667 183883.42400011804420501, 536895.74100007850211114 183931.18700019517564215, 536856.06299977994058281 183982.07800002992735244, 536908.4309997035888955 183990.43099983202409931, 536894.22500019427388906 184032.30799968473729677, 536944.00000031397212297 184080.00100027717417106, 536913.84500008751638234 184117.49000003209221177, 536982.59199985221493989 184169.52099989986163564, 536977.99999993748497218 184277.99999987689079717, 536894.68199991621077061 184483.61300014919834211, 536942.77000021084677428 184507.86900021941983141, 537011.23200028773862869 184557.62000002118293196, 537443.24999990034848452 184597.17099999997299165, 537643.93799993442371488 184573.35899971993057989, 537653.42800013045780361 184527.91500014523626305, 537655.15900021768175066 184407.23100031531066634, 537642.25000001594889909 184353.78100000493577681, 537575.50000017532147467 184315.14099983093910851, 537560.68799985211808234 184224.0470000367204193)))</t>
  </si>
  <si>
    <t>E01004224</t>
  </si>
  <si>
    <t>Tower Hamlets 001C</t>
  </si>
  <si>
    <t>E02000864</t>
  </si>
  <si>
    <t>Tower Hamlets 001</t>
  </si>
  <si>
    <t>MultiPolygon (((537326.19200002436991781 184202.44599999999627471, 537371.0919998858589679 184136.59500004953588359, 537414.9999997093109414 184147.99900017789332196, 537482.51099991227965802 184104.18400009046308696, 537450.81300012476276606 184006.64099999540485442, 537335.31300030194688588 183896.81200021487893537, 537349.81299999158363789 183805.46700020311982371, 537447.81300012080464512 183703.57800005094031803, 537519.40399996028281748 183522.1469999875407666, 537565.5629997820360586 183465.2030003130203113, 537556.62499981373548508 183366.15700006511178799, 537608.50000029394868761 183265.62499975066748448, 537883.71000001777429134 183083.77700012750574388, 537876.45200020982883871 183080.54799969695159234, 537838.68499990901909769 183057.89399971844977699, 537831.52099999703932554 183053.58900029587675817, 537749.77099972451105714 182993.58500023517990485, 537723.75099978246726096 182970.83399988035671413, 537694.62600015581119806 182952.40199987185769714, 537597.51699970685876906 182907.104000198218273, 537512.28200018417555839 182884.71199999999953434, 537518.53899983072187752 182953.9050000247079879, 537462.96299977845046669 183010.24499984865542501, 537495.68600027554202825 183022.91999988185125403, 537470.27500032575335354 183054.07000021942076273, 537488.22100026905536652 183036.19499978405656293, 537531.33500012953300029 183071.30199983101920225, 537574.40400003280956298 183008.89599997404729947, 537624.49299985310062766 183084.16000017346232198, 537624.5049997977912426 183089.39100026799133047, 537619.39399980893358588 183148.80799990557716228, 537536.33100015460513532 183268.06099971960065886, 537440.79399970511440188 183348.19500019558472559, 537415.00099986942950636 183331.2450002720579505, 537403.47700029425323009 183340.5299997934489511, 537376.90800008329097182 183310.29599984450032935, 537323.34699979983270168 183354.68999973306199536, 537300.76100016676355153 183332.10500026002409868, 537255.87499991117510945 183400.6560002799378708, 537326.33399969909805804 183466.99899993851431645, 537301.23800010874401778 183465.87499985005706549, 537159.03999984601978213 183608.55699985774117522, 537048.3619998621288687 183575.2760002862487454, 537022.27999987651128322 183627.44000025754212402, 536968.06299998227041215 183747.85800013568950817, 537041.31400007416959852 183761.71900030088727362, 537061.94099968043155968 183714.18800021646893583, 537153.72399997874163091 183759.87999972063698806, 537164.00000003702007234 183806.99899972812272608, 537124.99999998568091542 183882.99999998847488314, 537027.99999985774047673 183972.00000010585063137, 537055.99999989464413375 184043.00000019950675778, 537126.9999999882420525 184101.00000027599162422, 537163.0000000357395038 184012.00000015861587599, 537294.00000020849984139 184118.0000002984306775, 537295.00000020989682525 184176.99999971737270243, 537326.19200002436991781 184202.44599999999627471)))</t>
  </si>
  <si>
    <t>E01032764</t>
  </si>
  <si>
    <t>Tower Hamlets 004E</t>
  </si>
  <si>
    <t>MultiPolygon (((537159.03999999805819243 183608.55700000002980232, 537301.23799986159428954 183465.87499998329440132, 537326.33399995544459671 183466.99899993537110277, 537255.87499996379483491 183400.65600002149585634, 537300.76100001099985093 183332.10499999672174454, 537229.3620000765658915 183270.82100003148661926, 537184.88700005144346505 183219.64700006137718447, 537209.25299996440298855 183177.81600004015490413, 537231.99499996774829924 183121.05599996447563171, 537080.68999995233025402 183069.80300000726128928, 537018.29299986525438726 183054.2730000653245952, 536963.70600008126348257 183043.65200000000186265, 536992.31299999088514596 183103.45300006115576252, 536935.22200004442129284 183177.29000004750560038, 536964.47800010163336992 183142.61900001755566336, 536961.87200012733228505 183165.71499999877414666, 537040.92100006237160414 183157.02000003328430466, 537043.51099994988180697 183112.7339999916148372, 537034.23000001942273229 183074.83599992081872188, 537077.32800004445016384 183085.78200000093784183, 537100.00000012712553144 183095.0000000310537871, 537185.99999989091884345 183158.9999999669380486, 537135.64500003715511411 183216.28300010730163194, 537099.43699998676311225 183190.94199986750027165, 537106.43800012208521366 183231.12499999010469764, 537032.87200003420002759 183259.48499999011983164, 537048.99999993550591171 183327.000000116386218, 537124.99999998288694769 183381.99999996859696694, 537094.51600011566188186 183488.54700006602797657, 537072.85599994263611734 183529.950000096403528, 537061.87599992530886084 183549.96200008850428276, 537048.36199990042950958 183575.27600012891343795, 537159.03999999805819243 183608.55700000002980232)))</t>
  </si>
  <si>
    <t>E01032765</t>
  </si>
  <si>
    <t>Tower Hamlets 004F</t>
  </si>
  <si>
    <t>MultiPolygon (((536686.99999982805456966 184876.00000027011265047, 536688.52900000207591802 184799.97100004530511796, 536727.11900011857505888 184802.12599988252623007, 536749.68100023444276303 184814.28100013290531933, 536805.86600016010925174 184753.0300002011063043, 536948.05299967969767749 184769.30000015502446331, 536913.46200005675200373 184673.10099987022113055, 537026.00000021106097847 184702.99899991822894663, 536955.63299987174104899 184851.36700012450455688, 537073.13100029155611992 184916.08100023822044022, 537034.38200022000819445 184962.76799966511316597, 537221.68900004611350596 185087.30100030539324507, 537386.75499978242442012 184980.59000022371765226, 537572.07999980903696269 185011.68099983962019905, 537643.93799999996554106 184573.35900020942790434, 537443.24999976763501763 184597.17100003291852772, 537011.23200007539708167 184557.62000014452496544, 536942.76999976939987391 184507.86900013743434101, 536894.68199984228704125 184483.6129996603121981, 536774.25000019907020032 184439.23399979373789392, 536719.10400030901655555 184532.12800004243035801, 536627.81299988459795713 184568.25000014613033272, 536489.70800016866996884 184694.09900029361597262, 536466.99999968288466334 184715.99999985183239914, 536500.73999988799914718 184762.44899993881699629, 536460.16599966527428478 184854.35299975302768871, 536428.72500004875473678 184778.20399970491416752, 536302.56800014828331769 184825.44100021422491409, 536267.73800000001210719 184923.25800021522445604, 536372.92099971685092896 184969.05599990181508474, 536441.80299974849913269 184986.86699980570119806, 536360.39000029535964131 185088.41899972569081001, 536529.20400022412650287 185196.99700020629097708, 536638.78000030166003853 185060.2620000212918967, 536732.94300007517449558 184949.27400016502360813, 536686.99999982805456966 184876.00000027011265047)))</t>
  </si>
  <si>
    <t>E01001849</t>
  </si>
  <si>
    <t>Hackney 018D</t>
  </si>
  <si>
    <t>E02000362</t>
  </si>
  <si>
    <t>Hackney 018</t>
  </si>
  <si>
    <t>MultiPolygon (((538419.80100022058468312 185848.66800002922536805, 538392.382999945897609 185801.1560002158221323, 538420.31700009317137301 185806.93999983678804711, 538418.62599991995375603 185752.37399985347292386, 538426.44300007726997137 185742.65799996207351796, 538447.99499992979690433 185712.8250000806292519, 538452.60599998186808079 185752.78000018364400603, 538469.43400002713315189 185721.99700003094039857, 538431.34099983645137399 185664.91799997980706394, 538455.02899986109696329 185619.53599991297232918, 538455.37499991792719811 185586.05299985091551207, 538463.00000017404090613 185523.00000012456439435, 538497.54200012632645667 185508.37499998879502527, 538500.12100000807549804 185470.66699996616807766, 538476.89400008472148329 185461.22499989220523275, 538187.52299983007833362 185334.0530002003069967, 538178.49999997590202838 185330.75, 538156.81299984036013484 185332.60900014193612151, 538153.76599995058495551 185341.73199986168765463, 538104.37500019918661565 185580.31200003498815931, 538005.00000008218921721 185622.78100012929644436, 538127.00800002738833427 185739.16199993723421358, 538200.22300001000985503 185864.71000007825205103, 538270.32399992318823934 185996.27699998882599175, 538335.10799985739868134 186086.5150001306028571, 538453.48800014995504171 186215.63800000003539026, 538552.85599991795606911 186054.43000010913237929, 538428.31400018534623086 186009.50400008400902152, 538400.21200006920844316 185949.38900018593994901, 538406.93999997840728611 185878.60300006554462016, 538419.80100022058468312 185848.66800002922536805)))</t>
  </si>
  <si>
    <t>E01004336</t>
  </si>
  <si>
    <t>Waltham Forest 026A</t>
  </si>
  <si>
    <t>E02000920</t>
  </si>
  <si>
    <t>Waltham Forest 026</t>
  </si>
  <si>
    <t>E09000031</t>
  </si>
  <si>
    <t>Waltham Forest</t>
  </si>
  <si>
    <t>MultiPolygon (((539356.33800005377270281 186727.36099995905533433, 539337.34800007764715701 186646.42099995727767237, 539285.12300001631956547 186672.66400004993192852, 539143.76099996117409319 186596.08400009304750711, 539103.83800002851057798 186596.15600000414997339, 539093.9529999642400071 186643.47600009862799197, 539053.07999994046986103 186656.5859999732056167, 539050.43499993451405317 186662.57600008763256483, 538940.05099999997764826 186762.63199990993598476, 538983.03300009679514915 186825.795999923866475, 539027.99999989906791598 186894.29700004053302109, 539110.41699993622023612 187000.1589999069692567, 539146.40199989778921008 186985.08800007414538413, 539280.8620000722585246 186895.75699994809110649, 539337.86799995612818748 186856.02100008199340664, 539386.31300000008195639 186816.26599994182470255, 539356.33800005377270281 186727.36099995905533433)))</t>
  </si>
  <si>
    <t>E01004339</t>
  </si>
  <si>
    <t>Waltham Forest 027D</t>
  </si>
  <si>
    <t>E02000921</t>
  </si>
  <si>
    <t>Waltham Forest 027</t>
  </si>
  <si>
    <t>MultiPolygon (((538913.99999990582000464 186498.000999832584057, 538900.89200017845723778 186370.98400017226231284, 538953.15799994627013803 186434.48300010929233395, 538987.4869999842485413 186375.79900021498906426, 539028.26799985999241471 186383.04099982508341782, 539100.47099992702715099 186273.48100006132153794, 539124.60199997993186116 186241.1449999438773375, 539083.33599999861326069 186245.72800001507857814, 539048.45999977807514369 186208.1470000691479072, 539087.22200018994044513 186136.68500013786251657, 539023.89400011277757585 186161.21099985408363864, 539006.58100012165959924 186218.47899986081756651, 538984.02099992567673326 186185.91899993998231366, 538973.85500016750302166 186155.23599995384574868, 539001.62100020819343626 186149.63999982643872499, 539005.40899978904053569 186122.05800008587539196, 538861.80100004130508751 185988.26700017377152108, 538970.98299999756272882 185907.55599986045854166, 538950.99999995774123818 185871, 538874.09799983375705779 185888.10999990458367392, 538821.18199989199638367 185972.43799993890570477, 538803.90699991933070123 185957.55599982212879695, 538783.75599991553463042 185978.66899986917269416, 538725.49699998053256422 186051.67099984191008843, 538657.18899979256093502 186055.36500001078820787, 538552.85600003623403609 186054.4299999219365418, 538453.48800001991912723 186215.63799995227600448, 538568.93999989004805684 186334.01899979708832689, 538628.03800012555439025 186399.61699998742551543, 538757.93700005451682955 186542.90300021291477606, 538821.29100012080743909 186614.19399983852053992, 538940.05100018414668739 186762.63199999998323619, 539050.43499987747054547 186662.57599979141377844, 539053.07999990228563547 186656.58599996604607441, 538921.1850001571001485 186503.00000017552520148, 538913.99999990582000464 186498.000999832584057)))</t>
  </si>
  <si>
    <t>E01004340</t>
  </si>
  <si>
    <t>Waltham Forest 027E</t>
  </si>
  <si>
    <t>MultiPolygon (((538940.18500004464294761 187120.25099995246273465, 538996.75000008556526154 186892.24999994249083102, 539028.00000008114147931 186894.29699998264550231, 538983.03299993800465018 186825.79599995445460081, 538960.23999991791788489 186905.52400000102352351, 538883.6039999290369451 186803.69200000001001172, 538853.41299998469185084 186821.26300012069987133, 538857.19500000181142241 186884.43699999668751843, 538805.0960000678896904 186858.43800011510029435, 538754.01600012520793825 186885.99200008340994827, 538727.11900007305666804 186907.82999990438111126, 538675.62900008459109813 186900.04799996080691926, 538626.05300006957259029 186938.00000005168840289, 538701.39100004732608795 187075.06099992422969081, 538666.38200012617744505 187110.2970000660570804, 538671.08499989844858646 187147.33400001790141687, 538575.03699991886969656 187216.82800001083523966, 538590.04500006057787687 187310.60899999996763654, 538695.58899991016369313 187255.20199988663080148, 538856.00499992480035871 187170.34699998833821155, 538877.60999990906566381 187156.8299998878792394, 538940.18500004464294761 187120.25099995246273465)))</t>
  </si>
  <si>
    <t>E01004371</t>
  </si>
  <si>
    <t>Waltham Forest 025A</t>
  </si>
  <si>
    <t>E02000919</t>
  </si>
  <si>
    <t>Waltham Forest 025</t>
  </si>
  <si>
    <t>MultiPolygon (((538754.01599993940908462 186885.99199994438095018, 538805.09599986730609089 186858.43799997423775494, 538857.19500005105510354 186884.43699996420764364, 538853.41299998702015728 186821.26299990777624771, 538883.60400005057454109 186803.6919998925877735, 538960.24000008834991604 186905.52399991278070956, 538983.03300010308157653 186825.79600007893168367, 538940.05100000940728933 186762.63200011372100562, 538821.29099995677825063 186614.19399994218838401, 538757.9369999801274389 186542.90300002178992145, 538628.03800004511140287 186399.61700007220497355, 538568.93999986513517797 186334.01900000000023283, 538533.00000001629814506 186394.00000005637411959, 538509.40699987788684666 186423.27300006788573228, 538568.8250001072883606 186472.21400014054961503, 538555.79799993324559182 186509.07000002323184162, 538507.03399989695753902 186569.78899992461083457, 538527.30300013162195683 186587.82900005707051605, 538533.96500006667338312 186621.79999987970222719, 538577.23499991791322827 186578.61599995207507163, 538602.86800001282244921 186596.47599987740977667, 538585.06699990830384195 186619.42699989871471189, 538547.38099991530179977 186669.66200000981916673, 538562.99999991594813764 186748.99899986397940665, 538675.62900014233309776 186900.04799989185994491, 538727.11900007969234139 186907.82999999998719431, 538754.01599993940908462 186885.99199994438095018)))</t>
  </si>
  <si>
    <t>E01004374</t>
  </si>
  <si>
    <t>Waltham Forest 025C</t>
  </si>
  <si>
    <t>MultiPolygon (((538225.18200021074153483 186331.25800011400133371, 538309.63899971742648631 186153.12899971051956527, 538335.10799972759559751 186086.51499990827869624, 538270.32400010246783495 185996.27700011155684479, 538200.22300013154745102 185864.70999997403123416, 538127.00799983169417828 185739.16200021462282166, 538004.99999991152435541 185622.78099971296614967, 537587.00000022177118808 185476, 537570.8749997322447598 185509.39100002075429074, 537514.02100027236156166 185777.56500025061541237, 537782.50799978349823505 186113.25400010051089339, 537744.07900014764163643 186095.51099992214585654, 537598.51499974215403199 186210.932999785291031, 537754.82300025760196149 186331.79699985330807976, 537786.1919999998062849 186311.43000009408569895, 537848.99999993515666574 186349.99999989854404703, 537826.07600023539271206 186380.97799975392990746, 537845.93399993248749524 186449.47599987467401661, 538001.81399999593850225 186562.0799997157882899, 537982.40099972509779036 186666.71899976814165711, 538004.5179999201791361 186679.93599999998696148, 538023.71200001880060881 186614.59199977785465308, 538069.68800008785910904 186476.56199970474699512, 538219.65399984759278595 186338.00100004705018364, 538225.18200021074153483 186331.25800011400133371)))</t>
  </si>
  <si>
    <t>E01004430</t>
  </si>
  <si>
    <t>Waltham Forest 026D</t>
  </si>
  <si>
    <t>MultiPolygon (((539799 187794.99999998707789928, 539726.34999985061585903 187677.28000021012849174, 539609.17500003264285624 187590.31600015293224715, 539482.13399983150884509 187713.43300004556658678, 539380.62199995690025389 187588.59799986216239631, 539352.72699992114212364 187539.09199996537063271, 539287.00000003131572157 187531.99999981885775924, 539245.75399988179560751 187505.23000007803784683, 539228.48700011195614934 187475.89299985487014055, 539161.61300007195677608 187470.1959998328529764, 539104.9899998209439218 187509.61899985358468257, 539082.39900017983745784 187597.16299981586053036, 539036.21300002187490463 187569.26499985854024999, 538937.32499999995343387 187627.00600015674717724, 538973.73000013583805412 187698.54899997112806886, 539015.06700005871243775 187704.94199987920001149, 539048.57600013387855142 187728.42399990564445034, 539239.44399995636194944 187587.66400017103296705, 539262.31000015791505575 187626.16299980817711912, 539352.12199980847071856 187747.94800008228048682, 539417.365999840432778 187759.20900015922961757, 539442.17600002093240619 187735.09099996945587918, 539479.57000013231299818 187777.93700005015125498, 539328.86699987482279539 188020.35099982190877199, 539362.60200006887316704 188040.40599989303154871, 539396.45099986554123461 188060.52400003929506056, 539583.51200019614771008 188173.708999982860405, 539587.12699997203890234 188175.8899997929984238, 539623.11199989449232817 188197.6790001671470236, 539765.64800012577325106 187905.66200002050027251, 539781.33299992419779301 187876.99999980197753757, 539799 187794.99999998707789928)))</t>
  </si>
  <si>
    <t>E01004436</t>
  </si>
  <si>
    <t>Waltham Forest 021B</t>
  </si>
  <si>
    <t>E02000915</t>
  </si>
  <si>
    <t>Waltham Forest 021</t>
  </si>
  <si>
    <t>MultiPolygon (((539909.87499984819442034 187897.46900007742806338, 539949.25000006856862456 187834.9060000937897712, 540009.81300003849901259 187862.24999998739804141, 540016.1089999625692144 187780.98999989902949892, 540030.125 187603.92199998733121902, 539931.37500018486753106 187609.7499999827996362, 539992.97000004618894309 187402.31300003314390779, 539955.83600013540126383 187394.04699993957183324, 539954.78599988075438887 187352.98499993205768988, 539854.49999989976640791 187331.00000008518691175, 539736.6559999615419656 187380.61799994835746475, 539722.82699989143293351 187451.81899991992395371, 539670.43199994042515755 187465.50100006861612201, 539613.23100006417371333 187291.51699996922980063, 539486.22399982018396258 187316.78799989860272035, 539452.73600002494640648 187334.49200013789231889, 539388.66099997924175113 187288.26899989228695631, 539389.38400010566692799 187185.99999986009788699, 539296.00000009778887033 187326.00000005116453394, 539270.99999992758966982 187346.99999981326982379, 539323.99999990744981915 187404.99999982712324709, 539334.24800003203563392 187426.35000018187565729, 539268.49500000011175871 187463.55199994225404225, 539287.00000003643799573 187531.99999992974335328, 539352.72699992440175265 187539.09199993079528213, 539380.62199989904183894 187588.59799981754622422, 539482.13399987993761897 187713.43300000252202153, 539609.17500004870817065 187590.31599984981585294, 539726.3500001891516149 187677.28000009580864571, 539799.00000009336508811 187794.99999981539440341, 539781.33299983944743872 187876.99999999257852323, 539842.06300013465806842 187886.14099985410575755, 539838.8160000778734684 187928.14100013990537263, 539909.87499984819442034 187897.46900007742806338)))</t>
  </si>
  <si>
    <t>E01004438</t>
  </si>
  <si>
    <t>Waltham Forest 024C</t>
  </si>
  <si>
    <t>E02000918</t>
  </si>
  <si>
    <t>Waltham Forest 024</t>
  </si>
  <si>
    <t>MultiPolygon (((539296.00000017322599888 187326.00000004316098057, 539389.38399983162526041 187186.00000006082700565, 539388.66099996364209801 187288.2690000623697415, 539452.73600012867245823 187334.49200011105858721, 539486.2240001360187307 187316.78799997153691947, 539438.99999984388705343 187268.00000017948332243, 539431.50199994363356382 187212.60900003102142364, 539480.50399986654520035 187221.36300002064672299, 539608.85700004000682384 187203.16000008411356248, 539630.49699991196393967 187169.44099992993869819, 539612.61200011125765741 187114.68999987203278579, 539657.6099998455028981 187091.46599983482155949, 539662.81200000003445894 187025.62900010019075125, 539611.02400012698490173 187014.96099995996337384, 539652.99999999068677425 187006.99999981137807481, 539651.03099997341632843 186935.12099985248642042, 539573.93800001055933535 186972.65600006564636715, 539425.70500001776963472 186972.85199983327765949, 539410.21199993707705289 186972.87200010602828115, 539386.31299982278142124 186816.26600015666917898, 539337.86799982038792223 186856.02100002145743929, 539280.86200012429617345 186895.75699996083858423, 539146.40199991979170591 186985.08800007757963613, 539110.41699984006118029 187000.15900001756381243, 539028.00000013969838619 186894.29700007324572653, 538996.75000014714896679 186892.25000005229958333, 538940.18500012450385839 187120.25099987734574825, 538877.60999999998603016 187156.83000016625737771, 539009.16800000739749521 187218.10100001798127778, 539149.0000001328298822 187275.99900017885374837, 539192.99999988044146448 187375.00000005660695024, 539204.06899993389379233 187410.12199992960086092, 539228.48700011800974607 187475.89299990271683782, 539245.75400001043453813 187505.23000009203678928, 539286.99999993038363755 187531.99999984333408065, 539268.49499991920311004 187463.55200009138206951, 539334.24799992167390883 187426.35000012037926354, 539324.00000001257285476 187405.00000008087954484, 539271.00000002211891115 187346.99999982459121384, 539296.00000017322599888 187326.00000004316098057)))</t>
  </si>
  <si>
    <t>E01004440</t>
  </si>
  <si>
    <t>Waltham Forest 024D</t>
  </si>
  <si>
    <t>MultiPolygon (((538467.82000012334901839 186560.37800012269872241, 538478.00000003178138286 186539.00000012860982679, 538507.03399995679501444 186569.78899989667115733, 538555.79800010996405035 186509.07000013184733689, 538568.82500010705552995 186472.21399989229394123, 538509.40700011153239757 186423.27299988511367701, 538532.99999992724042386 186394.00000011367956176, 538568.93999996862839907 186334.01900008757365867, 538453.48800006543751806 186215.63799997681053355, 538335.10800002759788185 186086.51500000004307367, 538309.63900006993208081 186153.1289999479195103, 538225.18200003867968917 186331.25799987674690783, 538251.7209999697515741 186348.71900007512886077, 538202.49600003135856241 186405.33800001913914457, 538284.43799994222354144 186484.2619998920999933, 538270.0910001223674044 186515.6700000447453931, 538308.92300007084850222 186552.29200000336277299, 538334.26199987239670008 186532.64799991933978163, 538414.18199991679284722 186619.17699999999604188, 538467.82000012334901839 186560.37800012269872241)))</t>
  </si>
  <si>
    <t>E01004376</t>
  </si>
  <si>
    <t>Waltham Forest 025E</t>
  </si>
  <si>
    <t>MultiPolygon (((540762.83200004987884313 188215.31700020504649729, 540776.99999999150168151 188191.00000002820161171, 540886.98999995831400156 188211.89400011708494276, 540902.16399987833574414 188168.43499982080538757, 540875.42499983392190188 188132.99099996100994758, 540894.50700016354676336 188100.89800017196102999, 540872.07300008099991828 188132.44500016738311388, 540791.41300019749905914 188120.31099992577219382, 540709.65399980824440718 188060.19500001013511792, 540768.73499998182523996 187987.47999991019605659, 540760.02900003525428474 188016.57999990112148225, 540797.40500013204291463 188027.32599988603033125, 540871.33199984789825976 188003.96499986271373928, 540903.1979999381583184 187907.51800000635557808, 540877.06499992625322193 187849.72600012199836783, 540908 187793.00000000576255843, 540901.03499992669094354 187792.50299990575877018, 540654.72899980412330478 187734.93199983090744354, 540640.64599978923797607 187776.51500005327397957, 540579.20100017369259149 187771.2140000780345872, 540429.467999825370498 187659.89200001760036685, 540388.44600001769140363 187672.13999994963523932, 540380.24300006020348519 187726.99899982567876577, 540332.99999990779906511 187726.99899982567876577, 540331.99999981862492859 187820.01600002276245505, 540289.06799996632616967 187820.0890001711959485, 540296.76900006586220115 187780.84899977879831567, 540016.10899985744617879 187780.98999986861599609, 540009.81300000008195639 187862.24999989542993717, 540024.90499993786215782 187871.75200010705157183, 540197.1709998871665448 187982.21200022354605608, 540204.84600016754120588 187987.1139999350416474, 540395.76499983877874911 188112.34299981861840934, 540419.13800008955877274 188126.98699979908997193, 540629.30000011017546058 188252.93400004130671732, 540702.32999978016596287 188305.40999977843603119, 540767.43600017670542002 188340.25500007523805834, 540812.08700015896465629 188350.04899998239125125, 540840.15499990340322256 188237.27700006208033301, 540762.83200004987884313 188215.31700020504649729)))</t>
  </si>
  <si>
    <t>E01003789</t>
  </si>
  <si>
    <t>Redbridge 018A</t>
  </si>
  <si>
    <t>E02000768</t>
  </si>
  <si>
    <t>Redbridge 018</t>
  </si>
  <si>
    <t>E09000026</t>
  </si>
  <si>
    <t>Redbridge</t>
  </si>
  <si>
    <t>MultiPolygon (((540332.00000020896550268 187820.01600027090171352, 540332.99999985401518643 187726.99899998705950566, 540380.24300038476940244 187726.99899998705950566, 540388.44600038265343755 187672.13999965769471601, 540429.46799956634640694 187659.8919999340432696, 540579.20099966588895768 187771.21400028732023202, 540640.64599998772609979 187776.51500000827945769, 540654.72899992333259434 187734.93200034304754809, 540901.03500029910355806 187792.50300023035379127, 540870.23300025356002152 187533.66899983256007545, 540852.98499959288164973 187468.38700023910496384, 540974.04600023769307882 187417.9659995763504412, 540940.40100035269279033 187241.07400025261449628, 540957.93299994699191302 187081.36400015029357746, 540761.54799995943903923 187133.99999975095852278, 540750.77199976390693337 187066.99200004883459769, 540625.71300030872225761 187064.99999983751331456, 540589.99999992467928678 187064.99999983751331456, 540497.46799983480013907 187058.98599996374105103, 540460.72600043355487287 187183.08800024597439915, 540441.55000032705720514 187172.76299963984638453, 540452.99999974272213876 186985.00000021298183128, 540457.99899989098776132 186927.99999965558527038, 540505.00000026717316359 186690.00000007203198038, 540497.69799956330098212 186197.58999956157640554, 540502.00000042817555368 186017.0119998486188706, 540447.71699975687079132 186016.12599973104079254, 540398.24500009254552424 186011.97899999999208376, 540352.12500040978193283 186159.2499997747654561, 540312.43800025945529342 186139.79699992848327383, 540307.18800008913967758 186080.32799985253950581, 540158.75000001362059265 186087.46900011360412464, 540128.22700038168113679 186125.9790002107329201, 540003.50099964113906026 186282.41999981287517585, 539997.05499979783780873 186290.87100017844932154, 539868.24999963119626045 186408.93700040847761557, 539762.94800026866141707 186429.49900000297930092, 539738.26200010231696069 186535.09100032018614002, 539728.45099996647331864 186582.47699975056457333, 539715.17600009124726057 186684.02699999659671448, 539712.29799976234789938 186839.13999975917977281, 539715.24999970511998981 186909.45300033566309139, 539722.24499960395041853 187056.9529999541118741, 539720.56299985211808234 187114.34399977876455523, 539933.68800024327356368 187124.45299994805827737, 540003.62599970970768481 187170.86399956635432318, 540030.70400012622121722 187221.45700030907755718, 539992.97000015864614397 187402.31299964670324698, 539931.37499993515666574 187609.74999968483461998, 540030.12499990966171026 187603.92200008677900769, 540016.10900039412081242 187780.98999993386678398, 540296.76900036446750164 187780.84899989984114654, 540289.06800041068345308 187820.08899999997811392, 540332.00000020896550268 187820.01600027090171352)))</t>
  </si>
  <si>
    <t>E01003791</t>
  </si>
  <si>
    <t>Redbridge 027B</t>
  </si>
  <si>
    <t>E02000777</t>
  </si>
  <si>
    <t>Redbridge 027</t>
  </si>
  <si>
    <t>MultiPolygon (((540384.74300006206613034 188838.10900008917087689, 540402.40599996992386878 188784.06400013936217874, 540428.45999990880955011 188818.58700006495928392, 540492.44800001452676952 188797.3210001110273879, 540558.31000009970739484 189055.04399991995887831, 540607.7110000109532848 189062.72499987966148183, 540635.6049999677343294 188988.41399987257318571, 540605.38700005959253758 188975.84899983979994431, 540636.40699989150743932 188914.16200009372550994, 540665.73699982010293752 188855.82099982141517103, 540785.43800015340093523 188907.18699996973737143, 540845.50000002095475793 188843.65599997009849176, 540796.62899996945634484 188796.67600006441352889, 540823.3810000151861459 188793.73199996168841608, 540870.43799991032574326 188814.73399995180079713, 540911.18800006248056889 188769.81300006766105071, 540879.68800016131717712 188741.32900005680858158, 540893.00200005760416389 188705.10700016160262749, 540945.68800002499483526 188680.85899990759207867, 540970.06300005898810923 188703.46800001498195343, 541008.16799999983049929 188656.90999991641729139, 540968.06299989437684417 188636.40600012810318731, 540938.49199996504466981 188517.64100000407779589, 540869.9999999029096216 188511.84400005615316331, 540880.37499989825300872 188461.60899982030969113, 540778.12499997450504452 188421.49899988426477648, 540766.81300017493776977 188445.6569998467748519, 540699.95799995586276054 188401.18200007028644904, 540574.25300000689458102 188380.93400014561484568, 540532.99999982246663421 188435.00000012628152035, 540575.53899986436590552 188458.68099991790950298, 540556.29300013987813145 188517.33599994462565519, 540626.04099996236618608 188560.5679998915293254, 540568.21699999051634222 188618.97500015477999114, 540513.36800018465146422 188607.00000017613638192, 540492.69099994748830795 188646.60500014765420929, 540468.45200013101566583 188619.96500001905951649, 540450.07799981441348791 188673.63200015571783297, 540403.75200002163182944 188679.9169999017030932, 540298.25399990170262754 188780.7470000539906323, 540276.00000001571606845 188758.00000016807462089, 540265.52700000000186265 188819.33499996238970198, 540332.43100004352163523 188822.30599989267648198, 540299.37999998359009624 188883.84199992948560975, 540343.22200004942715168 189058.4990001551923342, 540387.7939998802030459 189059.79100018061581068, 540402.99999988847412169 189105.99999985439353622, 540438.54600004514213651 189101.28899985886528157, 540384.74300006206613034 188838.10900008917087689)))</t>
  </si>
  <si>
    <t>E01003777</t>
  </si>
  <si>
    <t>Redbridge 014D</t>
  </si>
  <si>
    <t>E02000764</t>
  </si>
  <si>
    <t>Redbridge 014</t>
  </si>
  <si>
    <t>MultiPolygon (((539139.68799967924132943 189093.15599982003914192, 539362.87699985550716519 189089.10399982394301333, 539696.18799994816072285 189093.90299998086993583, 539740.24999995005782694 189093.65600023968727328, 539725.25000019592698663 188996.10899989999597892, 539756.56299978611059487 188924.81200031228945591, 539726.82000022998545319 188906.61299971744301729, 539842.37000027042813599 188591.60299994051456451, 539891.27899982105009258 188372.0859998466912657, 539898.06400014506652951 188099.56199977576034144, 539837.70100015506614 187951.70600006156018935, 539838.81599970604293048 187928.14100024581421167, 539842.06299993849825114 187886.14100012354901992, 539781.33299970126245171 187876.99999992977245711, 539765.64800001389812678 187905.66199984183185734, 539623.11199976573698223 188197.67899998585926369, 539587.12699992931447923 188175.88999995830818079, 539583.51200030674226582 188173.70900006662122905, 539396.45099967485293746 188060.52400028851116076, 539362.60199979355093092 188040.40600019751582295, 539328.86700015666428953 188020.3510001526447013, 539297.81300015561282635 188001.89100033181603067, 539218.23799974063877016 188134.58999974801554345, 539065.08099981292616576 187987.61699982240679674, 538967.70699981437064707 187911.08399970422033221, 538935.78999977128114551 187889.56800010174629278, 538780.71699980273842812 187770.33100000003469177, 538718.69799985503777862 187839.13600009030778892, 538782.5699997975025326 187829.24600009882124141, 538760.67000033205840737 187876.50199982256162912, 539035.29199982644058764 188096.19399989437079057, 539064.74500001734122634 188058.80100033537019044, 539166.82500016910489649 188142.10300030480721034, 539144.90900023083668202 188165.93100033453083597, 539261.81599979568272829 188215.38699987810105085, 539242.00000026891939342 188254.00000019086292014, 539445.99999989767093211 188410.00000006592017598, 539166.61700010264758021 188546.70899967267177999, 538850.99999974190723151 188751.99999999991268851, 538837.0000001514563337 188835.00000008070492186, 538755.99899990425910801 188824.00000030602677725, 538767.00000017287675291 188894.00000028460635804, 538725.34299992641899735 188874.73700033701607026, 538852.80600016331300139 188958.71300021011848003, 538951.73200008634012192 189027.6699997253890615, 539075.93799987970851362 189121.4370000000053551, 539139.68799967924132943 189093.15599982003914192)))</t>
  </si>
  <si>
    <t>E01004362</t>
  </si>
  <si>
    <t>Waltham Forest 021A</t>
  </si>
  <si>
    <t>MultiPolygon (((541023.34000038437079638 189079.46499999999650754, 541096.58799982944037765 188920.39999966189498082, 541131.8380001587793231 188934.26200003892881796, 541212.83600015204865485 188914.24800031841732562, 541414.39800019399262965 188772.74099963682238013, 541539.10000040847808123 188740.38699990473105572, 541558.63700019137468189 188693.98600025763153099, 541639.06200006965082139 188718.88100008384208195, 541683.54499987792223692 188617.93200017188792117, 541606.68800016085151583 188481.53100032621296123, 541519.49999998509883881 188406.5319999179628212, 541498.12500023143365979 188333.62599963700631633, 541495.41799987852573395 188321.79599993856390938, 541469.50000015436671674 188171.57699993692222051, 541573.8130002700490877 188116.07799990716739558, 541794.20799991255626082 187888.32400040375068784, 541504.8720002198824659 187574.3970000485132914, 541272.62099964264780283 187414.36799974675523117, 541078.08600038604345173 187402.01999999998952262, 540974.0460002503823489 187417.96600017318269238, 540852.98500008741393685 187468.38700011768378317, 540870.23300035938154906 187533.66900029280805029, 541054.22600006044376642 187743.1910002225486096, 541038.12000015086960047 187794.29300006220000796, 541068.28600017423741519 187824.99999958233092912, 541098.43999975617043674 187831.22300014033680782, 541094.59799985750578344 187786.44199971173657104, 541279.23199993895832449 187825.29100022476632148, 541090.37200008810032159 188041.24500029484624974, 541043.93199984473176301 188057.75500025186920539, 541003.60400026885326952 188125.78899991954676807, 541040.66300006106030196 188148.01800034221378155, 541017.17800011381041259 188175.79499997105449438, 541055.99999963340815157 188201.99999963131267577, 541033.08099982317071408 188232.5580000992922578, 541170.07199985021725297 188383.55300041622831486, 541142.67299987131264061 188452.50200020166812465, 541057.19600030523724854 188429.21999961597612128, 541038.85399975953623652 188473.34100008336827159, 541084.73599960107821971 188604.20399997252388857, 541040.70499992894474417 188667.05599964241264388, 541018.51699961698614061 188724.08199966244865209, 540990.09700009331572801 188719.98499960720073432, 540865.71699970483314246 188872.79099974015844055, 540932.27600017725490034 188945.9250000229512807, 541022.48999958299100399 188984.49500033506774344, 540995.47399971750564873 189034.22900016367202625, 540942.43499961937777698 189039.14999978413106874, 540980.19299996900372207 189068.07800010649953038, 541023.34000038437079638 189079.46499999999650754)))</t>
  </si>
  <si>
    <t>E01003795</t>
  </si>
  <si>
    <t>Redbridge 018C</t>
  </si>
  <si>
    <t>MultiPolygon (((540114.68800024082884192 188677.06799985244288109, 540198.8620000722585246 188661.87700024674995802, 540217.61299990478437394 188687.59299990569707006, 540275.99999978672713041 188758.00000012171221897, 540298.25400003034155816 188780.7470001824258361, 540403.75199985853396356 188679.91699975921073928, 540450.07799991779029369 188673.63200002696248703, 540468.45199991983827204 188619.96500023704720661, 540492.69099998020101339 188646.60500008304370567, 540513.36799996125046164 188606.99999975724495016, 540568.21700000343844295 188618.97499989304924384, 540626.04100020637270063 188560.5679999788699206, 540556.29300012590829283 188517.33599984552711248, 540575.53900013049133122 188458.68100013345247135, 540533.00000013748649508 188435.0000001207808964, 540574.25300001155119389 188380.9340001130476594, 540699.95799981476739049 188401.18200007898849435, 540702.33000023185741156 188305.40999994226149283, 540629.30000002216547728 188252.93400024334550835, 540419.13800015626475215 188126.98700019976240583, 540394.44900012214202434 188166.54900017968611792, 540353.04299997561611235 188162.85000015524565242, 540300.57600011536851525 188247.8120001548959408, 540217.56900013517588377 188296.78400001893169247, 540263.31000012822914869 188364.64099988187081181, 540212.13800022564828396 188366.66499983696849085, 540168.89399997238069773 188411.42800010842620395, 540126.22599994670599699 188398.27800020895665511, 540113.89400001266039908 188436.00000022968742996, 540100.00000021711457521 188436.00000022968742996, 540027.99999991350341588 188307.99999985750764608, 540007.59499997016973794 188268.64799996578949504, 539945.45200024812947959 188303.16799998653004877, 539908.30900023365393281 188221.26200020310352556, 539967.17800024128518999 188198.67100019357167184, 539915.00000016984995455 188089.00000012756208889, 539943.9159999763360247 188068.75300008786143735, 539932.24699988286010921 188021.69399982364848256, 539881.9520001164637506 188012.20500023895874619, 539897.69999984360765666 187945.04800000000977889, 539837.70099976810161024 187951.70599985777516849, 539898.06400013051461428 188099.5619999642658513, 539891.27900009253062308 188372.0859999816166237, 539842.37000010418705642 188591.60299976836540736, 539910.41899987554643303 188596.64399980127927847, 539924.9999997514532879 188684.000000102823833, 540073.9999998981365934 188949.99900000001071021, 540112.7150000415276736 188912.51400008599739522, 540183.22399976919405162 188844.06899987559881993, 540114.68800024082884192 188677.06799985244288109)))</t>
  </si>
  <si>
    <t>E01003778</t>
  </si>
  <si>
    <t>Redbridge 014E</t>
  </si>
  <si>
    <t>MultiPolygon (((541038.85400001471862197 188473.34100009268149734, 541057.1960002213018015 188429.21999979912652634, 541142.67300008365418762 188452.50199985146173276, 541170.07200007874052972 188383.55300013479427435, 541033.08099982584826648 188232.55799988264334388, 541055.99999982316512614 188201.99999983998714015, 541017.17800027434714139 188175.79499981491244398, 541040.66300013882573694 188148.01799995455075987, 541003.60399993590544909 188125.78899972917861305, 541043.93199992820154876 188057.75499977174331434, 541090.37200012803077698 188041.24500007837195881, 541279.23200024769175798 187825.29100007220404223, 541094.59800016542430967 187786.44199984488659538, 541098.44000018679071218 187831.22299972319160588, 541068.28599990718066692 187825.00000012648524716, 541038.11999989266041666 187794.2929999285552185, 541054.22599982295650989 187743.19099987979279831, 540870.23299979243893176 187533.66899999999441206, 540901.03499992203433067 187792.50299990412895568, 540908.00000021967571229 187792.99999973742524162, 540877.06499995919875801 187849.72599981984240003, 540903.19799987494479865 187907.51800024480326101, 540871.33199983090162277 188003.96500017764628865, 540797.40500006917864084 188027.32600013734190725, 540760.0290000227978453 188016.57999984003254212, 540768.73500005796086043 187987.48000016805599444, 540709.65399973129387945 188060.19500007413444109, 540791.41300004371441901 188120.31099977539270185, 540872.07299975107889622 188132.44500019546831027, 540894.50700021674856544 188100.89799985627178103, 540875.42499973729718477 188132.99099974893033504, 540902.16400014772079885 188168.43499998043989763, 540886.99000021489337087 188211.89400026114890352, 540776.9999997781123966 188191.00000014898250811, 540762.8319998134393245 188215.31700014258967713, 540840.15499991155229509 188237.27700003058998846, 540812.08700010541360825 188350.04899973029387183, 540767.4360002827597782 188340.25499974421109073, 540702.33000023476779461 188305.41000020911451429, 540699.95799975225236267 188401.18200018026982434, 540766.81300011649727821 188445.65699973591836169, 540778.12500028102658689 188421.49899977105087601, 540880.37500002328306437 188461.60900014094659127, 540869.99999979312997311 188511.84399993662373163, 540938.49199973721988499 188517.64100016199517995, 540968.06299991137348115 188636.40600010106572881, 541008.16799977782648057 188656.9100000464823097, 541040.7050000608433038 188667.05599999998230487, 541084.73599979281425476 188604.2040001138811931, 541038.85400001471862197 188473.34100009268149734)))</t>
  </si>
  <si>
    <t>E01003796</t>
  </si>
  <si>
    <t>Redbridge 018D</t>
  </si>
  <si>
    <t>MultiPolygon (((537380.24999973084777594 185572.6559999919263646, 537509.18800023861695081 185503.15599984460277483, 537437.12499982060398906 185495.8749999682768248, 537448.31299993395805359 185382.0010001860500779, 537572.07999999995809048 185011.68100002245046198, 537386.7550000996561721 184980.59000015258789063, 537221.68900002585723996 185087.30099985841661692, 537034.38199997821357101 184962.76799977218615822, 537073.13099993183277547 184916.08099974200013094, 536955.63300008291844279 184851.36699990814668126, 537026.00000014924444258 184702.99900000644265674, 536913.46199986047577113 184673.10100000805687159, 536948.05300019436981529 184769.29999982012668625, 536805.86600027536042035 184753.03000011036056094, 536749.68100012885406613 184814.28100001142593101, 536727.11899994628038257 184802.12600013919291086, 536688.52900000847876072 184799.97100025243707933, 536687.00000014540273696 184875.99999997956911102, 536732.9429998000850901 184949.27400022925576195, 536638.78000001574400812 185060.2619999656744767, 536529.20399984973482788 185196.99699994263937697, 536468.26199999998789281 185323.81200024753343314, 536562.0850001082289964 185384.75899984085117467, 536611.16200011782348156 185419.78800012433202937, 536714.18800001475028694 185482.89100021542981267, 537050.13500003609806299 185517.7689998522400856, 537260.18800010392442346 185545.92199991410598159, 537334.6890000271378085 185515.34400001165340655, 537380.24999973084777594 185572.6559999919263646)))</t>
  </si>
  <si>
    <t>E01001846</t>
  </si>
  <si>
    <t>Hackney 018A</t>
  </si>
  <si>
    <t>MultiPolygon (((540113.89400007470976561 188436, 540126.2260000976966694 188398.27800010039936751, 540168.89400009089149535 188411.42800009553320706, 540212.1379999122582376 188366.66499997102073394, 540263.31000011204741895 188364.64099986079963855, 540217.56899991282261908 188296.78400011427584104, 540300.57599988463334739 188247.81200004744459875, 540353.04300000343937427 188162.85000014680554159, 540394.44900013809092343 188166.54900008157710545, 540419.13799998420290649 188126.98700005444698036, 540395.76499987719580531 188112.34299985677353106, 540204.84599996416363865 187987.11399991853977554, 540197.171000050380826 187982.21199990576133132, 540024.90500007406808436 187871.7520000668882858, 540009.81300000997725874 187862.24999988553463481, 539949.25000005133915693 187834.90599999995902181, 539909.87500006705522537 187897.46899988819495775, 539838.81599993235431612 187928.14099998353049159, 539837.70100001594983041 187951.70600003330036998, 539897.70000008645001799 187945.04800007457379252, 539881.95199999259784818 188012.20500001104664989, 539932.24700013920664787 188021.69400003188638948, 539943.91600009228568524 188068.75300011038780212, 539914.9999999429564923 188089.00000005072797649, 539967.17800007748883218 188198.6709999981103465, 539908.30899992352351546 188221.26199995327624492, 539945.45199993473943323 188303.16800008897553198, 540007.59500011731870472 188268.64799997649970464, 540028.00000001990702003 188308.00000000052386895, 540099.99999988812487572 188436, 540113.89400007470976561 188436)))</t>
  </si>
  <si>
    <t>E01003779</t>
  </si>
  <si>
    <t>Redbridge 014F</t>
  </si>
  <si>
    <t>MultiPolygon (((534273.0290002073161304 193170.11700023076264188, 534257.19999995909165591 193108.11400008961209096, 534282.10500023188069463 193135.28699976502684876, 534312.90000013262033463 193119.07899987796554342, 534310.61900019820313901 193076.83100012104841881, 534249.00000011827796698 193075.99999996292172, 534191.01599985139910132 192820.07099977083271369, 534169.99999979848507792 192737.41700020380085334, 534134.31600015773437917 192746.6919997648219578, 534105.33099976612720639 192738.610999781958526, 534121.66100014210678637 192682.94600020509096794, 534087.80699981201905757 192556.71100022774771787, 534083.47500002186279744 192525.86300019206828438, 534127.25199980963952839 192531.76599987977533601, 534109.77299988106824458 192428.32000002017593943, 534062.98600021621678025 192426.76700013296795078, 533830.18100012268405408 192413.96800003538373858, 533711.91699980350676924 192405.42600000000675209, 533605.81300016213208437 192409.43699976493371651, 533599.00000006170012057 192433.9999998431885615, 533528.88499986752867699 192534.4569999949017074, 533547.42500003252644092 192696.24500006277230568, 533592.93799996899906546 192771.87499982875306159, 533558.78299988713115454 193024.96899982381728478, 533937.00000022316817194 193056.00000012089731172, 533949.00000012840609998 193056.00000012089731172, 533956.00000007310882211 193089.99999985235626809, 534018.26499978662468493 193112.86500006576534361, 534061.57600004330743104 193056.83499986186507158, 534127.04100010904949158 193047.82000008170143701, 534155.83500012976583093 193131.66199985265848227, 534225.22099990921560675 193333.70700017022318207, 534230.53100009844638407 193349.16899999996530823, 534259.78700006753206253 193297.49999986495822668, 534229.59900009259581566 193198.73100014915689826, 534273.0290002073161304 193170.11700023076264188)))</t>
  </si>
  <si>
    <t>E01001425</t>
  </si>
  <si>
    <t>Enfield 027B</t>
  </si>
  <si>
    <t>MultiPolygon (((536750.12799952656496316 193283.59600025127292611, 536496.11699999554548413 192922.28199970116838813, 536476.90900049998890609 192896.00200035626767203, 536331.11300052795559168 192715.26000018019112758, 536123.21800053270999342 192272.97400029955315404, 536122.31300030124839395 192268.85900040005799383, 535791.06299986934754997 192264.71900014416314662, 535392.25000046833883971 192081.32799986528698355, 535192.81600015738513321 192125.71899993155966513, 535013.59000049077440053 192246.82100053693284281, 534931.75000010197982192 192294.34399977102293633, 534811.04399976797867566 192302.03699982256512158, 534812.25899983115959913 192330.55899962846888229, 534853.93399975704960525 192335.61499948613345623, 534860.56999963847920299 192363.26999986454029568, 534763.99999962921719998 192393.00000033291871659, 534791.0000000634463504 192472.99899994817678817, 534685.99999958858825266 192532.99999950977507979, 534668.99999971967190504 192420.99999973137164488, 534591.16599951137322932 192480.08099972159834579, 534572.10400000005029142 192571.81900035770377144, 534611.17500002775341272 192735.16399985493626446, 534723.31699982064310461 192745.53399979678215459, 534758.96799958939664066 192716.64500004550791346, 534741.0420001947786659 192630.95900044625159353, 534771.02700036624446511 192594.03200053109321743, 534818.05699951888527721 192577.32199955359101295, 534897.42300011531915516 192476.91000030364375561, 534954.77699955890420824 192461.61500005604466423, 534971.34399998327717185 192503.78500004808302037, 534995.05600024911109358 192617.44399979684385471, 535058.431999864988029 192673.07600029441528022, 535050.46099973877426237 192735.05199961268226616, 535019.40099953371100128 192742.89899958772002719, 535029.19900053984019905 192790.78800041321665049, 535061.93700002494733781 192920.46499983765534125, 535197.8409997042035684 192885.86599973079864867, 535230.61300002341158688 192934.18400003109127283, 535133.99999979441054165 192957.0000005433394108, 535164.00000039825681597 193056.99999964330345392, 535104.00000028288923204 193073.99999951213249005, 535154.33899999072309583 193239.66100000104052015, 535165.43800040741916746 193272.6409998339950107, 535462.20699983695521951 193200.5549996928893961, 535684.93799974035937339 193149.87499984231544659, 535759.62500034854747355 193277.10899978512316011, 536193.24999987822957337 193166.89099958972656168, 536181.43799995759036392 193073.96900029355310835, 536211.43799946911167353 193019.31199949613073841, 536381.8139996730023995 192960.9999996772094164, 536464.68799986038357019 192982.87500023125903681, 536700.62500002759043127 193319.01600013475399464, 536756.68599999998696148 193294.17300026051816531, 536750.12799952656496316 193283.59600025127292611)))</t>
  </si>
  <si>
    <t>E01001427</t>
  </si>
  <si>
    <t>Enfield 030C</t>
  </si>
  <si>
    <t>E02000306</t>
  </si>
  <si>
    <t>Enfield 030</t>
  </si>
  <si>
    <t>MultiPolygon (((534337.29400018230080605 192643.91499980707885697, 534360.62999984226189554 192640.25900018349057063, 534419.55399987264536321 192640.9999998978455551, 534421.66499981028027833 192604.25499987814691849, 534473.93799993162974715 192641.90600019352859817, 534572.10400010191369802 192571.81900018148007803, 534591.16600018623284996 192480.08100007640314288, 534669.00000013038516045 192421.00000004627509043, 534686.00000000232830644 192533.00000004842877388, 534791.00000012572854757 192472.99899996764725074, 534763.99999987205956131 192393.00000014289980754, 534860.56999999994877726 192363.2699998781317845, 534853.93399996729567647 192335.61499984803958796, 534812.25900008575990796 192330.55899986016447656, 534811.04400000825989991 192302.03699998967931606, 534794.43400002690032125 192303.64799990819301456, 534752.65799994254484773 192310.51000014843884856, 534582.24800007266458124 192346.94300002255477011, 534386.80700015171896666 192388.58299993383116089, 534246.51499980606604367 192413.19599980738712475, 534176.66299992729909718 192424.51900015267892741, 534109.77299982903059572 192428.31999987503513694, 534127.25199989334214479 192531.76599999819882214, 534083.47499999997671694 192525.86299987538950518, 534087.80700000375509262 192556.71100011133239605, 534121.6609999161446467 192682.9460000041872263, 534105.33100008533801883 192738.61099998469580896, 534134.31600015063304454 192746.69200001037097536, 534170.00000011746305972 192737.41700012251385488, 534155.99999997147824615 192679.00000018303398974, 534233.05199989199172705 192661.8549998237285763, 534337.29400018230080605 192643.91499980707885697)))</t>
  </si>
  <si>
    <t>E01001432</t>
  </si>
  <si>
    <t>Enfield 033B</t>
  </si>
  <si>
    <t>E02000309</t>
  </si>
  <si>
    <t>Enfield 033</t>
  </si>
  <si>
    <t>MultiPolygon (((533547.42499998351559043 192696.24500016667298041, 533528.88499982212670147 192534.45700007487903349, 533598.99999995052348822 192433.99999998137354851, 533605.81300000008195639 192409.43700002989498898, 533373.1379998360062018 192356.39399986289208755, 533291.88199991430155933 192349.35299997124820948, 533117.14100007410161197 192384.66200017047231086, 533076.23899987596087158 192404.16499988050782122, 532865.30599995923694223 192504.06999990518670529, 532827 192554.00000000998261385, 532854.00000006495974958 192597.99999994260724634, 533006.40000017138663679 192617.30000009713694453, 533015.05300006084144115 192652.77899998740758747, 533209.18700006289873272 192621.40599997414392419, 533211.95599998056422919 192581.32099992438452318, 533274.71199996606446803 192568.85700011425069533, 533343.99999998707789928 192561.00000007005291991, 533349.80999987339600921 192591.25699999497737736, 533452.17899990058504045 192587.0830000079004094, 533483.58000018820166588 192753.03100014428491704, 533384.26100009260699153 192769.0590001109521836, 533387.00000013364478946 192796.00000002875458449, 533429.48000007995869964 192792.01700003584846854, 533517.82400008966214955 192783.12399996409658343, 533547.42499998351559043 192696.24500016667298041)))</t>
  </si>
  <si>
    <t>E01001458</t>
  </si>
  <si>
    <t>Enfield 037A</t>
  </si>
  <si>
    <t>E02006793</t>
  </si>
  <si>
    <t>Enfield 037</t>
  </si>
  <si>
    <t>MultiPolygon (((534441.00000013771932572 192338.00000011807424016, 534437.00000015110708773 192296.99999988224590197, 534464.2230000935960561 192294.36700011856737547, 534522.29200000001583248 192180.52000012269127183, 534466.80099998798687011 192128.20000007390626706, 534421.99999982828740031 192129.00000007124617696, 534424.18799983581993729 192215.31699982352438383, 534308.06100007134955376 192200.65500007398077287, 534240.72900008771102875 192203.02899984971736558, 534237.04800001427065581 192095.27999996024300344, 534211.79600003908853978 192097.14999999129213393, 534188.99999986169859767 192100.00000016824924387, 534182.99999988172203302 192209.00000017660204321, 534138.36099989304784685 192213.03600011835806072, 534134.00099998223595321 192144.00000002107117325, 534085.99999983329325914 192150.00000000098953024, 534035.86699985549785197 192191.00300004659220576, 533961.99999987508635968 192194.99999985046451911, 533958.26399993232917041 192247.25800010084640235, 533906.17000009911134839 192237.795999960944755, 533872.3739999586250633 192238.5139999361417722, 533873.00700010196305811 192298.51699991818168201, 533825.53099985793232918 192124.82699986515217461, 533818.5520000415854156 192130.00000006789923646, 533786.12699987040832639 192157.21700001787394285, 533776.34900000004563481 192243.02400003295042552, 533840.06599982792977244 192365.40000002642045729, 533830.18100002885330468 192413.9680000280495733, 534062.98600005195476115 192426.76700004865415394, 534109.77299997385125607 192428.32000003973371349, 534176.6630000111181289 192424.51900011583347805, 534246.5149998371489346 192413.19600012016599067, 534386.806999875116162 192388.58299990784144029, 534381.676999929593876 192347.41599981804029085, 534441.00000013771932572 192338.00000011807424016)))</t>
  </si>
  <si>
    <t>E01001558</t>
  </si>
  <si>
    <t>Enfield 033E</t>
  </si>
  <si>
    <t>MultiPolygon (((535192.8160004117526114 192125.71900023159105331, 535392.24999960791319609 192081.32799975934904069, 535791.06300002848729491 192264.71900019547319971, 536122.31300020182970911 192268.8590002984565217, 536118.25000040396116674 192172.79699968663044274, 536217.70400040142703801 191992.54100017622113228, 536231.31200000003445894 191903.07799969255574979, 536176.31299969542305917 191791.81200030553736724, 536100.25699989986605942 191723.95900041080312803, 535814.04400001955218613 191538.93400004706927575, 535728.37500044202897698 191460.46899955955450423, 535180.13899979321286082 191615.44300042427494191, 534926.68800018331967294 191712.04699958016863093, 534923.84399955766275525 191761.84400040269247256, 534822.7829996794462204 191795.8859998828265816, 534816.00100036372896284 191794.95400025011622347, 534769.63999989372678101 191791.60399960161885247, 534770.45899977546650916 191979.34699975553667173, 534616.00000018230639398 191969.46599988479283638, 534618.69700014148838818 192122.01899962578318082, 534576.97199974581599236 192116.33400033210637048, 534522.29200044076424092 192180.5199998838652391, 534464.22300000849645585 192294.36700029586791061, 534436.99999994272366166 192297.0000001096050255, 534441.00000024773180485 192337.99999999915598892, 534381.67700000002514571 192347.41599978125304915, 534386.80699966521933675 192388.58300044047064148, 534582.24800034973304719 192346.94300002124509774, 534752.6579997077351436 192310.50999957224121317, 534794.43400008918251842 192303.64799984340788797, 534811.04399983445182443 192302.03700012702029198, 534931.74999986740294844 192294.34400008464581333, 535013.58999974525067955 192246.82099971943534911, 535192.8160004117526114 192125.71900023159105331)))</t>
  </si>
  <si>
    <t>E01001559</t>
  </si>
  <si>
    <t>Enfield 033F</t>
  </si>
  <si>
    <t>MultiPolygon (((532916.74599984742235392 192357.79999985182075761, 532886.64199998800177127 192313.71399985492462292, 532870.56399990536738187 192342.75800011315732263, 532823.99999983655288815 192336.0000001217413228, 532797.9239998129196465 192251.20400012264144607, 532864.57400016894098371 192215.99900007122778334, 532845.00000005180481821 192164.0000000748259481, 532900.99999987496994436 192139.99899998938781209, 532901.77500013227108866 192093.41699991453788243, 532948.73099995590746403 192066.22599989615264349, 532950.03200001246295869 191905.87899996427586302, 532941.80099990742746741 191844.2560001510719303, 532916.99999993178062141 191844.00000006609479897, 532883.69900013704318553 191843.57899992630700581, 532864.88899989810306579 191909.27499996562255546, 532809.09000014164485037 191912.00600012156064622, 532680.88999999663792551 191821.18199999802163802, 532649.94299985747784376 191817.79600000000209548, 532621.01500001305248588 192019.0389999958279077, 532581.05599988484755158 192177.71900012501282617, 532567.54199990269262344 192179.05899981915717945, 532528.16199996671639383 192170.27099990454735234, 532505.75700003572273999 192247.00799985567573458, 532440.36600009771063924 192258.22499982596491463, 532415.48600009584333748 192248.02799981896532699, 532414.87799989397171885 192179.526999974536011, 532335.77999990968964994 192164.3979998315917328, 532257.99999998765997589 192261.99999995314283296, 532270.09499987401068211 192337.24000015805358998, 532347.65100009716115892 192355.61399987683398649, 532403.42599984561093152 192441.50699986476683989, 532391.49700001429300755 192470.84699984587496147, 532553.08899998420383781 192498.6630000717996154, 532565.10999984608497471 192500.88100005741580389, 532572.31299998518079519 192568.54699999999138527, 532694.27499993599485606 192553.45799987032660283, 532843.2839998573763296 192512.3560001133591868, 532872.85299991455394775 192362.7880000063451007, 532916.74599984742235392 192357.79999985182075761)))</t>
  </si>
  <si>
    <t>E01001560</t>
  </si>
  <si>
    <t>Enfield 035F</t>
  </si>
  <si>
    <t>MultiPolygon (((533291.88200001302175224 192349.35300000169081613, 533305.14899992069695145 192134.92100009310524911, 533309 192098.00000000174622983, 533082.31700010632630438 192080.07599994278280064, 532900.99999994051177055 192139.99900012151920237, 532844.99999997252598405 192163.99999995500547811, 532864.57399995357263833 192215.99900005993549712, 532797.924000000115484 192251.20399987447308376, 532824.00000008032657206 192336.00000005777110346, 532870.56400002725422382 192342.75799991399981081, 532886.64199996273964643 192313.71400006979820319, 532916.74600005114916712 192357.79999998965649866, 532872.85300006100442261 192362.78800004554796033, 532843.28399995120707899 192512.35600005724700168, 532865.30600005388259888 192504.06999999741674401, 533076.2389999006409198 192404.16499997471692041, 533117.1409999179886654 192384.66199994916678406, 533291.88200001302175224 192349.35300000169081613)))</t>
  </si>
  <si>
    <t>E01001562</t>
  </si>
  <si>
    <t>Enfield 037D</t>
  </si>
  <si>
    <t>MultiPolygon (((539966.00000013876706362 191046.99999990841024555, 539963.34799999697133899 190976.60299985553137958, 539977.19499995408114046 191011.41599989013047889, 540017.00000006868503988 190908.9999999942665454, 539972.73999996983911842 190911.00899997333181091, 540006.78500001924112439 190814.85500001985928975, 539796.15399982768576592 190819.69799993583001196, 539806.18899996345862746 190780.67300015385262668, 539876.63200011197477579 190779.95999990683048964, 539877.83300000743474811 190737.43200015532784164, 539864.3480001122225076 190470.04500008453032933, 539806.22900006198324263 190468.24000000767409801, 539708.62900009506847709 190445.16300000000046566, 539730.32000006060115993 190784.95600010274210945, 539694.51000003283843398 190790.84699998740688898, 539620.88899987679906189 190802.05600003144354559, 539582.77000001375563443 190792.40399994765175506, 539507.76699993130750954 190792.96900014785933308, 539509.24200016632676125 190833.61499997714417987, 539573.68999989132862538 191000.99600017446209677, 539642.51399987388867885 191151.71000000002095476, 539949.87800009467173368 191097.02699983364436775, 539966.00000013876706362 191046.99999990841024555)))</t>
  </si>
  <si>
    <t>E01003669</t>
  </si>
  <si>
    <t>Redbridge 007B</t>
  </si>
  <si>
    <t>E02000757</t>
  </si>
  <si>
    <t>Redbridge 007</t>
  </si>
  <si>
    <t>MultiPolygon (((540021.28399996273219585 191021.17800001121941023, 540074.93199999665375799 190908.10200002536294051, 540219.08300014317501336 190885.99199992101057433, 540274.16799994860775769 190870.44400007202057168, 540258.64400001848116517 190812.58200000447686762, 540327.0930001512169838 190807.05699993076268584, 540299.00000010896474123 190743.00000001431908458, 540345.31499990483280271 190698.69399993924889714, 540342.87100000714417547 190673.42999998366576619, 540367.16099996026605368 190591.10000009392388165, 540371.74099985510110855 190569.99999987057526596, 540248.85600015497766435 190550.16100001288577914, 540134.99999998172279447 190512.99999987031333148, 540061.58699999703094363 190488.72599986326531507, 539827.18200007255654782 190429.96799999999348074, 539806.22900005802512169 190468.23999991762684658, 539864.34800011978950351 190470.04500001377891749, 539877.83299996017012745 190737.43200000745127909, 539876.63200001884251833 190779.9599999735946767, 539806.18899987963959575 190780.67299999541137367, 539796.1540001449175179 190819.69800011327606626, 540006.78499994135927409 190814.85500008767121471, 539972.73999993503093719 190911.00900000531692058, 540017.00000000873114914 190908.99999997107079253, 539977.19500001694541425 191011.41599990322720259, 539963.34799998824018985 190976.60299998242408037, 539966.00000012398231775 191047.00000012016971596, 539999.57899997977074236 191056.87599999998928979, 540021.28399996273219585 191021.17800001121941023)))</t>
  </si>
  <si>
    <t>E01003672</t>
  </si>
  <si>
    <t>Redbridge 007E</t>
  </si>
  <si>
    <t>MultiPolygon (((539620.88899983640294522 190802.05600010353373364, 539694.51000009232666343 190790.84699982445454225, 539730.32000009377952665 190784.95599994246731512, 539708.62899986759293824 190445.16300012715510093, 539806.22900015662889928 190468.24000007411814295, 539827.18199988780543208 190429.96800013433676213, 540061.58699993952177465 190488.72599986765999347, 540134.99999995168764144 190513.00000003064633347, 540142.49699994351249188 190487.60900002167909406, 540165.00000006414484233 190408.00000017596175894, 540199 190392.99999994013342075, 540171.94099990883842111 190364.71299982626806013, 540135.17700002959463745 190355.44199984564329498, 540134.68099989055190235 190302.75799996519344859, 540184.00000012340024114 190251.99899989651748911, 539948.00000012503005564 190275.9999998967978172, 539785.13700002955738455 190304.68900002920418046, 539789.4719999881926924 190253.24299999317736365, 539580.31499997992068529 190315.39000002393731847, 539548.56299984571523964 190324.40599988022586331, 539539.81299991765990853 190286.5619998547481373, 539480.62199999997392297 190303.81800010878941976, 539489.87499994225800037 190415.20300002014846541, 539490.83100014354567975 190427.83400009671458974, 539492.98900011263322085 190456.26500015825149603, 539507.7669999951031059 190792.96900007597287185, 539582.77000004309229553 190792.40400008924189024, 539620.88899983640294522 190802.05600010353373364)))</t>
  </si>
  <si>
    <t>E01003673</t>
  </si>
  <si>
    <t>Redbridge 007F</t>
  </si>
  <si>
    <t>MultiPolygon (((540398.30000018340069801 190932.28900019580032676, 540438.24199979251716286 190907.46199981891550124, 540463.75399986538104713 190924.77099999380880035, 540456.48899978830013424 190840.02699995719012804, 540545.96799998148344457 190828.47099981136852875, 540531.9060000634053722 190858.42299987771548331, 540564.58700006280560046 190887.34599989291746169, 540670.39199999999254942 190843.86900001778849401, 540666.90000011038500816 190832.00900020656990819, 540647.89100005361251533 190766.28700019640382379, 540597.38899981393478811 190553.98999994958285242, 540557.31099980697035789 190271.58099978673271835, 540444.0000001845182851 190247.99999980599386618, 540393.63399989996105433 190202.15700013845344074, 540283.20900018466636539 190234.43200006344704889, 540227.04799983277916908 190187.5580001111375168, 540231.40599998354446143 190143.79199988869368099, 540187.35399998561479151 190132.0219999696710147, 540180.83200018422212452 190132.8579998241038993, 540151.99100001179613173 190134.7939998364308849, 540105.31299994268920273 190208.15600013849325478, 540071.69900004274677485 190190.69999982978333719, 539789.47199989797081798 190253.24300000330549665, 539785.13700000010430813 190304.68899987955228426, 539947.99999996728729457 190276.00000020375591703, 540183.99999984225723892 190251.99899984081275761, 540134.68099994130898267 190302.75799978748545982, 540135.17699990782421082 190355.44200001045828685, 540171.94100001850165427 190364.71299986852682196, 540199.00000002363231033 190392.9999999373103492, 540165.00000017299316823 190408.00000011877273209, 540142.49699999287258834 190487.6090001828270033, 540134.99999981001019478 190513.00000006123445928, 540248.85600003390572965 190550.16099985866458155, 540371.74100016953889281 190569.9999999541323632, 540367.1610001961234957 190591.1000002064392902, 540342.87099992856383324 190673.43000015406869352, 540345.31499998166691512 190698.69400002231122926, 540299.00000005320180207 190743.00000004059984349, 540327.09300002979580313 190807.05700005317339674, 540258.64399987761862576 190812.58200000124634244, 540274.16800019866786897 190870.4440001305192709, 540312.29999991017393768 190863.95099995497730561, 540310.90699982282239944 190959.43800009315600619, 540400.38000020035542548 190973.52100003033410758, 540398.30000018340069801 190932.28900019580032676)))</t>
  </si>
  <si>
    <t>E01003674</t>
  </si>
  <si>
    <t>Redbridge 007G</t>
  </si>
  <si>
    <t>MultiPolygon (((541232.99899987317621708 190333.00000006117625162, 541139.000000155181624 190323, 541002.61900017538573593 190370.25399997516069561, 540917.251999840606004 190417.88899986553587951, 540883.07200003834441304 190447.15100006229477003, 540874.0000000688014552 190468.99900003630318679, 540597.38900015607941896 190553.9900001353234984, 540647.89100006816443056 190766.28699997623334639, 540666.89999983785673976 190832.00900008133612573, 540670.3920001033693552 190843.86899991589598358, 540742.72399991494603455 191081.31500018597580492, 540745.74700007122009993 191090.82299999997485429, 540837.90500018000602722 191067.9469998185231816, 540809.29499995498917997 190992.13200016261544079, 540914.40600016177631915 190979.70300010306527838, 540928.20499992650002241 190930.53999981022207066, 540911.25699986726976931 190886.49100014835130423, 540914.14999991143122315 190839.38100000206031837, 540954.07700015243608505 190829.55599985553999431, 540926.93700013216584921 190710.86200001131510362, 541136.72299993352498859 190666.74699981999583542, 541188.83999996876809746 190657.47299982389085926, 541185.21600017999298871 190628.03799989135586657, 541284.59599984379019588 190621.69700006255879998, 541255.62399986770469695 190467.71099998848512769, 541192.12900011823512614 190425.97799981405842118, 541257.00000010954681784 190400.0000000873405952, 541232.99899987317621708 190333.00000006117625162)))</t>
  </si>
  <si>
    <t>E01003762</t>
  </si>
  <si>
    <t>Redbridge 009D</t>
  </si>
  <si>
    <t>E02000759</t>
  </si>
  <si>
    <t>Redbridge 009</t>
  </si>
  <si>
    <t>MultiPolygon (((540976.86199985316488892 190350.26300009858096018, 541089.99999987601768225 190292.9999999548017513, 541161 190185.99999998864950612, 541089.00000000221189111 190044.9999999278516043, 541005.00699991453438997 189962.00500003813067451, 540993.16999991389457136 190000.91100001416634768, 540904.08300002990290523 190031.07400003829388879, 540886.89000009489245713 190002.19999987873598002, 540832.67499993741512299 190034.62200011804816313, 540792.84299999731592834 190019.61499985645059496, 540780.47400007757823914 190052.75899991879123263, 540752.50599999108817428 190034.12699999724281952, 540744.22000005375593901 190064.10100011195754632, 540808.34700005559716374 190315.23199998587369919, 540754.99999986484181136 190327.99999992322409526, 540711.00000009255018085 190071.99999996615224518, 540646.16099989996291697 190004.12900001340312883, 540594.35700006876140833 189990.97999996028374881, 540534.43699999991804361 190005.4520000058982987, 540539.77500003238674253 190082.42900012448080815, 540548.54800013406202197 190184.35099989382433705, 540557.31099997693672776 190271.58099987718742341, 540597.38900014222599566 190553.98999996186466888, 540873.99999988288618624 190468.99899998947512358, 540883.071999920764938 190447.15100005781278014, 540917.25199997390154749 190417.88900013393140398, 541002.6190000893548131 190370.25400012961472385, 540976.86199985316488892 190350.26300009858096018)))</t>
  </si>
  <si>
    <t>E01003765</t>
  </si>
  <si>
    <t>Redbridge 009G</t>
  </si>
  <si>
    <t>MultiPolygon (((538389.35500004142522812 190987.52599982096580788, 538378.46700016618706286 190629.63399983767885715, 538393.4709998790640384 190523.56800013183965348, 538363.43799998518079519 190527.19200015772366896, 538280.00000011583324522 190519.41699983179569244, 538209.60699993488378823 190508.45399999996880069, 538195.89500005333684385 190544.66299998696194962, 538166.31600008974783123 190745.02999993463163264, 538154.34299987717531621 190819.42300021336995997, 538194.45600021060090512 190850.54500015260418877, 538166.10100021422840655 190913.48100020969286561, 538103.1639998679747805 190914.8639997951395344, 538095.12799988628830761 190960.89799988665618002, 538024.15000004414469004 190955.80299994006054476, 537992.4359998683212325 190953.52799980898271315, 538006.46899985370691866 190971.10600015558884479, 537994.00000012142118067 190998.53700001118704677, 538066.24800019385293126 191025.46800015628105029, 538132.31899988406803459 191130.63000019243918359, 538083.85500023397617042 191196.75400023817201145, 538064.27799988619517535 191300.26200007335864939, 537965.23100017150864005 191428.34599996884935535, 537969.8130000289529562 191431.46899999515153468, 538087.99999976507388055 191473.98399999999674037, 538282.31300012837164104 191471.04700015566777438, 538394.5990000949241221 191391.88200012952438556, 538428.44700019375886768 191388.26899990416131914, 538477.93799982848577201 191382.7029999406368006, 538461.88099985639564693 191314.29700015409616753, 538389.35500004142522812 190987.52599982096580788)))</t>
  </si>
  <si>
    <t>E01004343</t>
  </si>
  <si>
    <t>Waltham Forest 008A</t>
  </si>
  <si>
    <t>E02000902</t>
  </si>
  <si>
    <t>Waltham Forest 008</t>
  </si>
  <si>
    <t>MultiPolygon (((538006.46900020877365023 190971.10600013259681873, 537992.43599988636560738 190953.52800006174948066, 538024.14999987685587257 190955.80299983921577223, 537965.62400007678661495 190938.07199980315635912, 538029.47200002369936556 190677.59099997629527934, 537942.65299987234175205 190664.79400017813895829, 537811.67500011203810573 190563.69600021551013924, 537743.99999985937029123 190896.00000019517028704, 537700.69999996456317604 190896.27800018739071675, 537771.5480000851675868 190604.49299981578951702, 537648.16900008521042764 190597.71799995852052234, 537602.01500008068978786 190621.78500010335119441, 537555.00000007927883416 190582.00000018256832846, 537555.29099989938549697 190611.94900013093138114, 537541.00000017823185772 190691.99999985148315318, 537512.12899985932745039 190686.36700018390547484, 537473.68499989621341228 190827.62299986579455435, 537411.98399994557257742 190913.39699991620727815, 537258.00000016973353922 190869.00100008089793846, 537239.53500000003259629 190922.78699982081889175, 537487.37500019453000277 190975.26599994249409065, 537485.02300002903211862 190983.59000012738397345, 537456.6939999486785382 191179.71899978056899272, 537722.43799984524957836 191232.67199990825611167, 537834.01200002583209425 191352.96199985485873185, 537860.18900007312186062 191396.82799980771960691, 537911.78100009600166231 191399.56000009106355719, 537965.23100013111252338 191428.34599978450569324, 538064.27799982181750238 191300.2619999818271026, 538083.85499996040016413 191196.75400014113984071, 538132.31900000001769513 191130.63000005230423994, 538066.24800003331620246 191025.46800000412622467, 537993.99999987799674273 190998.53700012239278294, 538006.46900020877365023 190971.10600013259681873)))</t>
  </si>
  <si>
    <t>E01004344</t>
  </si>
  <si>
    <t>Waltham Forest 008B</t>
  </si>
  <si>
    <t>MultiPolygon (((538195.89499991980846971 190544.66299996618181467, 538209.60699985723476857 190508.45400015453924425, 538280.00000015913974494 190519.41699999375850894, 538329.11800017533823848 190385.56400012157973833, 538260.82299987459555268 190368.73099993012147024, 538243.13099984358996153 190317.71799985962570645, 538176.00299996975809336 190467.39000007737195119, 538145.14099990308750421 190461.23399985890137032, 538076.4409999493509531 190444.88500003694207408, 538156.92599982558749616 190306.52900016793864779, 538147.00000008987262845 190269.00000005276524462, 538117.40799990447703749 190256.75099999998928979, 538026.42499985580798239 190407.02500013320241123, 537975.22699994803406298 190467.64099996493314393, 537856.61400005943141878 190500.5989999033336062, 537812.01400013151578605 190551.75300012950901873, 537811.67499982472509146 190563.69600007671397179, 537942.65299988677725196 190664.79399995741550811, 538029.47199989331420511 190677.59099994841380976, 537965.62399983475916088 190938.07200011459644884, 538024.14999983145389706 190955.8030000313592609, 538095.12799982773140073 190960.89799999998649582, 538103.16400000907015055 190914.86400012962985784, 538166.10100002831313759 190913.48100014607189223, 538194.45599982957355678 190850.54500001561245881, 538154.34299991826992482 190819.42300000644172542, 538166.31600004842039198 190745.0300000757270027, 538195.89499991980846971 190544.66299996618181467)))</t>
  </si>
  <si>
    <t>E01004345</t>
  </si>
  <si>
    <t>Waltham Forest 010A</t>
  </si>
  <si>
    <t>E02000904</t>
  </si>
  <si>
    <t>Waltham Forest 010</t>
  </si>
  <si>
    <t>MultiPolygon (((539501.35700007271952927 191457.04999999998835847, 539550.5829997246619314 191318.93800001035560854, 539678.23500008834525943 191238.24600027556880377, 539642.5140000416431576 191151.71000000333879143, 539573.68999993801116943 191000.99599986974499188, 539509.24199998972471803 190833.61500028541195206, 539507.76699968159664422 190792.9689998208777979, 539492.989000114495866 190456.26500031768227927, 539490.83100022526923567 190427.83400004415307194, 539489.87500031315721571 190415.20300011485232972, 539354.49999969848431647 190352.39100005928776227, 539329.44800019357353449 190276.07900016169878654, 538990.34900018130429089 190171.5179999967222102, 538985.75699982780497521 190169.94399999995948747, 538941.66400014108512551 190203.09299993829336017, 538896.00699998415075243 190461.42200030497042462, 538858.82199988083448261 190443.06499978568172082, 538751.56699997826945037 190426.76800019189249724, 538632.28100005351006985 190493.0489999724959489, 538622.79800011764746159 190547.80499971273820847, 538583.95400018093641847 190573.33199989498825744, 538575.62899986002594233 190648.9179999306506943, 538572.86899990087840706 190677.23100025675375946, 538562.40800019365269691 190774.18199971134890802, 538448.76200029731262475 190722.13599972345400602, 538437.99999991152435541 190938.00000028882641345, 538493.00000019755680114 190924.99999994042445906, 538602.55600004026200622 190875.92499970307108015, 538649.87599971250165254 190890.83799995717708953, 538751.89400019787717611 190825.4479999486648012, 538785.23599975032266229 190884.65400007303105667, 538935.22799970384221524 190895.62899976939661428, 538883.35300011420622468 191118.71699988644104451, 538855.95899990759789944 191119.32800004506134428, 539081.0430002479115501 191252.13500023330561817, 539145.49200027761980891 191335.06199968667351641, 539201.99999969522468746 191325.99999989598290995, 539232.49999969592317939 191369.28999989139265381, 539272.32699981087353081 191321.628000066120876, 539323.78500022448133677 191368.85100021245307289, 539311.44199991598725319 191415.27400026802206412, 539446.99999997462145984 191409.00000014033867046, 539501.35700007271952927 191457.04999999998835847)))</t>
  </si>
  <si>
    <t>E01004377</t>
  </si>
  <si>
    <t>Waltham Forest 010C</t>
  </si>
  <si>
    <t>MultiPolygon (((538577.66099966585170478 191908.51100011810194701, 538557.69700032321270555 191758.43700029325555079, 538584.48099978594109416 191758.85800013897824101, 538589.92099998332560062 191758.94400011404650286, 538654.25000014458782971 191727.48400011958437972, 538676.94699993706308305 191750.13499968341784552, 538742.71700006769970059 191618.97600021492689848, 538869.90999987919349223 191650.38099995112861507, 538882.27599969820585102 191629.13799978568567894, 538890.92599983629770577 191586.98499985822127201, 538778.07800004433374852 191501.89299995693727396, 538790.27199991326779127 191455.64200016885297373, 539006.00000025716144592 191553.99899999960325658, 539079.99699982593301684 191450.00400001267553307, 538905.00099965999834239 191386.00000030564842746, 538899.00000015739351511 191360.00000003509921953, 538895.99999975273385644 191360.00000003509921953, 538792.00000005750916898 191364.00000034345430322, 538725.40300005371682346 191345.45800013706320897, 538722.15499983378686011 191444.25600003352155909, 538554.62499968137126416 191369.43500013914308511, 538538.19700012030079961 191250.39800030234619044, 538504.07200028537772596 191133.38199987978441641, 538532.70700006640981883 191066.51599976036231965, 538499.94300001440569758 191036.36099990375805646, 538511.99999997136183083 190970.00000013795215636, 538492.99999972025398165 190925.00000030986848287, 538438.0000001615844667 190937.99999975162791088, 538448.76200009067542851 190722.13600026967469603, 538395.00000014097895473 190710.00000020654988475, 538378.46699977165553719 190629.6339999999909196, 538389.35500011581461877 190987.52599984852713533, 538461.8810000786324963 191314.29699989463551901, 538477.93800034397281706 191382.70300030964426696, 538428.44700028526131064 191388.2690002286399249, 538409.87499974889215082 191492.74700018847943284, 538359.46399997302796692 191476.50899994332576171, 538312.78800001787021756 191506.2829997006629128, 538292.43800017412286252 191518.80699973198352382, 538350.71099988103378564 191552.60500033909920603, 538463.9260000343201682 191593.77200010072556324, 538473.57499999564606696 191712.18900005272007547, 538540.00000004936009645 191773.99999970183125697, 538449.74800025660078973 192008.25900006177835166, 538483.09199975337833166 192016.70800000001327135, 538577.66099966585170478 191908.51100011810194701)))</t>
  </si>
  <si>
    <t>E01004381</t>
  </si>
  <si>
    <t>Waltham Forest 007C</t>
  </si>
  <si>
    <t>E02000901</t>
  </si>
  <si>
    <t>Waltham Forest 007</t>
  </si>
  <si>
    <t>MultiPolygon (((538722.15499991038814187 191444.25599987525492907, 538725.40300004603341222 191345.45800011063693091, 538791.99999995157122612 191363.99999987537739798, 538895.9999998570419848 191359.99999986524926499, 538899.00000013294629753 191359.99999986524926499, 538954.4409998826449737 191371.86100017200806178, 538964.58100007113534957 191330.72899993226747029, 539013.5690000201575458 191317.34300012938911095, 539107.91900003969203681 191427.31100012001115829, 539154.83800007321406156 191366.38399993439088576, 539208.75 191362.84300002089003101, 539202.00000009476207197 191325.9999999581486918, 539145.49199996923562139 191335.06200012477347627, 539081.04300016968045384 191252.13500006237882189, 538855.95900016429368407 191119.3279998343787156, 538883.35300011921208352 191118.71699984688893892, 538935.22799988149199635 190895.62900005665142089, 538785.23599997640121728 190884.65399983426323161, 538751.89400013838894665 190825.44800012477207929, 538649.87600002030376345 190890.83800002813222818, 538602.55599997565150261 190875.92499985001632012, 538493 190924.99999992726952769, 538511.99999995867256075 190970.00000013064709492, 538499.94300010334700346 191036.36100008327048272, 538532.7069999654777348 191066.51599993725540116, 538504.07200009387452155 191133.38200016538030468, 538538.1970000125002116 191250.39800006864243187, 538554.62499994353856891 191369.43499990302370861, 538722.15499991038814187 191444.25599987525492907)))</t>
  </si>
  <si>
    <t>E01004383</t>
  </si>
  <si>
    <t>Waltham Forest 007D</t>
  </si>
  <si>
    <t>MultiPolygon (((536235.3130002700490877 191749.34399982413742691, 536461.08300005563069135 191677.86900016429717652, 536549.37500001199077815 191712.85900023029535078, 536776.42400002060458064 191540.56500004927511327, 536960.73999986099079251 191400.80599998799152672, 536775.59999996842816472 191162.26800029468722641, 536859.19500030612107366 190980.92200026870705187, 536811.65799977642018348 190931.57799968039034866, 536535.44100000173784792 190914.54500007900060154, 536533.55299979273695499 190843.04600027712876908, 536361.31499972380697727 190886.13899994440726005, 536312.00000007462222129 190838.22399980900809169, 536322.25500013143755496 190758.93000003579072654, 536294.60100028081797063 190734.27000014155055396, 536324.3400003002025187 190679.65000012613018043, 536289.16100010252557695 190621.64400002727052197, 536228.3620002499083057 190608.29999999998835847, 536168.30499974498525262 190752.24099981191102415, 536246.90399990056175739 190769.2189998552785255, 536191.93200021411757916 190821.21200000296812505, 536163.26400028332136571 190816.81600008232635446, 536103.99999975669197738 190912.00000025794724934, 536027.35099995776545256 190887.92600010384921916, 535907.70700019435025752 190938.13800012759747915, 535951.99999972677323967 190970.00000032130628824, 535973.99999988696072251 191028.99999994339304976, 535915.57100024516694248 191113.84999970434000716, 535814.04400013899430633 191538.9340001551900059, 536100.25699986307881773 191723.95900013466598466, 536176.31299999007023871 191791.81199984942213632, 536231.31200016522780061 191903.07800024800235406, 536281.8129998161457479 191923.95300000003771856, 536309.37499999941792339 191843.85900031664641574, 536222.31300008576363325 191769.90599980700062588, 536235.3130002700490877 191749.34399982413742691)))</t>
  </si>
  <si>
    <t>E01004399</t>
  </si>
  <si>
    <t>Waltham Forest 009B</t>
  </si>
  <si>
    <t>E02000903</t>
  </si>
  <si>
    <t>Waltham Forest 009</t>
  </si>
  <si>
    <t>MultiPolygon (((536850.71400007500778884 190786.12700019005569629, 536923.84100012097042054 190545.75400020534289069, 536993.571000189287588 190452.21799986122641712, 536952.96800007927231491 190443.17900022864341736, 536750.30800012405961752 190403.70699984882958233, 536748.63599987467750907 190392.92699997778981924, 536651.09999976260587573 190386.19900008081458509, 536604.37599980540107936 190548.12699973990675062, 536576.04699988209176809 190591.81800010573351756, 536543.69500001845881343 190586.79300009363214485, 536530.88799983158241957 190603.97400002786889672, 536499.98199980915524065 190620.69800014118663967, 536529.88100022729486227 190648.77399975241860375, 536448.69300011941231787 190697.80399991260492243, 536431.61899999994784594 190741.9369999181071762, 536534.58000020659528673 190790.52100017911288887, 536533.5529998327838257 190843.04599981196224689, 536535.44099984155036509 190914.54499982355628163, 536811.65799975977279246 190931.57800018656416796, 536859.19499993312638253 190980.92200012900866568, 536775.60000019648578018 191162.26799993627355434, 536960.74000013328623027 191400.80599991919007152, 537066.15200018347240984 191315.38700010254979134, 537487.375 190975.26600009383400902, 537239.53499995160382241 190922.78699974992196076, 537207.04299997992347926 190917.77300018744426779, 536852.31300007575191557 190817.84399977116845548, 536850.71400007500778884 190786.12700019005569629)))</t>
  </si>
  <si>
    <t>E01004403</t>
  </si>
  <si>
    <t>Waltham Forest 009E</t>
  </si>
  <si>
    <t>MultiPolygon (((536409.38799989933613688 192636.89399990075617097, 536530.3129999014781788 192582.9730001043935772, 536593.99999994284007698 192629.00000012628152035, 536635.65899990289472044 192619.1589997926785145, 536610.32699996267911047 192463.55700000195065513, 536691.25900000694673508 192466.46900004317285493, 536812.60899991902988404 192535.41100001591257751, 536886.73000018927268684 192417.91199990431778133, 537006.33999999985098839 192392.58099995341035537, 537002.45500011777039617 192363.9110000726650469, 537001.51399993582163006 192332.02899979631183669, 536946.12399981345515698 192311.48199991314322688, 536975.35499993048142642 192247.19600004047970288, 536731.06200021400582045 192279.4740000918682199, 536716.27800017548725009 192221.80199987307423726, 536689.85999982280191034 192223.87999992383993231, 536677.66300018166657537 192166.96100011491216719, 536736.98700010788161308 192156.60399995333864354, 536723.94600013887975365 192108.69600000086938962, 536754.11200005793944001 192098.70799990213708952, 536750.78999994683545083 192051.53600009673391469, 536458.40699999779462814 192088.72600018349476159, 536466.66399989905767143 192141.25300018643611111, 536399.36200020567048341 192138.54700016946299002, 536255.70400008885189891 192117.77699999921605922, 536308.84199979505501688 191971.08699978812364861, 536217.70400019979570061 191992.54100021571503021, 536118.25 192172.79700006946222857, 536122.31300020474009216 192268.85900001629488543, 536123.2179998824140057 192272.97400011084391735, 536331.11299995030276477 192715.26000021188519895, 536409.38799989933613688 192636.89399990075617097)))</t>
  </si>
  <si>
    <t>E01004453</t>
  </si>
  <si>
    <t>Waltham Forest 006B</t>
  </si>
  <si>
    <t>E02000900</t>
  </si>
  <si>
    <t>Waltham Forest 006</t>
  </si>
  <si>
    <t>MultiPolygon (((537347.07700014964211732 191977.03199991179280914, 537403.97400000307243317 191817.37100019925856031, 537415.18399983528070152 191759.01899986749049276, 537456.69400005822535604 191179.7190000131377019, 537485.02300013648346066 190983.59000020392704755, 537487.37500029499642551 190975.26600000000325963, 537066.15200016985181719 191315.38700015761423856, 536960.74000009743031114 191400.80600011284695938, 536776.42399970511905849 191540.56499998245271854, 536788.9220000704517588 191610.05499978983425535, 536850.49399992090184242 191570.32499981537694111, 536872.59700025792699307 191599.13300017450819723, 536834.42500018840655684 191622.69299973986926489, 536866.05299969774205238 191669.77900016366038471, 536833.42299991264007986 191771.5839997835282702, 536829.99999996810220182 191796.99999987299088389, 536867.99999989138450474 191800.99999992857920006, 536859.99999978020787239 191865.99999992453376763, 536856.87400017282925546 192007.68999970698496327, 536800.99099974741693586 192017.18500009141280316, 536805.80099973257165402 192040.17000010990886949, 537016.60599995974916965 192013.496000089449808, 537024.08899995463434607 191936.42299989276216365, 537112.93600005540065467 191926.31700008557527326, 537074.64299971424043179 192075.63500025341636501, 537179.17500006465706974 192101.66300004775985144, 537125.00000013597309589 192139.99899982084752992, 537298.86999974260106683 192176.15199994487920776, 537334.17199985997285694 192184.79699999996228144, 537347.07700014964211732 191977.03199991179280914)))</t>
  </si>
  <si>
    <t>E01004455</t>
  </si>
  <si>
    <t>Waltham Forest 006D</t>
  </si>
  <si>
    <t>MultiPolygon (((536856.87400009972043335 192007.6900001005269587, 536859.99999987427145243 191865.99999999019200914, 536867.99999987042974681 191801.00000002066371962, 536829.99999988835770637 191797.0000000225554686, 536833.42299985978752375 191771.58399988515884615, 536866.0530000344151631 191669.7789998903463129, 536834.42499990260694176 191622.69300001853844151, 536872.5969999999506399 191599.13300004266784526, 536850.49400007643271238 191570.32499994878889993, 536788.92199985915794969 191610.05499998907907866, 536776.42399990814737976 191540.5649999103625305, 536549.37499993806704879 191712.85899996181251481, 536461.08299989043734968 191677.86899986691423692, 536235.31300005526281893 191749.34399994797422551, 536222.31300006143283099 191769.90599996846867725, 536309.37500005064066499 191843.85899990037432872, 536281.81300003349315375 191923.95299992960644886, 536231.31200003554113209 191903.07800002125441097, 536217.70400000002700835 191992.54100016198935919, 536308.84199999261181802 191971.08699985640123487, 536255.70399998221546412 192117.776999964407878, 536399.36200005491264164 192138.54699989571236074, 536466.66400000115390867 192141.25300008960766718, 536458.40700001746881753 192088.72599985820124857, 536750.78999997128266841 192051.53600002627354115, 536805.80099985573906451 192040.16999998051323928, 536800.99100003484636545 192017.18499998800689355, 536856.87400009972043335 192007.6900001005269587)))</t>
  </si>
  <si>
    <t>E01004456</t>
  </si>
  <si>
    <t>Waltham Forest 006E</t>
  </si>
  <si>
    <t>MultiPolygon (((533830.18099998112302274 192413.96800006061675958, 533840.0659999999916181 192365.3999998704821337, 533776.34899994474835694 192243.02400018842308782, 533786.12699984840583056 192157.2169999445322901, 533818.55199992924463004 192129.99999986062175594, 533825.53100012289360166 192124.82700006139930338, 533759.99000008311122656 191895.08999989437870681, 533709.532000113860704 191874.5659998562769033, 533686.58899984357412905 191748.98599995553377084, 533353.59999990789219737 191711.39999993200763129, 533232.96700010867789388 191706.48999993936740793, 533229.32400011213030666 191776.24399997081491165, 533061.73899999994318932 191920.2469999615859706, 533062.99999987322371453 191944.0000000816071406, 533195.00000006787013263 191944.0000000816071406, 533159.08100018731784075 192040.95800019026501104, 533082.35400008503347635 192044.39699990174267441, 533082.31699997617397457 192080.0759999277361203, 533308.99999988218769431 192098.00000017898855731, 533305.1490001673810184 192134.92099994872114621, 533291.8820000474806875 192349.35300017005647533, 533373.1380001250654459 192356.3939999466529116, 533605.81299986434169114 192409.43700017401715741, 533711.91699990932829678 192405.42600016697542742, 533830.18099998112302274 192413.96800006061675958)))</t>
  </si>
  <si>
    <t>E01032574</t>
  </si>
  <si>
    <t>Enfield 037E</t>
  </si>
  <si>
    <t>MultiPolygon (((542673.8600000039441511 188986.42499987524934113, 542695.99999997077975422 188976.00000013058888726, 542702.00000004516914487 188976.00000013058888726, 542791.36299998918548226 188897.66499987716088071, 542764.0649999943561852 188871.06700014733360149, 542798.41000013810116798 188867.41300005587982014, 542828.79999982274603099 188685.62900016581988893, 542834.92500002682209015 188587.37199986024643295, 542900.64400006737560034 188641.02000005368608981, 543011.47799984691664577 188659.08200015968759544, 543069.40500001132022589 188619.09299995101173408, 543094.8879999069031328 188646.05299995199311525, 543240.48700006620492786 188520.5130001132201869, 543267.00000000011641532 188455.99999996452243067, 543248.9680000483058393 188433.18400000981637277, 543010.91099993220996112 188432.56699996624956839, 542860.86099986638873816 188421.28900001614238136, 542640.06300016434397548 188401.92200012470129877, 542636.22499999881256372 188445.80099981755483896, 542557.46300003759097308 188710.72399993854924105, 542510.30599985283333808 188822.80799986174679361, 542497.78500000003259629 188851.03500004252418876, 542673.8600000039441511 188986.42499987524934113)))</t>
  </si>
  <si>
    <t>E01003646</t>
  </si>
  <si>
    <t>Redbridge 012A</t>
  </si>
  <si>
    <t>E02000762</t>
  </si>
  <si>
    <t>Redbridge 012</t>
  </si>
  <si>
    <t>MultiPolygon (((543005.99999988707713783 189127.99999996478436515, 543068.6669998865108937 189000.41300012276042253, 543233.3879998829215765 189119.4580000200367067, 543289.12800011457875371 189042.01599984811036848, 543129.31800010451115668 188921.31000009746639989, 543189.00400004873517901 188846.57999990321695805, 543167.29099989112000912 188828.33799993185675703, 543210.15300015371758491 188798.34800013623316772, 543187.92399996763560921 188779.58800009684637189, 543204.12700001103803515 188739.97699998682946898, 543130.9240001036087051 188685.4909998852526769, 543077.29800004954449832 188682.54799996467772871, 543000.97000001440756023 188746.80099987614084966, 543094.88800007803365588 188646.05300011276267469, 543069.40499998826999217 188619.09300010805600323, 543011.4779999852180481 188659.08199998445343226, 542900.64399996248539537 188641.01999987248564139, 542834.92500004533212632 188587.37199999997392297, 542828.80000010319054127 188685.62900014736806042, 542798.4100001062033698 188867.41299992625135928, 542764.0649999106535688 188871.0670000312384218, 542791.36300012399442494 188897.6649999693618156, 542702.00000009848736227 188975.9999999163846951, 542695.99999985320027918 188975.9999999163846951, 542673.85999988531693816 188986.42500009594368748, 542703.74099999212194234 189012.94400001355097629, 542733.57800015388056636 189040.55499994129058905, 542946.79000010527670383 189203.90700000000651926, 543005.99999988707713783 189127.99999996478436515)))</t>
  </si>
  <si>
    <t>E01003651</t>
  </si>
  <si>
    <t>Redbridge 012D</t>
  </si>
  <si>
    <t>MultiPolygon (((543861.59499999997206032 189021.94600005375104956, 543826.19099990406539291 188956.92000005531008355, 543791.99999996868427843 188975.00000015812111087, 543774.99899985338561237 188921.0000001918815542, 543761.67799996468238533 188868.66500020594685338, 543802.88100017968099564 188893.42800000280840322, 543802.8970000590197742 188815.73899999592686072, 543750.08199981902725995 188709.06599990249378607, 543714.00000020873267204 188731.99999987968476489, 543665.62400001345667988 188674.34199984374572523, 543547.66499991156160831 188568.58900012969388627, 543565.33700007805600762 188506.50300012750085443, 543536.99999979336280376 188484.9990000196848996, 543564.99999998311977834 188458.9999998590501491, 543538 188396.99999996155383997, 543434.61999987717717886 188472.82599986720015295, 543366.3810001655947417 188444.36599991811090149, 543266.99999996216502041 188456.00000010000076145, 543240.48700012650806457 188520.51300003938376904, 543094.88800013309810311 188646.05300005781464279, 543000.96999999997206032 188746.80099979875376448, 543077.2979998862138018 188682.54799983563134447, 543130.92400019778870046 188685.49099997061421163, 543204.12700013781432062 188739.97700003813952208, 543187.92399992304854095 188779.58800020656781271, 543210.15299999783746898 188798.3479999162373133, 543239.56099989998620003 188822.18000011594267562, 543261.85000016773119569 188793.35800020655733533, 543404.99300017370842397 188822.52799985907040536, 543495.37000005436129868 188839.26000001217471436, 543484.00000003376044333 188866.9999997953127604, 543600.99300021061208099 188912.00000005407491699, 543696.10800019465386868 188890.38700006876024418, 543790.6129999365657568 189013.69400008593220264, 543830.99999984877649695 189039.00000003844616003, 543861.59499999997206032 189021.94600005375104956)))</t>
  </si>
  <si>
    <t>E01003653</t>
  </si>
  <si>
    <t>Redbridge 015D</t>
  </si>
  <si>
    <t>E02000765</t>
  </si>
  <si>
    <t>Redbridge 015</t>
  </si>
  <si>
    <t>MultiPolygon (((541762.00000034214463085 189852.99999971134820953, 541852.00000030128285289 189813.99999975669197738, 541915.38900022476445884 189864.38900024860049598, 542046.75799981248565018 189659.22299994883360341, 541983.46700018038973212 189539.2259999162342865, 541810.76800038549117744 189351.51100026982021518, 541933.80800026631914079 189172.29299988123239018, 541875.67300020821858197 189122.47100036340998486, 541894.61299988441169262 189088.11600024238578044, 541969.36900024581700563 188991.57900021184468642, 542043.22500016773119569 189006.2490002375561744, 542074.55800038448069245 188973.04300024601980112, 542041.11799971433356404 188944.53500002541113645, 542093.09900029748678207 188830.01300017634639516, 542051.54000018886290491 188820.39299985000980087, 542039.32100013154558837 188860.6390000700193923, 541877.71599984460044652 188767.59199964106664993, 541843.99300001014489681 188796.03999966639094055, 541815.80300024361349642 188777.58399968428420834, 541854.58300003549084067 188717.06699959182878956, 541768.55499989108648151 188675.20599985585431568, 541755.83600014308467507 188707.44900040634092875, 541723.99999976914841682 188691.99999965715687722, 541728.99899984209332615 188612.24999999997089617, 541683.54500026605091989 188617.93199998585623689, 541639.06199971446767449 188718.88100015671807341, 541502.49899962660856545 189086.29799988580634817, 541508.50000022200401872 189227.4779996053839568, 541498.62500010314397514 189387.75000021525193006, 541515.31300002976786345 189927.6870001386560034, 541438.68799968529492617 190040.2660001234326046, 541353.43800010893028229 190054.01700007662293501, 541253.2000000529224053 190147.7269998001283966, 541247.26999970246106386 190272.2589999999909196, 541624.15699968463741243 190134.36099992427625693, 541830.17099981196224689 190040.54900011775316671, 541857.99999991129152477 190016.00000018149148673, 541762.00000034214463085 189852.99999971134820953)))</t>
  </si>
  <si>
    <t>E01003677</t>
  </si>
  <si>
    <t>Redbridge 036C</t>
  </si>
  <si>
    <t>E02006925</t>
  </si>
  <si>
    <t>Redbridge 036</t>
  </si>
  <si>
    <t>MultiPolygon (((542123.38900003698654473 189920.00099985397537239, 542182.76600002928171307 189867.55600015033269301, 542297.69399981782771647 189942.0710000951658003, 542342.05999997968319803 189911.74700015410780907, 542343.35100021085236222 189970.45999986739479937, 542417.45199979178141803 189957.21000002129585482, 542463.03599993977695704 189966.10600014688679948, 542463.31300001090858132 190006.70599983129068278, 542515.99999984120950103 190005.00000013288808987, 542543.6920002072583884 189956.98699982732068747, 542468.27600015967618674 189868.93600020324811339, 542532.4379997868090868 189802.57699993936694227, 542573.78600013942923397 189826.05299998098053038, 542612.86000015132594854 189783.15300020834547468, 542730.55099996645003557 189870.45700000808574259, 542758.99999989231582731 189841.0000001986627467, 542734.68099995458032936 189818.01900011929683387, 542756.33799980534240603 189770.33099992081406526, 542795.96799990662839264 189795.67900005693081766, 542810.95100004237610847 189686.99000017470098101, 542901.85599989700131118 189710.86500010674353689, 542843.26200008240994066 189644.30299999020644464, 542878.58500009030103683 189606.27900005647097714, 542865.08199997339397669 189465.08600001712329686, 542856.7589999227784574 189389.41199983106344007, 542663.0090000961208716 189242.89699999999720603, 542552.55599987367168069 189410.59200011380016804, 542494.2360002095811069 189398.90800018777372316, 542474.00300011830404401 189483.99499987976741977, 542556.0860000659013167 189541.09200012512155809, 542541.53199989732820541 189590.19299993888125755, 542427.69799989345483482 189632.33700012526242062, 542372.42600011534523219 189653.03200018126517534, 542270.13499985041562468 189796.94600005255779251, 542230.75600007281173021 189828.06199993318296038, 542177.39700017520226538 189776.43899981077993289, 542048.56100010289810598 189927.43799984033103101, 542141.01899978623259813 190020.09000004956033081, 542256.24999982863664627 190100.34400007079239003, 542348.0229997884016484 190113.19599999999627471, 542345.48299995588604361 190060.40199995375587605, 542266.76600018655881286 190043.64400020390166901, 542123.38900003698654473 189920.00099985397537239)))</t>
  </si>
  <si>
    <t>E01003678</t>
  </si>
  <si>
    <t>Redbridge 036D</t>
  </si>
  <si>
    <t>MultiPolygon (((543209.23800019023474306 190034.5319999355415348, 543170.24299992749001831 189958.43100017393589951, 543105.37100005382671952 190024.01000021930667572, 543051.64600005699321628 189962.55900013915379532, 543013.14999971422366798 189986.22000006906455383, 542981.31899978138972074 189950.07799997163238004, 543003.25900003348942846 189866.61000009780400433, 542942.61299980233889073 189813.74699990858789533, 542894.7109999906970188 189767.66200006753206253, 542923.27199984935577959 189730.53599983832100406, 542901.85600014321971685 189710.86499988313880749, 542810.95099989592563361 189686.98999982661916874, 542795.96800027473364025 189795.67899979732464999, 542756.33800005994271487 189770.33100005422602408, 542734.68100021663121879 189818.01899973917170428, 542759.00000019266735762 189841.00000008175265975, 542730.55099971941672266 189870.45700018631760031, 542612.85999988624826074 189783.15299999457783997, 542573.78600012371316552 189826.05300028357305564, 542532.43800016853492707 189802.57699993764981627, 542468.27599983022082597 189868.93599977967096493, 542543.69200010877102613 189956.98699988255975768, 542515.99999991175718606 190005.00000024773180485, 542463.31300006795208901 190006.70600023836595938, 542463.03600010776426643 189966.10600017348770052, 542417.45200014498550445 189957.20999982146895491, 542343.35099997953511775 189970.46000001503853127, 542342.05999993963632733 189911.74700020367163233, 542297.69399981806054711 189942.07100001157959923, 542182.76599973230622709 189867.55599987469031475, 542123.38899999996647239 189920.00100017583463341, 542266.76599998527672142 190043.64399979871814139, 542345.4830002652015537 190060.40200026627280749, 542348.02300007361918688 190113.19600017336779274, 542690.44900016894098371 190104.23300007128273137, 543011.45999996352475137 190094.28399987908778712, 543221.29100010450929403 190087.75899999160901643, 543270.81199999991804361 190085.94300000023213215, 543270.75600002042483538 190044.26600002197665162, 543209.23800019023474306 190034.5319999355415348)))</t>
  </si>
  <si>
    <t>E01003679</t>
  </si>
  <si>
    <t>Redbridge 036E</t>
  </si>
  <si>
    <t>MultiPolygon (((541935.37499977368861437 189976.04699982775491662, 542028.68800011498387903 189905.21800035599153489, 542048.56100028124637902 189927.43799995619338006, 542177.39699974388349801 189776.4389999721897766, 542230.7560002253158018 189828.06200012992485426, 542270.13500012585427612 189796.94599965328234248, 542372.42599985294509679 189653.03199975431198254, 542427.698000050149858 189632.33700023536221124, 542541.53199978265911341 189590.1929999187705107, 542556.08600008441135287 189541.09200028638588265, 542474.00299985648598522 189483.99500031303614378, 542494.23600023693870753 189398.90800000634044409, 542552.55600011989008635 189410.59200025274185464, 542663.00899985956493765 189242.89700007060309872, 542856.75899976782966405 189389.4119997400266584, 542865.08199971099384129 189465.08599997890996747, 543024.37999972060788423 189562.3790001897723414, 543056.11300001223571599 189532.2110000837710686, 543121.48600033193361014 189584.53899999606073834, 543212.6720000000204891 189470.12499983792076819, 543112.53099989995826036 189384.5470000087225344, 543135.36900027887895703 189350.60499980908934958, 542946.78999977628700435 189203.90700004284735769, 542733.57799974083900452 189040.55499993424746208, 542703.74100019037723541 189012.9439999915775843, 542673.86000030743889511 188986.42499992495868355, 542497.78499965264927596 188851.03500000410713255, 542410.34699968388304114 188963.93700027812155895, 542571.50000009196810424 189065.36899981251917779, 542543.30899972363840789 189131.56599996160366572, 542375.34399974357802421 189027.48500009629060514, 542341.00000019930303097 189054.99999964333255775, 542293.15100013522896916 189019.39400032340199687, 542278.27300022088456899 189050.81299975933507085, 542426.58999998727813363 189173.37999996097641997, 542413.99999995133839548 189215.9999998515995685, 542344.00000005005858839 189327.9999998387938831, 542265.78199984494131058 189266.55000030982773751, 542242.75200012547429651 189336.22700011165579781, 542159.35600029700435698 189302.77199993177782744, 542140.99999975587707013 189349.00000024438486435, 542193.99900002311915159 189364.99999993169330992, 542122.00000021792948246 189364.0000002232263796, 542022.00000035879202187 189523.00000028926297091, 541983.46699972858186811 189539.22600016742944717, 542046.757999945897609 189659.22300000858376734, 541915.38900023745372891 189864.38900011658552103, 541851.99999987310729921 189814.00000031426316127, 541762 189852.99999982409644872, 541858.00000029988586903 190016.00000017459387891, 541830.17099989706184715 190040.54899999592453241, 541935.37499977368861437 189976.04699982775491662)))</t>
  </si>
  <si>
    <t>E01003681</t>
  </si>
  <si>
    <t>Redbridge 036G</t>
  </si>
  <si>
    <t>MultiPolygon (((542531.91199993435293436 190603.44399987583165057, 542471.87300006777513772 190488.70999992359429598, 542474.08699978806544095 190422.32499992416705936, 542415.23399982636328787 190383.68300005031051114, 542365.53399991220794618 190291.12099991634022444, 542358.7620000469032675 190274.86799981191870756, 542359.0589997615898028 190268.39399986393982545, 542474.20899983868002892 190268.12199989394866861, 542520.46699984068982303 190251.37999986833892763, 542518.2369997805217281 190163.05500013893470168, 542688.54999996291007847 190155.92799993205699138, 542690.44900019117631018 190104.23300017023575492, 542348.02299982553813607 190113.19599993273732252, 542256.24999993550591171 190100.34400014003040269, 542141.01899989217054099 190020.08999985875561833, 542048.56100003130268306 189927.43799986990052275, 542028.68800022639334202 189905.21799999999348074, 541935.37499980884604156 189976.04699977985001169, 541986.18700011272449046 190042.79700021221651696, 541946.12499984039459378 190067.71900000481400639, 542058.43800021253991872 190223.53699979651719332, 542134.89299983461387455 190294.01699996707611717, 542167.78800001833587885 190354.73100019682897255, 542240.87200008681975305 190484.81399992620572448, 542176.43800021032802761 190517.39100000978214666, 542217.88199995318427682 190595.08000007219379768, 542362.00000022363383323 190512.9999998428102117, 542529.00000002770684659 190873, 542577.32100011175498366 190793.03099990432383493, 542552.95700019353535026 190753.44600002415245399, 542581.46000000764615834 190707.29199981151032262, 542526.80400008475407958 190706.09700001799501479, 542507.90799991961102933 190670.12900019797962159, 542531.91199993435293436 190603.44399987583165057)))</t>
  </si>
  <si>
    <t>E01003710</t>
  </si>
  <si>
    <t>Redbridge 008D</t>
  </si>
  <si>
    <t>E02000758</t>
  </si>
  <si>
    <t>Redbridge 008</t>
  </si>
  <si>
    <t>MultiPolygon (((542092.64100016001611948 190906.40099972186726518, 542207.96100011887028813 190870.54400018000160344, 542263.65600003732834011 190854.87000017598620616, 542348.62199999997392297 190832.03199974467861466, 542217.88200006145052612 190595.08000012708362192, 542176.43800014012958854 190517.39099981423350982, 542240.87200022174511105 190484.81399994538514875, 542167.78799991752021015 190354.73099987435853109, 542134.893000079668127 190294.01700006134342402, 542058.43799984990619123 190223.5369999450922478, 541946.12499992223456502 190067.7189998394169379, 541986.18700009759049863 190042.79700002539902925, 541935.37500005180481821 189976.04700006448547356, 541830.17099977971520275 190040.54900015701423399, 541624.15699979267083108 190134.36100024238112383, 541247.26999977068044245 190272.25900022985297255, 541232.99899999983608723 190332.9999997929262463, 541257.00000003527384251 190400.00000026970519684, 541353.3529999622842297 190667.84499974854406901, 541403.00000009185168892 190681.99999982884037308, 541436.03300026361830533 190905.04900019406341016, 541463.99999990162905306 190940.99999989866046235, 541510.07699973753187805 190912.04399991338141263, 541529.99999998835846782 190883.99999997590202838, 541735.15000016486737877 190978.56199993551126681, 541897.77899973059538752 190962.59799986856523901, 542092.64100016001611948 190906.40099972186726518)))</t>
  </si>
  <si>
    <t>E01003763</t>
  </si>
  <si>
    <t>Redbridge 009E</t>
  </si>
  <si>
    <t>MultiPolygon (((542039.32100022351369262 188860.63899983922601677, 542051.53999985533300787 188820.39299999451031908, 542093.09899995755404234 188830.01300015780725516, 542127.73599983437452465 188759.25399979008943774, 542106.51000019127968699 188654.25700006011174992, 542025.93800012255087495 188608.60199981858022511, 542061.42699990735854954 188545.03000001446343958, 542024.51499980257358402 188516.45599996257806197, 542040.99999992083758116 188483.99999986778129824, 541994.00000018835999072 188465.00000022017047741, 542007.01199990755412728 188430.469999932392966, 542103.79600017738994211 188467.50500016126898117, 542162.62399998330511153 188459.06600008861278184, 542149.11800021724775434 188435.64500013785436749, 542274.99999980989377946 188468.00000021286541596, 542299.80499989562667906 188500.4749999385967385, 542275.3049998787464574 188529.80599990708287805, 542338.11000017798505723 188594.47899988159770146, 542416.4030000000493601 188447.67299978228402324, 542378.80299984675366431 188423.36799977184273303, 542378.94400005624629557 188380.71199997738585807, 542274.01300018012989312 188371.26600018006865866, 542064.21999983675777912 188352.54200000470154919, 541815.98499993875157088 188331.08000016075675376, 541498.12499999988358468 188333.62599983712425455, 541519.49999989045318216 188406.53199982573278248, 541606.68800011090934277 188481.53100009739864618, 541683.54500001040287316 188617.93199998411000706, 541728.99900021706707776 188612.25000012925011106, 541723.99999992793891579 188691.99999997322447598, 541755.83599983749445528 188707.44900022927322425, 541768.55500000377651304 188675.20600022625876591, 541854.58299977402202785 188717.0669999239325989, 541815.80299999401904643 188777.58399993367493153, 541843.99300006148405373 188796.0400002156093251, 541877.71600019559264183 188767.59199984293081798, 542039.32100022351369262 188860.63899983922601677)))</t>
  </si>
  <si>
    <t>E01003675</t>
  </si>
  <si>
    <t>Redbridge 036A</t>
  </si>
  <si>
    <t>MultiPolygon (((541240.03600024350453168 189301.65899975824868307, 541309.25000013667158782 189291.54700016300193965, 541498.6250001338776201 189387.75000002203159966, 541508.4999997589038685 189227.47799974345252849, 541502.4990000631660223 189086.29799997256486677, 541639.06200000003445894 188718.88100025779567659, 541558.63699983584228903 188693.98599998385179788, 541539.10000017331913114 188740.38699987877043895, 541414.39800015580840409 188772.74099998638848774, 541212.83599981770385057 188914.24799974251072854, 541131.83800000662449747 188934.26200010420870967, 541096.58800020057242364 188920.40000023267930374, 541023.33999989228323102 189079.46499992095050402, 540980.19300011114683002 189068.07799994232482277, 540942.43499982089269906 189039.1499998506042175, 540995.47400007979013026 189034.22899981689988635, 541022.49000015354249626 188984.49500016265665181, 540932.27600005711428821 188945.92500009408104233, 540865.71700008667539805 188872.79100018370081671, 540990.09700000507291406 188719.98499978589825332, 541018.51700000115670264 188724.0820001081447117, 541040.70499978098087013 188667.05600011954084039, 541008.16799991868901998 188656.9099998525052797, 540970.0630000993842259 188703.4679999916406814, 540945.68799985409714282 188680.85899988943128847, 540893.00200012465938926 188705.10700024000834674, 540879.68799995328299701 188741.32899979353533126, 540911.18799999996554106 188769.81299977729213424, 540870.43800002988427877 188814.73399982918635942, 540823.3810000034281984 188793.73199998153722845, 540796.62900000775698572 188796.6759999291098211, 540845.49999990966171026 188843.65599995435331948, 540785.43799979740288109 188907.18699992878828198, 540665.73700005654245615 188855.82100007325061597, 540636.40700013947207481 188914.16200004986603744, 540605.38699999998789281 188975.84899979940382764, 540635.6050001330440864 188988.41400009937933646, 540764.18800012697465718 189051.57799996712128632, 540757.93900009163189679 189090.6870000445342157, 540791.81300016376189888 189017.18700010800966993, 540873.43799983744975179 189058.62500020346487872, 540839.12500006018672138 189135.79699981759767979, 540900.63199977984186262 189169.57800014998065308, 540856.25000025366898626 189252.78099980929982848, 541007.56299976108130068 189327.07799986627651379, 540991.74999983073212206 189369.62100008723791689, 541063.6560000431491062 189417.50600014746305533, 541240.03600024350453168 189301.65899975824868307)))</t>
  </si>
  <si>
    <t>E01003794</t>
  </si>
  <si>
    <t>Redbridge 018B</t>
  </si>
  <si>
    <t>MultiPolygon (((541002.61899996339343488 190370.25399999998626299, 541138.99999986484181136 190322.99999989129719324, 541232.99899977911263704 190332.99999995838152245, 541247.26999998081009835 190272.25900012013153173, 541253.20000024291221052 190147.72700008872197941, 541353.43799981474876404 190054.01699980290140957, 541438.6879999014781788 190040.26600001892074943, 541515.31300022685900331 189927.68700015684589744, 541498.62500003981404006 189387.75000003349850886, 541309.24999998253770173 189291.54699999999138527, 541240.03599990776274353 189301.65900005749426782, 541063.65600023861043155 189417.50599994754884392, 541101.74799974600318819 189487.48999995636404492, 541070.91399992443621159 189499.04299992881715298, 541005.21899989456869662 189674.0790002525318414, 540966.1130001659039408 189660.55599975553923286, 540994.97500007948838174 189699.24799982793047093, 540994.3939998596906662 189702.50399977987399325, 540924.81599981605540961 189862.36900013318518177, 540792.80000019527506083 189800.6000000748608727, 540825.58199977281037718 189743.75800017191795632, 540728.2159998775459826 189699.6000002600485459, 540658.52000007510650903 189598.82100000252830796, 540630.64900019206106663 189557.16400006879121065, 540551.24800025881268084 189563.69299985567340627, 540597.43100018962286413 189640.07900024010450579, 540584.97699994768481702 189684.00999974767910317, 540542.49100020073819906 189718.48099991233902983, 540496.88500010478310287 189693.09200020169373602, 540486.37499977322295308 189721.54700018878793344, 540502.63600026653148234 189801.41100004382315092, 540534.43699996673967689 190005.45200015336740762, 540594.35700022208038718 189990.98000016153673641, 540646.16099994059186429 190004.12899999713408761, 540711.00000012095551938 190072.00000014860415831, 540755.00000020046718419 190327.99999992485390976, 540808.34700021042954177 190315.23199994099559262, 540744.22000004618894309 190064.10099986279965378, 540752.50599995208904147 190034.12699973632697947, 540780.47399986535310745 190052.75899983372073621, 540792.84300015307962894 190019.61500021020765416, 540832.67499989655334502 190034.62200004060287029, 540886.88999983202666044 190002.20000004695612006, 540904.08299993735272437 190031.07400003663497046, 540993.17000019573606551 190000.91100019600708038, 541005.00699998973868787 189962.00499975672573783, 541089.00000006868503988 190045.00000007529160939, 541160.99999990465585142 190186.0000001585285645, 541089.99999975180253386 190293.000000229338184, 540976.86199989903252572 190350.26300005763187073, 541002.61899996339343488 190370.25399999998626299)))</t>
  </si>
  <si>
    <t>E01003764</t>
  </si>
  <si>
    <t>Redbridge 009F</t>
  </si>
  <si>
    <t>MultiPolygon (((547758.73600000294391066 189426.73699996393406764, 547815.29500007652677596 189267.24199984199367464, 547912.19800010102335364 189271.01300000751507469, 547912.45099981699604541 189233.68399993490311317, 547949.95100011641625315 189222.48399996920488775, 547948.99999980919528753 189193.0000000209256541, 547952.0760001193266362 189193.0000000209256541, 547975.10300010093487799 189108.49499991981429048, 548062.36599985195789486 189106.78999981601373293, 548062.14200021827127784 189034.49099988531088457, 548100.70300015120301396 189026.48399986687581986, 548154.19300022535026073 189026.35999991899007, 548371.88200022897217423 189021.12500017212005332, 548387.98999988613650203 188995.75599992723437026, 548452 189024.71700002349098213, 548443.90000013785902411 188953.8179999127460178, 548344.01099984860047698 188916.14099978981539607, 548357.81999994639772922 188845.13599992770468816, 548397.14400000846944749 188848.72700000254553743, 548394.09500022756401449 188776.64899990716367029, 548234.8969998334068805 188749.53599983570165932, 548114.14100018190219998 188727.99900018810876645, 548079.0000000970903784 188929.99999996490078047, 548044.61400005407631397 188924.15500011903350241, 548043.96300021046772599 188793.3369998044508975, 548058.46599991840776056 188751.70400007380521856, 547960.29999992938246578 188743.24100023185019381, 547804.35999995784368366 188626.82999998304876499, 547778.2599999331869185 188711.11700004726299085, 547735.43800010881386697 188840.76600001769838855, 547770.69999987434130162 188886.73699977764044888, 547921.62199989065993577 188943.19200012166402303, 547882.60999995446763933 189049.42899989051511511, 547856.81300019181799144 189093.68699992803158239, 547813.74500002479180694 189096.48099997109966353, 547514.56300000008195639 189119.70299997282563709, 547515.10200002673082054 189127.60500001651234925, 547662.58699977502692491 189270.35800012020627037, 547713.48399989178869873 189390.17999988445080817, 547675.69299993012100458 189437.94500001697451808, 547758.73600000294391066 189426.73699996393406764)))</t>
  </si>
  <si>
    <t>E01000029</t>
  </si>
  <si>
    <t>Barking and Dagenham 001C</t>
  </si>
  <si>
    <t>E02000002</t>
  </si>
  <si>
    <t>Barking and Dagenham 001</t>
  </si>
  <si>
    <t>E09000002</t>
  </si>
  <si>
    <t>Barking and Dagenham</t>
  </si>
  <si>
    <t>MultiPolygon (((547947.73500008217524737 189671.9450000059150625, 547995.87300001690164208 189590.85400020706583746, 548025.46400012215599418 189591.46500011824537069, 548059.00000015529803932 189483.00000017290585674, 548102.20400017942301929 189496.85799982090247795, 548143.16700004786252975 189450.72800020227441564, 548127.00000003457535058 189363.00000018926220946, 548162.77100006968248636 189276.85499991328106262, 548246.86099993996322155 189235.56599991235998459, 548290.53100006119348109 189246.54599994176533073, 548290.99999981722794473 189270.99999981178552844, 548341.61499982408713549 189265.73799999611219391, 548342.58799995412118733 189214.1670000160811469, 548382.229000085266307 189216.22699985341751017, 548381.01200011244509369 189277.68000015238067135, 548415.71199987502768636 189315.56900011756806634, 548385.47999992582481354 189390.35400010203011334, 548210.4549997968133539 189373.36700011699576862, 548193.53699990769382566 189611.11599981179460883, 548250.58000006817746907 189631.6890000004786998, 548316.55099992919713259 189498.25099984477856196, 548356.75899995875079185 189541.75599991818307899, 548481.93799999996554106 189556.80100002413382754, 548465.99999986309558153 189262.99999992430093698, 548461.99999991932418197 189132.00000009534414858, 548452.00000005995389074 189024.71699992279172875, 548387.99000000755768269 188995.75600007604225539, 548371.88199997344054282 189021.12499998332350515, 548154.19299986271653324 189026.35999994314624928, 548100.70299989636987448 189026.48400005503208376, 548062.14199985039886087 189034.49099998254678212, 548062.36599987733643502 189106.79000008219736628, 547975.10300007497426122 189108.49500015849480405, 547952.07600012479815632 189193.00000007310882211, 547949.00000003096647561 189193.00000007310882211, 547949.95100015460047871 189222.48399980552494526, 547912.45099984633270651 189233.68399989869794808, 547912.19800019089598209 189271.01300000547780655, 547815.29500013974029571 189267.2419999381818343, 547758.73600011959206313 189426.7369999346556142, 547675.69299990695435554 189437.94499995419755578, 547646.26199999998789281 189527.95999990828568116, 547676.54899996507447213 189540.35000011845841072, 547689.9999999130377546 189497.99999996196129359, 547748.00200012349523604 189470.35100015360512771, 547835.09800010523758829 189486.69800018108799122, 547863.82300003559794277 189316.34199999974225648, 547932.99999983818270266 189321.99900004387018271, 547914.88600009621586651 189386.20899992634076625, 547902.45899991330225021 189424.39300020496011712, 547857.00000007136259228 189533.999999873485649, 547817.31899989070370793 189529.40600017542601563, 547780.99999988672789186 189651.99999988530180417, 547779.38400014000944793 189669.90899994762730785, 547921.28099982242565602 189705.34599992391304113, 547947.73500008217524737 189671.9450000059150625)))</t>
  </si>
  <si>
    <t>E01000030</t>
  </si>
  <si>
    <t>Barking and Dagenham 001D</t>
  </si>
  <si>
    <t>MultiPolygon (((549102.4379998481599614 189324.62499987107003108, 548954.49999998055864125 189063.20300026936456561, 548889.69300025620032102 189065.75000008841743693, 548874.18799988110549748 188496.1870000145281665, 548820.82000007422175258 188489.29599959531333297, 548667.88899974909145385 188470.36400016865809448, 548636.06300001847557724 188485.96900030257529579, 548527.81399968394543976 188445.2970001253997907, 548518.62599968968424946 188384.15600012961658649, 548489.99999986297916621 188379.7499998145212885, 548499.37699980800971389 188327.2180001255183015, 548474.18800002511125058 188319.07799960218835622, 548525.09100001840852201 188147.59200032998342067, 548538.37500005925539881 188104.51599978556623682, 548368.70000024698674679 188078.35899999999674037, 548344.13599980354774743 188167.84599998960038647, 548279.34399987361393869 188193.24299974503810517, 548273.76500038907397538 188263.18900018464773893, 548323.46399966150056571 188307.28299976419657469, 548131.00000020617153496 188266.99999990221112967, 548092.49399998784065247 188321.86400009825592861, 548166.46000038622878492 188366.03999968327116221, 548202.56999984534922987 188438.49699958832934499, 548181.89799970330204815 188540.16100039170123637, 548219.68699958454817533 188573.0630003388505429, 548210.93700036313384771 188624.8809996495838277, 548193.93200021830853075 188650.53499983536312357, 548234.89700033247936517 188749.53600015089614317, 548394.09500031208153814 188776.6490001036436297, 548397.14400030928663909 188848.72699983877828345, 548357.81999972648918629 188845.13599992930539884, 548344.01100010506343096 188916.14100025375955738, 548443.90000010805670172 188953.81799969368148595, 548452.00000005029141903 189024.71700034156674519, 548461.99999964446760714 189132.00000036365236156, 548466.00000015960540622 189263.00000029741204344, 548481.93799996469169855 189556.80099995588534512, 548464.37499984446913004 189672.68700036697555333, 549120.96600001212209463 189772.29399999999441206, 549120.77200041234027594 189640.2440000580099877, 549102.4379998481599614 189324.62499987107003108)))</t>
  </si>
  <si>
    <t>E01000031</t>
  </si>
  <si>
    <t>Barking and Dagenham 002A</t>
  </si>
  <si>
    <t>E02000003</t>
  </si>
  <si>
    <t>Barking and Dagenham 002</t>
  </si>
  <si>
    <t>MultiPolygon (((550259.35700034536421299 189056.53299977132701315, 550291.99999969941563904 189027.99999966958421282, 550280.62600029236637056 189023.31600035226438195, 550265.06700010062195361 188970.95500023348722607, 550354.14599989622365683 188899.41000033632735722, 550332.83800033654551953 188860.66999997367383912, 550353.10899969399906695 188841.24300027705612592, 550359.05400011572055519 188899.44399979989975691, 550423.91400007228367031 188920.56399967230390757, 550413.19199995556846261 188888.39100024130311795, 550560.72100021713413298 188826.32699995307484642, 550723.3310000856872648 188813.3250001946289558, 550743.00099970051087439 188773.99700019514421001, 550752.96200023568235338 188746.49300033887266181, 550764.31999972928315401 188710.75199977928423323, 550882.3270001319469884 188771.18600007935310714, 550952.51000000000931323 188761.37499978960840963, 550944.01500034076161683 188633.6979999199975282, 550902.03300025674980134 188623.79699976497795433, 550854.59500010008923709 188556.24999972630757838, 550775.3589997161179781 188542.34600026847328991, 550713.70700001728255302 188602.91199985411367379, 550653.86600020795594901 188605.52799979184055701, 550618.12099967000540346 188668.1900000151945278, 550652.00000008754432201 188684.00000008186907507, 550635.96300001605413854 188738.11199971009045839, 550335.2380000336561352 188637.76199977370561101, 550346.93099965248256922 188587.89499990057083778, 550298.51900018600281328 188576.01799986799596809, 550267.5970001514069736 188651.80599988350877538, 550006.27500029129441828 188730.82799966359743848, 549991.27300008025486022 188734.56900003206101246, 549864.30900005204603076 188830.84200000890996307, 549874.51399997132830322 188946.53499989645206369, 549724.73400008725002408 188938.43200022995006293, 549544.72600028896704316 189043.68800004417425953, 549542.82600000011734664 189046.53499996510799974, 549616.59700018377043307 189044.66799967380939052, 549835.37600000074598938 189057.25000029584043659, 549999.81699965067673475 189133.87500018632272258, 550150.36900029017124325 189264.54199973150389269, 550205.73999997624196112 189147.48699981495155953, 550286.53400003316346556 189082.47300033949431963, 550259.35700034536421299 189056.53299977132701315)))</t>
  </si>
  <si>
    <t>E01002244</t>
  </si>
  <si>
    <t>Havering 011A</t>
  </si>
  <si>
    <t>E02000474</t>
  </si>
  <si>
    <t>Havering 011</t>
  </si>
  <si>
    <t>E09000016</t>
  </si>
  <si>
    <t>Havering</t>
  </si>
  <si>
    <t>MultiPolygon (((550729.06899980665184557 189504.65800012435647659, 550660.19100018823519349 189447.127999787859153, 550578.99999995320104063 189461.00000019636354409, 550584.00000000884756446 189402.99999999772990122, 550526.60800006391946226 189332.94400008348748088, 550452.99999989185016602 189247.00000004953471944, 550504.00000001245643944 189183.99999979522544891, 550551.88800004124641418 189189.56800021146773361, 550577.99999994202516973 189208.00000006248592399, 550667.02800005325116217 189101.50000021827872843, 550694.1049999468959868 189033.30300018875277601, 550748.56599983060732484 189049.80500005406793207, 550789.21000016515608877 188985.44599992060102522, 550742.72599978349171579 188904.22499998935381882, 550791.7669998393394053 188859.16299996699672192, 550600.00000018696300685 188890.00000009927316569, 550592.9819998440798372 188941.81399987838813104, 550563.22200021042954177 188921.57900017185602337, 550502.36799999070353806 188973.88000001362524927, 550445.51200013398192823 188970.30600012768991292, 550423.91399984341114759 188920.56400008898344822, 550359.05400008719880134 188899.44400017583393492, 550353.10899998515378684 188841.24300000001676381, 550332.83800019603222609 188860.66999998735263944, 550354.14600014348980039 188899.41000022194930352, 550265.06699987780302763 188970.95499989160452969, 550280.62599982565734535 189023.31600002027698793, 550291.99999988789204508 189027.99999984703026712, 550259.35700015409383923 189056.53300005386699922, 550286.5339997805422172 189082.47300005648867227, 550205.74000007228460163 189147.48699989312444814, 550150.36900016060099006 189264.54199981910642236, 550200.84299994260072708 189316.24899986176751554, 550389.00800014170818031 189510.99399991941754706, 550449.34899996558669955 189572.10500014552962966, 550597.99800003587733954 189723.10799978405702859, 550620.09499982045963407 189735.75500000000465661, 550645.49999979918356985 189610.78099983558058739, 550729.06899980665184557 189504.65800012435647659)))</t>
  </si>
  <si>
    <t>E01002245</t>
  </si>
  <si>
    <t>Havering 011B</t>
  </si>
  <si>
    <t>MultiPolygon (((549544.72599975974299014 189043.68799988675164059, 549724.73400014359503984 188938.43199975663446821, 549874.51400015701074153 188946.53499983280198649, 549864.30899991386104375 188830.84200015355600044, 549991.27299977489747107 188734.56900015636347234, 550006.27500023553147912 188730.82799980958225206, 550267.59699975699186325 188651.80600015557138249, 550298.51899980858433992 188576.01800016718334518, 550240.60400014522019774 188503.20299994648667052, 550149.02099993440788239 188480.80299975807429291, 550117.99999980244319886 188480.99999981341534294, 550119.99500003212597221 188389.99599998333724216, 550189.99999991443473846 188370.00000023719621822, 550115.59800006484147161 188273.22100015799514949, 550059.86400001926813275 188276.94699990921071731, 550063.00000020361039788 188208.0000001085572876, 550107.00000008009374142 188208.99999999356805347, 550117.99999980244319886 188145.99999983384623192, 550089.60700005537364632 188106.690000237460481, 550007.4179999076295644 188085.77000023424625397, 549961.16300000913906842 188093.08600019459845498, 549954.06499985186383128 188126.98100001385319047, 549909.00000014237593859 188135.99999999653664418, 549860.11100021295715123 188144.45800001709721982, 549816.38699984271079302 188147.08199997991323471, 549821.28800017456524074 188116.71500024464330636, 549766.32699975487776101 188075.41899988739169203, 549603.57999978214502335 188058.72899999999208376, 549567.44299983175005764 188133.21099989966023713, 549504.8820000885752961 188112.21000023451051675, 549476.74099978338927031 188140.52400003705406561, 549757.47299990616738796 188257.26699994111550041, 549729.29699985671322793 188291.47599982100655325, 549593.57200008793734014 188257.13899976233369671, 549476.53300004813354462 188295.45600021237623878, 549516.99999980663415045 188346.00000003530294634, 549372.00000019127037376 188732.99899985315278172, 549449.0000002218876034 189046, 549544.72599975974299014 189043.68799988675164059)))</t>
  </si>
  <si>
    <t>E01002246</t>
  </si>
  <si>
    <t>Havering 017A</t>
  </si>
  <si>
    <t>E02000480</t>
  </si>
  <si>
    <t>Havering 017</t>
  </si>
  <si>
    <t>MultiPolygon (((549542.82600008381996304 189046.53499963058857247, 549544.72599966416601092 189043.68799999009934254, 549449.00000040815211833 189045.99999994895188138, 549371.999999716761522 188732.99900036453618668, 549517.00000026647467166 188346.00000018635182641, 549476.53299959911964834 188295.45599966452573426, 549593.5720000023720786 188257.13899970517377369, 549729.29699968884233385 188291.47600027974112891, 549757.47300007904414088 188257.26699999903212301, 549476.74100018467288464 188140.52400032937293872, 549504.88199969078414142 188112.21000025718240067, 549567.44299979333300143 188133.21100009375368245, 549603.58000001579057425 188058.72900041498360224, 549766.32699964486528188 188075.41900011364487, 549821.28799969702959061 188116.71499993550241925, 549816.38700021721888334 188147.0819996488862671, 549860.11099964287132025 188144.45800010833772831, 549908.99999985692556947 188136.00000034403637983, 549954.06499961251392961 188126.98100006848108023, 549961.16299960436299443 188093.0859997657535132, 550007.41800002532545477 188085.76999980016262271, 550023.97500016819685698 188003.18800040904898196, 549898.90899982175324112 187979.51299976898008026, 549995.69099998928140849 187900.71800042042741552, 549953.0889998571947217 187798.96499986943672411, 549858.67500037141144276 187718.73800031302380376, 549877.00100007082801312 187535.2170000109472312, 549777.43499977933242917 187443.57299960395903327, 549670.94199966557789594 187403.12799983800505288, 549547.19900040468201041 187336.79899999999906868, 549418.62499997392296791 187442.46900041925255209, 549210.29200022388249636 187648.58799974658177234, 549161.37499964842572808 187625.60899956975481473, 549099.63400037493556738 187656.07600008003646508, 549057.86699972162023187 187664.75599974615033716, 549019.50000022840686142 187715.03099969771574251, 548919.27499988942872733 187717.80099964095279574, 548881.18799968820530921 187727.43700028618331999, 548880.27699984575156122 187766.34200005559250712, 548871.06299983174540102 187799.01599960157182068, 548972.66399965551681817 187816.60699975455645472, 549085.6009998400695622 187836.72399991197744384, 549051.6880002929829061 187899.81199983978876844, 549019.06300008285325021 188228.24999980549910106, 548946.43800010858103633 188214.15600015039672144, 548954.4189995814813301 188246.31000039359787479, 548952.49999969406053424 188492.26499983796384186, 548874.18800009693950415 188496.18699983251281083, 548889.69300012104213238 189065.75, 548954.50000007136259228 189063.20300015673274174, 549542.82600008381996304 189046.53499963058857247)))</t>
  </si>
  <si>
    <t>E01002250</t>
  </si>
  <si>
    <t>Havering 017E</t>
  </si>
  <si>
    <t>MultiPolygon (((554869.73600006964989007 191892.11699990683700889, 554937.00000010593794286 191842.99999986149487086, 554968.54799990053288639 191866.6549998952250462, 555005.48099991632625461 191833.2590000425116159, 555019.90999985032249242 191889.68600015999982134, 555042.14499985566362739 191855.83399989508325234, 555052.99900018656626344 191814.00000003280001692, 555090.99999991990625858 191802.99999986620969139, 555158.49699990102089942 191850.77400009543634951, 555260.37199983652681112 191793.31100009792135097, 555319.95300004247110337 191841.40499996114522219, 555361.1309998786309734 191807.38300019229063764, 555360.53699980000965297 191762.84599986608373001, 555486.99899996747262776 191805.0000002017186489, 555503.80200006882660091 191856.01199998788069934, 555568.8559998394921422 191864.00899985004798509, 555587.77200020081363618 191834.29399984894553199, 555582.51500016881618649 191799.94800015160581097, 555524.70499980880413204 191780.21000013497541659, 555550.99999986577313393 191689.00000004752655514, 555626.84100007137749344 191716.56299985552323051, 555627.60400000005029142 191710.98500011584837921, 555615.55499983590561897 191704.48400000104447827, 555452.58200007991399616 191618.01500015283818357, 555328.19499989319592714 191551.63599979277933016, 555248.86400004639290273 191508.76499997687642463, 555193.76900019426830113 191476.95900007613818161, 555025.32400010793935508 191377.99100009317044169, 554895.69799995527137071 191503.38000017518061213, 554868.33300003362819552 191534.42800009562051855, 554908.75100016198121011 191575.32200001005548984, 554788.26399999996647239 191785.66299990611150861, 554793.03700007672887295 191833.71999998347018845, 554847.00000011664815247 191842.00000011341762729, 554893.37199996376875788 191796.39799987085280009, 554910.3990001865895465 191819.326000107859727, 554869.73600006964989007 191892.11699990683700889)))</t>
  </si>
  <si>
    <t>E01002283</t>
  </si>
  <si>
    <t>Havering 002D</t>
  </si>
  <si>
    <t>E02000465</t>
  </si>
  <si>
    <t>Havering 002</t>
  </si>
  <si>
    <t>MultiPolygon (((554295.03900037158746272 190838.9020000433374662, 554364.56800014921464026 190734.10200038843322545, 554275.99999960232526064 190693.99999968594056554, 554197.06300013221334666 190752.91100034324335866, 554187.20100034703500569 190717.77499960287241265, 554263.91400001745205373 190632.78500014173914678, 554368.13599978596903384 190689.71900019212625921, 554338.99999977671541274 190665.99999988632043824, 554417.86199963372200727 190626.16299965098733082, 554535.999999885330908 190592.99900004352093674, 554701.32600037078373134 190652.52199984504841268, 554768.07199963054154068 190667.69399958531721495, 554823.45099986519198865 190746.43600039478042163, 554934.92000023520085961 190750.46900030074175447, 554957.0159997089067474 190738.68499995846650563, 554981.68399972154293209 190703.73799967716331594, 555017.01300000003539026 190624.14599991735303774, 554921.6119998173089698 190559.73700007452862337, 554878.9999997231643647 190578.00000027791247703, 554800.56199978000950068 190526.52800019894493744, 554846.75099973112810403 190498.90500008876551874, 554717.41200016520451754 190443.70000022376189008, 554686.37200003955513239 190436.56600007301312871, 554661.81000021367799491 190486.85200020030606538, 554399.06999972462654114 190309.92199961130972952, 554243.5920001637423411 190201.80100034619681537, 554292.3120002985233441 190407.98899994825478643, 554171.34099978709127754 190396.58799999809707515, 554065.59600033797323704 190320.01099985957262106, 554001.70199967280495912 190377.93699992861365899, 553989.12099963997025043 190293.84500003725406714, 553948.42300027760211378 190273.99800023439456709, 553950.95100011001341045 190246.79599968669936061, 553888.99999996030237526 190212.99999970430508256, 553938.99999966204632074 190121.99999973032390699, 553879.39600037829950452 190128.94399986069765873, 553837.94200001354329288 190157.8000001469918061, 553573.37099989852868021 190352.78299968826468103, 553384.43400008417665958 190513.88899976501124911, 553349.68799999984912574 190531.26600013664574362, 553421.87500010640360415 190533.70299987145699561, 553643.60099979513324797 190652.77000026652240194, 553824.92100041615776718 190746.3159996798785869, 553980.73700010112952441 190830.39700022820034064, 553927.18799993104767054 190929.78099974108044989, 553879.93899977847468108 190937.00000012034433894, 553732.24099960387684405 191119.12799977490794845, 553891.73299990233499557 191267.76600026967935264, 554193.78500000003259629 191185.80399972922168672, 554237.99999969569034874 191126.99999965378083289, 554149.60199960577301681 191078.59800007956800982, 554162.30900022259447724 191022.724999791913433, 554238.92699988279491663 191014.60599988655303605, 554260.03899999684654176 190973.4929999970481731, 554298.69000028050504625 190905.98800021709757857, 554295.03900037158746272 190838.9020000433374662)))</t>
  </si>
  <si>
    <t>E01002293</t>
  </si>
  <si>
    <t>Havering 007A</t>
  </si>
  <si>
    <t>E02000470</t>
  </si>
  <si>
    <t>Havering 007</t>
  </si>
  <si>
    <t>MultiPolygon (((555452.58199980459176004 191618.01500000001396984, 555596.91999984881840646 191345.6420000332291238, 555671.95799988531507552 191171.87900009285658598, 555392.00000011082738638 190977.99999980494612828, 555402.79199995787348598 190929.79199981348938309, 555275.00000011012889445 190774.00000003434251994, 555225.99999987496994436 190774.00000003434251994, 555190.89300012518651783 190720.393000118463533, 555140.1210001342697069 190726.60000013359240256, 555066.25599998503457755 190670.74600000004284084, 555007.53500023239757866 190719.99099999477039091, 554981.6839998570503667 190703.73800004637450911, 554957.01600016152951866 190738.68499990479904227, 555009.03000006091315299 190789.99100005999207497, 554996.05300017318222672 190819.77600006692227907, 555131.05399987066630274 190947.39699986210325733, 555078.8200000615324825 190999.91100007321801968, 554991.85100014333147556 190935.6330001896712929, 554990.76300012436695397 190861.76400019708671607, 554959.00000014039687812 190829.99999989705975167, 554891.5220000616973266 191128.27399993882863782, 554841.2550000682240352 191132.65200018064933829, 554830.3640001907479018 191168.61299987739766948, 554822.0339998381678015 191259.04000007009017281, 554876.30499980051536113 191304.27599993656622246, 554764.4340001146774739 191459.05699987831758335, 554807.61900013952981681 191445.75299988992628641, 554895.69799992558546364 191503.38000009537790902, 555025.32400017976760864 191377.99100003961939365, 555193.76900022069457918 191476.95900001830887049, 555248.86400012066587806 191508.76499985760892741, 555328.19500005710870028 191551.63600010157097131, 555452.58199980459176004 191618.01500000001396984)))</t>
  </si>
  <si>
    <t>E01002298</t>
  </si>
  <si>
    <t>Havering 007D</t>
  </si>
  <si>
    <t>MultiPolygon (((554895.69799992174375802 191503.38000018213642761, 554807.6190001416252926 191445.75300013707601465, 554764.43399989570025355 191459.05699994080350734, 554876.30500011949334294 191304.27599999541416764, 554822.03399988391902298 191259.04000023225671612, 554830.36400018143467605 191168.61299981895717792, 554745.52800002752337605 191159.68600006477208808, 554703.27899978822097182 191148.08000023517524824, 554686.00000012654345483 191179.00099986654822715, 554644.31700020574498922 191358.81099996843840927, 554580.45500007295049727 191393.71299979762989096, 554558.59000014001503587 191339.9010000373236835, 554595.32899979967623949 191323.85000006962218322, 554589.91299996303860098 191294.83700003626290709, 554550.67000016011297703 191292.74000004044501111, 554580.48700008576270193 191227.36299999142647721, 554498.35399989422876388 191179.76100004807813093, 554525.72800002305302769 191114.85399978840723634, 554397.43600014375988394 191044.23499994183657691, 554260.03899991733487695 190973.49299999998765998, 554238.92699993308633566 191014.60600003000581637, 554162.30899978638626635 191022.72499982887529768, 554149.60199993022251874 191078.59800000008544885, 554237.99999994540121406 191126.99999977281549945, 554193.78499993146397173 191185.8040000589680858, 554363.64399986923672259 191242.65699994756141677, 554404.70099999953527004 191293.93799999848124571, 554443.94399980246089399 191287.38900012252270244, 554451.99999995960388333 191338.00000018134596758, 554504.00000016030389816 191363.00000000407453626, 554428.27299992553889751 191437.43000007246155292, 554432.64400012604892254 191484.35300000474671833, 554481.35399983800016344 191489.50500010378891602, 554446.61100017989519984 191599.9159999271214474, 554389.54900006961543113 191653.74200015320093371, 554411.35899999586399645 191730.88599998888093978, 554235.51600011682603508 191732.70799995129345916, 554379.68800009484402835 191805.06200023167184554, 554358.23200009553693235 191851.50400007879943587, 554495.93300019821617752 191918.38899981111171655, 554574.40099976630881429 191955.22399999995832331, 554788.2640002011321485 191785.66300008946564049, 554908.75100006989669055 191575.32199986805790104, 554868.33299981185700744 191534.4279999717255123, 554895.69799992174375802 191503.38000018213642761)))</t>
  </si>
  <si>
    <t>E01002299</t>
  </si>
  <si>
    <t>Havering 002E</t>
  </si>
  <si>
    <t>MultiPolygon (((554686.00000011338852346 191179.00100011526956223, 554703.27899994666222483 191148.08000018176971935, 554745.5279999413760379 191159.68599987411289476, 554830.36399982520379126 191168.61299977413727902, 554841.25500019476749003 191132.65199990538530983, 554891.52199980546720326 191128.27400005917297676, 554958.99999983189627528 190830.00000022945459932, 554990.76300017244648188 190861.76400011026998982, 554991.85099981829989702 190935.63300010905368254, 555078.81999988295137882 190999.91100009417277761, 555131.05400000000372529 190947.39699984970502555, 554996.05299986759200692 190819.77600001019891351, 555009.02999984205234796 190789.99099983889027499, 554957.01600006117951125 190738.68499976690509357, 554934.92000019364058971 190750.46900022457703017, 554823.45100006356369704 190746.43599988656933419, 554768.07200010726228356 190667.69400011116522364, 554701.32600008381996304 190652.52200014010304585, 554535.99999977019615471 190592.99899990146514028, 554417.86200003675185144 190626.16299994781729765, 554339.00000020663719624 190666.00000011851079762, 554368.13599997630808502 190689.71900005254428834, 554263.91399992513470352 190632.78499991915305145, 554187.200999999884516 190717.77499980232096277, 554197.06300003081560135 190752.91099994431715459, 554275.99999983597081155 190694.00000012593227439, 554364.56800014490727335 190734.10199976837611757, 554295.03899999870918691 190838.90199982316698879, 554298.68999990320298821 190905.9879997655225452, 554260.03900010732468218 190973.4930001228058245, 554397.43599986773915589 191044.23500003092340194, 554525.72799990663770586 191114.85399984763353132, 554498.35400001902598888 191179.76099998940480873, 554580.48699981649406254 191227.36299997934838757, 554550.67000019690021873 191292.74000021716346964, 554589.9130001679295674 191294.83699995678034611, 554595.32899999129585922 191323.85000010693329386, 554558.59000002779066563 191339.9009999945119489, 554580.45499989634845406 191393.71300009853439406, 554644.316999975242652 191358.81099999227444641, 554686.00000011338852346 191179.00100011526956223)))</t>
  </si>
  <si>
    <t>E01002300</t>
  </si>
  <si>
    <t>Havering 007E</t>
  </si>
  <si>
    <t>MultiPolygon (((553500.78899996157269925 191038.34499977613450028, 553533.45600010524503887 191015.19300020593800582, 553732.24100016336888075 191119.12800006830366328, 553879.93900012061931193 190937.00000007278867997, 553927.18799994164146483 190929.78099988677422516, 553980.73699999996460974 190830.39700015904963948, 553824.9209999394370243 190746.31599997603916563, 553643.60099983308464289 190652.76999998916289769, 553421.87499996100086719 190533.70299981461721472, 553349.68799983302596956 190531.26600001147016883, 553346.28100011614151299 190531.56300013323198073, 553373.75499980617314577 190557.7549998793983832, 553351.57200003298930824 190603.40900007021264173, 553258.7659998283488676 190614.54600020116777159, 553267.00000011397060007 190757.00000020046718419, 553233.75000008963979781 190876.25000008710776456, 553113.99999987706542015 190848.99999982811277732, 553109.48000013665296137 190781.34700015353155322, 553080.02600009564775974 190761.9240001157450024, 553059.39500000001862645 190805.85399989763391204, 553092.84400022227782756 190896.6840002182580065, 553261.16899980825837702 190930.86599986624787562, 553302.21400000352878124 190821.01300013714353554, 553360.36100015533156693 190820.91599986937944777, 553335.00000021932646632 190925.0000000813161023, 553313.096999965258874 191011.68000009199022315, 553306.99999993212986737 191041.99999988314812072, 553358.77699996659066528 191050.25000019400613382, 553351.00000005436595529 191084.00000008370261639, 553393.71499988262075931 191095.47100004911771975, 553371.24300000024959445 191130.84999985276954249, 553414.22199978318531066 191168.03499996400205418, 553387.48600010247901082 191197.1809999811812304, 553403.56499994674231857 191219.21999998856335878, 553447.82200012786779553 191214.51300006915698759, 553500.78899996157269925 191038.34499977613450028)))</t>
  </si>
  <si>
    <t>E01002310</t>
  </si>
  <si>
    <t>Havering 006B</t>
  </si>
  <si>
    <t>E02000469</t>
  </si>
  <si>
    <t>Havering 006</t>
  </si>
  <si>
    <t>MultiPolygon (((553037.05500004673376679 192058.06300012968131341, 553091.32100022642407566 191867.34900039347121492, 553116.18799994199071079 191775.43500028748530895, 553089.79199968045577407 191797.21400025728507899, 553088.50000041746534407 191728.69300020998343825, 552928.91999966534785926 191686.38600003032479435, 552936.72799994866363704 191648.90599995109369047, 552748.00300025951582938 191556.11499958464992233, 552818.54700000328011811 191455.56600004844949581, 552745.22099987545516342 191422.88200011785374954, 552389.94199983030557632 191484.82999985630158335, 552489.00000030465889722 191297.99999990023206919, 552474.00000029627699405 191250.00000020899460651, 552645.81799977528862655 191205.93199965471285395, 552630.80699975683819503 191172.68900013325037435, 552775.05399966472759843 191096.37999974450212903, 552754.57900026591960341 191049.2110001957626082, 552752.50800037337467074 190995.08499960871995427, 552992.3219999581342563 190901.67999960161978379, 553046.21300017961766571 190906.62599973354372196, 553092.84399969875812531 190896.6840000347874593, 553059.39499968546442688 190805.85400030048913322, 553080.02600014128256589 190761.92400010014534928, 553109.47999981604516506 190781.34700037704897113, 553114.00000009604264051 190849.0000000957516022, 553233.74999963177833706 190876.25000013902899809, 553266.99999984621535987 190756.999999988154741, 553258.76599971111863852 190614.5460000261082314, 553351.57200024381745607 190603.40900023662834428, 553373.75500004552304745 190557.75499984776251949, 553346.28099964663852006 190531.56300000002374873, 553068.83900007756892592 190573.14299990248400718, 552809.92699989990796894 190645.29199980324483477, 552460.28899985342286527 190766.25700021078228019, 552377.81999975885264575 190784.40899994657956995, 552064.18600005656480789 190758.39300025830743834, 551989.62499995436519384 190904.15599978473619558, 552214.93800013535656035 191044.03100015703239478, 551992.37499992793891579 191285.17199995211558416, 552041.31300016376189888 191362.00099966747802682, 552006.75000028568319976 191652.40599984116852283, 552037.95900010084733367 191661.04500026689493097, 552269.75199989601969719 191805.92999991346732713, 552538.96200024744030088 191823.26200035607325844, 552690.02100014663301408 191858.42399970861151814, 552849.09600005974061787 191940.77799992787186056, 552890.72299969953019172 191918.51399990014033392, 552878.89799989713355899 192021.55599986377637833, 552995.85200018063187599 192210.18499999999767169, 553037.05500004673376679 192058.06300012968131341)))</t>
  </si>
  <si>
    <t>E01002311</t>
  </si>
  <si>
    <t>Havering 006C</t>
  </si>
  <si>
    <t>MultiPolygon (((550156.44000020564999431 190293.76799998653586954, 550189.05300015537068248 190165.24699982136371545, 550200.87999983702320606 190137.31799977621994913, 550202.49500003468710929 190133.25800019514281303, 550316.39900017250329256 190056.76499998359940946, 550358.81300018518231809 190074.3290001998830121, 550463.62500002689193934 190000.10899983794661239, 550597.9979999999050051 189723.10799992369720712, 550449.34900011657737195 189572.10499979692394845, 550389.00799983530305326 189510.9939999898779206, 550177.10000011045485735 189679.8540001834044233, 550232.17599993490148336 189672.82299983125994913, 550273.54400001105386764 189954.89400018533342518, 550248.07899988512508571 189999.2539999709406402, 550167.9999999194405973 189961.99999988795025274, 550177.00000007881317288 189940.0000000970903784, 550112.30300006875768304 189885.4340000752126798, 550069.69699988747015595 189886.50199994689319283, 549980.3779997763922438 189891.50899998072418384, 549929.99999989685602486 189975.99999983649468049, 549891.25499978114385158 189977.0260000359849073, 549892.84000014886260033 189929.91500017745420337, 549877.89099999831523746 189945.33099991045310162, 549869.44100001337938011 190041.07200018974253908, 549912.08099997194949538 190028.40700008079875261, 549912.99999989522621036 190077.99999984621535987, 549835.99900007923133671 190137.25800011632964015, 549785.99899994244333357 190147.00000016964622773, 549788.98700015328358859 190113.68800009717233479, 549744.01399978739209473 190084.60199989183456637, 549700.99200013861991465 190105.64799988304730505, 549700.24300000001676381 190154.06200000195531175, 549775.73199994710739702 190304.21899980670423247, 549833.14199982909485698 190277.43199978239135817, 549923.52099991706199944 190310.8090000101365149, 550156.44000020564999431 190293.76799998653586954)))</t>
  </si>
  <si>
    <t>E01002328</t>
  </si>
  <si>
    <t>Havering 009B</t>
  </si>
  <si>
    <t>E02000472</t>
  </si>
  <si>
    <t>Havering 009</t>
  </si>
  <si>
    <t>MultiPolygon (((549913.0000002256128937 190077.99999983905581757, 549912.08100011036731303 190028.40700021156226285, 549869.44099985377397388 190041.07199985219631344, 549877.89099981659092009 189945.33099994686199352, 549892.84000010811723769 189929.91500019311206415, 549891.25499998533632606 189977.02600009844172746, 549930.00000014784745872 189975.99999979938729666, 549980.37799992563668638 189891.5089997606119141, 550069.69700004160404205 189886.50200025187223218, 550112.30299982312135398 189885.43399984281859361, 550176.99999976216349751 189940.00000002374872565, 550168.00000007159542292 189961.99999977406696416, 550248.07899979595094919 189999.25400008406722918, 550273.54400000965688378 189954.89399978530127555, 550232.17599997285287827 189672.82300005436991341, 550177.09999975876417011 189679.85399991905433126, 550389.00800021470058709 189510.993999847501982, 550200.84300002153031528 189316.24899998187902384, 550150.36900006467476487 189264.54200005219900049, 549999.81700001214630902 189133.875, 549993.923999895574525 189176.62499979688436724, 550082.99999995401594788 189258.00000016562989913, 549796.86900005873758346 189304.80599980280385353, 549763.82999993313569576 189310.47899982563103549, 549781.24800003343261778 189350.24400005437200889, 549689.64099995559081435 189364.08099991813651286, 549695.00000012095551938 189395.00000001530861482, 549451.96799980278592557 189406.23500005967798643, 549481.88400007120799273 189425.99700009968364611, 549440.68799978529568762 189499.78300022782059386, 549771.56099977379199117 189473.43299986718920991, 549770.50800020003225654 189508.92599997937213629, 549943.47800018091220409 189506.00200016095186584, 549915.52799987536855042 189621.89599999657366425, 549888.03899981221184134 189668.73199978467891924, 549686.13000007125083357 189676.69099986061337404, 549695.70599982317071408 189755.63500020655919798, 549577.95799998030997813 189768.47699987655505538, 549585.50899992848280817 189804.54200023249723017, 549551.22200000786688179 189810.39800001092953607, 549567.49099984869826585 189843.82999993563862517, 549620.09900020842906088 189851.48800006750389002, 549821.91099981591105461 189834.84999983906163834, 549836.86000010755378753 189882.58400019406690262, 549796.6030000374885276 189892.8949998446914833, 549752.40399999159853905 189920.03500012750737369, 549774.84200002066791058 189968.57600013562478125, 549744.01399982406292111 190084.60200002748752013, 549788.98700001568067819 190113.68800017249304801, 549785.99900007783435285 190147, 549835.99899987876415253 190137.25800022343173623, 549913.0000002256128937 190077.99999983905581757)))</t>
  </si>
  <si>
    <t>E01002329</t>
  </si>
  <si>
    <t>Havering 011D</t>
  </si>
  <si>
    <t>MultiPolygon (((549915.52799993602093309 189621.89600016575423069, 549943.47800011525396258 189506.00200006473460235, 549770.50799996219575405 189508.92599998976220377, 549771.56099992676172405 189473.43299973150715232, 549440.68799978855531663 189499.78300019726157188, 549481.88400006026495248 189425.99699990000226535, 549451.96799996925983578 189406.23500018150662072, 549695.00000007345806807 189395.00000006673508324, 549689.64100015070289373 189364.08099989651236683, 549781.24799991527106613 189350.24399983999319375, 549763.83000021148473024 189310.47900019999360666, 549796.86899991752579808 189304.80600023048464209, 550083 189258.00000019450089894, 549993.92400003550574183 189176.62499990125070326, 549999.81699995149392635 189133.87499983300222084, 549835.37600023276172578 189057.24999992348602973, 549616.59699988854117692 189044.66800020300433971, 549542.82600017753429711 189046.53500019526109099, 548954.5 189063.20299992751097307, 549102.43800022848881781 189324.62499991976073943, 549120.77199999673757702 189640.24400010498357005, 549373.31499979377258569 189538.68899974349187687, 549429.70099996228236705 189686.551000011008, 549482.58899996569380164 189827.36499979699146934, 549551.22200011578388512 189810.3980000400042627, 549585.50900007225573063 189804.54200025351019576, 549577.95800005679484457 189768.47700002149213105, 549695.70599983003921807 189755.63500010775169358, 549686.13000023004133254 189676.69099984399508685, 549888.03899990627542138 189668.73200024574180134, 549915.52799993602093309 189621.89600016575423069)))</t>
  </si>
  <si>
    <t>E01002330</t>
  </si>
  <si>
    <t>Havering 011E</t>
  </si>
  <si>
    <t>MultiPolygon (((552006.74999991175718606 191652.40599999995902181, 552041.31299998227041215 191362.00100036038202234, 551992.37499964539892972 191285.17200025971396826, 552214.93800015922170132 191044.03099983822903596, 551989.62499981152359396 190904.15599981608102098, 552064.18600040511228144 190758.39299962494987994, 552139.00100017292425036 190563.99999992383527569, 552098.27699990023393184 190542.78999991013552062, 552116.73899986397009343 190490.59999991013319232, 551855.26399960822891444 190407.42000017259852029, 551825.99999971129000187 190334.99999991510412656, 551856.32200008712243289 190298.96199991847970523, 551751.20899984578136355 190204.48500007792608812, 551613.96700023778248578 190206.48899982732837088, 551633.99999973666854203 190267.00000039220321923, 551490.99899974663276225 190259.99999975596438162, 551454.90499997790902853 190375.32900002709357068, 551417.42599970893934369 190308.21599991072434932, 551424.43199969653505832 190235.80199983683996834, 551251.9820002504857257 190244.06600032167625614, 551205.99999994935933501 190228.00000017631100491, 551227.16700003400910646 190156.33399997069500387, 551048.99999982700683177 189988, 550985.24899996630847454 190049.27500036801211536, 550963.64500009990297258 190075.64500018494436517, 551009.23099993239156902 190120.71800012892344967, 550987.13499998790211976 190103.46900011738762259, 550954.20099984074477106 190131.40100002638064325, 551059.22000025655142963 190278.02300015409127809, 551170.09300035575870425 190384.20200000968179666, 551192.99999959988053888 190487.00000041513703763, 551145.0000002303859219 190586.00000025899498723, 551180.0250002930406481 190604.19500037317629904, 551260.01899989088997245 190536.73000002509797923, 551384.48000002664048225 190581.24599984355154447, 551355.64499994402285665 190643.11600039049517363, 551424.11500025866553187 190765.48800039463094436, 551366.99900012719444931 190884.99999997240956873, 551348.99999963131267577 191026.00000030486262403, 551415.89999988640192896 191282.43800036076572724, 551438.71100035356357694 191380.47900025892886333, 551510.54499987547751516 191334.22899980019428767, 551545.5969999321969226 191486.38699986520805396, 551672.82699992856942117 191565.82200038581504487, 551701.63199992512818426 191555.29099986969958991, 551704.54600033978931606 191606.03600002964958549, 551713.18699960224330425 191606.40299988823244348, 552006.74999991175718606 191652.40599999995902181)))</t>
  </si>
  <si>
    <t>E01002334</t>
  </si>
  <si>
    <t>Havering 008B</t>
  </si>
  <si>
    <t>E02000471</t>
  </si>
  <si>
    <t>Havering 008</t>
  </si>
  <si>
    <t>MultiPolygon (((550726.00000003527384251 190873.99999999318970367, 550873.46399994695093483 190729.1609999977517873, 550931.90300015080720186 190732.98799991709529422, 550932.80600012780632824 190854.89999986262409948, 551060.10500016086734831 190728.29400012991391122, 551128.33600016357377172 190743.97499989782227203, 551180.02500006882473826 190604.19500003577559255, 551144.99999987089540809 190586.00000008818460628, 551193.00000003504101187 190486.99999990710057318, 551170.09299988579005003 190384.20200009454856627, 551059.21999987855087966 190278.02299987451988272, 551042.99999983701854944 190258.9999999373103492, 551006.71699998609255999 190289.42599987611174583, 550893.06400011293590069 190179.94999998307321221, 550831.80999985698144883 190166.13800000000628643, 550813.0000000853324309 190216.99999983867746778, 550689.81399991852231324 190313.06499984403490089, 550820.90599996782839298 190263.48900002310983837, 550850.34700012113898993 190325.51999987414455973, 550888.19699996151030064 190328.44299989350838587, 550867.13999997940845788 190361.10799993851105683, 550744.32699990307446569 190468.11699999423581176, 550701.63799991609994322 190413.806999864988029, 550643.89699998765718192 190424.4720001496898476, 550661.92200005997437984 190504.86199992540059611, 550621.46099994599353522 190563.00499987220973708, 550549.21199996501673013 190700.53699996069190092, 550598.01600016606971622 190726.93099991881172173, 550726.0059999335790053 190886.02499999999417923, 550726.00000003527384251 190873.99999999318970367)))</t>
  </si>
  <si>
    <t>E01002336</t>
  </si>
  <si>
    <t>Havering 008C</t>
  </si>
  <si>
    <t>MultiPolygon (((553190.67200026905629784 190340.2080001947178971, 553072.02799987490288913 190159.96500026842113584, 552990.62499961303547025 190067.93699959246441722, 552783.48799988441169262 189965.45000012093805708, 552712.0679998230189085 189925.72600002805120312, 552489.56500029121525586 189810.44900016285828315, 552452.81400023039896041 189800.54499971415498294, 552271.37500000628642738 189751.56200040140538476, 552178.77600031287875026 189682.46099965582834557, 551921.98699992662295699 189486.12799983526929282, 551907.74900024058297276 189475.0019997785857413, 551868.81300025165546685 189588.68699965500854887, 551888.77300040144473314 189774.66899986774660647, 551957.83500040229409933 189788.63199959538178518, 552001.7950000740820542 189807.33100028210901655, 551865.99999980709981173 189958.00000019700382836, 551800.99900005874224007 189920.00000028643989936, 551779.99999996274709702 189941.00000042433384806, 551604.99999999988358468 190147.99999974985257722, 551613.96700032835360616 190206.48899973655352369, 551751.20899984578136355 190204.48500027603586204, 551856.3219999325228855 190298.96200037747621536, 551825.99999971396755427 190334.99999991853837855, 551855.26400007971096784 190407.42000007120077498, 552116.73900021938607097 190490.60000006743939593, 552098.27699967799708247 190542.79000032157637179, 552139.00099986209534109 190564.00000036295386963, 552064.18599987786728889 190758.39299984625540674, 552377.81999986222945154 190784.40900022143614478, 552460.28900031233206391 190766.2570002154679969, 552809.92700019234325737 190645.29200042170123197, 553068.83899968792684376 190573.1430000597902108, 553346.28099990542978048 190531.56299959102761932, 553349.68800033128354698 190531.26599960037856363, 553384.4340000000083819 190513.88900004330207594, 553190.67200026905629784 190340.2080001947178971)))</t>
  </si>
  <si>
    <t>E01002337</t>
  </si>
  <si>
    <t>Havering 012A</t>
  </si>
  <si>
    <t>E02000475</t>
  </si>
  <si>
    <t>Havering 012</t>
  </si>
  <si>
    <t>MultiPolygon (((550497.78399984934367239 190275.49999994842801243, 550525.29299988062120974 190273.49899997346801683, 550599.29900000500492752 190335.14099993839045055, 550686.61699991032946855 190314.89400006885989569, 550689.81400011200457811 190313.06499984228867106, 550812.99999993073288351 190216.99999990384094417, 550831.81000001833308488 190166.13800014974549413, 550893.06399983214214444 190179.9500001474225428, 551006.71700008376501501 190289.42599994401098229, 551043.00000009126961231 190259.00000008990173228, 551059.21999999997206032 190278.02299982352997176, 550954.20100017893128097 190131.40100009157322347, 550987.13499998755287379 190103.46899980818852782, 551009.23099983483552933 190120.71800002580857836, 550963.64500018814578652 190075.64500015528756194, 550838.64699999580625445 189925.21200000689714216, 550800.46300005668308586 189957.70900003798305988, 550643.28399985004216433 189784.14499993689241819, 550620.09500014688819647 189735.75500007014488801, 550597.9979999044444412 189723.10800006263889372, 550463.62499993876554072 190000.108999968302669, 550358.81299996713642031 190074.32900013402104378, 550316.39900008216500282 190056.76499986567068845, 550202.49500018532853574 190133.25799979810835794, 550200.88000000012107193 190137.31799992767628282, 550253.7609999772394076 190158.06400004788883962, 550294.90200009988620877 190271.6720001082867384, 550334.93000018619932234 190264.99199995852541178, 550340.7359999226173386 190233.3169999576639384, 550386.73299979895818979 190275.26700012205401435, 550388.46399991435464472 190381.22299993736669421, 550479.90799985767807811 190379.69900010057608597, 550497.78399984934367239 190275.49999994842801243)))</t>
  </si>
  <si>
    <t>E01002338</t>
  </si>
  <si>
    <t>Havering 009E</t>
  </si>
  <si>
    <t>MultiPolygon (((551454.90499995835125446 190375.32900011772289872, 551490.99900008039548993 190259.99999980049324222, 551633.99999999161809683 190266.99999979816493578, 551613.96700022439472377 190206.48899985579191707, 551604.99999977403786033 190147.9999998377461452, 551780.00000024598557502 189941.00000005803303793, 551800.99899990169797093 189920.00000006501795724, 551866.00000014167744666 189958.00000020384322852, 552001.79499999992549419 189807.33100022401777096, 551957.83499980252236128 189788.63199992390582338, 551888.77299980958923697 189774.66900021897163242, 551799.06400017300620675 189904.20300024937023409, 551673.8989999060286209 189817.17399988486431539, 551647.74999993026722223 189798.51600016446900554, 551665.31300023978110403 189775.43700010055908933, 551604.58300009719096124 189743.90899994142819196, 551556.56299995409790426 189707.70300020108697936, 551402.3950000477489084 189710.28999990373267792, 551357.84000002290122211 189604.90700007017585449, 551260.3749997845152393 189547.87500019819708541, 551233.87500013411045074 189480.54699997519492172, 551251.687999970279634 189402.82800021726870909, 551190.64399991335812956 189353.41999988228781149, 551170.00000022165477276 189364.00000009840005077, 551207.12100013776216656 189533.31200003906269558, 551125.35599985625594854 189485.97600006390712224, 551052.5080001198220998 189547.64400019031018019, 551039.2920001030433923 189682.14399995625717565, 551110.80099974561017007 189768.80500021183979698, 551123.8450000457232818 189810.56000023771775886, 551061.68499985430389643 189854.31200023528072052, 551095.00000017078127712 189883.00000015302794054, 551055.74800013389904052 189923.38800018050824292, 550998.38299976859707385 189907.31500001810491085, 550941.55400000000372529 189913.29299978815834038, 550988.99999997881241143 189986.00000019453000277, 550956.31099987647030503 190020.64199973695212975, 550985.24899985094089061 190049.27500018296996132, 551048.9999998074490577 189988.00000011813244782, 551227.16700004995800555 190156.33399983268463984, 551205.99999990675132722 190227.99999996260157786, 551251.98200002848170698 190244.06599988380912691, 551424.43200002796947956 190235.80200018038158305, 551417.42600012652110308 190308.2159998056886252, 551454.90499995835125446 190375.32900011772289872)))</t>
  </si>
  <si>
    <t>E01002339</t>
  </si>
  <si>
    <t>Havering 008D</t>
  </si>
  <si>
    <t>MultiPolygon (((550989.00000011490192264 189986.00000015311525203, 550941.55400011269375682 189913.29300007180427201, 550998.38299984764307737 189907.31500004502595402, 551055.74800000817049295 189923.38799983495846391, 551094.99999992863740772 189882.9999999588180799, 551061.68500019633211195 189854.31200017398805358, 551123.8449998734286055 189810.56000003663939424, 551110.80100007867440581 189768.80500000962638296, 551039.29200013156514615 189682.14400010457029566, 551052.50800010410603136 189547.64399996752035804, 551125.3559998800046742 189485.97599992871982977, 551207.12099996500182897 189533.31199993178597651, 551169.99999986740294844 189364.00000001999433152, 551190.64400014223065227 189353.41999981287517585, 551154.24200005724560469 189331.18499996172613464, 551088.52199983398895711 189300.47800006670877337, 551054.4380001612007618 189287.89100000000325963, 551056.18800000485498458 189326.43699981831014156, 550995.06299997994210571 189369.79700017345021479, 551016.37399983801878989 189394.03099984847358428, 550956.06299980694893748 189415.93700014965725131, 550911.1250001797452569 189365.85899980910471641, 550850.62499984574969858 189425.14100011644768529, 550812.00199983105994761 189394.39199993526563048, 550772.25300000386778265 189447.10800014861160889, 550732.13500005414243788 189500.98299997730646282, 550729.06900004134513438 189504.65800000345916487, 550645.49999996984843165 189610.78100012059439905, 550620.09500003501307219 189735.75499993524863385, 550643.28399991488549858 189784.14499982298002578, 550800.46300011454150081 189957.70900002511916682, 550838.64700018626172096 189925.21200010771281086, 550963.64500010816846043 190075.64499999996041879, 550985.24899994605220854 190049.27499983969028108, 550956.31100012734532356 190020.6419998575001955, 550989.00000011490192264 189986.00000015311525203)))</t>
  </si>
  <si>
    <t>E01002340</t>
  </si>
  <si>
    <t>Havering 009F</t>
  </si>
  <si>
    <t>MultiPolygon (((553573.37100000388454646 190352.78299980543670245, 553837.94199983752332628 190157.80000010496587493, 553790.37799977860413492 190161.02699996161391027, 553735.61200019076932222 190091.92400012799771503, 553841.00100020354148 190013.99999989505158737, 553702.73599984520114958 189917.51999977472587489, 553670.38500002690125257 189947.60400016384664923, 553619.87900018820073456 189928.49700012800167315, 553578.97300004225689918 190076.31899985409108922, 553527.20599979138933122 190074.02700022529461421, 553493.03199981956277043 190033.91499985920381732, 553448.92300013697240502 190016.90299978497205302, 553470.53499983495566994 189973.38999987713759765, 553411.5840001804754138 189865.77900006144773215, 553331.99699978879652917 189877.37100019457284361, 553329.72500004479661584 189933.87400020225322805, 553283.00100018817465752 189945.00000004097819328, 553277.99999978113919497 189724.99899986945092678, 553199.92300008586607873 189597.40900000001420267, 553115.51199998601805419 189847.14199983872822486, 553129.48299981956370175 189878.09500014848890714, 553195.56099977856501937 189891.8550001663970761, 553204.59600009093992412 189835.99900021249777637, 553246.57099992199800909 189874.63599979519494809, 553250.58899991936050355 190039.01899978751316667, 553185.16400020872242749 190047.75600021248101257, 553173.04799988609738648 190091.25099999489611946, 553133.42099981952924281 190096.11599981057224795, 553154.73299987078644335 190137.85299986688187346, 553127.32400022656656802 190154.29300002814852633, 553106.45100005250424147 190120.62800021760631353, 553072.02799979655537754 190159.96499989248695783, 553190.67200010118540376 190340.20800017920555547, 553384.43400007556192577 190513.88899999999557622, 553573.37100000388454646 190352.78299980543670245)))</t>
  </si>
  <si>
    <t>E01002383</t>
  </si>
  <si>
    <t>Havering 010F</t>
  </si>
  <si>
    <t>E02000473</t>
  </si>
  <si>
    <t>Havering 010</t>
  </si>
  <si>
    <t>MultiPolygon (((545687.00000020314473659 189215, 545665.99900002463255078 189071.00099983179825358, 545721.54999988875351846 189064.19800017095985822, 545702.21000006480608135 188863.61099987078341655, 545757.73199983674567193 188875.14300004308461212, 545779.3789999169530347 188832.49899987666867673, 545598.45599999243859202 188675.17700010695261881, 545461.35400003870017827 188557.76099988163332455, 545369.51300004264339805 188485.14100008041714318, 545211.19400000479072332 188393.40299980627605692, 544985.61199993209447712 188315.54999986785696819, 544903.65200021583586931 188290.87100000004284084, 544887.77500008314382285 188375.02899988109129481, 545062.72200015455018729 188388.54299985052784905, 545025.00000022049061954 188533.00000019939034246, 545116.51399994222447276 188588.59000015558558516, 545123.59700006258208305 188523.46800000889925286, 545191.01600000355392694 188520.64700012697721832, 545199.83099992340430617 188447.54699986806372181, 545285.67000015871599317 188523.30300001040450297, 545170.71200009598396719 188657.21499999315710738, 545286.55600005830638111 188741.34199996691313572, 545382.60600010841153562 188802.77900014712940902, 545435.54600008868146688 188797.61000010176212527, 545353.0719998226268217 188993.28199998458148912, 545391.12500012328382581 189018.71700021516880952, 545380.66500021843239665 189049.21799984519020654, 545377.31399987929034978 189145.94799988908926025, 545454.22199982625897974 189119.23800013214349747, 545546.85099999990779907 189154.03900018511922099, 545556.33900009840726852 189203.97299982313415967, 545687.00000020314473659 189215)))</t>
  </si>
  <si>
    <t>E01003641</t>
  </si>
  <si>
    <t>Redbridge 013C</t>
  </si>
  <si>
    <t>E02000763</t>
  </si>
  <si>
    <t>Redbridge 013</t>
  </si>
  <si>
    <t>MultiPolygon (((545353.07199978409335017 188993.28199986281106248, 545435.54599982721265405 188797.61000025505200028, 545382.60600013064686209 188802.77900025874259882, 545286.55599971127230674 188741.34200007663457654, 545170.71200026199221611 188657.21500018841470592, 545285.66999992204364389 188523.30300030205398798, 545199.83099971222691238 188447.54699988171341829, 545191.01599972776602954 188520.6469997227541171, 545123.5969997284701094 188523.46799979306524619, 545116.51400022720918059 188588.59000027089496143, 545025.00000022409949452 188533.00000004345201887, 545062.7219997881911695 188388.5429997056198772, 544887.77499997708946466 188375.02899983018869534, 544870.18000029085669667 188346.24299999998765998, 544838.61100008338689804 188423.42999970025266521, 544793.56799970963038504 188519.83099988498724997, 544710.00000003911554813 188552.0000000273284968, 544784.09099990350659937 188582.16899997746804729, 544707.36700025945901871 188591.88399986422155052, 544663.37799980398267508 188705.6669998565048445, 544664.58699974650517106 188766.83399969959282316, 544590.53200017276685685 188830.08599980745930225, 544688.79500004905276 188879.38700019373209216, 544711.74600002146326005 188811.74600024305982515, 544759.44099971442483366 188794.64800027370802127, 544715.8480000018607825 188753.00099970327573828, 544737.24499970092438161 188728.77499986920156516, 544713.66800019750371575 188682.92000030391500331, 544807.65599992393981665 188648.08300009922822937, 544845.0000001183943823 188683.99999981836299412, 544878.65599999285768718 188558.77400010233395733, 544928.60600009583868086 188555.4849999355210457, 544946.54100007261149585 188624.07300016807857901, 544999.00000018149148673 188661.51399991821381263, 544998.8829998504370451 188762.77100003420491703, 545061.76100000715814531 188789.63699970446759835, 545119.53300005500204861 188691.9350000620179344, 545085.99999994609970599 188780.99999992988887243, 545111.99999998870771378 188831.99999991891672835, 545138.59099989349488169 188824.52599971526069567, 545168.29199974704533815 188847.07600013230694458, 545152.95999992161523551 188892.87999989956733771, 545114.88599997013807297 188888.65900018584216014, 545093.00000000477302819 188867.00000021231244318, 545049.00000007450580597 188893.00000025486224331, 545036.66699991526547819 189027.3329998581612017, 545262.99899975559674203 189142.99999971961369738, 545145.54800021869596094 189550.62400027833064087, 545315.99999994481913745 189574.00000000002910383, 545385.10200003150384873 189288.00800021042232402, 545377.31399974739179015 189145.94800020175171085, 545380.6649998010834679 189049.21799981535878032, 545391.12500017986167222 189018.71700025317841209, 545353.07199978409335017 188993.28199986281106248)))</t>
  </si>
  <si>
    <t>E01003642</t>
  </si>
  <si>
    <t>Redbridge 013D</t>
  </si>
  <si>
    <t>MultiPolygon (((544212.65600003930740058 188536.50199997695744969, 544241.41299994336441159 188499.25199998100288212, 544329.97500009438954294 188491.51200002909172326, 544264.82999992335680872 188354.85600004147272557, 544335.19699996628332883 188324.83599992236122489, 544310.79999992868397385 188265.14099992997944355, 544348.99999991268850863 188247.99999994004610926, 544330.00099998875521123 188174, 544244.25599994650110602 188190.04700005552149378, 544229.62999997427687049 188193.71500003369874321, 544116.25399998121429235 188222.59100010266411118, 544009.88299989700317383 188249.00000004383036867, 543856.06300008739344776 188286.96899993531405926, 543887.41200013214256614 188411.5350001277111005, 543888.84499991149641573 188417.07600007473956794, 543873.81800000614020973 188505.62499986399780028, 543892.56300000543706119 188540.17199990450171754, 543922.87499991606455296 188523.95300005891476758, 543960.87100009119603783 188597.57700012362329289, 544019.22200012323446572 188697.76400009900680743, 544040.80400000128429383 188726.85399999999208376, 544112.92000011296477169 188612.97200010702363215, 544174.43700012192130089 188553.15799994973349385, 544212.65600003930740058 188536.50199997695744969)))</t>
  </si>
  <si>
    <t>E01003644</t>
  </si>
  <si>
    <t>Redbridge 017C</t>
  </si>
  <si>
    <t>E02000767</t>
  </si>
  <si>
    <t>Redbridge 017</t>
  </si>
  <si>
    <t>MultiPolygon (((544262.02899999567307532 188716.22500002171727829, 544409.90099987189751118 188591.3430000705702696, 544433.44700010248925537 188599.0040001462912187, 544430.33599982934538275 188670.81599982964689843, 544468.06500006129499525 188678.00399989192374051, 544505.36500014178454876 188652.80999999499181286, 544504.12899995176121593 188603.1110000494227279, 544610.37199991627130657 188703.3569999705941882, 544663.37800012866500765 188705.6669999462319538, 544707.36699997133109719 188591.88399996681255288, 544784.09100003493949771 188582.16900013718986884, 544710.00000009464565665 188552.0000001136213541, 544793.56799992255400866 188519.8310001187492162, 544838.61100006173364818 188423.43000013794517145, 544870.17999988910742104 188346.24299998147762381, 544887.77499985205940902 188375.02900017198408023, 544903.65200000000186265 188290.87100009716232307, 544781.66800000541843474 188240.74599987067631446, 544773.36000002967193723 188236.95899989252211526, 544661.32699989306274801 188188.39699983113678172, 544519.50000010163057595 188138.49999997825943865, 544415.04199987824540585 188147.21300008465186693, 544244.2559999666409567 188190.04700011562090367, 544330.00099987513385713 188173.99999990852666087, 544349.00000017357524484 188247.99999990209471434, 544310.79999984183814377 188265.14100008818786591, 544335.1969999730354175 188324.83600006269989535, 544264.82999991229735315 188354.85599982514395379, 544329.9749999406049028 188491.51199984844424762, 544241.41300010168924928 188499.25200003664940596, 544212.65600006841123104 188536.50200016191229224, 544260.53200015192851424 188597.87599987367866561, 544199.20900000003166497 188652.21499996390775777, 544262.02899999567307532 188716.22500002171727829)))</t>
  </si>
  <si>
    <t>E01003645</t>
  </si>
  <si>
    <t>Redbridge 017D</t>
  </si>
  <si>
    <t>MultiPolygon (((543892.55000013008248061 188771.01000018446939066, 544019.2219999999506399 188697.76400009446660988, 543960.87099999538622797 188597.5769999239128083, 543922.87499985797330737 188523.95299999418784864, 543892.56300009193364531 188540.17200007860083133, 543873.81800015550106764 188505.62500016822014004, 543888.84499982418492436 188417.0759999152214732, 543887.41200002620462328 188411.53499983754591085, 543856.06299998261965811 188286.96899995507556014, 543673.75699984468519688 188333.24600007617846131, 543480.07799990091007203 188381.99799999155220576, 543364.6249998735729605 188412.35899985089781694, 543248.96799999999348074 188433.18399985105497763, 543267.00000007171183825 188456.00000014613033272, 543366.38099990948103368 188444.36600015757721849, 543434.62000007438473403 188472.82600005061249249, 543538.00000000791624188 188396.9999999113206286, 543565.00000000442378223 188459.00000006015761755, 543537.00000003655441105 188484.99899991048732772, 543565.33699999400414526 188506.50299999362323433, 543547.66500008141156286 188568.58900015693507157, 543665.62399993056897074 188674.34200015413807705, 543713.99999997077975422 188731.99999993905657902, 543750.08200017991475761 188709.06599981218460016, 543802.89699982560705394 188815.73900004490860738, 543892.55000013008248061 188771.01000018446939066)))</t>
  </si>
  <si>
    <t>E01003647</t>
  </si>
  <si>
    <t>Redbridge 015A</t>
  </si>
  <si>
    <t>MultiPolygon (((547882.60999999998603016 189049.42900014875340275, 547624.00000025576446205 188958.00000011516385712, 547572.70699980086646974 189025.0419999971636571, 547538.35599978372920305 188962.87499973265221342, 547452.37300019001122564 188974.6720001305511687, 547361.81499990436714143 188759.41900017278385349, 547290.43499972054269165 188790.83699973800685257, 547206.76999971328768879 188579.34899978403700516, 547178.09900015464518219 188573.48500009253621101, 547142.38500027603004128 188643.58700012983172201, 547105.9450002652592957 188631.04400021166657098, 547086.0010000973707065 188661.99999990325886756, 547131.00000012386590242 188682.99999994764220901, 547099.41400002560112625 188732.66400022790185176, 547115.2200001401361078 188795.15300001838477328, 547097.76099977490957826 188840.00800016691209748, 547068.94400028383824974 188836.06200014366186224, 546951.39400024223141372 188818.05400013539474458, 546963.69299986877012998 188739.79300000064540654, 546872.42400014970917255 188738.47900002929964103, 546724.83600000001024455 188784.80500009242678061, 546731.09899987187236547 188810.18600016509299167, 546798.06299994059372693 188972.74999977418337949, 546799.62499973375815898 189021.98399989641620778, 546745.87300018582027406 188993.72299994999775663, 546810.89099982206244022 189180.65999990748241544, 547340.29999998712446541 189134.90700014244066551, 547514.56300021393690258 189119.70300024925381877, 547813.74499985866714269 189096.48099976519006304, 547856.81300015142187476 189093.68699992302572355, 547882.60999999998603016 189049.42900014875340275)))</t>
  </si>
  <si>
    <t>E01003663</t>
  </si>
  <si>
    <t>Redbridge 019C</t>
  </si>
  <si>
    <t>E02000769</t>
  </si>
  <si>
    <t>Redbridge 019</t>
  </si>
  <si>
    <t>MultiPolygon (((547882.61000008648261428 189049.42900000000372529, 547921.62200002849567682 188943.19200000393902883, 547770.70000010612420738 188886.73699988197768107, 547735.43800003710202873 188840.76600000998587348, 547778.25999998475890607 188711.11699985957238823, 547804.35999996622558683 188626.83000000382889993, 547696.9990001420956105 188556.90500016484293155, 547642.37500011117663234 188528.68700007046572864, 547655.11899997526779771 188431.39199990479392, 547656.58599997172132134 188376.21500009988085367, 547576.58900015207473189 188362.85399999999208376, 547432.12899984559044242 188444.16100002435268834, 547438.0430000132182613 188508.31099989407812245, 547497.09499993873760104 188528.10500005501671694, 547513.99999994866084307 188504.99999985218164511, 547606.7759998528053984 188564.13399983296403661, 547584.50000017089769244 188635.00400012879981659, 547621.69199998327530921 188675.12099996572942473, 547591.58400000503752381 188744.49400002718903124, 547539.06600012921262532 188717.62100001453654841, 547515.98299984913319349 188800.66500011686002836, 547369.86299988080281764 188677.4410000556090381, 547337.6829999714391306 188703.09399989078519866, 547361.81499999982770532 188759.41900012610130943, 547452.37300014228094369 188974.67199996902490966, 547538.35599987674504519 188962.87499986818875186, 547572.70700005604885519 189025.04199983747093938, 547624.00000011536758393 188958.00000017054844648, 547882.61000008648261428 189049.42900000000372529)))</t>
  </si>
  <si>
    <t>E01003664</t>
  </si>
  <si>
    <t>Redbridge 019D</t>
  </si>
  <si>
    <t>MultiPolygon (((546126.93800010741688311 188294.56199970736633986, 546068.73399990447796881 188202.61299968487583101, 546012.8130001783138141 188130.68700020518735982, 546010.93500024091918021 188049.67300003170385025, 545869.71499999740626663 188057.83500022834050469, 545533.33799994015134871 188077.87299989070743322, 545424.76899979519657791 188084.61299987105303444, 545373.41900030255783349 188096.23100027747568674, 545406.0000002448214218 188159.00000017046113499, 545399.15300006186589599 188193.23399982144474052, 545359.5699998646741733 188201.92099991167197004, 545348.99999991722870618 188272.00000023614848033, 545346.36799992190208286 188293.05600019911071286, 545296.98400023439899087 188263.18900021613808349, 545239.23399978468660265 188281.1609997586638201, 545249.9999997861450538 188231.99999969199416228, 545219.6380000680219382 188230.91599981058971025, 545218.41699982562568039 188188.39100011339178309, 545111.0019997184863314 188183.93399997006054036, 545116.5960001724306494 188099.19700003208708949, 545113.48500018520280719 188098.92399993387516588, 545012.34599982597865164 188095.00600009926711209, 544971.74300000001676381 188126.01099973698728718, 545016.73699974874034524 188180.08600029183435254, 544978.05699977790936828 188214.99100005300715566, 545013.2249997976468876 188260.09399997218861245, 544985.6120001170784235 188315.55000012161326595, 545211.19399991759564728 188393.40299983054865152, 545369.5130002754740417 188485.14100003961357288, 545461.35400011145975441 188557.76099990020156838, 545598.45599989069160074 188675.1770001272961963, 545779.37899968575220555 188832.49899984762305394, 546007.00200000719632953 189016.76199979425291531, 546196.40999993460718542 189109.94599983451189473, 546251.31299999984912574 189129.51599996830918826, 546131.2410001625539735 188917.97500008423230611, 546057.18800026213284582 188713.79699978127609938, 546061.81300026911776513 188583.45299969360348769, 546110.43300005909986794 188474.39599970119888894, 546121.66800021287053823 188403.86500023119151592, 546126.93800010741688311 188294.56199970736633986)))</t>
  </si>
  <si>
    <t>E01003751</t>
  </si>
  <si>
    <t>Redbridge 020A</t>
  </si>
  <si>
    <t>E02000770</t>
  </si>
  <si>
    <t>Redbridge 020</t>
  </si>
  <si>
    <t>MultiPolygon (((544227.19300020765513182 188095.32200015310081653, 544173.87099985510576516 187982.69099990103859454, 544126.65199986950028688 187836.70400006297859363, 544258.43900000001303852 187740.98899995986721478, 544225.71799990895669907 187705.34600021847290918, 544172.28999991517048329 187747.34600012478767894, 544023.31300019565969706 187867.09400006209034473, 543995.25000008847564459 187883.51099982034065761, 543970.12499997892882675 187844.54700005816994235, 543911.42299998505041003 187920.61900003941264004, 543743.06300001533236355 188062.10899990817415528, 543706.87500007310882211 188043.04699997635907494, 543711.43799994722940028 188083.79700008209329098, 543611.84900012763682753 188159.96799992048181593, 543458.49200006434693933 188288.81299985348596238, 543383.15699992456939071 188295.42699985322542489, 543353.31400000001303852 188329.91999981430126354, 543383.62499978404957801 188365.93699992104666308, 543364.62500000954605639 188412.3589997814851813, 543480.0779998917132616 188381.99799998736125417, 543673.75699993793386966 188333.24600019815261476, 543856.0629998171934858 188286.96900000504683703, 544009.88299982948228717 188249.00000008230563253, 544116.25399989995639771 188222.59100005659274757, 544229.62999994086567312 188193.71499992959434167, 544224.82999987399671227 188153.10500003321794793, 544256.76400011335499585 188130.74100001202896237, 544227.19300020765513182 188095.32200015310081653)))</t>
  </si>
  <si>
    <t>E01003752</t>
  </si>
  <si>
    <t>Redbridge 023A</t>
  </si>
  <si>
    <t>E02000773</t>
  </si>
  <si>
    <t>Redbridge 023</t>
  </si>
  <si>
    <t>MultiPolygon (((544971.74299988697748631 188126.01100012825918384, 545012.34600007289554924 188095.00600003101862967, 545113.48500007041729987 188098.92400004909723066, 545116.48999999999068677 188014.27599991793977097, 545005.14600001275539398 188009.74200003701844253, 544963.21199992694891989 187976.45100012945476919, 545000.56100005109328777 187922.51799993915483356, 544951.12599989445880055 187862.40200012855348177, 544976.19300012430176139 187797.15999987797113135, 544890.42700008093379438 187791.40500012569827959, 544838.00000003876630217 187788.00000001120497473, 544835.77699996111914515 187821.34699987928615883, 544703.52999990712851286 187828.58699986874125898, 544564.36999996204394847 187830.61199989492888562, 544534.50399998505599797 187859.88100002755527385, 544522.07999999984167516 187987.67899993903120048, 544554.89400014828424901 187988.85799998862785287, 544654.43899997498374432 187994.52500001527369022, 544661.23500006517861038 187953.10499992783297785, 544729.44099992397241294 187954.50100004731211811, 544725.58100005600135773 188040.09299993739114143, 544662.70299987914040685 188036.50999988472904079, 544625.00700013770256191 188101.25300007322221063, 544682.00000012316741049 188142.99999996190308593, 544661.32699987292289734 188188.39700001518940553, 544773.36000010662246495 188236.95900001257541589, 544781.6680000222986564 188240.74600009122514166, 544903.65199993655551225 188290.87099999477504753, 544985.61199988273438066 188315.54999998878338374, 545013.22499990940559655 188260.09400011884281412, 544978.05700004112441093 188214.99100000681937672, 545016.73700006527360529 188180.08600011229282245, 544971.74299988697748631 188126.01100012825918384)))</t>
  </si>
  <si>
    <t>E01003753</t>
  </si>
  <si>
    <t>Redbridge 020B</t>
  </si>
  <si>
    <t>MultiPolygon (((544415.04199988162145019 188147.21300012042047456, 544519.50000008707866073 188138.5000000799773261, 544661.32700007280800492 188188.39700012721004896, 544682.00000002817250788 188142.99999997657141648, 544625.00699993525631726 188101.2530000384140294, 544662.70299998903647065 188036.5100000643869862, 544725.58099986962042749 188040.0929998314823024, 544729.44099997053854167 187954.50099995837081224, 544661.23500001325737685 187953.10500013746786863, 544654.43899996078107506 187994.52500015779514797, 544554.89400012022815645 187988.85800007818033919, 544522.07999988552182913 187987.67900016575003974, 544534.50400000787340105 187859.88099985642475076, 544564.36999985028523952 187830.61199989001033828, 544703.53000004321802408 187828.58699984761187807, 544835.77700015425216407 187821.34699984799954109, 544838 187788.0000000725267455, 544827.46200003114063293 187786.37200014787958935, 544506.00000004167668521 187770.00000013047247194, 544518.9989998247474432 187612.00000008603092283, 544407.04700001201126724 187587.99999992619268596, 544358.73199985967949033 187600.75400007652933709, 544348.16100010136142373 187609.49099993146955967, 544278.79300002614036202 187663.8009998808556702, 544225.718000149121508 187705.34600010581198148, 544258.43900016904808581 187740.98900003719609231, 544126.65200000000186265 187836.70400016734492965, 544173.87099996884353459 187982.69099989149253815, 544227.19300014490727335 188095.32199986529303715, 544256.76400005933828652 188130.74099986822693609, 544224.8299998992588371 188153.10499992812401615, 544229.63000014459248632 188193.71500007377471775, 544244.25600005278829485 188190.04699991145753302, 544415.04199988162145019 188147.21300012042047456)))</t>
  </si>
  <si>
    <t>E01003755</t>
  </si>
  <si>
    <t>Redbridge 023B</t>
  </si>
  <si>
    <t>MultiPolygon (((546810.89100012031849474 189180.66000011711730622, 546745.87300010200124234 188993.72300026900484227, 546799.62500009429641068 189021.98400008922908455, 546798.06299968285020441 188972.75000023320899345, 546731.09900023252703249 188810.18600028532091528, 546724.83600000326987356 188784.80499990336829796, 546683.31300001870840788 188797.04700004050391726, 546641.87500014959368855 188663.20499980408931151, 546598.31300001626368612 188675.84399976956774481, 546630.55800018995068967 188628.59299992246087641, 546602.11599982099141926 188551.97099990636343136, 546551.42800021090079099 188289.53200012518209405, 546544.37499994726385921 188254.76599985905340873, 546746.09600007731933147 188189.04200001613935456, 546775.68799973209388554 188174.6560001464386005, 546790.40899985679425299 188227.14300017821369693, 546846.75000030512455851 188251.9369996759633068, 546915.68799993570428342 188209.20399996516061947, 546923.62500017764978111 188251.50000023230677471, 546961.60600013704970479 188238.29099981268518604, 547048.21600008918903768 188196.37800001731375232, 547038.68800013873260468 188067.32799982602591626, 546909.37499967846088111 188089.29700011978275143, 546949.4990001431433484 188022.54600023222155869, 547003.3930002962006256 187942.46399991115322337, 547032.25000015087425709 187878.07799992029322311, 547012.15300017036497593 187852.16199984995182604, 546983.1830001303460449 187863.8079999526089523, 546948.03599988203495741 187830.52600000001257285, 546859.0460000925231725 187909.06500015096389689, 546654.12700002093333751 187946.48899978556437418, 546613.38799995882436633 187950.05399967433186248, 546589.82199984474573284 187882.37599979800870642, 546491.1960001258412376 187904.99700026609934866, 546480.49999987555202097 187866.89999972635996528, 546444.98999998066574335 187869.84200009467895143, 546454.99999987485352904 188002.99999978617415763, 546463.33100022829603404 188042.3029997514677234, 546491.00000031478703022 188203.68200032619643025, 546450.25400023523252457 188152.05900012591155246, 546227.99999990814831108 188176.99999999071587808, 546239.13799980841577053 188274.58199991326546296, 546121.66799984569661319 188403.86499981413362548, 546110.43300028471276164 188474.39600032111047767, 546061.81300012045539916 188583.45300021005095914, 546057.18799991090781987 188713.79700033736298792, 546131.24100029619876295 188917.97499981863074936, 546251.31300016585737467 189129.51600014374707825, 546531.31299989460967481 189187.25, 546810.89100012031849474 189180.66000011711730622)))</t>
  </si>
  <si>
    <t>E01003770</t>
  </si>
  <si>
    <t>Redbridge 022B</t>
  </si>
  <si>
    <t>E02000772</t>
  </si>
  <si>
    <t>Redbridge 022</t>
  </si>
  <si>
    <t>MultiPolygon (((543741.00099979864899069 184565.99999996679252945, 543806.14999989618081599 184564.02700010666740127, 543867.1750000708270818 184627.45899999514222145, 543889.0000001322478056 184592.99999999077408575, 543829.92400002281647176 184539.37900020892266184, 543838.30200002167839557 184467.14600020158104599, 543856.44599987973924726 184400.79699978645658121, 543802.66799988818820566 184382.23100020195124671, 543787.99999997450504452 184263.29499978772946633, 543797.15199990931432694 184201.35399985619005747, 543835.99999981292057782 184125.99999991615186445, 543754.26599992264527828 184071.74000002144020982, 543684.79999977047555149 184277.40000008814968169, 543621.10000010358635336 184248.10000018295249902, 543636.31999989680480212 184412.77299995109206066, 543642.99999981152359396 184476.00000003998866305, 543594.72500019718427211 184556.5869997916452121, 543638.49800001608673483 184613.67699997973977588, 543685.43899988324847072 184639.64300022096722387, 543763.7960001896135509 184578.02500011489610188, 543741.00099979864899069 184565.99999996679252945)),((543565.81299996422603726 183951.90600004119914956, 543527.85199989296961576 183943.45899999997345731, 543597.06299986853264272 184076.99999988963827491, 543538.84899986244272441 184165.29399980066227727, 543439.81300015863962471 184352.98400001629488543, 543419.44699986791238189 184495.9370001470670104, 543519.75000006367918104 184848.28100000598351471, 543522.43800007668323815 184862.51600000000325963, 543595.47499987867195159 184832.75700005257385783, 543548.10000015783589333 184609.30000020778970793, 543585.29999989469069988 184526.19999992460361682, 543545.69999998214188963 184474.1999997932871338, 543610.89999993110541254 184406.99999992761877365, 543595.50000006717164069 184240.9990000162506476, 543688.29999996919650584 184210.30000005743931979, 543732.71099996706470847 184060.27799994614906609, 543565.81299996422603726 183951.90600004119914956)))</t>
  </si>
  <si>
    <t>E01000008</t>
  </si>
  <si>
    <t>Barking and Dagenham 015B</t>
  </si>
  <si>
    <t>E02000016</t>
  </si>
  <si>
    <t>Barking and Dagenham 015</t>
  </si>
  <si>
    <t>MultiPolygon (((543880.277000030153431 183202.79100003387429751, 543905.06500025338027626 183200.2109999957610853, 544045.00000002339947969 183220.09999973108642735, 544216.09999994072131813 183186.20000017777783796, 544275.10000012302771211 183149.50000025660847314, 544244.30000015220139176 183126.30000031387316994, 544210.79999977815896273 183151.80000012213713489, 544242.89999996835831553 183108.89999967758194543, 544300.99999978975392878 183106.19999995359103195, 544393.268999999971129 183007.43100000539561734, 543854.48200008855201304 182699.69500001345295459, 543720.1590002077864483 182622.9629997470183298, 543606.04499967733863741 182714.63900024170288816, 543516.42200028337538242 182691.27400005169329233, 543410.69199972110800445 182761.2170000234618783, 543379.75799991993699223 182716.04899994662264362, 543334.70799989637453109 182732.06500017599319108, 543293.52199967415072024 182772.16100030843517743, 543308.54300001775845885 182805.82300012256018817, 543271.59399966173805296 182834.81599997874582186, 543248.05699983146041632 182817.17800028249621391, 543187.02199999545700848 182902.00000019988510758, 543100.57300017145462334 182855.70800016750581563, 543070.70400029921438545 182844.19799996051006019, 543034.82299999997485429 182842.91800014168256894, 543039.00000002328306437 182876.99899971924605779, 543115.57899987511336803 182914.01400017421110533, 543147.58699998923111707 182917.82500020472798496, 543143.83999974583275616 182984.42099979164777324, 543167.5260000464040786 182992.11500020761741325, 543227.63100027933251113 182902.84700011077802628, 543257.38999998674262315 182944.3710000368882902, 543307.99999994493555278 182923.00000024173641577, 543332.59500031115021557 182935.76900005084462464, 543274.88900009216740727 183046.84700010673259385, 543274.04799975804053247 183124.23599987581837922, 543286.6009998609079048 183161.20199982513440773, 543347.18900032364763319 183151.35900032569770701, 543868.87600017176009715 183355.51000025297980756, 543880.277000030153431 183202.79100003387429751)))</t>
  </si>
  <si>
    <t>E01003535</t>
  </si>
  <si>
    <t>Newham 023A</t>
  </si>
  <si>
    <t>E02000736</t>
  </si>
  <si>
    <t>Newham 023</t>
  </si>
  <si>
    <t>E09000025</t>
  </si>
  <si>
    <t>Newham</t>
  </si>
  <si>
    <t>MultiPolygon (((543043.1689998711226508 185991.21500008061411791, 543049.95100000989623368 185901.3249999911931809, 543154.31699996918905526 185944.66199998976662755, 543167.89300004811957479 185860.66099997248966247, 543071.87099991738796234 185847.50299999956041574, 543110.34500010393094271 185797.81099997885758057, 543086.99999999487772584 185716.00000011324300431, 543012.99999999930150807 185723.99999988829949871, 543009.00000011175870895 185758.00000005029141903, 542975.77300008689053357 185756.90900006794254296, 542969.46999984257854521 185715.14300008933059871, 542955.44899994507431984 185756.11099986566114239, 542906.18900011794175953 185754.02699987537926063, 542883.56300008192192763 185709.77099992128205486, 542872.56900005228817463 185752.28800008184043691, 542924.87600005499552935 185777.11099999389261939, 542910.58099990303162485 185951.56099994806572795, 542828.60599987825844437 185930.07299991467152722, 542719.20599990373011678 185866.79300001377123408, 542617.24800000002142042 185837.19200000015553087, 542697.2319999320898205 185933.22099985522800125, 542739.97099993040319532 185924.32499990347423591, 542743.76599985838402063 185972.83199990121647716, 542780.51699998637195677 185982.72900004786788486, 542757.69899993529543281 186030.81200003897538409, 542890.0000000239815563 186093.9999998661223799, 542814.75599986431188881 186141.47800013259984553, 542905.67600014759227633 186191.66799989287392236, 543153.49900009809061885 186286.7800000786955934, 543256.11300000001210719 186183.11299988467362709, 543107.9519999596523121 186098.59600010648136958, 543138.47399989573750645 186037.55100009121815674, 543091.99999993410892785 186013.99999987953924574, 543043.1689998711226508 185991.21500008061411791)))</t>
  </si>
  <si>
    <t>E01003576</t>
  </si>
  <si>
    <t>Newham 002A</t>
  </si>
  <si>
    <t>E02000715</t>
  </si>
  <si>
    <t>Newham 002</t>
  </si>
  <si>
    <t>MultiPolygon (((543375.47700007806997746 185974.01799993918393739, 543399.56400003051385283 185817.25000011437805369, 543458.49999982444569468 185823.03099992638453841, 543469.78200008126441389 185709.35600010197958909, 543493.21299993083812296 185518.3120000263734255, 543499.17000007932074368 185480.32399999318295158, 543505.89999984530732036 185438.31299999996554106, 543309.79999982204753906 185501.48799994678120129, 543289.44200008444022387 185497.97400003077927977, 543267.57600006286520511 185622.67200000837328844, 543285.62199983326718211 185682.11599995239521377, 543226.00000013725366443 185677.9989999015815556, 543119.77800015523098409 185707.62899994317558594, 543087.00000013131648302 185716.00000004639150575, 543110.34500015922822058 185797.81100015918491408, 543071.87099987850524485 185847.50300003279699013, 543167.89299998327624053 185860.66099992278032005, 543154.31700008572079241 185944.66199990079621784, 543049.95099999487865716 185901.3250000687839929, 543043.16900015482679009 185991.21499995520571247, 543092.00000005646143109 186014.00000013160752133, 543138.47399991971906275 186037.55099992279428989, 543107.95199984044302255 186098.59599997519399039, 543256.11299999966286123 186183.11300000001210719, 543370.49500010686460882 186000.22100015278556384, 543375.47700007806997746 185974.01799993918393739)))</t>
  </si>
  <si>
    <t>E01003577</t>
  </si>
  <si>
    <t>Newham 005C</t>
  </si>
  <si>
    <t>E02000718</t>
  </si>
  <si>
    <t>Newham 005</t>
  </si>
  <si>
    <t>MultiPolygon (((543522.43800001149065793 184862.51600015672738664, 543519.74999997019767761 184848.28099999995902181, 543307.31300010066479445 184901.04700005851918831, 543232.10999998438637704 184908.38900003422168083, 543137.79400007298681885 184937.08099993196083233, 543111.59299984399694949 184945.60099994353367947, 543137.80899999185930938 185010.7690000697330106, 543126.96800004609394819 185160.7979999226226937, 543119.00000012177042663 185202.99999997555278242, 543150.34900016302708536 185206.57100001384969801, 543088.24000009836163372 185358.99700010885135271, 543186.47899990959558636 185398.14699986643972807, 543177.23600001633167267 185423.3560000995057635, 543308.00000011152587831 185470.00000012191594578, 543309.79999985639005899 185501.48800000001210719, 543505.90000001923181117 185438.31300007808022201, 543532.17099986982066184 185261.45599998775287531, 543541.33999990171287209 185053.03600009804358706, 543538.93900007312186062 184993.74100011240807362, 543522.43800001149065793 184862.51600015672738664)))</t>
  </si>
  <si>
    <t>E01003580</t>
  </si>
  <si>
    <t>Newham 005D</t>
  </si>
  <si>
    <t>MultiPolygon (((543087.00000009429641068 185715.99999997124541551, 543119.7780000566272065 185707.62900003412505612, 543226.0000000469153747 185677.99900007509859279, 543285.62200006539933383 185682.11600002818158828, 543267.57599991059396416 185622.67199999082367867, 543289.44199999491684139 185497.97400002542417496, 543309.80000000004656613 185501.48799993720604107, 543308.00000008335337043 185470.00000007494236343, 543177.23599994089454412 185423.35600008378969505, 543125.99999999208375812 185406.00000005686888471, 543118.80799994163680822 185462.33399997194646858, 543038.05600010312628001 185497.39399994575069286, 543023.20699994405731559 185587.90099999829544686, 542991.62100009701680392 185583.57799991621868685, 542978.22100007859990001 185625.33699994723428972, 542934.0410001011332497 185578.41600003821076825, 542888.44700000807642937 185606.41900008858647197, 542883.56299999984912574 185709.77099994552554563, 542906.18900004902388901 185754.02699989813845605, 542955.44900000421330333 185756.11100003600586206, 542969.47000005247537047 185715.14299997364287265, 542975.77299993624910712 185756.90900009492179379, 543009.00000008556526154 185757.99999994313111529, 543012.99999990023206919 185724.00000002677552402, 543087.00000009429641068 185715.99999997124541551)))</t>
  </si>
  <si>
    <t>E01003582</t>
  </si>
  <si>
    <t>Newham 002C</t>
  </si>
  <si>
    <t>MultiPolygon (((543421.71099983155727386 184182.9939998775080312, 543307.27499988535419106 184047.25500004368950613, 543494.57199992751702666 184145.6540000548993703, 543538.84900012833531946 184165.29399996605934575, 543597.0630000300006941 184077.00000016391277313, 543527.85200014291331172 183943.45899994258070365, 543565.81300005537923425 183951.90599979989929125, 543640.31300009286496788 183945.81200016461662017, 543766.51300000003539026 183656.32800002800649963, 543415.86300001002382487 183689.80800009914673865, 543349.24399998469743878 183680.88600003797910176, 543258.49199997063260525 183651.86600015987642109, 543246.75799994415137917 183683.1949999769567512, 543165.99999981268774718 183671.00000009502400644, 543170.89399987633805722 183648.78800013288855553, 543068.28200019779615104 183638.60199996916344389, 543029.26200010045431554 183628.39200020744465292, 543079.53800007060635835 183425.3449999402218964, 543047.75000007310882211 183419.73199997111805715, 543029.42799979716073722 183502.49500003352295607, 542968.47199992334935814 183482.89999980575521477, 542991.73899984592571855 183520.38500011397991329, 542972.30099990265443921 183603.63999980405787937, 542905.43300011369865388 183584.9860001347551588, 542895.81299979530740529 183642.87499994298559614, 542892.14700000011362135 183685.12600012740585953, 542962.22999985271599144 183683.96400006496696733, 543049.80800013628322631 183710.4620000745926518, 543082.0240001049824059 183708.16799988431739621, 543144.61599997035227716 183698.04700008902000263, 543172.63799980748444796 183728.75499981630127877, 543245.00099993927869946 183744.99900021837675013, 543192.37200018425937742 183933.29099991449038498, 543120.75400010531302541 183907.38100011026836, 543095.50700012454763055 183906.08700007307925262, 543079.6610001961234957 183964.37600002996623516, 543280.08700006734579802 184015.59100000921171159, 543204.13499987067189068 184139.03400019567925483, 543222.18600002303719521 184177.34800002400879748, 543323.65200009965337813 184224.81200002887635492, 543421.71099983155727386 184182.9939998775080312)))</t>
  </si>
  <si>
    <t>E01003622</t>
  </si>
  <si>
    <t>Newham 023D</t>
  </si>
  <si>
    <t>MultiPolygon (((543766.51299986394587904 183656.32800002029398456, 543862.56900012714322656 183404.28500014267046936, 543868.87600000004749745 183355.50999997503822669, 543347.18899999838322401 183151.35899992371560074, 543286.60099998617079109 183161.20200012889108621, 543249.99999990698415786 183315.9999999659776222, 543276.60100009525194764 183320.18800004888908006, 543270.210999840288423 183404.01000010661664419, 543250.7900000469526276 183471.20800000237068161, 543208.40199990826658905 183496.1230000643117819, 543176.62399984954390675 183483.51300008615362458, 543187.88299985451158136 183423.97100015269825235, 543158.87199996924027801 183416.72200016365968622, 543118.54899995552841574 183579.10400014286278747, 543074.11899995687417686 183576.63999998016515747, 543068.28200000000651926 183638.60199983036727645, 543170.89400008146185428 183648.78800012412830256, 543166.00000018253922462 183670.99999989743810147, 543246.75800010818056762 183683.19499996679951437, 543258.49200013896916062 183651.86599984325584956, 543349.24399990378879011 183680.88600000634323806, 543415.86299981095362455 183689.80800007630023174, 543766.51299986394587904 183656.32800002029398456)))</t>
  </si>
  <si>
    <t>E01003623</t>
  </si>
  <si>
    <t>Newham 023E</t>
  </si>
  <si>
    <t>MultiPolygon (((543519.75000010780058801 184848.28100017801625654, 543419.44700004777405411 184495.93700000428361818, 543439.81300009216647595 184352.98400009798933752, 543538.84900014544837177 184165.2940001453680452, 543494.57200017629656941 184145.65399992966558784, 543307.27499982749577612 184047.25500000000465661, 543421.71099986729677767 184182.99400009113014676, 543323.65199997613672167 184224.81200012448243797, 543222.18599988624919206 184177.34799995634239167, 543136.97800012363586575 184250.47700002446072176, 543011.12499996949918568 184215.5549998531350866, 542993.78100012440700084 184280.65399992826860398, 542791.65399986610282212 184226.61599986677174456, 542742.46999985468573868 184288.46999994473299012, 542829.62300012016203254 184307.86000004425295629, 542945.0519999573007226 184338.30500013410346583, 542976.87600006151478738 184347.58099983882857487, 543081.14100012579001486 184376.91700010816566646, 543067.33000011451076716 184500.38300017893197946, 543103.82700020680204034 184548.20100001301034354, 543082.06800009391736239 184596.78000002494081855, 542961.6829998109024018 184559.12199991033412516, 542894.72000018751714379 184589.32800014011445455, 542934.70799995085690171 184647.74099988731904887, 542949.06499994604382664 184672.0520000834367238, 543078.68800021323841065 184819.93699991554603912, 543305.72600000735837966 184896.3040001671470236, 543307.31299997493624687 184901.0470000000204891, 543519.75000010780058801 184848.28100017801625654)))</t>
  </si>
  <si>
    <t>E01003625</t>
  </si>
  <si>
    <t>Newham 015A</t>
  </si>
  <si>
    <t>E02000728</t>
  </si>
  <si>
    <t>Newham 015</t>
  </si>
  <si>
    <t>MultiPolygon (((542701.90600003430154175 186821.01300004645599984, 542382.57000014709774405 186819.54800000000977889, 542308.31300001498311758 186999.18699985760031268, 542355.28900012862868607 187104.09700005658669397, 542474.22100007336121053 187167.52800004134769551, 542362.25100007466971874 187366.64499990228796378, 542438.66800012812018394 187408.69700013837427832, 542718.11799995694309473 187494.56200007579172961, 542772.38900004734750837 187504.07899999996880069, 542812.99999989382922649 187471.00000016423291527, 542739.26599992800038308 187451.79799997972440906, 542675.08600015589036047 187319.22300011853803881, 542738.77400011697318405 187280.23300014165579341, 542659.00099990051239729 187155.66599987458903342, 542717.96599984844215214 187115.85900016990490258, 542779.23600015428382903 187075.17300002663978375, 542841.02599998493678868 187033.60299997264519334, 542756.00599983136635274 186907.07299993396736681, 542771.05900012433994561 186865.02699995436705649, 542701.90600003430154175 186821.01300004645599984)))</t>
  </si>
  <si>
    <t>E01003691</t>
  </si>
  <si>
    <t>Redbridge 035B</t>
  </si>
  <si>
    <t>E02006924</t>
  </si>
  <si>
    <t>Redbridge 035</t>
  </si>
  <si>
    <t>MultiPolygon (((542731.1260000616312027 187992.97899980290094391, 542668.35500024899374694 187975.06700013420777395, 542642.24700020696036518 187913.21800009114667773, 542656.09400003310292959 187772.81999982232809998, 542376.41100000869482756 187805.22299987004953437, 542365.87099987489636987 187764.69599987220135517, 542392.23799988743849099 187764.80499977624276653, 542423.83399980457033962 187686.54500025513698347, 542475.41000001726206392 187630.43500023940578103, 542463.74699998379219323 187583.2309997784323059, 542500.21599991561379284 187525.21500021673273295, 542627.46299998660106212 187646.36799989725113846, 542707.11200018436647952 187552.75600019274861552, 542718.11800015368498862 187494.5619999137124978, 542438.66800004697870463 187408.69699991008383222, 542362.25100002344697714 187366.64499975214130245, 542474.2209999441402033 187167.52800000179558992, 542355.28900005202740431 187104.09700000000884756, 542270.87500021688174456 187221.24999996979022399, 542215.49999990861397237 187212.56200022317352705, 542203.24800006742589176 187249.05199999955948442, 542205.12499995075631887 187446.95300009739003144, 542150.37499991909135133 187601.31199978970107622, 542001.49999993527308106 187618.39099979001912288, 541822.11499993829056621 187857.42699996946612373, 541838.19600009417627007 188014.61099988233763725, 541913.19599982013460249 188115.8849998680234421, 542195.00000010360963643 187818.99999987124465406, 542206.71200011775363237 187873.24700007162755355, 542102.35299989941995591 187988.08499994361773133, 542121.96300023724325001 188029.57199974847026169, 542170.57400006463285536 188027.52299991261679679, 542146.00000004237517715 188104.99999978745472617, 542169.6490001700585708 188132.41100001492304727, 542251.64899990486446768 188094.15299974431400187, 542250.5270000466844067 187989.33299989870283753, 542409.08700009493622929 188029.81500008259899914, 542399.34300014865584671 188067.46999996269005351, 542430.15499986289069057 188075.99999982476583682, 542689.54900011396966875 188134.0059999999939464, 542731.1260000616312027 187992.97899980290094391)))</t>
  </si>
  <si>
    <t>E01003693</t>
  </si>
  <si>
    <t>Redbridge 035D</t>
  </si>
  <si>
    <t>MultiPolygon (((542864.33899994555395097 187807.42799980464042164, 542898.36299998685717583 187732.84100006075459532, 542931.03399980603717268 187652.70700016472255811, 542961.61299986345693469 187576.66499996514176019, 542843.40000004414469004 187530.19299997875350527, 542831.00000018288847059 187457.99999991263030097, 542876.94400013668928295 187419.99500006294692867, 542856.18299982370808721 187390.97599983908003196, 542825.02800009457860142 187413.07300003906129859, 542738.77399996307212859 187280.23300000000745058, 542675.08600015554111451 187319.22299987415317446, 542739.2660000438336283 187451.79799981188261881, 542812.99999988253694028 187471.00000015425030142, 542772.38900009624194354 187504.07900001874077134, 542718.11799991666339338 187494.5619998830370605, 542707.11199998797383159 187552.75599982528365217, 542627.46299979952163994 187646.36800018596113659, 542500.21599982620682567 187525.21500001393724233, 542463.74699999031145126 187583.23099992334027775, 542475.41000003763474524 187630.43499996492755599, 542423.83400003321003169 187686.54499993709032424, 542392.23799989558756351 187764.80499995173886418, 542365.87099996639881283 187764.69599978931364603, 542376.41099980403669178 187805.22299998448579572, 542656.09399990178644657 187772.81999985524453223, 542642.24699982104357332 187913.2179998058709316, 542668.35500015935394913 187975.06699982084683143, 542731.12599994998890907 187992.97900018983636983, 542689.54900020023342222 188134.00600009920890443, 542811.00099981075618416 188169, 542914.20099990325979888 188010.82099993675365113, 542845.59300017659552395 187966.64399987200158648, 542985.61900003359187394 187858.34100006867083721, 542864.33899994555395097 187807.42799980464042164)))</t>
  </si>
  <si>
    <t>E01003694</t>
  </si>
  <si>
    <t>Redbridge 035E</t>
  </si>
  <si>
    <t>MultiPolygon (((542971.58600005356129259 187580.82999999995809048, 543037.16600003081839532 187446.72100003567175008, 543171.37999999662861228 187510.62499994519748725, 543192.2910001112613827 187480.07100012330920435, 543201.99799993145279586 187437.30999995121965185, 543125.81300007982645184 187346.24999998320708983, 543041.19000012089964002 187300.82399994332809001, 543031.79900008882395923 187258.39800010167527944, 543003.31300010299310088 187277.35900003276765347, 542841.02600002940744162 187033.60300000000279397, 542779.23600013111717999 187075.17300000690738671, 542717.96599995356518775 187115.85899994152714498, 542659.00100006861612201 187155.66600009062676691, 542738.77399990777485073 187280.23300011976971291, 542825.02800009015481919 187413.0730000976473093, 542856.18299989961087704 187390.97600010453606956, 542876.94399989489465952 187419.99500000922125764, 542830.99999997543636709 187457.99999997942359187, 542843.39999990095384419 187530.19299993425374851, 542961.61300002911593765 187576.66500003304099664, 542971.58600005356129259 187580.82999999995809048)))</t>
  </si>
  <si>
    <t>E01003695</t>
  </si>
  <si>
    <t>Redbridge 035F</t>
  </si>
  <si>
    <t>MultiPolygon (((542274.01299984869547188 188371.26599989738315344, 542279.52800017362460494 188308.24999978431151249, 542399.34299986239057034 188067.46999994516954757, 542409.087000000057742 188029.81499999211519025, 542250.52700004319194704 187989.33299980065203272, 542251.64899987273383886 188094.15299995374516584, 542169.64900005841627717 188132.41100006518536247, 542146.0000002303859219 188105.00000006251502782, 542170.57399997022002935 188027.52300012169871479, 542121.96299982990603894 188029.57199977402342483, 542102.35299982002470642 187988.08499994498561136, 542206.7120000678114593 187873.2470001119945664, 542195.00000019394792616 187819.00000010262010619, 541913.19599987217225134 188115.88499988830881193, 541838.19599978416226804 188014.61100013362010941, 541822.11500022502150387 187857.42699996940791607, 541794.20800023153424263 187888.32400022383080795, 541573.81299994746223092 188116.07799998417613097, 541469.5 188171.57700014085276052, 541495.4180000179912895 188321.79600019447389059, 541498.12499996309634298 188333.6259999809844885, 541815.98499980638734996 188331.08000014748540707, 542064.22000001405831426 188352.54199989195331, 542274.01299984869547188 188371.26599989738315344)))</t>
  </si>
  <si>
    <t>E01003697</t>
  </si>
  <si>
    <t>Redbridge 035H</t>
  </si>
  <si>
    <t>MultiPolygon (((543591.75000009860377759 186320.65599999928963371, 543640.87499985937029123 186235.0309998175362125, 543698.56300013093277812 186206.95300017387489788, 543707.82399975904263556 186115.1519999903102871, 543736.82199992774985731 186058.8959999660437461, 543708.03200008068233728 186041.726999863574747, 543716.86200017132796347 185994.3870000772876665, 543604.1600000630132854 185915.52000008593313396, 543577.72299978928640485 185901.34599979047197849, 543584.05499990819953382 185855.77600009151501581, 543637.24600015569012612 185798.92299999151146039, 543690.74900014081504196 185625.14200000377604738, 543609.49199976236559451 185589.75200016761664301, 543619.9990002429112792 185561.99999985852628015, 543575.40999991504941136 185538.64999979184358381, 543518.10000017529819161 185633.70000005580368452, 543503.0820000737439841 185738.27800002417643555, 543448.09199975861702114 186013.54800018548849039, 543439.47099978337064385 186034.47199983795871958, 543339.80000022961758077 186221.3000000613683369, 543427.45200015383306891 186023.0299999381240923, 543429.95799996610730886 186016.11800021131057292, 543489.78300014545675367 185725.18900000522262417, 543508.29999993578530848 185616.29999990406213328, 543560.3989998601609841 185533.34299990444560535, 543493.21300015482120216 185518.3120000000053551, 543469.78199990326538682 185709.35600007802713662, 543458.4999997925478965 185823.03100021337741055, 543399.56400007358752191 185817.25000021842424758, 543375.47699999157339334 185974.01800022079260089, 543370.49500014120712876 186000.22100007065455429, 543256.1129997648531571 186183.1129998221877031, 543153.49900011217687279 186286.77999989286763594, 542905.67600007238797843 186191.66799999607610516, 543274.98199998482596129 186384.20800003854674287, 543347.79899982071947306 186417.78899988217744976, 543572.1740001339931041 186497.68499977706233039, 543607.99999996635597199 186511.15599999998812564, 543591.75000009860377759 186320.65599999928963371)))</t>
  </si>
  <si>
    <t>E01003728</t>
  </si>
  <si>
    <t>Redbridge 032A</t>
  </si>
  <si>
    <t>E02000782</t>
  </si>
  <si>
    <t>Redbridge 032</t>
  </si>
  <si>
    <t>MultiPolygon (((543615.69300011440645903 185328.6239999286190141, 543651.03600016783457249 185318.70599984406726435, 543648.70300006936304271 185350.87100014789029956, 543691.59799992816988379 185371.93499987863469869, 543784.62500000826548785 185353.62500007956987247, 543793.34700013569090515 185336.14400012942496687, 543807.6799998345086351 185276.60199991147965193, 543824.58600015414413065 185209.86300005752127618, 543839.37199998844880611 185076.99799990296014585, 543803.33699985360726714 185051.53700011735782027, 543725.56799987913109362 185064.65500007211812772, 543735.57199999096337706 184944.24699986565974541, 543705.56099988298956305 184937.18300013389671221, 543702.757000089623034 184966.48600000934675336, 543704.99999994854442775 184910.00000004595494829, 543667.84299994492903352 184906.98599992640083656, 543672.34000007202848792 184931.27799996623070911, 543636.01600012951530516 184939.7870001316186972, 543640.92200015101116151 184854.7279999480524566, 543740.81799990916624665 184806.06099982585874386, 543741.98100003437139094 184782.5719999999855645, 543701.51899999740999192 184802.26800006793928333, 543619.80199989129323512 184826.11099983565509319, 543600.97700015618465841 184991.88100013101939112, 543606.88599983835592866 185071.85400016308994964, 543566.46200007305014879 185279.18700012224144302, 543569.39000016532372683 185457.19500008533941582, 543615.69300011440645903 185328.6239999286190141)),((543584.08900009386707097 184991.88100013101939112, 543595.47499991348013282 184832.75700006776605733, 543522.43800014862790704 184862.51600006342050619, 543538.93900008837226778 184993.74100007954984903, 543541.33999995677731931 185053.03599992714589462, 543532.17100001231301576 185261.45600016589742154, 543505.90000016475096345 185438.31299994271830656, 543499.17000001145061105 185480.32399999996414408, 543553.42700016091112047 185465.86999998689861968, 543547.25299985113088042 185275.02500014999532141, 543590.86799988127313554 185067.25600008512265049, 543584.08900009386707097 184991.88100013101939112)))</t>
  </si>
  <si>
    <t>E01003732</t>
  </si>
  <si>
    <t>Redbridge 032D</t>
  </si>
  <si>
    <t>MultiPolygon (((543560.39899990835692734 185533.34299990884028375, 543553.42699993762653321 185465.87000004775472917, 543499.16999999806284904 185480.32399992147111334, 543493.21299999998882413 185518.31200009022722952, 543560.39899990835692734 185533.34299990884028375)),((543690.7489998999517411 185625.14200005802558735, 543701.33699991542380303 185597.53999994081095792, 543725.00000008288770914 185609.00000004621688277, 543763.67600009276065975 185458.10499989689560607, 543940.02899995644111186 185525.10800000448944047, 543960.9990000578109175 185503.99999991225195117, 543969.00000001164153218 185486.00000004580942914, 544008.00000011350493878 185371.00000007296330296, 544014.95900000003166497 185355.09500005119480193, 543988.96199988457374275 185328.94700012155226432, 544006.17700002400670201 185298.71599991136463359, 544008.00000011350493878 185264.99999990293872543, 543824.58600006392225623 185209.86299994197906926, 543807.68000007979571819 185276.60199996494338848, 543793.34699988621287048 185336.14399992427206598, 543784.62499991769436747 185353.62500000078580342, 543691.59800012176856399 185371.93499994886224158, 543648.70299995364621282 185350.8710000011487864, 543651.03599997551646084 185318.7060000661003869, 543615.69300002336967736 185328.62399995574378408, 543569.39000011445023119 185457.19500000233529136, 543575.40999989840202034 185538.64999987036571838, 543619.9990000226534903 185561.9999999166757334, 543609.49200003012083471 185589.75199992189300247, 543690.7489998999517411 185625.14200005802558735)))</t>
  </si>
  <si>
    <t>E01003733</t>
  </si>
  <si>
    <t>Redbridge 032E</t>
  </si>
  <si>
    <t>MultiPolygon (((542937.45499999320600182 186717.8239998116332572, 542972.55199996929150075 186701.08899996540276334, 543078.82499983324669302 186837.14499994146171957, 543153.02000001713167876 186842.81700017722323537, 543147.917999935336411 186821.33999993788893335, 543128.99999991536606103 186759.00000015454133973, 543095.73799981875345111 186767.30199984103091992, 543037.23900018993299454 186658.77999983463087119, 543066.64299992250744253 186575.9930000425374601, 542932.92399991792626679 186501.07600000000093132, 542796.19100004434585571 186676.86200012033805251, 542701.9059999828459695 186821.01300003952928819, 542771.05900016240775585 186865.02699981717159972, 542756.00599986221641302 186907.07299992523621768, 542841.02599982789251953 187033.60299987596226856, 543003.31299983081407845 187277.35899999999674037, 543031.79899989149998873 187258.3980001121526584, 543061.37300016719382256 187235.82299996842630208, 542902.40200012573041022 186993.97300011961488053, 542962.35799988335929811 186954.59599992018775083, 542992.31299985537771136 186934.46199993405025452, 543054.0000000826548785 186893.99999985349131748, 542937.45499999320600182 186717.8239998116332572)))</t>
  </si>
  <si>
    <t>E01003784</t>
  </si>
  <si>
    <t>Redbridge 029B</t>
  </si>
  <si>
    <t>E02000779</t>
  </si>
  <si>
    <t>Redbridge 029</t>
  </si>
  <si>
    <t>MultiPolygon (((543200.48000001476611942 186987.89099998385063373, 543321.10499995818827301 186759.79999998805578798, 543429.85699999995995313 186554.88099994216463529, 543315.67500025569461286 186524.37499983704765327, 543201.05099985050037503 186472.02200000046286732, 543274.98200012510642409 186384.20800015589338727, 542905.67599992197938263 186191.66800016901106574, 542782.99900006363168359 186336.70299976979731582, 542702.75000014796387404 186363.31200020527467132, 542683.81300009379629046 186430.65599996285163797, 542644.43799996469169855 186415.53099995848606341, 542600.56299979065079242 186497.31200025280122645, 542513.56300015351735055 186529.57799996517132968, 542484.50000008032657206 186663.29700012126704678, 542374.81299999996554106 186755.46900005621137097, 542382.57000000111293048 186819.5479999863600824, 542701.90599976445082575 186821.01299979584291577, 542796.1910001483047381 186676.86199993421905674, 542932.92399988905526698 186501.07600002075196244, 543066.64300004509277642 186575.99300010592560284, 543037.2390002558240667 186658.78000015238649212, 543095.73800013028085232 186767.302000074647367, 543128.99999988777562976 186759.0000002145243343, 543147.91800018202047795 186821.34000013317563571, 543153.01999989291653037 186842.81700015405658633, 543078.82500017841812223 186837.14500026157475077, 542972.55200009688269347 186701.08900009977514856, 542937.45499976421706378 186717.82399988576071337, 543054.00000001862645149 186893.99999997895793058, 543216.33500026096589863 187139.4069998310005758, 543245.3880000994540751 187121.63699977094074711, 543170.75999977684114128 187003.2299998379603494, 543200.48000001476611942 186987.89099998385063373)))</t>
  </si>
  <si>
    <t>E01003785</t>
  </si>
  <si>
    <t>Redbridge 029C</t>
  </si>
  <si>
    <t>MultiPolygon (((544015.89599988562986255 183474.39299997210036963, 544079.60000014200340956 183248.99900010443525389, 544052.71299979032482952 183265.00599986099405214, 544036.02900012210011482 183259.13199986764811911, 544001.30799996119458228 183245.80300020848517306, 543988.51899992139078677 183240.5079999309964478, 543930.05499993485864252 183213.07699986826628447, 543905.06500011892057955 183200.21100000001024455, 543880.27700014878064394 183202.79099990174290724, 543868.87600002798717469 183355.51000018385821022, 543862.56899979256559163 183404.28500010434072465, 543766.51299979409668595 183656.32800010865321383, 543640.31300008599646389 183945.81200019508833066, 543565.81299979251343757 183951.90600021890713833, 543732.71099985134787858 184060.27800000947900116, 543872.10000010987278074 183771.89999998506391421, 543872.99999977916013449 183658.69999979945714585, 544015.89599988562986255 183474.39299997210036963)),((544018.79099983093328774 183717.31699998927069828, 544099.6879999169614166 183676.53099989955080673, 544273.18699988769367337 183777.01600014671566896, 544268.00100017164368182 183618.00099999498343095, 544295.00499990209937096 183558.22000000832485966, 544327.9590000007301569 183535.78199990809662268, 544307.03399983665440232 183511.3349998940830119, 544339.32400020759087056 183498.36599982946063392, 544278.10200011264532804 183454.65100015394273214, 544183.86000000091735274 183400.04599988192785531, 544226.7250000141793862 183343.18399993499042466, 544222.74999991932418197 183339.92200012100511231, 544169.34799999592360109 183312.64000016995123588, 544147.26999994553625584 183311.14099987142253667, 544162.84999982512090355 183251.73800011922139674, 544123.7999998846789822 183266.60000017267884687, 544050.11799988651182503 183505.39699980081059039, 543947.00000000349245965 183634.60000010667135939, 543975.09999979450367391 183696.90000007770140655, 543910.4999999605352059 183737.69999980510328896, 543754.26600010262336582 184071.74000004769186489, 543903.09999984700698406 184110.875, 544010.87299991899635643 183735.49999995596590452, 544018.79099983093328774 183717.31699998927069828)))</t>
  </si>
  <si>
    <t>E01033587</t>
  </si>
  <si>
    <t>Barking and Dagenham 021E</t>
  </si>
  <si>
    <t>E02000022</t>
  </si>
  <si>
    <t>Barking and Dagenham 021</t>
  </si>
  <si>
    <t>MultiPolygon (((533061.73899987200275064 191920.24699994834372774, 533229.32399990502744913 191776.24400009965756908, 533232.96699999994598329 191706.48999993066536263, 533082.61100002133753151 191713.70000012379023246, 532911.05399983061943203 191700.94800013932399452, 532794.13800018408801407 191699.34300003777025267, 532729.30900011293124408 191694.78200001901132055, 532430.89600016723852605 191718.67600014206254855, 532376.06299986923113465 191723.90599999469122849, 532395.67600010382011533 191773.04399983669281937, 532523.00000021839514375 191749.00000015992554836, 532527.00000020849984139 191820.0000000957516022, 532416.99999980546999723 191957.00000009275390767, 532329.83400000003166497 191995.10899979708483443, 532426.17399998323526233 192045.49899982157512568, 532595.87100001832004637 191996.54600000110804103, 532621.01499988429713994 192019.03900015624822117, 532649.94300013000611216 191817.79600019290228374, 532680.88999980548396707 191821.18199979409109801, 532809.09000009531155229 191912.0059998303768225, 532864.8890000298852101 191909.27500014685210772, 532883.69899987801909447 191843.57900007226271555, 532916.99999991315416992 191844.00000003588502295, 532941.800999800208956 191844.25599985822918825, 532950.03199997800402343 191905.87900015397462994, 532948.73099986300803721 192066.22600016149226576, 532901.77500005555339158 192093.41700019268319011, 532900.9999999530846253 192139.99899998100590892, 533082.31699997489340603 192080.07599989551817998, 533082.35399997921194881 192044.39700009592343122, 533159.08100017951801419 192040.95800013464759104, 533194.99999989720527083 191943.99999978649429977, 533062.99999977485276759 191943.99999978649429977, 533061.73899987200275064 191920.24699994834372774)))</t>
  </si>
  <si>
    <t>E01001553</t>
  </si>
  <si>
    <t>Enfield 037B</t>
  </si>
  <si>
    <t>MultiPolygon (((534062.56300002441275865 188157.34399997896980494, 534073.37499995634425431 188092.81199998097144999, 534120.99999996251426637 188106.2030000802478753, 534131.59299999999348074 188071.56299995936569758, 534067.12499998765997589 188051.70600011391798034, 533977.94900005287490785 188027.48499993878067471, 533922.0000000805594027 188012.04700005808263086, 533930.49700009939260781 187922.0159999706374947, 533941.016000040108338 187876.36000005062669516, 533962.3749998890561983 187809.48400012429920025, 533931.75099991459865123 187799.21900004829512909, 533922.68800013558939099 187730.10900002100970596, 533888.96999999124091119 187732.50500002477201633, 533849.00000007904600352 187740.99899992669816129, 533711.38200007262639701 187808.39999996629194357, 533771.99999999720603228 187901.00000011021620594, 533680.4000000823289156 187902.00000006062327884, 533669.00100012950133532 187820.99999989863135852, 533574.31299999996554106 187945.53300002461764961, 533601.8099999122787267 188031.14099999150494114, 533604.15799999644514173 188068.16200008903979324, 533671.59500004537403584 188067.88400012510828674, 533891.07699988118838519 188116.90499990608077496, 534029.56199995044153184 188150.28600001696031541, 534062.56300002441275865 188157.34399997896980494)))</t>
  </si>
  <si>
    <t>E01001814</t>
  </si>
  <si>
    <t>Hackney 001C</t>
  </si>
  <si>
    <t>E02000345</t>
  </si>
  <si>
    <t>Hackney 001</t>
  </si>
  <si>
    <t>MultiPolygon (((533605.63399986817967147 190306.62999990631942637, 533538.692000120296143 190251.96300012548454106, 533562.78499998094048351 190267.62799998495029286, 533574.29899988579563797 190234.63500001165084541, 533425.87400007806718349 190110.08199985857936554, 533462.53300003742333502 190095.38399985327851027, 533457.48399987572338432 190070.08699999240343459, 533378.99999995168764144 190080.99999998745624907, 533355.00000002444721758 189966.00000003800960258, 533378.18700008443556726 189961.23300013574771583, 533366.54799998982343823 189900.15499984481721185, 533343.02999994822312146 189904.79600003149244003, 533329.00000007182825357 189844, 533304.37300014414358884 189849.2089999379531946, 533331.00300018000416458 190012.19400008046068251, 533206.99900013173464686 190074.99999991155345924, 533230.34000017854850739 190094.02999985122005455, 533270.00000007811468095 190094.00100005406420678, 533299.58800012129358947 190137.65200013207504526, 533294.48800005682278425 190240.41399988153716549, 533326.19200006639584899 190243.12499996850965545, 533293.30700006440747529 190258.14200000042910688, 533359.05599986494053155 190264.24100017541786656, 533335.20900002249982208 190343.3269999113981612, 533331.15499998617451638 190401.61400003908784129, 533366.52899996703490615 190407.86599992247647606, 533368.03900013666134328 190443.88400012219790369, 533394.39700006367638707 190447.00999987573595718, 533428.75800017465371639 190515.41200016901711933, 533419.82400000153575093 190596.65500000002793968, 533545.00100007210858166 190445.00000007610651664, 533518.43200008978601545 190424.33600005556945689, 533576.95100010000169277 190331.02800003430456854, 533605.63399986817967147 190306.62999990631942637)))</t>
  </si>
  <si>
    <t>E01001976</t>
  </si>
  <si>
    <t>Haringey 011A</t>
  </si>
  <si>
    <t>E02000407</t>
  </si>
  <si>
    <t>Haringey 011</t>
  </si>
  <si>
    <t>MultiPolygon (((533265.18699992122128606 190579.01399999999557622, 533308.87600008049048483 190538.99600003694649786, 533374.70800004992634058 190567.60599991300841793, 533394.39700007752981037 190447.01000012599979527, 533368.03900002129375935 190443.88400005560833961, 533366.52899991034064442 190407.86599990085233003, 533331.15499996731523424 190401.61400001641595736, 533335.20900003216229379 190343.3269999653857667, 533359.05600007763132453 190264.24099991045659408, 533293.30700000410433859 190258.14200011212960817, 533326.19200006942264736 190243.12499992418452166, 533294.48799999011680484 190240.41400010243523866, 533299.58800004050135612 190137.65199991731788032, 533269.99999996088445187 190094.00100008107256144, 533230.34000001836102456 190094.02999997677397914, 533206.99899995606392622 190075.00000001845182851, 533176.75600011099595577 190066.28599999999278225, 533161.91799993335735053 190105.89700006574275903, 533154.53200004401151091 190220.82300008472520858, 533150.31400008290074766 190286.46300008188700303, 533163.06300000473856926 190428.34399987489450723, 533121.33400004380382597 190511.45299994709785096, 533119.12700005329679698 190528.55200011550914496, 533115.19699992251116782 190559.61099990713410079, 533136.23499987996183336 190562.95999999748892151, 533265.18699992122128606 190579.01399999999557622)))</t>
  </si>
  <si>
    <t>E01001977</t>
  </si>
  <si>
    <t>Haringey 011B</t>
  </si>
  <si>
    <t>MultiPolygon (((533906.37399999995250255 190629.00700012582819909, 533898.2740000425837934 190462.48600009808433242, 533894.95900009572505951 190448.99899991502752528, 533882.13699995656497777 190448.72300000907853246, 533759.52099987573456019 190367.76399985604803078, 533684.29600009380374104 190316.97100015205796808, 533704.4959999043494463 190293.28699985169805586, 533682.9999999082647264 190273.99999999604187906, 533629.9849999975413084 190264.54600000070058741, 533636.32300012558698654 190238.24699995160335675, 533462.53299997234717011 190095.38400009134784341, 533425.87400013208389282 190110.08199990232242271, 533574.29900002724025398 190234.63499994215089828, 533562.78499988839030266 190267.62799996547983028, 533538.69199986569583416 190251.9630000717297662, 533605.63400011148769408 190306.63000001417822205, 533576.95100011304020882 190331.02799986905301921, 533518.43200001982040703 190424.33600003778701648, 533545.00100006756838411 190444.99999995031976141, 533419.82400004530791193 190596.65499987590010278, 533428.75799994834233075 190515.41200004730490036, 533394.3969998894026503 190447.01000001098145731, 533374.70800014992710203 190567.60600007875473239, 533308.87600007629953325 190538.99599986136308871, 533265.18700000003445894 190579.0140001445543021, 533549.27300014474894851 190628.18499999481718987, 533631.56299999635666609 190633.85900001003756188, 533708.98199998994823545 190634.17699990863911808, 533730.53800002124626189 190633.3539998464693781, 533805.98800001572817564 190630.47500000649597496, 533906.37399999995250255 190629.00700012582819909)))</t>
  </si>
  <si>
    <t>E01001978</t>
  </si>
  <si>
    <t>Haringey 011C</t>
  </si>
  <si>
    <t>MultiPolygon (((533819.9210001106839627 190114.64100003108615056, 533806.00800006673671305 190000.09900009635020979, 533786.48000018240418285 189725.93899978301487863, 533768.62499988591298461 189560.73400017601670697, 533757.81299992382992059 189505.03099998235120438, 533693.52599999262019992 189504.03800000000046566, 533724.0369999815011397 189572.07399993168655783, 533625.49699985946062952 189634.18299988732906058, 533598.65600018645636737 189617.5000002279994078, 533604.86900016886647791 189724.49700016406131908, 533561.96900016313884407 189766.54799995935172774, 533648.23100011213682592 189872.25799986688070931, 533618.34900018351618201 189891.57899990185978822, 533612.19400001736357808 189938.26600009726826102, 533389.31900011037942022 189988.42399985413067043, 533378.18699997267685831 189961.23299985620542429, 533355.0000000634463504 189966.00000019973958842, 533379.00000000395812094 190081.00000005212496035, 533457.48399997549131513 190070.08699982348480262, 533462.53299983299802989 190095.38399984224815853, 533636.3229998912429437 190238.24700020306045189, 533629.98499999532941729 190264.54600001272046939, 533683.00000003690365702 190273.9999998290440999, 533704.49599979619961232 190293.28700016724178568, 533684.29599987389519811 190316.97099995199823752, 533759.52099992206785828 190367.76399979894631542, 533882.13699989032465965 190448.72300004345015623, 533894.95899993658531457 190448.99900000001071021, 533854.53499997244216502 190266.49300001951633021, 533819.9210001106839627 190114.64100003108615056)))</t>
  </si>
  <si>
    <t>E01001979</t>
  </si>
  <si>
    <t>Haringey 011D</t>
  </si>
  <si>
    <t>MultiPolygon (((533913.00999989779666066 188667.20900001816335134, 533904.67999999970197678 188608.20300007102196105, 533948.21099986764602363 188619.73199994294554926, 533950.9030000000493601 188590.91599997234879993, 533826.14399987272918224 188552.27999998760060407, 533813.35399997408967465 188579.49199990765191615, 533764.27500002388842404 188565.89799994073109701, 533769.36700010311324149 188535.60799993327236734, 533794.60399987641721964 188448.54300006662379019, 533823.00000008824281394 188456.00000006856862456, 533849.27400010521523654 188370.23199994300375693, 533646.56299995724111795 188312.43699987459694967, 533676.76200006110593677 188256.99300009023863822, 533671.28200011642184108 188218.70299999517737888, 533636.00000006065238267 188209.00000004633329809, 533627.99999997299164534 188243.99999999906867743, 533560.92700002086348832 188197.26799998185015284, 533475.59800012898631394 188233.67099996804608963, 533435.21899995265994221 188254.75199991968111135, 533475.59800012898631394 188266.99399995632120408, 533464.84200012229848653 188320.75299986908794381, 533420.98499999998603016 188542.21400011470541358, 533430.12499996297992766 188544.15599988287431188, 533604.9630000846227631 188581.36100002683815546, 533638.09000009705778211 188588.28400007044547237, 533857.77199990686494857 188648.24200008923071437, 533913.00999989779666066 188667.20900001816335134)))</t>
  </si>
  <si>
    <t>E01002051</t>
  </si>
  <si>
    <t>Haringey 029B</t>
  </si>
  <si>
    <t>E02000425</t>
  </si>
  <si>
    <t>Haringey 029</t>
  </si>
  <si>
    <t>MultiPolygon (((533858.49999988300260156 188340.99999985759495758, 533893.99999994318932295 188221.99999998099519871, 533927.97200005291961133 188232.93999986830749549, 533939.07400002598296851 188197.94699993589892983, 533905.62699989124666899 188183.04899998017936014, 533914.6169998716795817 188155.18799985956866294, 534023.99999987962655723 188184.99999999234569259, 534029.56200000015087426 188150.28599988296627998, 533891.0770000007469207 188116.90499996719881892, 533671.59500008914619684 188067.88400009603356011, 533604.15799999749287963 188068.16200010615284555, 533481.0629999655066058 188053.70300014116219245, 533466.12499989476054907 188022.48399992354097776, 533445.0470000000204891 188052.11099988978821784, 533457.96400000352878124 188104.08799995898152702, 533470.71800010825973004 188154.11200009792810306, 533475.59800010931212455 188233.67099988021072932, 533560.92699996707960963 188197.26800013196771033, 533628.00000006437767297 188244.00000010061194189, 533635.99999997497070581 188209.00000001656007953, 533671.28199990524444729 188218.70299986936151981, 533676.76199987775180489 188256.99299991340376437, 533646.56299996213056147 188312.43700014453497715, 533849.27399992558639497 188370.2320000764739234, 533858.49999988300260156 188340.99999985759495758)))</t>
  </si>
  <si>
    <t>E01002055</t>
  </si>
  <si>
    <t>Haringey 029D</t>
  </si>
  <si>
    <t>MultiPolygon (((534230.87499994412064552 189618.03099993185605854, 534271.56300009868573397 189505.60899990584584884, 534310.27599999995436519 189485.44699982562451623, 534251.99999990582000464 189453.99999997025588527, 534249.06600002816412598 189475.3510002042457927, 533995.47500006307382137 189410.49300020272494294, 533962.03399990336038172 189327.39600001031067222, 533892.62200014386326075 189369.76599998801248148, 533854.78399999928660691 189303.74999980416032486, 533901.81499991076998413 189264.21699995821109042, 533858.19299987854901701 189246.67800008330959827, 533826.99900000973138958 189234.99999983294401318, 533755.43000000005122274 189235.56800017441855744, 533753.47299984004348516 189184.09300012912717648, 533801.00000014563556761 189189.99999994461541064, 533804.60900011530611664 189167.44399980496382341, 533747.99199996155221015 189156.70899985259165987, 533682.70700006512925029 189136.81599993634154089, 533636.66000000201165676 189136.71900019040913321, 533612.08299984375480562 189092.64100020765908994, 533591.43600018275901675 189240.62300011594197713, 533538.26999984227586538 189217.93899983339360915, 533493.29199987882748246 189364.32099987045512535, 533462.77100018609780818 189323.28900015633553267, 533459.24800000002142042 189436.26700017802068032, 533496.45599986030720174 189563.46900006750365719, 533620.00000014097895473 189502.90199983280035667, 533693.52599988516885787 189504.03800009028054774, 533757.81300009705591947 189505.03099998534889892, 533768.62500021187588573 189560.73399989670724608, 533846.65400015900377184 189532.37499981830478646, 534014.90399994002655149 189556.2840000155265443, 534077.76999997848179191 189588.14800018677487969, 534180.18200016662012786 189628.09099979230086319, 534230.87499994412064552 189618.03099993185605854)))</t>
  </si>
  <si>
    <t>E01002066</t>
  </si>
  <si>
    <t>Haringey 025A</t>
  </si>
  <si>
    <t>MultiPolygon (((533459.2479998244671151 189436.26699997702962719, 533462.77099989005364478 189323.2890000251645688, 533493.29200010211206973 189364.32099999752244912, 533538.26999994111247361 189217.93899989576311782, 533591.43600006843917072 189240.62300003122072667, 533612.08299986831843853 189092.64099996432196349, 533636.66000009817071259 189136.71899997786385939, 533682.70700000890064985 189136.8159999264171347, 533747.9919999340781942 189156.70900007151067257, 533752.19899999443441629 189059.99899989564437419, 533710.35600007278844714 189009.96600011017289944, 533672.99999991327058524 188984.00000009883660823, 533653.00000017171259969 188893, 533601.63499983726069331 188901.57800001194118522, 533597.09699992323294282 188958.44999995807302184, 533510.77899997960776091 188975.87799996545072645, 533481.56600009929388762 188954.26900004444178194, 533437.49399987456854433 189019.00199993027490564, 533441.18000004347413778 188987.19300009857397527, 533385.94600014085881412 188992.43500001146458089, 533266.74199986748863012 189050.79300004162359983, 533197.93800008995458484 189089.39200016582617536, 533164.68799982918426394 189058.75500014310819097, 533113.39900000556372106 189090.39599987046676688, 533140.41100001311860979 189119.00000012488453649, 533187.74799982714466751 189119.00000012488453649, 533182.00000002584420145 189147.00000004636240192, 533268.25299995648674667 189146.11600001162150875, 533244.21199997514486313 189229.55900008976459503, 533301.03199998172931373 189235.43399984569987282, 533299.99900005885865539 189275.0000000920263119, 533374.38700010068714619 189322.07799999599228613, 533364.51199990080203861 189376.38500013845623471, 533323.34699983114842325 189397.61200005406863056, 533370.99999984982423484 189445.00000001990702003, 533351.35200010763946921 189548.91700014664093032, 533303.14599990774877369 189601.06500000000232831, 533328.9989998257951811 189596.08199999717180617, 533468.46400003449525684 189568.92100010145804845, 533496.45599988359026611 189563.46900014669517986, 533459.2479998244671151 189436.26699997702962719)))</t>
  </si>
  <si>
    <t>E01002069</t>
  </si>
  <si>
    <t>Haringey 024B</t>
  </si>
  <si>
    <t>MultiPolygon (((533858.19300002593081445 189246.67800006436300464, 533966.47600008151493967 189209.72200000484008342, 534015.5970001210225746 189137.18700001994147897, 533997.945999865536578 189113.60299989202758297, 533970.20500004559289664 189147.52200004513724707, 533958.96300006145611405 189088.03499994377489202, 534008.48399990436155349 189109.35499988475930877, 534033.00000008393544704 189077.00000012261443771, 534091.04099999694153666 189090.01200006308499724, 534124.33600010932423174 189135.65900013232021593, 534175.17599988239817321 189165.88199987236293964, 534188.8529999932507053 189232.67699990549590439, 534233.24500000011175871 189244.53699998644879088, 534221.00000011536758393 189105.99999987415503711, 534192.99999987229239196 189104.99900004823575728, 534203.3380000094184652 189013.29500001325504854, 534170.5350000528851524 188991.84199987014289945, 534150.87100001506041735 188914.23499993563746102, 534091.79599988483823836 188932.54500013761571608, 534091.98299986158963293 189000.8310000779456459, 534020.87499991618096828 188998.42800002516014501, 534021.99999988847412169 188963.99999992197263055, 533980.87800008105114102 188963.76400007717893459, 533884.13100005849264562 188919.68000008145463653, 533831.5859999539097771 188964.02299994009081274, 533835.83000009204261005 188932.20199994064751081, 533788.90800005430355668 188936.47799987252801657, 533698.26699991838540882 188936.47799987252801657, 533673 188983.99999989551724866, 533710.35599986300803721 189009.96600013272836804, 533752.19899996998719871 189059.99900003775837831, 533747.99200009240303189 189156.7090000799507834, 533804.60900007782038301 189167.443999908544356, 533801.00000011082738638 189190.00000004313187674, 533753.47299990116152912 189184.09300002077361569, 533755.43000011437106878 189235.56799996490008198, 533826.99899989902041852 189235.0000000536092557, 533858.19300002593081445 189246.67800006436300464)))</t>
  </si>
  <si>
    <t>E01002071</t>
  </si>
  <si>
    <t>Haringey 025C</t>
  </si>
  <si>
    <t>MultiPolygon (((534014.27699997730087489 189914.68299995799316093, 534001.2569998042890802 189859.72100000001955777, 533950.81400013726670295 189937.4309999433462508, 533979.58700013777706772 189977.36200017918599769, 533873.00700002093799412 189987.09900013843434863, 533806.00799989223014563 190000.09900016130995937, 533819.92100018518976867 190114.64100000081816688, 533854.53499993006698787 190266.49299991395673715, 533894.9590000594034791 190448.99899998735054396, 533898.27399995806626976 190462.48599993792595342, 533906.37400008214171976 190629.00700018729548901, 534111.99999999860301614 190653, 534118.04700002027675509 190613.09100016733282246, 534122.00000010768417269 190584.99999997185659595, 534042.99999999918509275 190583.0000000293366611, 534052.80700008722487837 190444.57900012235040776, 534093.98800018802285194 190340.37800009618513286, 534097.08100016531534493 190259.42999988023075275, 534068.59500017750542611 190230.1589999487332534, 534100.91900018265005201 190205.95399989301222377, 534067.56599990918766707 190181.04199984451406635, 534065.97800012468360364 190088.9999999530846253, 534064.00000018870923668 189977.99999997124541551, 534014.80199995229486376 189959.13900005380855873, 534014.27699997730087489 189914.68299995799316093)))</t>
  </si>
  <si>
    <t>E01002077</t>
  </si>
  <si>
    <t>Haringey 012B</t>
  </si>
  <si>
    <t>E02000408</t>
  </si>
  <si>
    <t>Haringey 012</t>
  </si>
  <si>
    <t>MultiPolygon (((533950.81400003423914313 189937.43100009384215809, 534001.25699999800417572 189859.72100008951383643, 534014.27700001152697951 189914.68299990351079032, 534064.13900000450666994 189907.7400000773195643, 534052.76600002020131797 189812.55200007185339928, 534122.26999993622303009 189836.16399991326034069, 534204.69400000676978379 189799.14800005755387247, 534197.74999995273537934 189776.06100006014457904, 534180.18200003181118518 189628.09100006509106606, 534077.77000003994908184 189588.14800002161064185, 534014.90399993606843054 189556.28399990417528898, 533846.65399992652237415 189532.375, 533768.62499999336432666 189560.73399994056671858, 533786.48000003793276846 189725.9390000129933469, 533806.00799995346460491 190000.09899999998742715, 533873.00699991884175688 189987.09900009862030856, 533979.58700002683326602 189977.36199997653602622, 533950.81400003423914313 189937.43100009384215809)))</t>
  </si>
  <si>
    <t>E01002081</t>
  </si>
  <si>
    <t>Haringey 012D</t>
  </si>
  <si>
    <t>MultiPolygon (((532430.89599999994970858 191718.67600005291751586, 532729.3089999669464305 191694.78199986621621065, 532794.13799987465608865 191699.34299984422978014, 532911.05399999930523336 191700.94800017576199025, 532918.63399993313942105 191617.71000013060984202, 532973.30200002854689956 191623.13500009797280654, 533035.2010000275913626 191524.06800009016296826, 533172.33500008122064173 191508.05600002643768676, 533175 191474.9999998290440999, 533152.1679999241605401 191369.94600005375104956, 533070.14899998111650348 191337.89599981636274606, 533071.93499989004340023 191320.62499996801489033, 532855.81000015907920897 191329.68500006262911484, 532851.71699992718640715 191195.41299997357418761, 532810.32599988114088774 191130.60599987269961275, 532798.99999996612314135 191107.88399994708015583, 532615.66499999479856342 191140.3070001729647629, 532594.16100009554065764 191169.40800017814035527, 532692.38099991402123123 191291.74899989803088829, 532679.18399997381493449 191350.76599990518298, 532718.20500013197306544 191392.26999995674123056, 532662.99999989848583937 191400.99999997275881469, 532696.0919998474419117 191511.18199990506400354, 532618.20900004601571709 191546.03600017668213695, 532461.9999999871943146 191595.99999987555202097, 532458.85800001234747469 191634.41300009624683298, 532430.89599999994970858 191718.67600005291751586)))</t>
  </si>
  <si>
    <t>E01002091</t>
  </si>
  <si>
    <t>Haringey 006A</t>
  </si>
  <si>
    <t>E02000402</t>
  </si>
  <si>
    <t>Haringey 006</t>
  </si>
  <si>
    <t>MultiPolygon (((532696.0920001765480265 191511.18199984738021158, 532663.00000005296897143 191400.99999986347393133, 532718.20499999995809048 191392.27000012097414583, 532679.18399988324381411 191350.76600000553298742, 532692.3810000279918313 191291.74900008481927216, 532594.16099998308345675 191169.40799987947684713, 532615.66500000411178917 191140.30699997165356763, 532617.68599992815870792 191111.85400007455609739, 532574.35599984496366233 191114.92899999817018397, 532574.00000004901085049 191079.00000004429602996, 532488.00000004121102393 191059.99999982796725817, 532475.2320000174222514 191094.96600014783325605, 532309.08999999589286745 191045.42700000433251262, 532231.22700000426266342 191088.91799992707092315, 532215.00099983834661543 191189.00000002072192729, 532081.22400007350370288 191215.59399999649031088, 531994.49800000002142042 191288.08600016488344409, 532019.00000005285255611 191274.9989998655510135, 532016.00000005681067705 191320.99999984769965522, 532106.19899982365313917 191413.65099998583900742, 532265.15100011031609029 191487.87699995512957685, 532270.06699991482309997 191490.23099990474293008, 532316.99999990349169821 191489.99999986743205227, 532329.85800012981053442 191533.07199985245824791, 532392.13799987442325801 191502.17500016506528482, 532450.0940001014387235 191522.41199982783291489, 532450.78499988734256476 191475.18399985885480419, 532482.06799992057494819 191462.10700010470463894, 532515.16500013577751815 191452.24200018035480753, 532613.04500009922776371 191509.75000008277129382, 532618.20900018024258316 191546.03599999565631151, 532696.0920001765480265 191511.18199984738021158)))</t>
  </si>
  <si>
    <t>E01002093</t>
  </si>
  <si>
    <t>Haringey 005B</t>
  </si>
  <si>
    <t>E02000401</t>
  </si>
  <si>
    <t>Haringey 005</t>
  </si>
  <si>
    <t>MultiPolygon (((532855.80999984918162227 191329.68499999999767169, 533071.93500004417728633 191320.62500016464036889, 533132.80799989763181657 191328.81300000898772851, 533163.13000006484799087 191176.86900013868580572, 533196.31699992006178945 191080.04899987860699184, 533249.58000014279969037 190905.89200012240326032, 533197.21400015603285283 190757.79700004443293437, 533217.41400014911778271 190733.95000011895899661, 533117.99999990442302078 190741.99999989787465893, 532921.83100003679282963 190845.13700013837660663, 532939.12499986449256539 190764.10799989031511359, 532898.63900009542703629 190764.59200001557474025, 532897.9999999653082341 190724.99999984752503224, 532897.72700009099207819 190688.21000003689550795, 532757.71499996387865394 190651.64699995264527388, 532684.000000155181624 190575.99999998504063115, 532574.03599985712207854 190572.61799999995855615, 532574.3679998554289341 190603.35699986302643083, 532603.59499989030882716 190603.64800014087813906, 532633.44999987189657986 190727.99200017433031462, 532764.30099985515698791 190726.92800004294258542, 532724.78000008012168109 190780.53400006901938468, 532812.55200001678895205 190869.18400013123755343, 532829.00000018393620849 190930.0000000317231752, 532746.07800008344929665 191018.11100018676370382, 532798.99999991699587554 191107.8840001258358825, 532810.32600008056033403 191130.60600000343401916, 532851.71700001251883805 191195.41300010366830975, 532855.80999984918162227 191329.68499999999767169)))</t>
  </si>
  <si>
    <t>E01002094</t>
  </si>
  <si>
    <t>Haringey 006C</t>
  </si>
  <si>
    <t>MultiPolygon (((533370.8749998698476702 191014.42200007263454609, 533389.12499975913669914 190957.15599984806613065, 533512.14799976162612438 190990.3730001175426878, 533554.87499981850851327 190998.57799995405366644, 533579.45499994314741343 190899.90900021110428497, 533631.56299999996554106 190633.85899978232919239, 533549.27300011238548905 190628.18499993669684045, 533265.18699990038294345 190579.01399982019211166, 533136.23500015295576304 190562.96000022004591301, 533115.19700006127823144 190559.61099992209346965, 532896.98899975174572319 190525.85399992825114168, 532765.67100013478193432 190515.12899996797204949, 532584.35699979437049478 190512.2360000247717835, 532575.4979998804628849 190512.21399976182146929, 532574.03599999996367842 190572.61799985347897746, 532683.99999988230410963 190575.99999975270475261, 532757.71499978937208652 190651.64699996617855504, 532897.72700025630183518 190688.20999980074702762, 532897.99999979382846504 190724.99999992092489265, 532898.63899990823119879 190764.59199978591641411, 532939.12499978695996106 190764.10799981755553745, 532921.8310000755591318 190845.13699975149938837, 533118.0000002266606316 190742.00000025238841772, 533217.41400024539325386 190733.95000003321911208, 533197.21399988268967718 190757.79700016975402832, 533249.58000004279892892 190905.8919999283971265, 533196.31700019363779575 191080.04900017156614922, 533199.3180000816937536 191110.1230000575305894, 533514.8560001616133377 191238.51400023818132468, 533512.15400016983039677 191232.76400015715626068, 533370.8749998698476702 191014.42200007263454609)))</t>
  </si>
  <si>
    <t>E01002095</t>
  </si>
  <si>
    <t>Haringey 006D</t>
  </si>
  <si>
    <t>MultiPolygon (((532231.22699993441347033 191088.91800011252053082, 532309.08999987354036421 191045.42700009420514107, 532475.23199994408059865 191094.96600008732639253, 532488.00000010512303561 191059.9999998350685928, 532574.00000017008278519 191078.99999983597081155, 532574.35600018571130931 191114.92899983696406707, 532617.6860000811284408 191111.85399980942020193, 532615.66499985498376191 191140.30699986830586568, 532798.99999981583096087 191107.88399995816871524, 532746.07800018019042909 191018.1110000797198154, 532829 190929.99999980843858793, 532812.55199983797501773 190869.18399995463551022, 532724.77999989013187587 190780.5339998752460815, 532609.17699993459973484 190761.21499984627007507, 532579.97099995205644518 190791.99999996402766556, 532572.94300015084445477 190791.64299987582489848, 532542.80700011679437011 190762.20399994050967507, 532415.98599995765835047 190786.84199983545113355, 532282.18899991735816002 190880.45000017329584807, 532293.17099995026364923 190903.92199984603212215, 532074.81299983966164291 191104.95299997591064312, 532057.93399999989196658 191152.87199994135880843, 532081.22399995278101414 191215.59400015373830684, 532215.00100008316803724 191189.00000012540840544, 532231.22699993441347033 191088.91800011252053082)))</t>
  </si>
  <si>
    <t>E01002096</t>
  </si>
  <si>
    <t>Haringey 005C</t>
  </si>
  <si>
    <t>MultiPolygon (((542367.64000010513700545 182091.06999983315472491, 542392.29899975971784443 182087.60399983162642457, 542674.28700010443571955 182089.25600024737650529, 542694.46800007915589958 182093.33000006599468179, 542732.19200000003911555 182019.37199991091620177, 542701.72399998130276799 181932.10900012252386659, 542658.240000179852359 181969.90300014030071907, 542581.83199975173920393 181949.77799982740543783, 542451.43199995928443968 181977.567999836493982, 542318.50699986412655562 181973.11499981995439157, 542318.8479998460970819 181920.80700023265671916, 542385.00600004382431507 181915.94899995249579661, 542378.54499983147252351 181841.98000004948698916, 542352.00000020931474864 181833.99999991725781001, 542381.75299998081754893 181791.22699979337630793, 542350.45100017369259149 181784.31299975581350736, 542347.84699979145079851 181725.97899981582304463, 542281.99999997962731868 181736.99999995523830876, 542292.99999998603016138 181997.42499991206568666, 542282.65999992797151208 181856.94500019875704311, 542187.56200013391207904 181898.92700016321032308, 542172.25000018731225282 181855.95999994894373231, 542207.04499994416255504 181800.99900001543574035, 542098.96599989617243409 181805.73000013464479707, 542088.69900010246783495 181710.15600009739864618, 541926.08800016529858112 181717.43800006527453661, 541882.37100017501506954 181719.09899994410807267, 541829.50000016484409571 181721.65700001033837907, 541823.56599992467090487 181799.58100019083940424, 541774.31400014262180775 181940.76599976638681255, 541692.81299999984912574 181995.14099989845999517, 541724.06599984306376427 182060.32199994660913944, 542055.90899985423311591 182124.70699990261346102, 542221.44099985528737307 182110.95399985703988932, 542301.03099984733853489 182100.43000009373645298, 542367.64000010513700545 182091.06999983315472491)))</t>
  </si>
  <si>
    <t>E01003483</t>
  </si>
  <si>
    <t>Newham 032A</t>
  </si>
  <si>
    <t>E02000745</t>
  </si>
  <si>
    <t>Newham 032</t>
  </si>
  <si>
    <t>MultiPolygon (((539712.0000000341096893 182149.01600005527143367, 539932.46900007594376802 182123.97699996220762841, 539976.57000006223097444 182128.18799993724678643, 539979.11899999144952744 182095.05300004678429104, 540075.23399999423418194 182092.96299997324240394, 539999.07799989241175354 182043.87899988642311655, 540027.0330000197282061 182009.68899997416883707, 540087.20500004733912647 181908.09400010024546646, 540035.20199988898821175 181824.61700008483603597, 540069.33399991609621793 181748.0000001025327947, 540052.03499993111472577 181725.67300001494004391, 539929.78400012757629156 181690.30299991968786344, 539893.88100009248591959 181678.52199999999720603, 539859.95699986501131207 181734.12200002215104178, 539819.05700011306907982 181732.70199992015841417, 539831.90199988766107708 181796.61199989300803281, 539690.99499994446523488 181689.98999992883182131, 539611.00000003504101187 181696.99999987651244737, 539601.89900000137276947 181789.19899994999286719, 539599.58599994145333767 181828.00599986998713575, 539633.85299997532274574 181840.75400011081364937, 539658.87599986931309104 181928.15499987616203725, 539725.999999959487468 181945.99999996277620085, 539756.49699992872774601 181891.3839999154151883, 539805.27999989513773471 181929.01599999360041693, 539924.00000009860377759 181778.99999991722870618, 539948.87999988626688719 181797.66000010658171959, 539967.38200006145052612 181904.65900002143462189, 539866.99999994446989149 182001.99999994298559614, 539866.99999994446989149 182039.99900012629223056, 539752.00000002002343535 182043.000000102823833, 539750.77999989700037986 182016.78300013061380014, 539704.00000003702007234 181995.00000011979136616, 539682.69899988907855004 181995.44300005515106022, 539593.67500000540167093 181997.76199991078465246, 539614.09100001608021557 182019.12600000601378269, 539648.18400011560879648 182073.11800009655416943, 539578.60200011322740465 182098.55899989357567392, 539581.00699992349836975 182142.29800011601764709, 539551.40099988726433367 182152.9120000145630911, 539547.99999995273537934 182235.99999992994708009, 539593.20900006266310811 182236.40899999998509884, 539637.98700010776519775 182231.53499986161477864, 539707.07700012263376266 182229.02300011413171887, 539712.0000000341096893 182149.01600005527143367)))</t>
  </si>
  <si>
    <t>E01003502</t>
  </si>
  <si>
    <t>Newham 030C</t>
  </si>
  <si>
    <t>E02000743</t>
  </si>
  <si>
    <t>Newham 030</t>
  </si>
  <si>
    <t>MultiPolygon (((539866.99999995098914951 182002.00000009333598427, 539967.38199999998323619 181904.65899987652665004, 539948.87999988975934684 181797.65999990038108081, 539924.00000000221189111 181778.99999998472048901, 539805.27999998955056071 181929.01599985620123334, 539756.49700004037003964 181891.38399998578825034, 539726.00000004842877388 181945.99999986463808455, 539658.8759999651229009 181928.15500006996444426, 539633.85300014156382531 181840.75399991258746013, 539599.5859998413361609 181828.00600015721283853, 539601.89899991033598781 181789.19900001987116411, 539611.00000012328382581 181697.00000010652001947, 539690.99500007194001228 181689.99000012397300452, 539831.90199993131682277 181796.61199997091898695, 539819.05699990526773036 181732.70200005048536696, 539859.95700005884282291 181734.12200015265261754, 539893.88099986838642508 181678.52200004970654845, 539775.3229998885653913 181638.90600013261428103, 539718.56400010082870722 181619.93599996372358873, 539354.13299984019249678 181497.37099996759206988, 539404.99999994935933501 181520.99999985611066222, 539404.99999994935933501 181603.99999988477793522, 539375.99900011951103806 181680.99999999432475306, 539311.60700000007636845 181738.43499986678943969, 539419.1859998470172286 181727.1790000460750889, 539388.00000001466833055 181910.99999984464375302, 539491.08899991726502776 181906.74599987934925593, 539497.90799985697958618 181803.02299998563830741, 539510.33600010187365115 181783.84199994796654209, 539537.62200010160449892 181829.25000008603092283, 539580.20200006198137999 181829.25000008603092283, 539544.79099994641728699 181849.24400013091508299, 539547.32799996784888208 181995.51199996177456342, 539614.09099984832573682 182019.12599998083896935, 539593.67500006582122296 181997.76200005441205576, 539682.69900006707757711 181995.44299997205962427, 539704.00000001711305231 181995.00000002377782948, 539750.78000015043653548 182016.78299984501791187, 539752.00000002572778612 182043.00000003245077096, 539866.99999995098914951 182039.99899985207594, 539866.99999995098914951 182002.00000009333598427)))</t>
  </si>
  <si>
    <t>E01003503</t>
  </si>
  <si>
    <t>Newham 030D</t>
  </si>
  <si>
    <t>MultiPolygon (((540616.62500016612466425 182473.5, 540647.2460000814171508 182453.9179999363841489, 540668.99999993899837136 182456.70299989220802672, 540687.65700010780710727 182329.51500010438030586, 540692.43799998098984361 182165.00000012322561815, 540690.99600011541042477 182118.65399986575357616, 540687.48199997423216701 181998.27000003310968168, 540663.93799982487689704 181904.92200010688975453, 540710.72200011042878032 181875.05099995277123526, 540703.31300006865058094 181763.2029999999795109, 540593.05600004852749407 181765.92899984581163153, 540549.99999996006954461 181849.99999994915560819, 540585.00000005832407624 181950.99999997904524207, 540543.36799984402023256 181998.37600014044437557, 540537.26700000779237598 182070.43999982730019838, 540505.99999988730996847 182048.99999989900970832, 540491.13899984385352582 182069.60300004843156785, 540468.35999986284878105 182101.1830000001064036, 540440.32700009585823864 182090.43899998822598718, 540404.0129999133059755 182130.24399982980685309, 540418.99999989673960954 182165.00000012322561815, 540341.57099982572253793 182211.69599993771407753, 540283.33699982508551329 182146.71499989557196386, 540177.99699988961219788 182123.9380001109384466, 540241.49600004579406232 182174.77400008420227095, 540411.10900012392085046 182318.31100003537721932, 540616.62500016612466425 182473.5)))</t>
  </si>
  <si>
    <t>E01003507</t>
  </si>
  <si>
    <t>Newham 031A</t>
  </si>
  <si>
    <t>E02000744</t>
  </si>
  <si>
    <t>Newham 031</t>
  </si>
  <si>
    <t>MultiPolygon (((540251.46299991209525615 181810.49999989022035152, 540255.47400000528432429 181756.21599993109703064, 540408.71800015971530229 181765.9249998829618562, 540463.56300015456508845 181769.15100002562394366, 540465.62500013713724911 181759.84400015667779371, 540456.5410001011332497 181646.89600008411798626, 540318.48999999102670699 181594.12200013847905211, 540305.89700009184889495 181655.01300000888295472, 540264.59699988458305597 181628.15399991712183692, 540203.00000016647391021 181594.99999999837018549, 540204.79900005646049976 181558.11100013816030696, 540060.56400016229599714 181542.74499999999534339, 540060.3140001290012151 181589.01100009967922233, 540150.00000014260876924 181591.99999993390520103, 540122.99999989697244018 181747.00000014249235392, 540069.33399995043873787 181747.99999994097743183, 540035.202000024728477 181824.6169999439152889, 540087.20500016084406525 181908.0940001365961507, 540027.0329998629167676 182009.68899999320274219, 540177.99699994153343141 182123.93800005281809717, 540283.3369998880662024 182146.71499993355246261, 540341.5709999711252749 182211.69599999999627471, 540419.000000124797225 182164.99999986987677403, 540404.01299986173398793 182130.24400011004763655, 540360.28300002706237137 182078.99799997691297904, 540236.44299996178597212 181952.66299998789327219, 540222.0599999048281461 181936.73200015589827672, 540143.05100003606639802 181845.00000012977398001, 540251.46299991209525615 181810.49999989022035152)))</t>
  </si>
  <si>
    <t>E01003508</t>
  </si>
  <si>
    <t>Newham 031B</t>
  </si>
  <si>
    <t>MultiPolygon (((540404.01299994543660432 182130.24399996022111736, 540440.32700010493863374 182090.43900006235344335, 540468.35999992920551449 182101.18299993881373666, 540491.1389999013626948 182069.60299995381501503, 540505.99999989673960954 182049.00000005913898349, 540537.26700002897996455 182070.44000002872780897, 540543.36799996718764305 181998.37599997650249861, 540584.99999991478398442 181951.00000008236384019, 540549.99999995529651642 181849.99999992261291482, 540593.05599999986588955 181765.92899998574284837, 540465.62500004062894732 181759.8439999753900338, 540463.5629999547963962 181769.1510000103735365, 540408.71799999766517431 181765.92499989131465554, 540255.47399998048786074 181756.21600003974162973, 540251.46299988927785307 181810.49999991359072737, 540143.05099999997764826 181844.99999999266583472, 540222.05999989295378327 181936.73200002577505074, 540236.44300007726997137 181952.66300008492544293, 540360.28299996198620647 182078.99800004155258648, 540404.01299994543660432 182130.24399996022111736)))</t>
  </si>
  <si>
    <t>E01003509</t>
  </si>
  <si>
    <t>Newham 031C</t>
  </si>
  <si>
    <t>MultiPolygon (((541648.80600009753834456 181767.00800010311650112, 541650.80099999997764826 181730.09800014994107187, 541572.99999985366594046 181733.00000015282421373, 541573.99899999110493809 181665.20499984812340699, 541537.45699987502302974 181674.21299988336977549, 541537.00000006298068911 181627.67699986306251958, 541580.99999987613409758 181609.9999999622523319, 541576.16800007119309157 181584.76799991365987808, 541500.70999987237155437 181547.4260000436916016, 541444.4929998911684379 181568.47700006919330917, 541432.20899989199824631 181666.65800004609627649, 541398.73200003989040852 181669.80300009917118587, 541397.78600006550550461 181712.65899988560704514, 541394.99999997415579855 181676.99999999537249096, 541250.2010001465678215 181645.00299996734247543, 541200.47300003410782665 181602.53300007924553938, 541220.85899998864624649 181531.70599988152389415, 541191.51100001728627831 181526.53100013473886065, 541214.35699985141400248 181436.96899992239195853, 541107.92299990588799119 181412.73199992859736085, 541102.14799987792503089 181440.12399987148819491, 541042.98899999924469739 181450.17800008325139061, 541029.86299999989569187 181519.28899993028608151, 541037.29999988444615155 181561.39900014648446813, 541078.9529999780934304 181557.20899993754574098, 541117.04300008050631732 181748.23900000736466609, 541138.01199996517971158 181751.96199988728039898, 541260.10600007581524551 181788.40400011173915118, 541319.71599995309952646 181816.71600011311238632, 541591.01599992415867746 181994.37400007143151015, 541560.41699988988693804 181909.30999990802956745, 541584.75200004444923252 181805.1380001001234632, 541648.80600009753834456 181767.00800010311650112)))</t>
  </si>
  <si>
    <t>E01003516</t>
  </si>
  <si>
    <t>Newham 032C</t>
  </si>
  <si>
    <t>MultiPolygon (((540750.61099997663404793 181761.608999996969942, 541097.49000009393785149 181746.29800016674562357, 541117.04299999994691461 181748.23899994167732075, 541078.95300010580103844 181557.20899982974515297, 541037.29999986023176461 181561.39899987078388222, 541029.86299980571493506 181519.28900008089840412, 540838.19299999543000013 181504.50299993561930023, 540846.66000000888016075 181461.38099994513322599, 540712.6260001843329519 181433.50300008888007142, 540695.23799988580867648 181492.84600010540452786, 540709.16499983763787895 181402.87699988673557527, 540688.45099985343404114 181394.92299999415990897, 540695.53600005328189582 181288.42899979997309856, 540864.32999995676800609 181329.84300013951724395, 540883.79699996381532401 181284.8870001285104081, 540761.91800001682713628 181275.62199983553728089, 540791.80500020086765289 181227.0529999153513927, 540747.68199995369650424 181165.92699988064123318, 540707.9199999253032729 181155.89100018230965361, 540662.78799998690374196 181177.6909998774935957, 540635.90000003122258931 181138.00100011916947551, 540612.9990001394180581 181300.99999995552934706, 540549.74700011103413999 181285.90400007873540744, 540532.08099988044705242 181195.38500019017374143, 540556.60199987178202718 181133.51299991068663076, 540510.1400001544971019 181130.6599998751480598, 540491.99999982921872288 181191.99999983087764122, 540410.1670000369194895 181194.63599984825123101, 540292.61399999994318932 181194.79199995248927735, 540375.54100017435848713 181342.30500006370129995, 540383.38100008596666157 181356.32600017343065701, 540408.97300012700725347 181402.01399997598491609, 540427.01300010015256703 181433.10499998147133738, 540461.71599998243618757 181506.00499992453842424, 540456.54100020276382565 181646.89599998679477721, 540465.62499999429564923 181759.84400014937273227, 540593.05599997285753489 181765.92900012488826178, 540703.31299998611211777 181763.20300007908372208, 540750.61099997663404793 181761.608999996969942)))</t>
  </si>
  <si>
    <t>E01003517</t>
  </si>
  <si>
    <t>Newham 036E</t>
  </si>
  <si>
    <t>E02000749</t>
  </si>
  <si>
    <t>Newham 036</t>
  </si>
  <si>
    <t>MultiPolygon (((541823.5660001226933673 181799.58100000405102037, 541829.50000002048909664 181721.65700000402284786, 541882.37100015347823501 181719.0990000118908938, 541769.86299985449295491 181706.48999983185785823, 541796.76199986878782511 181607.63600008166395128, 541798.92699994286522269 181480.41400004923343658, 541852.21799996541813016 181330.98999981803353876, 541640.8510001857066527 181309.21700000000419095, 541562.74899994290899485 181385.39299990204744972, 541546.88700006087310612 181433.45799986191559583, 541430.79100009438116103 181484.26700007615727372, 541380.8599999388679862 181467.36300011424464174, 541367.24699995864648372 181488.3700001445831731, 541355.48099984647706151 181567.24500009822077118, 541404.62500006961636245 181589.43800018131150864, 541398.73199998936615884 181669.80300017207628116, 541432.20899995730724186 181666.65799998029251583, 541444.49300000828225166 181568.47700007449020632, 541500.7100001621292904 181547.42599993769545108, 541576.16800001705996692 181584.76799996162299067, 541581.00000006530899554 181610.00000016778358258, 541536.99999989417847246 181627.67699984041973948, 541537.45699996710754931 181674.21300013826112263, 541573.99899993324652314 181665.2050001265888568, 541572.99999986356124282 181732.99999993777601048, 541650.80100003536790609 181730.09799986446159892, 541648.80600018484983593 181767.00799996987916529, 541584.75200012954883277 181805.13800002250354737, 541560.41699993412476033 181909.3100000579142943, 541591.01599988690577447 181994.37400005685049109, 541724.06600012397393584 182060.3219999999855645, 541692.81299990345723927 181995.14099994086427614, 541774.31400001375004649 181940.76599992462433875, 541823.5660001226933673 181799.58100000405102037)))</t>
  </si>
  <si>
    <t>E01003518</t>
  </si>
  <si>
    <t>Newham 032D</t>
  </si>
  <si>
    <t>MultiPolygon (((543187.02199993818067014 182902.0000000583822839, 543248.057000144966878 182817.17800006552715786, 543271.59400019096210599 182834.81599993072450161, 543308.54299994872417301 182805.82300008687889203, 543293.52200008521322161 182772.16100015916163102, 543334.70799986179918051 182732.0649998466251418, 543379.75799981714226305 182716.04900022107176483, 543410.69200007221661508 182761.21700017317198217, 543516.42200013273395598 182691.27400009371922351, 543606.04499995277728885 182714.63900002167792991, 543720.15899999998509884 182622.96300000822520815, 543455.5379999716533348 182471.51099994161631912, 543346.58600006788037717 182495.775999929435784, 543329.46299999300390482 182496.90500010963296518, 543301.01000000408384949 182499.15900002530543134, 543216.10800016683060676 182497.35300014348467812, 543162.61399988911580294 182541.75399989017751068, 543102.55299982451833785 182607.119000048172893, 543028.08999993710312992 182556.29199990109191276, 543010.0000000458676368 182578.00000022310996428, 543054.99999987205956131 182616.00000008646748029, 543039.59199996921233833 182634.65200001612538472, 543060.020000065327622 182664.06600005942163989, 543027.15399994724430144 182705.13600006166961975, 542958.83700009959284216 182721.43799980980111286, 542908.92099987785331905 182770.20800022382172756, 542844.26800014532636851 182733.36600014485884458, 542815.08100000000558794 182758.14499981189146638, 542899.9999999173451215 182784.99999996702536009, 542946.19399991061072797 182849.35799993385444395, 542970.31100018625147641 182823.03299987933132797, 543034.82300007983576506 182842.9179997869359795, 543070.70400010445155203 182844.19800001289695501, 543100.57300005480647087 182855.7080000294954516, 543187.02199993818067014 182902.0000000583822839)))</t>
  </si>
  <si>
    <t>E01003536</t>
  </si>
  <si>
    <t>Newham 023B</t>
  </si>
  <si>
    <t>MultiPolygon (((541984.59900008095428348 182603.51900015183491632, 542068.81199993810150772 182473.29400008227094077, 542190.5810000280616805 182503.87599987539579161, 542216.00000019546132535 182511.99999995867256075, 542242.00000007974449545 182415.00000020224251784, 542380.8279999002115801 182390.81300007770187221, 542390.00499999988824129 182357.00400020219967701, 542387.99999993166420609 182354.00000019150320441, 542047.74099990236572921 182415.57499982020817697, 542044.53100003197323531 182368.17300008813617751, 541931.29499989899341017 182309.96400004526367411, 542038.15600001334678382 182227.37800014592357911, 542087.24300011491868645 182262.30900015513179824, 542129.85599999409168959 182257.23099995896336623, 542127.69300004153046757 182220.8939998947607819, 542125.00000019278377295 182128.99999984441092238, 542055.90900003083515912 182124.70699987115222029, 541724.06599986588116735 182060.32199989366927184, 541699.72999980126041919 182130.3210000621911604, 541596.71300007903482765 182486.62800008966587484, 541579.88300011132378131 182570.61700019842828624, 541574.60800000000745058 182622.04599987127585337, 541578.12500010232906789 182697.07800010635401122, 541601.20500013639684767 182692.86999997028033249, 541605.39600006036926061 182692.10699997379560955, 541795.43999991845339537 182657.57400013264850713, 541822.9310001025442034 182652.59599981684004888, 541849.89300006744451821 182647.73399991675978526, 541961.01499989966396242 182627.69500016313395463, 541987.97100017336197197 182622.83399993978673592, 541984.59900008095428348 182603.51900015183491632)))</t>
  </si>
  <si>
    <t>E01003539</t>
  </si>
  <si>
    <t>Newham 029B</t>
  </si>
  <si>
    <t>E02000742</t>
  </si>
  <si>
    <t>Newham 029</t>
  </si>
  <si>
    <t>MultiPolygon (((543162.6139998083235696 182541.75399980371003039, 543216.10799981909804046 182497.35299976033275016, 543301.00999997591134161 182499.15900008528842591, 543329.46299980964977294 182496.90499997365986928, 543346.58599979511927813 182495.77600022952537984, 543455.537999999942258 182471.51100008576759137, 543378.49999980966094881 182428.15599976069643162, 543341.01200009032618254 182406.99999993105302565, 543170.67300010740291327 182306.22900021364330314, 543031.881000209832564 182223.09400021925102919, 542939.41900023305788636 182181.65199986498919316, 542797.44000017642974854 182119.74199998771655373, 542747.07999994396232069 182104.82499991380609572, 542694.46799976821057498 182093.32999985819333233, 542674.28700016101356596 182089.25600016326643527, 542514.22299979045055807 182172.73099997430108488, 542495.53399999998509884 182202.20599990629125386, 542631.12199998763389885 182185.49500003742286935, 542695.0649998557055369 182233.58300008325022645, 542599.42200022481847554 182272.90899994090432301, 542605.28200000140350312 182315.83300023013725877, 542570.11700020113494247 182349.24999978707637638, 542623.23300007695797831 182370.4959999916900415, 542680.00299981760326773 182393.2039998879772611, 542671.73100007104221731 182438.99799981550313532, 542669.15699990617576987 182493.96000002286746167, 542722.89000011270400137 182442.82999978211591952, 542781.38499984086956829 182464.08700019257958047, 542817.31899980525486171 182412.86900022512418218, 542842.55000013392418623 182424.04299990326398984, 542849.9999998154817149 182406.99999993105302565, 542880.25599996163509786 182420.65199985416256823, 542869.95400023681577295 182453.0009997611050494, 543028.09000009403098375 182556.29199989847256802, 543102.55299979529809207 182607.11899983673356473, 543162.6139998083235696 182541.75399980371003039)))</t>
  </si>
  <si>
    <t>E01003540</t>
  </si>
  <si>
    <t>Newham 029C</t>
  </si>
  <si>
    <t>MultiPolygon (((542047.74099988443776965 182415.57499982308945619, 542387.9999998634448275 182353.99999990168726072, 542390.00499998615123332 182357.00400010976591147, 542623.23300012666732073 182370.49599983295775019, 542570.1170000348938629 182349.25000008809729479, 542605.28200001490768045 182315.83300002719624899, 542599.42199989431537688 182272.90900000516558066, 542695.06499999994412065 182233.58300015932763927, 542631.12199993280228227 182185.49499994082725607, 542495.53399991174228489 182202.2059999814373441, 542514.22300004179123789 182172.73099981347331777, 542674.28699994063936174 182089.25599993538344279, 542392.29899998416658491 182087.6040001769142691, 542367.64000005053821951 182091.06999989345786162, 542301.03100007877219468 182100.43000009781098925, 542221.44099993852432817 182110.95399991190060973, 542055.90899990708567202 182124.70700008398853242, 542124.99999995285179466 182129.00000002753222361, 542127.69299989088904113 182220.89399995465646498, 542129.85599996778182685 182257.23100003521540202, 542087.24299983400851488 182262.30900011156336404, 542038.15599991194903851 182227.37800016524852253, 541931.29499999992549419 182309.96400002282462083, 542044.53099983267020434 182368.17299987000296824, 542047.74099988443776965 182415.57499982308945619)))</t>
  </si>
  <si>
    <t>E01003541</t>
  </si>
  <si>
    <t>Newham 029D</t>
  </si>
  <si>
    <t>MultiPolygon (((541591.01599974476266652 181994.37399982032366097, 541319.71599983552005142 181816.71599983907071874, 541260.1059999760473147 181788.40399990431615151, 541138.012000139686279 181751.96200025227153674, 541117.04300011973828077 181748.23899980669375509, 541097.48999981780070812 181746.2979997900838498, 540750.61099991982337087 181761.60900020238477737, 540703.31300013291183859 181763.20300018216948956, 540710.72199990646913648 181875.0510001850198023, 540663.93799999996554106 181904.92199997362331487, 540687.48200004571117461 181998.26999990391777828, 540690.99599996663164347 182118.65400002460228279, 540727.78500018548220396 182117.97500023207976483, 540757.50399988156277686 182091.97300012700725347, 540727.57499996002297848 182060.87200007800129242, 540878.4930002101464197 182054.38499998670886271, 541052.48599987872876227 182104.6770000196993351, 541048.16900017356965691 182071.90599994466174394, 541081.00100001378450543 182073.99200002860743552, 541085.00000001350417733 182046.00000026071211323, 541056.89399991126265377 182042.13499991002026945, 541068.54799973673652858 181970.36300013895379379, 541119.3770001872908324 182012.01899977005086839, 541252.56699988606851548 181880.90899983068811707, 541614.309999875491485 182162.65300020991708152, 541699.73000005807261914 182130.3210001997940708, 541724.0659999999916181 182060.32199984090402722, 541591.01599974476266652 181994.37399982032366097)))</t>
  </si>
  <si>
    <t>E01003604</t>
  </si>
  <si>
    <t>Newham 031D</t>
  </si>
  <si>
    <t>MultiPolygon (((540079.02599986642599106 181472.9509999479923863, 540078.10899997607339174 181433.46000012295553461, 540041.98099999746773392 181448.61399978114059195, 540028.26800001249648631 181425.29300021650851704, 539959.66100009658839554 181333.33499981605564244, 539859.74499991140328348 181274.15800011056126095, 539898.00400018505752087 181214.17799979503615759, 539853.00000015844125301 181097.0000001278531272, 539796.0000000688014552 181111.00000014039687812, 539812.00000016030389816 181186.99999989970820025, 539773.1729999075178057 181197.63700006584986113, 539732.99999974202364683 181200.00100024568382651, 539688.00000012631062418 181092.99999996984843165, 539647.00000012817326933 181126.00000019243452698, 539601.71699981496203691 181215.74100011080736294, 539557.99999985541217029 181190.00000001818989404, 539499.99899989366531372 181306.99999977563857101, 539530.79800019692629576 181354.28000012994743884, 539504.34499992488417774 181389.52700013323919848, 539402.48800004669465125 181368.30600011110072955, 539323.10100013739429414 181425.20000012093805708, 539239.00000022572930902 181377.69999986604670994, 539170.800000234041363 181270.19999994340469129, 539144.99999975541140884 181023.99999994659447111, 539082.19999997701961547 181000.50000009924406186, 539069.09999999997671694 181068.80000009483774193, 539184.98899993521627039 181437.01399986341129988, 539354.13299978512804955 181497.37100026404368691, 539718.56399979873094708 181619.93600016026175581, 539775.32300026260782033 181638.90599999079131521, 539893.88100009248591959 181678.52199995590490289, 539929.78399992710910738 181690.30299982134602033, 540052.03499999467749149 181725.67299975926289335, 540069.33399976463988423 181747.99999990075593814, 540123.00000001443549991 181746.99999986126204021, 540150.00000000011641532 181592.00000022415770218, 540060.31400005682371557 181589.01099988451460376, 540060.56399979651905596 181542.74499992694472894, 540047.67500014672987163 181482.77999980119057, 540079.02599986642599106 181472.9509999479923863)))</t>
  </si>
  <si>
    <t>E01033585</t>
  </si>
  <si>
    <t>Newham 034J</t>
  </si>
  <si>
    <t>E02000747</t>
  </si>
  <si>
    <t>Newham 034</t>
  </si>
  <si>
    <t>MultiPolygon (((544101.49999986123293638 180112.1999999200925231, 544062.37399987294338644 180027.17399978870525956, 543968.26100019610021263 179948.36000012687873095, 543845.50900010974146426 179879.92700002089259215, 543820.49999985320027918 179895.80000011349329725, 543821.29999994253739715 179867.00099988278816454, 543707.79999987804330885 179828.20000019209692255, 543681.89999999979045242 179849.80000014367396943, 543686.30000024498440325 179822.60000005888286978, 543333.69999986910261214 179769.29999995057005435, 543331.85800013935659081 179784.85800007259240374, 543320 179916.00000003178138286, 543526.00000012142118067 179940.9999999939755071, 543716.84299995226319879 180028.06299983689677902, 543706.04600007447879761 179873.32199998147552833, 543769.43800012627616525 179910.26900004199706018, 543718.26799981924705207 180088.85399993468308821, 543709.18800001079216599 180137.28100007149623707, 543873.31299977737944573 180105.84400015260325745, 544001.68799976538866758 180113.78099996931268834, 544056.31299991393461823 180302.23399985922151245, 544226.33600021223537624 180485.01000004942761734, 544251.98999991663731635 180483.92499998671701178, 544303.80000000004656613 180449.60000007500639185, 544245.69999984779860824 180364.10000018461141735, 544202.40000011795200408 180363.60000006732298061, 544235.60000013466924429 180332.00099977001082152, 544141.79999987117480487 180189.10099999001249671, 544048.39999989827629179 180169.89999978168634698, 544101.49999986123293638 180112.1999999200925231)))</t>
  </si>
  <si>
    <t>E01033582</t>
  </si>
  <si>
    <t>Newham 037H</t>
  </si>
  <si>
    <t>E02000750</t>
  </si>
  <si>
    <t>Newham 037</t>
  </si>
  <si>
    <t>MultiPolygon (((543820.46900000004097819 181617.11700009406195022, 543772.29600010323338211 181472.04300005210097879, 543595.02699986088555306 181387.54699984984472394, 543590.37599989213049412 181322.10200001116027124, 543631.07000007107853889 181306.07899994173203595, 543539.0619999987538904 181310.38199987873667851, 543497.76700003794394433 181314.24200010937056504, 543487.99999988777562976 181278.99999992270022631, 543462.14499993866775185 181307.23300013967673294, 543490.22800012619700283 181332.04799986456055194, 543410.00000007671769708 181336.9999998600105755, 543325.54300013708416373 181346.94400008136290126, 543244.21599994099233299 181306.15100005301064812, 543227.76100011472590268 181337.30600002928986214, 543213.32400000002235174 181425.49099989436217584, 543273.82000005024019629 181458.77699989182292484, 543261.3739999090321362 181485.18699988897424191, 543299.39499990397598594 181476.77399987471289933, 543304.4840000435942784 181467.90399999750661664, 543342.99999989266507328 181459.0000000002910383, 543317.00000005692709237 181512.99899999506305903, 543378.3199999975040555 181517.38200008941930719, 543475.98299990349914879 181555.85299986891914159, 543441.84899987746030092 181591.50699984899256378, 543350.1610001310473308 181591.23999994236510247, 543384.96900001808535308 181632.57399986227392219, 543512.00000003981404006 181634.00100007728906348, 543820.46900000004097819 181617.11700009406195022)))</t>
  </si>
  <si>
    <t>E01003487</t>
  </si>
  <si>
    <t>Newham 033D</t>
  </si>
  <si>
    <t>E02000746</t>
  </si>
  <si>
    <t>Newham 033</t>
  </si>
  <si>
    <t>MultiPolygon (((543462.14500007277820259 181307.23300009348895401, 543488.00000005250331014 181278.999999819585355, 543656.53099989076144993 181267.96199993506888859, 543671.70600016310345381 181233.92400011920835823, 543680.31199991167522967 181266.18600000580772758, 543736.5550000686198473 181262.36800017222412862, 543769.37999996950384229 181179.56999989048927091, 543798.99999993143137544 181178.99999994391691871, 543810.47799992794170976 181070.76400001684669405, 543791.9999999365536496 180917.00000002954038791, 543734.00000003050081432 180913.00000013640965335, 543723.00000014237593859 180807.99999984848545864, 543751.99999991350341588 180758.00000009260838851, 543821.0000000714790076 180766.00099986919667572, 543845.97299984667915851 180619.14900000000488944, 543626.44700004893820733 180657.39499988104216754, 543629.73999986471608281 180704.42000002117129043, 543563.77900015912018716 180723.54999989399220794, 543496.17199999501463026 180815.67599985664128326, 543508.45299986843019724 180843.27300009442842565, 543345.99999984342139214 180833.49899999567423947, 543255.05100014386698604 180849.13299983233446255, 543249.82700007816310972 180870.64799993165070191, 543321.88200017006602138 180886.36100009610527195, 543289.66900017345324159 180918.19900007994147018, 543283.55999993218574673 180943.76099998177960515, 543263.61599992506671697 180991.26399986643809825, 543289.80899991141632199 181033.97599986504064873, 543239.27899982209783047 181050.94399990225792862, 543249.17800016771070659 181099.29699993703979999, 543212.99999993958044797 181117.99999993608798832, 543241.50300014996901155 181160.50600010724156164, 543205.00000015331897885 181328.0000001480220817, 543227.76099984860047698 181337.30600004168809392, 543244.21600011584814638 181306.15100000341772102, 543325.54300006618723273 181346.9439999999885913, 543409.9999999530846253 181337.00000008952338248, 543490.2279999777674675 181332.04799994089989923, 543462.14500007277820259 181307.23300009348895401)))</t>
  </si>
  <si>
    <t>E01003480</t>
  </si>
  <si>
    <t>Newham 033A</t>
  </si>
  <si>
    <t>MultiPolygon (((544393.26899987063370645 183007.43100055583636276, 544751.80000001564621925 182805.00000068647204898, 544832.90000002062879503 182806.99999948183540255, 544999.9999993514502421 182883.20000016593257897, 545083.99999988183844835 182808.60000050632515922, 545227.09999946679454297 182819.09999986257753335, 545236.09999972651712596 182638.10099930892465636, 545144.298999571823515 182635.59999961670837365, 545217.0999998094048351 182583.80000070974347182, 545214.79999949061311781 182485.69999958304106258, 545405.5999998840270564 182241.50000067832297646, 545395.90000032994430512 181940.09999958649859764, 545446.89999943471048027 181792.49999987168121152, 545501.00000008067581803 181716.89999939425615594, 545566.43999952008016407 181687.87599947067792527, 545584.59999999997671694 181653.69999940090929158, 545536.86300031014252454 181684.86000057149794884, 545485.58799980883486569 181679.63300004450138658, 545395.49999971874058247 181636.60000061162281781, 545140.49999993434175849 181603.39999959047418088, 545155.79999952379148453 181555.50000060666934587, 544884.89999994321260601 181415.99999942141585052, 544696.80000047979410738 181264.60000029121874832, 544668.0000005008187145 181197.09999976353719831, 544695.49999955866951495 181175.59999993207748048, 544519.89999966707546264 180905.60000066156499088, 544468.99999964993912727 180881.8000005112553481, 544320.89900045841932297 180517.10000033839605749, 544251.99000050104223192 180483.92499944419250824, 544226.33600036543793976 180485.00999984156806022, 544175.83100065006874502 180501.52600055045331828, 544052.81300062581431121 180523.7189998111280147, 544041.40800065011717379 180614.87400003679795191, 543943.75900016643572599 180617.00999986365786754, 543845.97300029348116368 180619.14900044418754987, 543820.99999941245187074 180766.0010001664632, 543751.9999997882405296 180757.99999952659709379, 543723.00000021373853087 180808.00000065384665504, 543734.00000068894587457 180912.99999989676871337, 543791.99999983794987202 180917.00000032779644243, 543810.47800068301148713 181070.76399976099492051, 543798.99999988218769431 181179.0000001564330887, 543769.38000028347596526 181179.56999992672353983, 543736.5549997464986518 181262.3680004881171044, 543680.31199940864462405 181266.18600016532582231, 543671.70599967276211828 181233.92399953352287412, 543656.53099929797463119 181267.96200043620774522, 543487.99999974411912262 181278.9999995706602931, 543497.76700003608129919 181314.24199999810662121, 543539.062000697478652 181310.38199970999266952, 543631.07000031287316233 181306.07899984208052047, 543590.37599963590037078 181322.10199929709779099, 543595.0270003053592518 181387.54700046611833386, 543772.29600009496789426 181472.04300016383058392, 543820.46899949945509434 181617.11700005951570347, 543511.99999948998447508 181634.00099996730568819, 543384.9690005024895072 181632.57400027581024915, 543068.59200049575883895 181669.44499954598722979, 543061.29200034821406007 181712.29699942300794646, 542998.06100014061667025 181727.03099977370584384, 542994.99999987683258951 181853.00000035518314689, 542968.58400001842528582 181870.7759995098458603, 542962.54800026840530336 181848.98899952747160569, 542972.65299932286143303 181799.71799977321643382, 542928.15599989704787731 181792.95300007032346912, 542925.72799960989505053 181746.279999762395164, 542858.31300008180551231 181737.94100035994779319, 542847.85499991639517248 181709.0409998731338419, 542794.57299933442845941 181734.36700044490862638, 542763.42599953641183674 181740.95700067924917676, 542744.32200000004377216 181778.97700033101136796, 542768.48600023787003011 181807.20399978599743918, 542747.49900005769450217 181852.58799956945586018, 542770.99999988242052495 181851.00099991753813811, 542770.30200014379806817 181951.37400026025716215, 542800.9500000209081918 181945.9609998679952696, 542747.07999940682202578 182104.82499963772716001, 542797.44000009004957974 182119.74200052008382045, 542939.4190001740353182 182181.65200021112104878, 543031.88099976594094187 182223.09399946048506536, 543170.67300059366971254 182306.22900042674154975, 543341.01200041046831757 182407.00000040477607399, 543378.50000037136487663 182428.15599996625678614, 543455.53799951681867242 182471.51100029583903961, 543720.1589993629604578 182622.96300065578543581, 543854.48200027516577393 182699.69499961065594107, 544393.26899987063370645 183007.43100055583636276)))</t>
  </si>
  <si>
    <t>E01003482</t>
  </si>
  <si>
    <t>Newham 033B</t>
  </si>
  <si>
    <t>MultiPolygon (((542994.3039998464519158 181323.04300006065750495, 543063.64199999405536801 181256.37499971297802404, 543205.00000019301660359 181328.00000010823714547, 543241.50299987301696092 181160.50600023905280977, 543212.9999997487757355 181117.99999995777034201, 543249.17800013499800116 181099.29699967100168578, 543239.27899980603251606 181050.94400013567064889, 543289.80899985041469336 181033.9759996903303545, 543263.61600005126092583 180991.26400029505020939, 543283.56000003195367754 180943.76099986303597689, 543289.66899985272902995 180918.19899981984053738, 543321.88200027879793197 180886.36100008842186071, 543249.82700004638172686 180870.64799970012973063, 543255.05099985585547984 180849.13300008300575428, 543345.99999972293153405 180833.49899977128370665, 543508.45300027274060994 180843.27299986872822046, 543496.1719997237669304 180815.67600030059111305, 543563.7789998222142458 180723.55000032330281101, 543629.73999999999068677 180704.41999986188602634, 543626.44700002856552601 180657.39499968153540976, 543573.12500034214463085 180683.65600031017675065, 542176.06299999984912574 180708.8439997884852346, 542178.01499965600669384 180948.99699977619457059, 542631.93400009511969984 180915.52799989012419246, 542680.69599964958615601 181112.96000004137749784, 542705.78600021975580603 181133.88600026533822529, 542727.27399996714666486 181097.53299970025545917, 542727.63400016888044775 181167.75800011874525808, 542760.77400024211965501 181171.20999964614748023, 542791.07300012884661555 181127.77799984748708084, 542857.55699985660612583 181173.00299974621157162, 542788.28799994138535112 181260.27800034909159876, 542796.11099978571292013 181319.01600004959618673, 542793.54599980229977518 181356.54100007604574785, 542813.99899969657417387 181386.00100010650930926, 543086.51600008190143853 181504.66500031846226193, 543105.99999996635597199 181414.00000023905886337, 543014.87099999841302633 181375.53199994270107709, 542994.3039998464519158 181323.04300006065750495)))</t>
  </si>
  <si>
    <t>E01003481</t>
  </si>
  <si>
    <t>Newham 035B</t>
  </si>
  <si>
    <t>E02000748</t>
  </si>
  <si>
    <t>Newham 035</t>
  </si>
  <si>
    <t>MultiPolygon (((544226.33599999989382923 180485.0100004865671508, 544056.31300024734809995 180302.23400049508200027, 544001.68800049868877977 180113.78100023334263824, 543873.31299971148837358 180105.84399996499996632, 543709.18800009111873806 180137.2810002593905665, 543718.26799962192308158 180088.85399978919303976, 543769.43800044921226799 179910.26900013498379849, 543706.04600023105740547 179873.32200018558069132, 543716.84300009324215353 180028.06299935028073378, 543525.99999937787652016 179941.00000062264734879, 543319.99999956542160362 179915.99999965194729157, 543314.95599987893365324 179943.74199988317559473, 543407.277999397367239 179956.25199960140162148, 543415.9079995573265478 179998.18299992952961475, 543456.97099973156582564 180019.57100059645017609, 543495.99300018395297229 179960.48699995249626227, 543573.72600030957255512 180002.18000002819462679, 543557.99900061881635338 180061.99999948104959913, 543503.85099986451677978 180053.44399964064359665, 543489.25899978936649859 180125.21800053329207003, 543309.13299985905177891 180135.82000036389217712, 543207.7039998829131946 180141.09000018058577552, 543179.48600045032799244 180065.9699999563745223, 543122.00000001140870154 180070.99999993477831595, 543115.51799957745242864 180015.66900037945015356, 543041.54099991929251701 179984.52999964531045407, 542966.39499986462760717 180033.83100033047958277, 542951.38699989591259509 179936.03600001317681745, 542852.57400050351861864 179957.46099953635712154, 542849.53599996515549719 179981.76099945791065693, 542621.23600062157493085 180029.96100000504520722, 542588.38499982433859259 180121.07299979569506831, 542646.88099969120230526 180145.52900000318186358, 542671.81400019652210176 180121.24199999682605267, 542675.22199972532689571 180151.48499985737726092, 542481.1510000117123127 180162.50299958148389123, 542457.99999941373243928 180237.99999995360849425, 542357.99999944143928587 180215.9999995686521288, 542395.4799998247763142 180164.52700021650525741, 542312.99999977985862643 180167.00000042954343371, 542312.99999977985862643 180223.99999982712324709, 542258.99999966449104249 180228.9999994998506736, 542264.32499982428271323 180325.34099977571167983, 541953.94900020712520927 180346.41099980962462723, 541897.99999956914689392 180373.00000024199835025, 541663.81200062984135002 180362.28600013925461099, 541635.99899945792276412 180373.00000024199835025, 541641.56100007728673518 180474.29799996971269138, 541619.31400000001303852 180580.23400002685957588, 541662.24600031622685492 180605.22400046116672456, 541705.9379996859934181 180659.64100026295636781, 541849.62500006332993507 180716.18699981438112445, 542176.06300039461348206 180708.84400038415333256, 543573.12499961734283715 180683.65600053948583081, 543626.44700064579956234 180657.39499997303937562, 543845.97299966565333307 180619.14900047521223314, 543943.7590005430392921 180617.01000018924241886, 544041.40799980727024376 180614.874000585579779, 544052.81300021568313241 180523.71900057405582629, 544175.83099964796565473 180501.52599974343320355, 544226.33599999989382923 180485.0100004865671508)))</t>
  </si>
  <si>
    <t>E01033581</t>
  </si>
  <si>
    <t>Newham 037G</t>
  </si>
  <si>
    <t>MultiPolygon (((546036.64099989901296794 184016.4739998611912597, 546117.37800000002607703 183860.07500011721276678, 546057.75700000720098615 183793.33500001390348189, 546011.55499994987621903 183557.15900017888634466, 545803.12500007566995919 183488.40600013881339692, 545687.97100016474723816 183523.34299992202431895, 545379.62699986493680626 183653.85299988099723123, 545347.23699999996460974 183669.3979998467839323, 545394.09700005606282502 183699.32999998287414201, 545396.56400003773160279 183768.90900011983467266, 545430.29999997292179614 183774.33199995584436692, 545455.59900012880098075 183880.24200013928930275, 545396.99999996204860508 183932.99999989601201378, 545448.99899996363092214 183931.99999991766526364, 545706.57999993790872395 183969.98499982900102623, 545924.00000010652001947 183961.00000006007030606, 545964.85300009592901915 183940.86000002623768523, 546036.64099989901296794 184016.4739998611912597)))</t>
  </si>
  <si>
    <t>E01000043</t>
  </si>
  <si>
    <t>Barking and Dagenham 019B</t>
  </si>
  <si>
    <t>E02000020</t>
  </si>
  <si>
    <t>Barking and Dagenham 019</t>
  </si>
  <si>
    <t>MultiPolygon (((546603.00000003632158041 184204.00100001867394894, 546582.18300017842557281 184080.66199996127397753, 546655.42699991632252932 184109.76599993868148886, 546659.0499999449821189 184070.00000010861549526, 546748.19800015329383314 184024.31700016537797637, 546774.28999989328440279 184060.77899980384972878, 546753.03699989791493863 184095.48699992368347012, 546801.87299984390847385 184127.48800011677667499, 546830.33299979637376964 184076.40199991318513639, 546931.36499992432072759 184088.08099987835157663, 546965.76899987284559757 184057.08399992602062412, 546890.22599983843974769 183962.04700011145905592, 546949.25700002931989729 183879.78500022937078029, 546981.15199999988544732 183874.78099980010301806, 546980.8349999567726627 183847.23200022260425612, 546977.15999995626043528 183847.1550001616415102, 546838.24399989517405629 183828.44699982629390433, 546835.93800007808022201 183854.37499999045394361, 546695.08800014806911349 183842.0000000283762347, 546658.56800018670037389 183648.89900001138448715, 546349.49299977894406766 183647.20800005787168629, 546011.55500000005122274 183557.15899989809258841, 546057.75700000778306276 183793.33500014842138626, 546117.37799997313413769 183860.07499993187957443, 546325.08799992001149803 183896.05599995137890801, 546355.30199987580999732 184145.97500020792358555, 546447.43900002643931657 184136.88400007531163283, 546493.68199992820154876 184081.54100024158833548, 546521.19199989037588239 184079.38399984987336211, 546530.30699997267220169 184150.78700006968574598, 546602.97300015343353152 184207.86800010190927424, 546603.00000003632158041 184204.00100001867394894)))</t>
  </si>
  <si>
    <t>E01000045</t>
  </si>
  <si>
    <t>Barking and Dagenham 017C</t>
  </si>
  <si>
    <t>E02000018</t>
  </si>
  <si>
    <t>Barking and Dagenham 017</t>
  </si>
  <si>
    <t>MultiPolygon (((544992.04599990765564144 183576.05900009153992869, 544996.61000010161660612 183567.71199999129748903, 545107.00000000523868948 183616.99999990980722941, 545179.53599999996367842 183483.26699991573696025, 545094.66699995240196586 183438.0710000371618662, 545135.55800002149771899 183284.20700017877970822, 544751.56699998688418418 183165.43100012143258937, 544448.18200016079936177 183040.24599995173048228, 544424.55500000005122274 183051.29899993224535137, 544475.35499998973682523 183290.94599984379601665, 544512.00000012700911611 183331.00000004196772352, 544583.10100018524099141 183391.58400001312838867, 544617.30299996107351035 183372.01700002257712185, 544645.93399984517600387 183386.82399995671585202, 544691.12099997280165553 183405.16699983569560573, 544693.9820000947220251 183437.3860001135035418, 544736.83099997590761632 183387.42000007766182534, 544768.40599995071534067 183409.54100000124890357, 544801.9999999376013875 183372.99900003438233398, 544832.00000007415656 183393.99999998908606358, 544846.34399998281151056 183427.98999996756901965, 544787.76899992267135531 183544.28799987677484751, 544777.67399986297823489 183581.00599988189060241, 544863.00799988082144409 183664.43800004827789962, 544992.04599990765564144 183576.05900009153992869)))</t>
  </si>
  <si>
    <t>E01000049</t>
  </si>
  <si>
    <t>Barking and Dagenham 021C</t>
  </si>
  <si>
    <t>MultiPolygon (((545379.62700019672047347 183653.85299978530383669, 545687.97100006579421461 183523.34300002161762677, 545803.125 183488.40599991811905056, 545658.40700016147457063 183443.99300018261419609, 545515.22499989729840308 183406.47800022337469272, 545197.20899977814406157 183302.92299984899000265, 545135.55800010007806122 183284.2069997756043449, 545094.66700019279960543 183438.07099978718906641, 545179.53600011102389544 183483.2670000356156379, 545107.0000001109438017 183616.99999991068034433, 544996.61000002804212272 183567.71200022668926977, 544992.04599991836585104 183576.05900018260581419, 545015.77599986386485398 183627.66999999454128556, 544968.46599989372771233 183726.87600003881379962, 544919.60599997767712921 183727.47500005579786375, 544889.99999987543560565 183809.99999997648410499, 544886 183817.00000010241637938, 544930.30600013746879995 183835.82600014831405133, 544999.30499981285538524 183862.70200022438075393, 545061.43200020573567599 183830.24400000137393363, 545220.49100021086633205 183736.6530000958009623, 545347.23700020683463663 183669.39799981768010184, 545379.62700019672047347 183653.85299978530383669)))</t>
  </si>
  <si>
    <t>E01000052</t>
  </si>
  <si>
    <t>Barking and Dagenham 019D</t>
  </si>
  <si>
    <t>MultiPolygon (((549085.99900004989467561 184024.67600000003585592, 549148.04099976958241314 183966.38300010003149509, 549229.31899976264685392 183967.7049998965812847, 549260.07400023099035025 183898.47200006328057498, 549326.72600006114225835 183915.00000008745701052, 549331.15099998214282095 183883.47600015311036259, 549501.83499992825090885 183850.65100007495493628, 549536.42999997478909791 183848.88599975319812074, 549541.6910000586649403 183773.94699970481451601, 549455.94399996974971145 183768.77300016750814393, 549464.55800019507296383 183723.40500013326527551, 549431.9999999429564923 183715.99999985858448781, 549456.57800013397354633 183700.42200027778744698, 549490.47199995117262006 183498.46200017665978521, 549499.40899970824830234 183479.13399971002945676, 549529.68399999244138598 183506.16000020847423002, 549574.79699973145034164 183440.37500011883093975, 549599.99900016176979989 183420.00000000058207661, 549597.00100019597448409 183403.99899974436266348, 549558.0000002752058208 183357.00000015029218048, 549460.68800021056085825 183423.9859998716856353, 549430.89300011051818728 183387.15999971932615153, 549152.82600014447234571 182761.50099999998928979, 549004.25399983825627714 182778.85699986809049733, 549078.49900017306208611 183337.89599976959289052, 549074.00000030256342143 183608.04699969905777834, 549103.30999994021840394 183666.20200025665690191, 549099.61500022024847567 183732.70499975327402353, 549093.21500029158778489 183827.53199985151877627, 549086.26200003235135227 184007.5990001205354929, 549085.99900004989467561 184024.67600000003585592)))</t>
  </si>
  <si>
    <t>E01000087</t>
  </si>
  <si>
    <t>Barking and Dagenham 020B</t>
  </si>
  <si>
    <t>E02000021</t>
  </si>
  <si>
    <t>Barking and Dagenham 020</t>
  </si>
  <si>
    <t>MultiPolygon (((549707.93000027886591852 183465.47599946384434588, 549859.32499950111377984 183386.32500039404840209, 549942.48900037060957402 183470.85400019728695042, 550106.00000050966627896 183202.000000389496563, 550132.81400046439375728 183228.36199961928650737, 550116.5830001876456663 183263.45500017027370632, 550163.99999983061570674 183261.00000049598747864, 550195.99999953573569655 183359.99999965587630868, 550159.69900002412032336 183444.64799988784943707, 550201.24400023324415088 183464.38200029218569398, 550345.12499963340815157 183322.17199944183812477, 550277.76199951209127903 183178.6499999652733095, 550249.55899963376577944 183138.2149995876243338, 550111.37899998389184475 182551.82099957499303855, 549949.37500030035153031 181851.76599985620123334, 549894.93699963903054595 181460.55400013434700668, 549864.79999946686439216 181434.09999999997671694, 549383.59999947994947433 181514.39999949838966131, 548945.90000013972166926 181700.39999995168182068, 548991.29999996686819941 181699.89999955895473249, 548969.39900020696222782 181763.00000057410215959, 548886.39999964041635394 181793.90000057109864429, 548857.70000021555460989 181723.59999968009651639, 548807.19500036642421037 181777.10299978038528934, 548911.68799994548317045 181950.74999951213249005, 549004.25399990053847432 182778.85699961803038605, 549152.82600045402068645 182761.50099990254966542, 549430.89300036639906466 183387.15999972057761624, 549460.68800001556519419 183423.98600051159155555, 549558.00000006903428584 183356.99999961128924042, 549597.00100054556969553 183403.99899964264477603, 549599.99899964069481939 183420.00000054787960835, 549648.99999988055787981 183746, 549696.68599949218332767 183745.11000057242927141, 549666.25800046697258949 183672.49900016648462042, 549659.49299960350617766 183595.25700050394516438, 549696.99999943829607219 183587.63899986047181301, 549707.93000027886591852 183465.47599946384434588)))</t>
  </si>
  <si>
    <t>E01000090</t>
  </si>
  <si>
    <t>Barking and Dagenham 020E</t>
  </si>
  <si>
    <t>MultiPolygon (((545683.16600050532724708 183348.76500005286652595, 545745.63600086455699056 183315.50000026685302146, 545828.58400026196613908 183323.95500026366789825, 545883.18499935674481094 183227.16500030914903618, 545562.4819993101991713 183152.3949994865397457, 545602.11799999291542917 183126.11399907642044127, 545579.0000005541369319 183074.00000056967837736, 545520.99999923608265817 183057.00000079630990513, 545530.90499921899754554 183021.34399931418010965, 545571.91099987586494535 183025.93200085256830789, 545549.65199993585702032 182995.56000082733226009, 545585.67000086477492005 182955.33000010115210898, 545643.91500023182015866 182976.48899940642877482, 545689.86699934711214155 182908.21099966266774572, 545734.41200084518641233 182952.72500075836433098, 545722.29900015285238624 183000.83099921816028655, 545950.13799995195586234 183040.88800059637287632, 546040.36400012648664415 182905.57999980132444762, 546050.57299940707162023 182788.00299975599045865, 546353.99999935762025416 182781.00099930141004734, 546354.58699918945785612 182699.13699978787917644, 546253.0809991741552949 182622.40100049128523096, 546498.92900037323124707 182637.18599934369558468, 546564.38099917350336909 182642.11200013812049292, 546530.71000021474901587 182618.70300072527606972, 546570.14500070328358561 182600.30599935987265781, 546594.99999944679439068 182563.0000006680493243, 546588.40100048016756773 182542.99999950375058688, 546604.74699973315000534 182451.36199995694914833, 546576.80499937501735985 182011.31300092986202799, 546816.99999945890158415 182131.00000059371814132, 546887.00000072713010013 182234.99999953739461489, 546985.00000063132029027 182258.00000022139283828, 547086.07900083914864808 182396.31699920431128703, 547160.33999964315444231 182325.86899936510599218, 547422.72800007800105959 182417.04499991773627698, 547458.00099960749503225 182444.99999959950218908, 547477.83299943641759455 182555.48900006603798829, 547619.20500040333718061 182400.45999985650996678, 547232.74499928823206574 182984.68399983155541122, 547279.5160007030935958 182975.61500025616260245, 547293.80500060296617448 183032.23499996139435098, 547321.9409990725107491 183028.68099946875008754, 547699.34000005212146789 182941.28300056548323482, 547960.99999906658194959 182740.99999961577123031, 548190.60999999998603016 182655.6469999703404028, 548127.30000044882763177 182155.59999964936287142, 548090.69999957189429551 182170.40000002441229299, 548043.30000079819001257 182138.80000084196217358, 547681.60000063420739025 182202.69999978091800585, 547356.70000044186599553 182142.79999957786640152, 547119.40000044659245759 182034.69899938022717834, 546804.30000080598983914 181795.89999978890409693, 546812.7000002097338438 181760.20000045199412853, 546442.60000064200721681 181588.79999969914206304, 546279.40000019816216081 181549.29899962159106508, 545947.70000084489583969 181608.50000035008997656, 545907.39999987429473549 181590.09999942863942124, 545767.69999972241930664 181631.79999967620824464, 545696.07100000802893192 181697.38199919791077264, 545498.69999912602361292 181865.89999918587272987, 545470.99999913212377578 182075.70000015324330889, 545494.3000003295019269 182264.69999983487650752, 545348.8929995687212795 182415.60700002693920396, 545286.80000017897691578 182494.69999919008114375, 545300.89999997999984771 182764.89999996856204234, 545222.49999930814374238 182935.39999918141984381, 545182.39999930339399725 182885.69999959084088914, 545116.90000012167729437 182868.39999930415069684, 545000.09999923524446785 182950.40000052243703976, 544926.76300029084086418 182918.94200028557679616, 544780.80000010062940419 182857.59999953620717861, 544600.00000072794500738 182980.50000088062370196, 544448.181999999913387 183040.24600017146440223, 544751.5670005523134023 183165.4310008101456333, 545135.55800028692465276 183284.20699993809103034, 545197.20900021784473211 183302.92300025257281959, 545515.22500058158766478 183406.47800018129055388, 545658.40700065379496664 183443.9930003784247674, 545683.16600050532724708 183348.76500005286652595)))</t>
  </si>
  <si>
    <t>E01000092</t>
  </si>
  <si>
    <t>Barking and Dagenham 019E</t>
  </si>
  <si>
    <t>MultiPolygon (((546224.16900009952951223 183480.32800010082428344, 546231.24199982441496104 183380.12600010566529818, 546121.00000014447141439 183402.08499990802374668, 546117.37200007797218859 183295.70800018621957861, 546081.99999982595909387 183292.00000014217221178, 546077.73100006487220526 183246.73100020695710555, 546115.95100018498487771 183238.27000020371633582, 546135.93700008222367615 183176.06100001631421037, 546231.37900016200728714 183165.19800010329345241, 546228.50699996645562351 183057.16799996871850453, 546183.88099989225156605 182966.2649999919522088, 546117.28200010326690972 182902.72400001186178997, 546040.36400016478728503 182905.58000012827687897, 545950.13799995591398329 183040.88799994887085631, 545722.29899994761217386 183000.83099996918463148, 545734.41199992713518441 182952.72500003754976206, 545689.86700012267101556 182908.21100009902147576, 545643.91499991982709616 182976.48899995925603434, 545585.67000020586419851 182955.32999993205885403, 545549.65200005192309618 182995.55999990488635376, 545571.91100018774159253 183025.93199989109416492, 545530.90499993157573044 183021.34400009442470036, 545521 183057.0000001830921974, 545578.99999999173451215 183074.00000000055297278, 545602.11800001142546535 183126.11399989188066684, 545562.48200020589865744 183152.39499989993055351, 545883.18499993206933141 183227.16500019156956114, 545828.58399994601495564 183323.95500014303252101, 545745.6360000311397016 183315.49999980384018272, 545683.1660000424599275 183348.76499985429109074, 545658.40700019162613899 183443.9930000776948873, 545803.12499987403862178 183488.40600016998359933, 546011.5550001987721771 183557.15900010560289957, 546349.49299988534767181 183647.20799998816801235, 546356.66599999996833503 183640.25000002203159966, 546224.16900009952951223 183480.32800010082428344)))</t>
  </si>
  <si>
    <t>E01000093</t>
  </si>
  <si>
    <t>Barking and Dagenham 022B</t>
  </si>
  <si>
    <t>E02000023</t>
  </si>
  <si>
    <t>Barking and Dagenham 022</t>
  </si>
  <si>
    <t>MultiPolygon (((548498.23099993774667382 183490.41299968614475802, 548509.74999958614353091 183468.87499955471139401, 548599.62499958323314786 183534.82799983260338195, 548790.57099964853841811 183551.4309997096133884, 549074.00000030302908272 183608.04699979646829888, 549078.49899999983608723 183337.89600015492760576, 549004.25400030694436282 182778.85699983895756304, 548911.68800022127106786 181950.74999953593942337, 548807.19500045699533075 181777.10299990343628451, 548519.69999976467806846 182020.69999954712693579, 548321.000000313622877 182112.49999990194919519, 548127.29999950889032334 182155.59999985137255862, 548190.61000014306046069 182655.64700003099278547, 547961.00000024598557502 182740.99999951524659991, 547699.34000032325275242 182941.28299977158894762, 547321.9410002357326448 183028.68100018982659094, 547293.80500044673681259 183032.2349997695419006, 547279.51599991065450013 182975.61499991352320649, 547232.74499963212292641 182984.68399949636659585, 547619.20499976410064846 182400.45999947810196318, 547477.83300003223121166 182555.48899978338158689, 547458.00100003741681576 182444.99999991222284734, 547422.7279995473800227 182417.04500039399135858, 547109.69800006214063615 182898.52500044635962695, 546949.8059996337397024 182962.00000013128737919, 546957.09100036660674959 183005.56999974773498252, 547028.45500021963380277 183028.36400026621413417, 547028.13500046916306019 183059.97999961898312904, 547020.50700024166144431 183112.27900022210087627, 546949.91100000403821468 183106.78000036728917621, 546935 183149.01799969610874541, 547018.89500003843568265 183163.77599995685159229, 547045.62199969706125557 183272.25500008923700079, 546940.84999995946418494 183284.31499959365464747, 546950.91699981573037803 183392.4720000910165254, 547248.13000014412682503 183464.76300002832431346, 547329.1769995098002255 183510.07299996248912066, 547336.42900000372901559 183563.59499964202404954, 547658.99999969522468746 183579.00000007142079994, 547627.31100026867352426 183859.24600009660935029, 547803.22899958048947155 183855.34899995042360388, 548154.17700015578884631 183849.58099954508361407, 548159.68800038972403854 183848.99999985416070558, 548163.74999958672560751 183754.20299992398940958, 548066.06300033605657518 183593.1090002789569553, 548332.68799985363148153 183571.406000024988316, 548498.23099993774667382 183490.41299968614475802)))</t>
  </si>
  <si>
    <t>E01000095</t>
  </si>
  <si>
    <t>Barking and Dagenham 018E</t>
  </si>
  <si>
    <t>E02000019</t>
  </si>
  <si>
    <t>Barking and Dagenham 018</t>
  </si>
  <si>
    <t>MultiPolygon (((547627.31099977425765246 183859.24599985888926312, 547659 183579.00000015745172277, 547336.42900033993646502 183563.5950002585304901, 547329.17700001876801252 183510.07300029875477776, 547248.12999992107506841 183464.76300016755703837, 546950.91700024914462119 183392.47200028892257251, 546940.8499999672640115 183284.31499981041997671, 546732.87700018961913884 183297.81000003157532774, 546739.0020003056852147 183174.10400001498055644, 546673.87900000205263495 183134.28699998927186243, 546715.9999999935971573 183058.99999980625580065, 546757.6310001767706126 183058.20700027883867733, 546748.60800014843698591 183025.71699990800698288, 546735.81899991189129651 182987.26000014116289094, 546705.76300021738279611 182996.61299982081982307, 546711.38200000720098615 183028.11399987997720018, 546596.60299978114198893 183069.53799986443482339, 546591.88000029698014259 183103.27799989294726402, 546549.36199978564400226 183134.05500001265318133, 546518.91500003472901881 183104.64099966600770131, 546412.35300002340227365 183139.66000015632016584, 546394.35800031723920256 183186.04999973348458298, 546440.81700019969139248 183256.71799985287361778, 546446.05399991048034281 183312.32400001096539199, 546241.90200028300751001 183344.85800019183079712, 546231.24200013186782598 183380.12599981907987967, 546224.16899999999441206 183480.32800022355513647, 546356.66600006830412894 183640.24999988323543221, 546349.49300010723527521 183647.20799974532565102, 546658.56800018635112792 183648.89899973274441436, 546695.08800034306477755 183841.9999998701387085, 546835.93799964745994657 183854.37499970934004523, 546838.24399976781569421 183828.44700019288575277, 546977.15999969362746924 183847.15499970663222484, 546980.83500005025416613 183847.23199991224100813, 547292.94800008949823678 183854.04299990355502814, 547479.98499979847110808 183856.90399982882081531, 547627.31099977425765246 183859.24599985888926312)))</t>
  </si>
  <si>
    <t>E01000096</t>
  </si>
  <si>
    <t>Barking and Dagenham 022D</t>
  </si>
  <si>
    <t>MultiPolygon (((553760.16700086859054863 182564.06499908369733021, 553735.69000108994077891 182482.96499926038086414, 553822.93300020531751215 182297.76900044659851119, 553895.24600087152794003 182242.17500083774211816, 553999.86599912727251649 182416.55099917875486426, 554321.54800051602069288 182543.65500025879009627, 554373.8820008774055168 182418.36899924284080043, 554550.83900103287305683 182491.96999924688134342, 554515.42800068610813469 182316.62800082616740838, 554718.53499957208987325 182003.30499965217313729, 555323.1599992603296414 182395.24799999134847894, 555607.37500068650115281 181804.84400092999567278, 555529.37500110943801701 181746.91400114746647887, 555557.2499991588992998 181485.42099979202612303, 555580.05699956347234547 181443.98699940406368114, 555639.00099958723876625 181444.96900030615506694, 555687.93800000008195639 181164.29799889089190401, 555672.31300098996143788 181182.06199890084099025, 555672.4820010302355513 181159.37099984713131562, 555548.62299900304060429 181131.20100104541052133, 555539.31299890310037881 181080.06199927660054527, 555007.79200076498091221 180995.02099921164335683, 554999.999999143416062 180996.09399960329756141, 554650.50000090571120381 180987.32799979645642452, 554584.81300072406884283 180898.40600026806350797, 554845.92600099323317409 180255.27500082005281001, 554880.62499932898208499 180182.4059992438997142, 554739.50000098464079201 180121.79700067950761877, 554569.31299949274398386 179974.15599943467532285, 554493.888000269071199 179942.28999972646124661, 554444.18800041149370372 180006.65600060336873867, 554308.99900051869917661 179991.92200070022954606, 553991.87499938195105642 179845.67199889948824421, 553885.00000108103267848 179846.453000422246987, 553794.62099986907560378 179779.2559998678334523, 553755.49999904911965132 179663.78099991689668968, 553722.93800045771058649 179663.73400038320687599, 553656.51099913148209453 179218.170999294903595, 553563.99600110854953527 179127.09999940541456454, 553499.89999912271741778 179070.49999996653059497, 553439.69999910029582679 179096.59999958559637889, 553416.79899962828494608 179058.30000003860914148, 553336.70000110729597509 179040.79999976401450112, 552912.10000017599668354 178986.19999936842941679, 552585.00000044517219067 178863.0999988861149177, 552265.89999919303227216 178850.40000092654372565, 552088.4999999008141458 178798.50000096854637377, 551984.40000070468522608 178814.29999917437089607, 551963.29999984661117196 178896.6999989521864336, 551771.29999946895986795 179122.19900054519530386, 551699.10000057576689869 179305.59999990064534359, 551662.80000007210765034 179603.20000048604561016, 551593.60000089660752565 179764.39999945819727145, 551666.99999921582639217 179824.90000106624211185, 551629.89999909477774054 179839.79999912617495283, 551648.69999932392966002 179903.89999901209375821, 551618.30000003264285624 179912.50000066214124672, 551617.69999916688539088 179999.99999972950899974, 551574.4000008589355275 180032.99999892982305028, 551581.1999999115942046 180092.39999933485523798, 551423.40000046580098569 180292.29999996826518327, 551421.39999911689665169 180395.0000009868235793, 551293.83000059996265918 180733.40999986088718288, 551323.50000041339080781 180731.9530004829284735, 551328.56299953046254814 180827.70300050315563567, 551277.81299988692626357 180922.34400058700703084, 551221.18700026453007013 181003.9999990146025084, 551179.43800040183123201 181001.64100054078153335, 551095.00000078044831753 181075.35900021792622283, 551076.75 181124.01600007299566641, 551127.18799974676221609 181283.31200032486231066, 551152.3130005527054891 181528.78099887823918834, 551282.18800053198356181 181796.60900017168023624, 551349.81300002848729491 181788.15500026167137548, 551423.99999902595300227 181834.45299933734349906, 551442.43800024676602334 181893.5310004843340721, 551536.25000095192808658 181903.56199902319349349, 551603.43900109513197094 182037.671999368671095, 551696.00000032957177609 182104.31200069095939398, 551792.1250006026821211 182127.10899942883406766, 551870.94100061943754554 182222.43500071245944127, 552128.08000067993998528 181997.80399992619641125, 552393.12699910183437169 181765.83899915529764257, 552599.99100030027329922 181583.23499983936198987, 552660.2500004731118679 181529.50599982831045054, 553098.39099935931153595 181135.4010001890710555, 553134.74000065238215029 181307.36899926693877205, 553337.82399893261026591 181461.96799961573560722, 553473.52399915154092014 181517.43399956249049865, 553665.85900003171991557 181800.16699974925722927, 553574.14499994844663888 181822.74400101322680712, 553297.88100082287564874 181831.36499970784643665, 553075.68399948324076831 181876.95400096135563217, 553007.06299951788969338 181959.03000022555352189, 552991.32000020693521947 181992.52999976309365593, 552950.43800052325241268 181987.59699925815220922, 552884.55300054012332112 182058.1000002715154551, 552965.94199965451844037 182113.93599963778979145, 552944.21000089717563242 182185.15800014007254504, 552976.26899957354180515 182219.57400064583634958, 553041.77800098154693842 182153.30099916525068693, 553092.02800028782803565 182171.91500020961393602, 553060.00000032281968743 182265.99999938358087093, 553026.041999148321338 182254.06900002440670505, 553003.19899919896852225 182291.91999897346249782, 553033.00000055786222219 182337.99999952520010993, 553105.17200031748507172 182347.33599980871076696, 553072.88199956715106964 182473.35799945812323131, 553106.27199921489227563 182478.93699973472394049, 553104.87299935962073505 182445.18899897858500481, 553149.81100000801961869 182428.04199897893704474, 553188.02500089886598289 182439.2270003434678074, 553060.1959988686721772 182522.02400035216123797, 553192.06500104127917439 182573.5219992459169589, 553255.82700084685347974 182573.39600083939149044, 553267.99999996344558895 182527.0000001851876732, 553361.9630009364336729 182503.6899998655426316, 553360.63300059281755239 182494.0250005406269338, 553465.93699942040257156 182538.98599948923219927, 553594.43000099458731711 182587.65099975548218936, 553611.03399902326054871 182555.40599958878010511, 553686.41699954669456929 182568.21999994924408384, 553623.273000379325822 182655.52800067624775693, 553632.38200109999161214 182714.26700111507670954, 553687.07699888513889164 182737.42200096126180142, 553749.04099965456407517 182740.53099994090734981, 553841.42900094867218286 182766.53099903141264804, 553862.01700085285119712 182682.50099962984677404, 553745.53600107179954648 182665.17900043440749869, 553723.36400044988840818 182635.57299929927103221, 553760.16700086859054863 182564.06499908369733021)))</t>
  </si>
  <si>
    <t>E01002344</t>
  </si>
  <si>
    <t>Havering 029B</t>
  </si>
  <si>
    <t>E02000492</t>
  </si>
  <si>
    <t>Havering 029</t>
  </si>
  <si>
    <t>MultiPolygon (((552878.40199993806891143 182661.86999998358078301, 552859.56399998033884913 182602.44499985963921063, 552694.53599982266314328 182629.01199992661713623, 552701.30200022179633379 182572.59400011971592903, 552774.99699988809879869 182560.83300005798810162, 552785.3159997807815671 182518.12399972500861622, 552604.00099995092023164 182477.99999981845030561, 552572.84099986299406737 182536.4940000660426449, 552663.00100000586826354 182537.99999990299693309, 552656.77199994097463787 182587.22100001355283894, 552621.72399999969638884 182630.9540001105342526, 552510.49399977433495224 182624.65599989236216061, 552538.82799996365793049 182508.97800018085399643, 552514.94699974602553993 182485.75999989034608006, 552557.73000015341676772 182397.28100021035061218, 552651.93500026932451874 182419.03200016173650511, 552670.59999990812502801 182459.03200021808152087, 552721.32699985569342971 182423.98600001959130168, 552726.99999977322295308 182394.00000015151454136, 552766.10200022277422249 182390.0499998088052962, 552758.00099999865051359 182357.90999994013691321, 552680.06299987027887255 182339.18500011900323443, 552612.85700011847075075 182366.28899995586834848, 552574.04900022374931723 182322.13800001805066131, 552447.13000014994759113 182297.70299996007815935, 552390.69299996551126242 182290.4510000025620684, 552526.62899981217924505 182059.57200016707065515, 552450.00000003178138286 182071.15400011741439812, 552470.58999978401698172 181999.8419997745368164, 552518.69799972849432379 181950.30799986008787528, 552475.40599989960901439 181921.95099980782833882, 552477.42200015799608082 181851.5540002707275562, 552413.20900026685558259 181833.86499979865038767, 552393.12700006470549852 181765.83900000000721775, 552128.07999995292630047 181997.80400008885771967, 551870.94100006180815399 182222.43500004621455446, 551957.43800018867477775 182257.57800018214038573, 551974.62499977473635226 182459.07799994410015643, 552040.08000016747973859 182494.22900017956271768, 552103.37500020291190594 182497.31099987812922336, 552194.06200027337763458 182556.68799996905727312, 552243.41399989800993353 182544.09600014676107094, 552414.56799982639495283 182651.78800007764948532, 552390.12500023317988962 182682.31200015122885816, 552437.50000022584572434 182726.35899992345366627, 552663.86599990725517273 182868.14400018486776389, 552702.06899975019041449 182894.36199999999371357, 552878.40199993806891143 182661.86999998358078301)))</t>
  </si>
  <si>
    <t>E01002345</t>
  </si>
  <si>
    <t>Havering 030B</t>
  </si>
  <si>
    <t>E02000493</t>
  </si>
  <si>
    <t>Havering 030</t>
  </si>
  <si>
    <t>MultiPolygon (((552723.25100013765040785 182226.82500006788177416, 552758.33999990276060998 182215.95900017773965374, 552800.35100008989684284 182264.42100007017143071, 552808.73499991639982909 182234.02200004947371781, 552831.07699993718415499 182168.52600019244709983, 552793.01199992129113525 182155.83700008335290477, 552906.78100019122939557 181955.31000014976598322, 552875.2619999919552356 181933.88299990253290161, 552892.33400000107940286 181906.23099990555783734, 552857.50599996466189623 181885.20899988542078063, 552828.37500006926711649 181865.62900007073767483, 552751.50200003257486969 181895.36799989530118182, 552700.97600017464719713 181876.16900009414530359, 552662.86999984295107424 181754.09400000670575537, 552595.74499982933048159 181675.56199984019622207, 552626.06499988108407706 181613.77900008749566041, 552599.99100012518465519 181583.23499999998603016, 552393.12699983676429838 181765.83899993734667078, 552413.20899990980979055 181833.86499989358708262, 552477.42199985065963119 181851.5539998629828915, 552475.40599992068018764 181921.95100002072285861, 552518.698000104050152 181950.30799997801659629, 552470.59000013174954802 181999.84200001339195296, 552450.00000004062894732 182071.15399994468316436, 552526.62900005932897329 182059.57200014317641035, 552390.69299980869982392 182290.4510000217705965, 552447.12999985227361321 182297.70300015021348372, 552574.04900017369072884 182322.13800014992011711, 552612.85700019437354058 182366.28899999998975545, 552680.06300009682308882 182339.18499998550396413, 552723.25100013765040785 182226.82500006788177416)))</t>
  </si>
  <si>
    <t>E01002346</t>
  </si>
  <si>
    <t>Havering 030C</t>
  </si>
  <si>
    <t>MultiPolygon (((553075.68399990058969706 181876.95399973588064313, 553297.88099998887628317 181831.36499989754520357, 553574.14500001783017069 181822.74399992631515488, 553665.85900000005494803 181800.16700014259549789, 553473.52399979170877486 181517.43399993143975735, 553337.82400024484377354 181461.96799982927041128, 553134.74000025796703994 181307.36899997366708703, 553098.39099980832543224 181135.40100011619506404, 552660.24999997823033482 181529.50599984009750187, 552599.99099993437994272 181583.23499999343766831, 552626.06500011100433767 181613.77900011232122779, 552595.74499999999534339 181675.56199979892699048, 552662.87000021361745894 181754.09400004835333675, 552700.97599997278302908 181876.16899995430139825, 552751.5020001782104373 181895.36799976730253547, 552828.37500001816079021 181865.62899986063712277, 552857.50600020913407207 181885.20899985186406411, 552892.33400001062545925 181906.23099986038869247, 552875.26199998334050179 181933.88299977243877947, 552906.78100022976286709 181955.30999994091689587, 552950.43800020078197122 181987.59700013784458861, 552991.31999980902764946 181992.52999988378724083, 553007.06300011195708066 181959.02999978512525558, 553075.68399990058969706 181876.95399973588064313)))</t>
  </si>
  <si>
    <t>E01002347</t>
  </si>
  <si>
    <t>Havering 030D</t>
  </si>
  <si>
    <t>MultiPolygon (((551213.96200034511275589 183743.79200039312127046, 551015.38200051302555948 183672.13300044607603922, 550961.58199982449878007 183692.57099994231248274, 550842.25599956104997545 183436.86399951856583357, 550769.74799983156844974 183361.62899982239468955, 550769.60100023017730564 183292.33200009344727732, 550815.2529999086400494 183327.9759998099762015, 550891.19400029617827386 183245.66000009735580534, 550968.08699977432843298 183258.20300000373390503, 550902.48099956952501088 182945.27900027463329025, 551019.04300046595744789 182904.33500005517271347, 551070.38699958450160921 182892.64899988783872686, 551138.35500000731553882 182883.82299963050172664, 551112.99999992514494807 182805.99999961248249747, 551345.99700041220057756 182733.00100002007093281, 551307.14700026903301477 182636.82899994420586154, 551316.46100000652950257 182457.48200016151531599, 551079.00000033248215914 182179.99999991495860741, 551114.19899967056699097 182150.73800041657523252, 551044.75300008500926197 182077.08199999999487773, 550753.99999962607398629 182318.9989999683748465, 550646.6390000112587586 182376.87300009795580991, 550630.30599965481087565 182353.40500028411042877, 550577.00000027590431273 182370.99999991105869412, 550568.00000016472768039 182429.00000015497789718, 550444.89700004574842751 182429.18400022061541677, 550416.89300037163775414 182368.97899957172921859, 550137.00000003981404006 182476.00000049936352298, 550141.99999951047357172 182530.00000010276562534, 550111.37900007085409015 182551.82100047398125753, 550249.5589999130461365 183138.21500040622777306, 550277.76200050243642181 183178.64999953046208248, 550345.12500035099219531 183322.17199991369852796, 550606.74499968066811562 183693.64499970091856085, 550725.39499988791067153 183899.32499984532478265, 550738.19100015051662922 184016.58899985888274387, 550817.00399985094554722 184195.99900023071677424, 550820.9329999458277598 184205.0129999999771826, 551110.00000024272594601 184122.99999957435647957, 551182.00000006856862456 184035.00000037829158828, 551126.99999950709752738 183984.0000004573375918, 551361.03099996980745345 183863.17599954389152117, 551369.0539999291067943 183839.68800037054461427, 551213.96200034511275589 183743.79200039312127046)))</t>
  </si>
  <si>
    <t>E01002368</t>
  </si>
  <si>
    <t>Havering 028A</t>
  </si>
  <si>
    <t>E02000491</t>
  </si>
  <si>
    <t>Havering 028</t>
  </si>
  <si>
    <t>MultiPolygon (((552340.87900005211122334 183213.92700010706903413, 552799.75699999998323619 182999.97500003359164111, 552749.29800067353062332 182936.80000010647927411, 552702.06899996963329613 182894.36200036347145215, 552663.86599975824356079 182868.14399989490630105, 552437.50000014784745872 182726.35899932304164395, 552390.12500028579961509 182682.31199944828404114, 552414.5680003265151754 182651.78799983763019554, 552243.41400014830287546 182544.09600015977048315, 552194.06200012809131294 182556.68799980424228124, 552103.3749997338745743 182497.31099974038079381, 552040.08000024012289941 182494.22900024446425959, 551974.62499983294401318 182459.07800000044517219, 551957.43800050462596118 182257.57800031913211569, 551870.94099962303880602 182222.43499994938611053, 551792.12499931070487946 182127.10900056274840608, 551696.000000134925358 182104.31199934612959623, 551603.43900014238897711 182037.6719994061277248, 551536.2499993892852217 181903.56199949787696823, 551442.43799944873899221 181893.53099954855861142, 551424.0000001722946763 181834.45299986933241598, 551349.81300046190153807 181788.15499978500884026, 551282.18799929844681174 181796.60900055209640414, 551152.31300037424080074 181528.78100038494449109, 551127.18799943197518587 181283.31199960311641917, 551076.75000050163362175 181124.0160004373465199, 551094.9999998277053237 181075.35900038824183866, 551179.43800038727931678 181001.64099984342465177, 551221.18700006476137787 181003.99999980820575729, 551277.81300051452126354 180922.34400055420701392, 551328.56300035142339766 180827.70299984348821454, 551323.4999993076780811 180731.95299985795281827, 551293.82999934814870358 180733.40999947357340716, 550952.29999983718153089 181046.00000062474282458, 550836.69999952625948936 181063.10000059410231188, 550421.40000028756912798 181306.00000035407720134, 550350.70000024442560971 181354.39999935848754831, 550322.80000006512273103 181417.6999994998332113, 550248.00099980551749468 181410.60000069317175075, 550231.59999974444508553 181439.4999996816040948, 550157.80000048829242587 181405.29999974291422404, 549978.90000003599561751 181415.09999969135969877, 549945.60000047797802836 181433.59900018779444508, 549951.80000035639386624 181478.10000018999562599, 549894.93700000015087426 181460.55399996746564284, 549949.37499997636768967 181851.76600012241397053, 550111.37900015828199685 182551.82100003762752749, 550142.00000042316969484 182529.99999945968738757, 550137.00000056799035519 182475.99999986222246662, 550416.893000673269853 182368.97900053267949261, 550444.89700067054945976 182429.18400065621244721, 550567.99999999080318958 182429.00000064296182245, 550576.99999943957664073 182370.99999999947613105, 550630.30599977646488696 182353.40499982080655172, 550646.63899945362936705 182376.87299993331544101, 550754.00000070221722126 182318.99900021456414834, 551044.75300007441546768 182077.08200025703990832, 551114.19899949047248811 182150.73800032379222102, 551079.00000000069849193 182179.99999943299917504, 551316.461000268580392 182457.48200039062066935, 551307.14699994469992816 182636.82900035410420969, 551345.99699942918960005 182733.00099951753509231, 551428.99899931694380939 182707.99999953134101816, 551464.00000046577770263 182775.99999988509807736, 551518.65300069446675479 182791.50699947125394829, 551547.22100054298061877 182821.42200066408258863, 551525.00000044144690037 182874.0010000801703427, 551543.36500013875775039 182943.18599996677949093, 551642.41700052015949041 182942.8969994249928277, 551679.27600006631109864 183032.6980006709927693, 551637.30299955164082348 183059.22000071944785304, 551635.92000022553838789 183146.90599961861153133, 551703.12099933775607497 183136.28500022669322789, 551690.11799961631186306 183076.48199959535850212, 551726.99999952723737806 183046.99999958620173857, 551821.99999967974144965 183227.00000018088030629, 551854.93699985893908888 183202.46100019640289247, 551925.47200031648389995 183246.58899952445062809, 551938.73700027784798294 183263.64399947479250841, 552091.62099999189376831 183168.53700027760351077, 552134.12900008726865053 183215.08000014279969037, 552105.63700049673207104 183242.66199950984446332, 552124.43800060451030731 183271.14899990512640215, 552208.09200041287112981 183273.9990001420956105, 552214.38200032943859696 183244.17899963495437987, 552340.87900005211122334 183213.92700010706903413)))</t>
  </si>
  <si>
    <t>E01002370</t>
  </si>
  <si>
    <t>Havering 028C</t>
  </si>
  <si>
    <t>MultiPolygon (((544359.30200001399498433 183807.88499987564864568, 544478.07699990726541728 183622.03500003955559805, 544516.99999983632005751 183640.00000015361001715, 544534.08100007730536163 183616.70799995350535028, 544552.68099995900411159 183590.97800018682028167, 544569.5230000012088567 183550.06800012630992569, 544460.68799995945300907 183547.22300010698381811, 544432.34900009667035192 183459.77100008921115659, 544471.33899985603056848 183395.10100009670713916, 544511.99999981105793267 183330.99999988038325682, 544475.35500018228776753 183290.94600003003142774, 544424.5550001832889393 183051.29899999999906868, 544278.06700012704823166 183216.00599984970176592, 544162.84999997599516064 183251.73800010365084745, 544147.26999999885447323 183311.14099982977495529, 544169.34799998952075839 183312.64000003642286174, 544222.75000007415656 183339.92199981882004067, 544226.72500017576385289 183343.18399981816764921, 544183.86000014073215425 183400.04599987622350454, 544278.10200017993338406 183454.65100004509440623, 544339.32400016288738698 183498.36600011866539717, 544307.03400012629572302 183511.33499994242447428, 544327.95899994566570967 183535.78199999165371992, 544295.00499988079536706 183558.22000003885477781, 544268.00100008503068238 183618.00099995706113987, 544273.18700012052431703 183777.01600009034154937, 544310.13600010052323341 183800.6779998741694726, 544325.00799992866814137 183810.19000000000232831, 544359.30200001399498433 183807.88499987564864568)))</t>
  </si>
  <si>
    <t>E01033588</t>
  </si>
  <si>
    <t>Barking and Dagenham 021F</t>
  </si>
  <si>
    <t>MultiPolygon (((536647.9990001117112115 181143.00000001970329322, 536685.00699992710724473 181108.45300012207007967, 536781.44000013591721654 181187.83999991547898389, 536799.29900013201404363 181158.05499998250161298, 536861.77600016328506172 181188.3380000056931749, 536896.17900014179758728 181131.26599985675420612, 536886.22099992854055017 181084.71699989726766944, 536939.6579999856185168 181094.09200001129647717, 536963.00000016042031348 181135.0000000927830115, 536988.03800017200410366 181093.95200008002575487, 537000 181042.00000005471520126, 536931.00000009767245501 181068.00000017220736481, 536900.78700004005804658 181046.21299999475013465, 536857.7770001080352813 181050.74200004336307757, 536870.99999993573874235 181072.00000013568205759, 536823.00000001909211278 181101.99999986169859767, 536786.99999999289866537 180954.99900005359086208, 536649.58299993257969618 181001.00799987249774858, 536631.69100012502167374 180969.66600012569688261, 536615.80500010366085917 180939.16099988695350476, 536571.18000000098254532 180903.87599991547176614, 536580.48500014934688807 180859.16899988343357109, 536524.77499996067490429 180845.52199991914676502, 536502.63099988747853786 180741.79099996612058021, 536438.18899985728785396 180764.27699989173561335, 536360.49399991275276989 180785.48599986612680368, 536369.16100003966130316 180753.33300000021699816, 536290.08999999985098839 180784.15099991293391213, 536372.72000000672414899 180882.66799984930548817, 536386.34799993969500065 180899.72400005703093484, 536464.25000005634501576 180986.4059998698940035, 536407.34399993752595037 181011.58100008810288273, 536332.98600009945221245 181029.3480000076815486, 536351.49900006863754243 181120.90199998475145549, 536352.04500001354608685 181123.95300006924662739, 536410.43099991302005947 181292.2439998728223145, 536428.00100016256328672 181293.99999988306080922, 536560.15299991692882031 181339.87000003384309821, 536575.36800010537263006 181321.59200015215901658, 536632.00000016612466425 181217.99999986719922163, 536604.00000006682239473 181196.0000000681320671, 536647.9990001117112115 181143.00000001970329322)))</t>
  </si>
  <si>
    <t>E01004254</t>
  </si>
  <si>
    <t>Tower Hamlets 023B</t>
  </si>
  <si>
    <t>MultiPolygon (((536900.78700007544830441 181046.21300006684032269, 536949.57900011609308422 180941.78400008549215272, 536974.84999996970873326 180966.18700003193225712, 537024.0919999877223745 180904.13499992436845787, 537055.00000009639188647 180867.00000008044298738, 537045.15600000438280404 180909.39400000241585076, 537121.999999905587174 180914.40899999474640936, 537120.12299995112698525 180869.72100009035784751, 537196.02800004673190415 180848.10800000329618342, 537191.47399993322324008 180806.95300011691870168, 537143.79299998353235424 180802.19199996476527303, 537118.12600000284146518 180830.99900003234506585, 537060.24699988099746406 180775.40099994261981919, 537007.47399989399127662 180653.21099997413693927, 537001.81399993412196636 180619.45300000903080218, 536865.82899992575403303 180611.85200000001350418, 536882.50100011471658945 180720.04100003693019971, 536818.00000003259629011 180751.99999999467399903, 536810.22299988544546068 180787.01900004327762872, 536785.53499995335005224 180843.39599994668969885, 536786.99999987951014191 180954.99899990958510898, 536823.00000002572778612 181102, 536871.00000005727633834 181072.00000004156026989, 536857.77700003748759627 181050.74199993661022745, 536900.78700007544830441 181046.21300006684032269)))</t>
  </si>
  <si>
    <t>E01004255</t>
  </si>
  <si>
    <t>Tower Hamlets 023C</t>
  </si>
  <si>
    <t>MultiPolygon (((537420.9159997955430299 180916.69799984933342785, 537461.18199995858594775 180909.29099999248865061, 537567.31900010036770254 180931.8320000754611101, 537562.85200005595106632 180892.70799984995392151, 537611.98200006689876318 180889.7609999721753411, 537599.9999999824212864 180831.99999981399741955, 537553.41999985510483384 180822.09800017444649711, 537540.99999980605207384 180778.0000001206935849, 537665.00000007881317288 180754.99999987729825079, 537708.23099987534806132 180753.48300015085260384, 537882.96099983551539481 180754.01000012131407857, 537927.98299985390622169 180738.93099999614059925, 537968.2029999999795109 180590.08299996293499134, 537706.80000012693926692 180604.29899986821692437, 537253.49500001454725862 180733.97299990497413091, 537231.18800005374941975 180739.60500010149553418, 537143.79299999983049929 180802.19199994372320361, 537191.47400009445846081 180806.95299984570010565, 537196.02800012612715364 180848.10800005900091492, 537244.9069998562335968 180819.08100005576852709, 537256.42100010858848691 180867.97899996317573823, 537295.49999991420190781 180980.29400003704358824, 537326.18900017230771482 180973.95599984881118871, 537424.99999997636768967 180953.99999997598933987, 537420.9159997955430299 180916.69799984933342785)))</t>
  </si>
  <si>
    <t>E01004256</t>
  </si>
  <si>
    <t>Tower Hamlets 024C</t>
  </si>
  <si>
    <t>MultiPolygon (((537971.87499993306118995 181011.68699996717623435, 537997.60000002291053534 180875.47999990620883182, 538039.1619998732348904 180752.94000010285526514, 538071.26300000003539026 180688.03699992276960984, 538059.00000006263144314 180612.26599997346056625, 537968.20299997099209577 180590.0830000328423921, 537927.98299993493128568 180738.93099991729832254, 537882.96099991234950721 180754.01000008845585398, 537708.23099999397527426 180753.48299985151970759, 537665.00000000477302819 180754.99999991405638866, 537541.00000012689270079 180777.99999989927164279, 537553.42000000830739737 180822.09799991111503914, 537599.99999991932418197 180831.99999993527308106, 537611.98199987597763538 180889.76099992034141906, 537562.8520001086872071 180892.70799987550708465, 537567.31899985193740577 180931.83200002845842391, 537461.1820000548614189 180909.29099999784375541, 537420.91599999996833503 180916.69800001149997115, 537424.99999998940620571 180954.00000004065805115, 537431.75900010531768203 180954.8039999739266932, 537667.96499993908219039 180975.84199996184906922, 537843.59100015356671065 180996.51799990056315437, 537849.59800013131462038 180997.17499995036632754, 537878.34500014351215214 181000.32200014291447587, 537971.87499993306118995 181011.68699996717623435)))</t>
  </si>
  <si>
    <t>E01004257</t>
  </si>
  <si>
    <t>Tower Hamlets 024D</t>
  </si>
  <si>
    <t>MultiPolygon (((536818.00000006170012057 180752.00000003250897862, 536882.50100000016391277 180720.04099999528261833, 536865.82900001422967762 180611.85199994136928581, 536813.65399998484645039 180563.25699987000552937, 536787.33599994925316423 180538.93300001847092062, 536714.06400010059587657 180616.28800002817297354, 536780.91000007896218449 180683.98399992578197271, 536817.20000006095506251 180721.10000003324239515, 536749.71200011658947915 180686.41000005291425623, 536681.87500012514647096 180645.61700012467917986, 536589.31899993435945362 180669.03900006858748384, 536398.89999998814892024 180739.39999995424295776, 536384.39999987522605807 180769.60000005067558959, 536369.16099993360694498 180753.33299997873837128, 536360.49399999994784594 180785.48600000247824937, 536438.1889998730039224 180764.27699992738780566, 536502.63099997024983168 180741.7910000340489205, 536524.77499993040692061 180845.52200001614983194, 536580.4850000434089452 180859.16899997444124892, 536571.18000002240296453 180903.87600003657280467, 536615.80500009283423424 180939.16100003872998059, 536631.69100004469510168 180969.66599995113210753, 536649.58300007751677185 181001.00799998152069747, 536786.99999996449332684 180954.99899988085962832, 536785.53500010818243027 180843.39599992195144296, 536810.22299987787846476 180787.0189998836722225, 536818.00000006170012057 180752.00000003250897862)))</t>
  </si>
  <si>
    <t>E01004258</t>
  </si>
  <si>
    <t>Tower Hamlets 023D</t>
  </si>
  <si>
    <t>MultiPolygon (((537706.80000030773226172 180604.29899994132574648, 537968.20299999206326902 180590.08299987949430943, 538059 180612.26600010329275392, 538054.61499974597245455 180581.54599987194524147, 538043.37499990698415786 180502.79700011323438957, 538020.09699994709808379 180506.53000009164679796, 538012.12499972095247358 180451.85899997781962156, 537980.68800024746451527 180456.35899984024581499, 537977.00000022409949452 180430.43700018365052529, 538005.37500023865140975 180426.20300000012503006, 537991.75000029196962714 180321.7970002508664038, 538043.87500009930226952 180289.48400011679041199, 537870.49999974435195327 180306.98399999682442285, 537859.48100025183521211 180258.01600024537765421, 537720.20599993353243917 180279.58200002019293606, 537624.99999998603016138 180292.00000003818422556, 537620.99999969324562699 180333.00000023751636036, 537430.9859999263426289 180361.00199982218327932, 537287.99999991210643202 180381.99999977712286636, 537241.25400004372932017 180342.6309999683580827, 537236.24299984774552286 180311.93700007078587078, 537109.69199973985087126 180278.44499974488280714, 537133.00000008498318493 180161.99999986184411682, 537114.00000025075860322 179985.80600005426094867, 537112.00000010442454368 179918.00000005768379197, 537051.68499976291786879 179921.69300014528562315, 537010.25600028282497078 179928.93999978131614625, 537012.00000025611370802 179982.19999983825255185, 537031.72200001927558333 180056.67400013239239343, 537036.79999982996378094 180086.99900027413968928, 537119.90000002889428288 180098.49999972779187374, 537019.60000006528571248 180147.09999973623780534, 536954.19999982323497534 180334.50000019164872356, 536975.80000003450550139 180367.29999972842051648, 536932.92400003538932651 180388.35999985662056133, 536897.00000024377368391 180439.70000017152051441, 536955.40000028465874493 180484.90000011786469258, 536882.20000015664845705 180457.10000001310254447, 536846.02000019187107682 180508.81800019936054014, 536813.65400000009685755 180563.25699982547666878, 536865.82899982656817883 180611.8519997697439976, 537001.81400024960748851 180619.45300021438742988, 537007.47400005988311023 180653.21100021919119172, 537060.24700009147636592 180775.40099975845078006, 537118.12600029318127781 180830.99899994232691824, 537143.79299978946801275 180802.19199998580734245, 537231.18799970962572843 180739.60499974206322804, 537253.4950002800906077 180733.9730002912110649, 537706.80000030773226172 180604.29899994132574648)))</t>
  </si>
  <si>
    <t>E01004277</t>
  </si>
  <si>
    <t>Tower Hamlets 033A</t>
  </si>
  <si>
    <t>E02006854</t>
  </si>
  <si>
    <t>Tower Hamlets 033</t>
  </si>
  <si>
    <t>MultiPolygon (((536372.71999999298714101 180882.66799997608177364, 536290.09000002685934305 180784.15100000001257285, 536140.44499996211379766 180798.83200002097873949, 536140.14800006290897727 180816.8539999496715609, 536129.56599995854776353 180928.54000003539840691, 536160.9999999301508069 180949.99999998687417246, 536162.00000006193295121 180965.0000000597210601, 536219.82500006235204637 181007.32899994141189381, 536170.42399993841536343 181072.27199993733665906, 536190.85299992829095572 181130.16600000002654269, 536351.4990000412799418 181120.9019999229349196, 536332.98599998338613659 181029.34799992793705314, 536407.34399996430147439 181011.58100007867324166, 536464.25000004156026989 180986.406000045244582, 536386.34800007264129817 180899.7240000719903037, 536372.71999999298714101 180882.66799997608177364)))</t>
  </si>
  <si>
    <t>E01032768</t>
  </si>
  <si>
    <t>Tower Hamlets 025E</t>
  </si>
  <si>
    <t>E02000888</t>
  </si>
  <si>
    <t>Tower Hamlets 025</t>
  </si>
  <si>
    <t>MultiPolygon (((536129.56599994585849345 180928.5400000820227433, 536140.14800009829923511 180816.85400005962583236, 536140.44499998132232577 180798.83200006847619079, 536005.30000000551808625 180826.99999996661790647, 535997.07600007310975343 180801.25299988826736808, 535795.28700010443571955 180766.0080000895250123, 535754.0359999171923846 180749.66400005362811498, 535734 180851.99999989737989381, 535886.30199997138697654 180888.85300004208693281, 535955.00000004866160452 180906.00000005873152986, 535965.99900007375981659 180907.99999996574479155, 535963.00099999038502574 180990.00000003987224773, 535906.0000000192085281 181000.9999998927814886, 535896.65499995148275048 181096.35200010109110735, 535849.39000002411194146 181096.59200008021434769, 535846.99999996880069375 181174.58299994634580798, 536019.60299990512430668 181142.7070000063686166, 536190.853000050294213 181130.1659999332332518, 536170.42400001548230648 181072.27199992837267928, 536219.82499999995343387 181007.32900006091222167, 536162.00000001944135875 180965.00000010911026038, 536160.99999994446989149 180949.99999995631515048, 536129.56599994585849345 180928.5400000820227433)))</t>
  </si>
  <si>
    <t>E01032769</t>
  </si>
  <si>
    <t>Tower Hamlets 025F</t>
  </si>
  <si>
    <t>MultiPolygon (((538398.00000011757947505 180589.99999985250178725, 538405.98400010459590703 180542.09500021883286536, 538468.00000018521677703 180457.00000004650792107, 538444.08599986566696316 180400.54899981542257592, 538427.28500000864733011 180384.9030000748753082, 538379.35099998221267015 180443.85600001167040318, 538386.99299997289199382 180351.15200000975164585, 538398.00000011757947505 180346.57500004698522389, 538308.00000009650830179 179965.99999992130324244, 538200.9959997710539028 179924.25399981549708173, 538185.00000003702007234 179734, 537988.90700012200977653 179747.01499990702723153, 537795.82200008211657405 179779.73999998351791874, 537846.04699983005411923 179975.67299995420034975, 537884.87499991431832314 180079.46900001366157085, 537951.49999994656536728 180071.06199988594744354, 537969.74999993294477463 180190.12500022066524252, 537856.25000002409797162 180207.7810000681784004, 537859.48100010945927352 180258.01600015806616284, 537870.50000001967418939 180306.98400017042877153, 538043.87499989022035152 180289.48400003841379657, 537991.75000011210795492 180321.79700002790195867, 538005.37500015238765627 180426.20300022064475343, 537977.00000005995389074 180430.43700001487741247, 537980.68800015922170132 180456.35900009667966515, 538012.1250002229353413 180451.85900004958966747, 538020.09699998388532549 180506.53000020881881937, 538043.37499983375892043 180502.79700018285075203, 538054.61500007018912584 180581.54599991382565349, 538140.14800020528491586 180592.20600012160139158, 538329.99999981513246894 180564.99999979548738338, 538377.00000005133915693 180605.00000016301055439, 538367.99999995715916157 180644.99899989771074615, 538527.87099991785362363 180654.96900000004097819, 538439.00000013748649508 180597.00000018160790205, 538398.00000011757947505 180589.99999985250178725)))</t>
  </si>
  <si>
    <t>E01032780</t>
  </si>
  <si>
    <t>Tower Hamlets 028I</t>
  </si>
  <si>
    <t>MultiPolygon (((540555.09000014013145119 178726.36200008157175034, 540562.27800015627872199 178597.46699994063237682, 540507.78899982664734125 178348.99999982267036103, 540450.9999998421408236 178244.99999994342215359, 540574.56900003331247717 178257.35600006277672946, 540583.27400013152509928 178133.78600002310122363, 540456.99599990760907531 178112.1749998880259227, 540374.72600015276111662 178097.86799985254765488, 540366.49900006921961904 178096.43700007451116107, 540340.63499994564335793 178092.37200007229694165, 540069.11500013957265764 178042.64799999998649582, 540072.33400002389680594 178090.60099991306196898, 540053.64799999003298581 178252.00600014536757953, 540107.13500005227979273 178307.00700002358644269, 540120.36599986022338271 178269.06699988277978264, 540154.35200011904817075 178299.53199988481355831, 540220.54400003934279084 178275.88000013530836441, 540171.99999993410892785 178345.00000006280606613, 540190.99999996391125023 178366.00000015270779841, 540152.00000005424953997 178441.00099991075694561, 539951.90100003918632865 178530.99999988148920238, 540025.3640000136801973 178635.07400008098920807, 540161.00000014423858374 178614.9999998809362296, 540173.00000014412216842 178614.00000003099557944, 540207.9999999338760972 178763, 540302.99899987457320094 178732.99999982010922395, 540658.99999996088445187 178727.99999985017348081, 540555.09000014013145119 178726.36200008157175034)))</t>
  </si>
  <si>
    <t>E01033738</t>
  </si>
  <si>
    <t>Greenwich 037D</t>
  </si>
  <si>
    <t>E02006930</t>
  </si>
  <si>
    <t>Greenwich 037</t>
  </si>
  <si>
    <t>E09000011</t>
  </si>
  <si>
    <t>Greenwich</t>
  </si>
  <si>
    <t>MultiPolygon (((539674.58799984224606305 179437.52799979329574853, 539817.2179997602943331 179289.79599949854309671, 539783.00000029557850212 179253.00000045498018153, 539696.64699957403354347 179149.08100030111381784, 539626.99999972258228809 179102.00000027613714337, 539671.97900043008849025 179001.74999967555049807, 539864.00000009860377759 178818.99999977069091983, 540105.21299959206953645 178799.10400045497226529, 540169.00000048708170652 178790.00000015858677216, 540176.99999988370109349 178789.00000049112713896, 540207.99999985913746059 178762.99999988143099472, 540173.00000018544960767 178614.00000006589107215, 540161.00000006216578186 178614.99999973337980919, 540025.36400023719761521 178635.0740002486272715, 539951.90100049460306764 178530.9999998994753696, 539919.71299957321025431 178468.86200009327149019, 539849.81800002639647573 178509.54500020545674488, 539807.58099957532249391 178497.56200042215641588, 539806.03799994033761322 178541.08599992693052627, 539774.99999987066257745 178512.49999988099443726, 539758.74599968933034688 178537.33600014552939683, 539724.7739996985765174 178280.61699999999837019, 539651.85300032701343298 178286.74100042349891737, 539622.99099954194389284 178287.63400006893789396, 539607.99999987031333148 178288.00000049022492021, 539609.93900016346015036 178319.40399995286134072, 539565.17899953946471214 178330.23999973089667037, 539517.26800016069319099 178310.39699959952849895, 539474.27399969811085612 178352.21699963803985156, 539486.07999993511475623 178460.52100047279964201, 539506.33399981469847262 178526.61000020749634132, 539471.94000040017999709 178560.20899951612227596, 539533.00000012887176126 178558.99999984411988407, 539552.47800046380143613 178604.04199981491547078, 539467.64399980485904962 178635.46100042434409261, 539441.60199968633241951 178751.3220004492031876, 539167.43299958447460085 178945.30599998330581002, 539254.8900001774309203 178678.20499994169222191, 539116.20600014831870794 178679.59999964234884828, 539105.2000000566476956 179018.19999996438855305, 539077.10000035096891224 179007.49999982028384693, 539046.2000001366250217 179129.9000004596891813, 539003.10000027692876756 179172.20000017405254766, 539021.89999957859981805 179215.79999986744951457, 538993.39999980025459081 179292.60000045012566261, 538914.50000012153759599 179261.20000040205195546, 538772.09999996249098331 179731.09999963807058521, 538756.10000014095567167 179931.80000036137062125, 538785.89999989839270711 179933.90000048576621339, 538780.69999998214188963 179999.99999989595380612, 538806.70100018836092204 180015.89999995630932972, 538772.00000020139850676 180040.80000010906951502, 538817.79999978025443852 180160.30000047877547331, 538929.69999979774001986 180273.60000023635802791, 539036.89999973261728883 180328.30000014652614482, 539149.29999958374537528 180337.39999999999417923, 539246.89999983157031238 180292.90000040020095184, 539831.74100005649961531 179568.71099963469896466, 539674.58799984224606305 179437.52799979329574853)))</t>
  </si>
  <si>
    <t>E01001667</t>
  </si>
  <si>
    <t>Greenwich 036B</t>
  </si>
  <si>
    <t>E02006929</t>
  </si>
  <si>
    <t>Greenwich 036</t>
  </si>
  <si>
    <t>MultiPolygon (((539806.03799992927815765 178541.08599997058627196, 539807.58099986263550818 178497.56200004002312198, 539849.81800015538465232 178509.54499994922662154, 539919.71300009579863399 178468.86200015209033154, 539951.90099985548295081 178531.00000004930188879, 540151.99999985529575497 178441.00100014024064876, 540190.99999991932418197 178366.00000001039006747, 540172.00000015506520867 178344.99999984671012498, 540220.54399999999441206 178275.8799999603361357, 540154.35200011532288045 178299.53199990675784647, 540120.36600005568470806 178269.06700006264145486, 540107.13500009069684893 178307.00700015688198619, 540053.64799990213941783 178252.00599999105907045, 540072.33400013030041009 178090.60099995139171369, 540069.1149999670451507 178042.6480001263844315, 539939.34999997261911631 178017.0540000285836868, 539867.92299998959060758 178001.7740001205529552, 539803.07299986784346402 177988.6110000294575002, 539801.43700015626382083 178070.83600009474321268, 539752.35399995790794492 178072.11199984181439504, 539554.38300000166054815 178023.49100009028916247, 539549 178045.99999991460936144, 539718.80900015693623573 178092.41799990992876701, 539695.93699990957975388 178261.31500000029336661, 539620.56099987274501473 178258.82399986960808747, 539622.99099996848963201 178287.63400000781985, 539651.8530001089675352 178286.74099993563140742, 539724.77400014596059918 178280.61700015267706476, 539758.74599985615350306 178537.33599989337380975, 539775.00000013061799109 178512.50000004901085049, 539806.03799992927815765 178541.08599997058627196)))</t>
  </si>
  <si>
    <t>E01001665</t>
  </si>
  <si>
    <t>Greenwich 037C</t>
  </si>
  <si>
    <t>MultiPolygon (((540803.24600014497991651 178193.05800017440924421, 540774.10000002104789019 178163.57099995881435461, 540886.26700011931825429 178185.92799990109051578, 540843.29799996688961983 178054.18500012889853679, 540898.14699994237162173 178051.7150000448746141, 540915.65600003500003368 178019.05999985235393979, 540946.54699989117216319 177968.14299990443396382, 541023.28600010636728257 177921.17499999175197445, 541041.94900012970902026 177856.836999858438503, 541002.69599994888994843 177840.69499994243960828, 540964.60599985171575099 177854.02799991759820841, 540951.49900002218782902 177809.33399985072901472, 540864.73699985223356634 177770.18400001464760862, 540864.05900013854261488 177708.50100017728982493, 540933.77799998177215457 177603.33600014515104704, 541015.76500001631211489 177580.47200014183181338, 541010.34599982132203877 177576.00099991113529541, 540792.51800001761876047 177557.72400002129143104, 540806.20200017408933491 177779.32600009939051233, 540870.26199984038248658 177786.82100002872175537, 540841.28700009221211076 177851.42999998785671778, 540809.65700004796963185 177850.74099988641683012, 540754.80300002766307443 177805.92200014533591457, 540556.06599988951347768 177789.86700014141388237, 540547.35400004335679114 177741.10099987691501155, 540679.00000017543788999 177771.99999994938843884, 540676.22899999667424709 177740.26000000388012268, 540576.13399985164869577 177715.80599984989385121, 540585.69600008532870561 177545.1759998511406593, 540526.0849998741177842 177495.96399999997811392, 540464.46900013100821525 177668.92800002079457045, 540436.22499999299179763 177738.38700006442377344, 540366.49899987014941871 178096.43700014575733803, 540374.7260000694077462 178097.8679998837178573, 540456.99599989282432944 178112.17499998389394023, 540583.27399985305964947 178133.78599982001469471, 540653.35900001192931086 178147.96099996636621654, 540751.46499997330829501 178203.65800009446684271, 540770.41800006490666419 178218.98399999999674037, 540803.24600014497991651 178193.05800017440924421)))</t>
  </si>
  <si>
    <t>E01001592</t>
  </si>
  <si>
    <t>Greenwich 014B</t>
  </si>
  <si>
    <t>E02000326</t>
  </si>
  <si>
    <t>Greenwich 014</t>
  </si>
  <si>
    <t>MultiPolygon (((540806.20199983706697822 177779.32600004939013161, 540792.51800011703744531 177557.72400004105293192, 541010.34600004972890019 177576.0009998633468058, 541018.82999999483581632 177502.47400007149553858, 540938.04999990365467966 177445.03599999909056351, 540948.29799990612082183 177393.37500013064709492, 540949.42399987962562591 177320.41700004180893302, 540892.37500007241033018 177305.70300011470681056, 540865.43799990485422313 177336.23399992595659569, 540873.9379999766824767 177205.71899998170556501, 540764.06299985281657428 177229.26600013341521844, 540738.4990001245168969 177228.23399991047335789, 540738.6250001285225153 177188.84399999998277053, 540651.16899983573239297 177210.54999998130369931, 540626.12499991920776665 177216.76599985247594304, 540600.48099988850299269 177291.1790000360342674, 540599.04700012574903667 177295.10200013226130977, 540588.75199991662520915 177323.26500007146387361, 540538.90699985495302826 177459.93000002671033144, 540526.08500000520143658 177495.96399985943571664, 540585.69599989603739232 177545.17600004252744839, 540576.13400002627167851 177715.80599984200671315, 540676.2289998788619414 177740.26000005478272215, 540679.00000012689270079 177772.00000000005820766, 540547.35400000389199704 177741.10099992441246286, 540556.06600009836256504 177789.86699988789041527, 540754.80300005606841296 177805.92200000066077337, 540809.65699987066909671 177850.7410000090894755, 540841.28699993866030127 177851.42999999999301508, 540870.26200001465622336 177786.82099994644522667, 540806.20199983706697822 177779.32600004939013161)))</t>
  </si>
  <si>
    <t>E01001593</t>
  </si>
  <si>
    <t>Greenwich 014C</t>
  </si>
  <si>
    <t>MultiPolygon (((540436.22499998321291059 177738.38700017632800154, 540464.46900014183484018 177668.92800007044570521, 540526.08500004233792424 177495.96400006330804899, 540538.9070000946521759 177459.92999981562024914, 540588.75199977471493185 177323.26500009803567082, 540599.04700003517791629 177295.102000259765191, 540600.48100022901780903 177291.17900001117959619, 540626.12499979382846504 177216.76599997060839087, 540662.11300024611409754 177124.44399978354340419, 540539.60200003127101809 177130.78899986852775328, 540455.33900000422727317 177099.13399995362851769, 540438.41199999640230089 177052.06400025336188264, 540385.77099991368595511 177056.63699984064442106, 540306.58099987881723791 177061.23200012810411863, 540275.88599994231481105 177016.80700000000069849, 540240.15099998423829675 177033.6490001980564557, 540236.99999996344558895 177123.99999978678533807, 540189.74899975385051221 177232.94099989635287784, 540325.18899999104905874 177196.88599976553814486, 540394.67599976120982319 177218.3779998421377968, 540404.78699976031202823 177267.19700014241971076, 540336.9999999632127583 177283.0000000562868081, 540350.0000002330634743 177308.91700026107719168, 540371.45299975562375039 177329.47500000894069672, 540424.99999996297992766 177373.00000005605397746, 540406.00000023294705898 177395.99999978608684614, 540330.15500001318287104 177368.7109998393279966, 540315.06399988988414407 177431.53299989155493677, 540316.00000023317988962 177453.99999978594132699, 540243.69499990006443113 177478.41099981206934899, 540210.95299989089835435 177553.80500025398214348, 540236.78899977530818433 177699.42999994999263436, 540297.30600003409199417 177744.82599986673449166, 540308.50499986473005265 177709.13300021472969092, 540355.65799990005325526 177757.18700006834114902, 540290.62999996601138264 177930.87000018692924641, 540314.30700004124082625 178008.14000026500434615, 540345.39000010630115867 178012.6320000717532821, 540340.63499973248690367 178092.37199979624710977, 540366.49899982090573758 178096.4370000000053551, 540436.22499998321291059 177738.38700017632800154)))</t>
  </si>
  <si>
    <t>E01001581</t>
  </si>
  <si>
    <t>Greenwich 016A</t>
  </si>
  <si>
    <t>E02000328</t>
  </si>
  <si>
    <t>Greenwich 016</t>
  </si>
  <si>
    <t>MultiPolygon (((540314.30699990096036345 178008.14000006471178494, 540290.62999982119072229 177930.87000005412846804, 540355.65800000005401671 177757.18700015026843175, 540308.50499985762871802 177709.13300010090461001, 540297.30600012221839279 177744.82600015681236982, 540236.78900011267978698 177699.42999987819348462, 540199.78200015472248197 177738.87399987931712531, 540221.46199983567930758 177765.05300006360630505, 540195.18100008554756641 177772.60399992627208121, 540179.13300010247621685 177942.97700003601494245, 540151.25299996533431113 177827.12100019276840612, 540104.9909998745424673 177844.15400014971964993, 540165.08699984441045672 177990.00000005576293916, 540049.00000001746229827 177969.00000015320256352, 540088.42299980146344751 177929.16399997324333526, 540065.05600004515144974 177877.47300001225084998, 539948.46499981649685651 177766.62300018878886476, 539854.93000011751428246 177689.4280000948056113, 539759.39599980821367353 177722.82400008550030179, 539720.33000010834075511 177704.43400008723256178, 539707.46299990243278444 177751.4190000957751181, 539761.05000000027939677 177847.44600004405947402, 539724.10699999798089266 177873.82100011731381528, 539627.59399994858540595 177603.07999983473564498, 539592.7879999220604077 177615.47800013443338685, 539619.21000015689060092 177817.51000008155824617, 539553.99999996658880264 177871.99999989705975167, 539553.96999999997206032 177935.86400000704452395, 539737.44000019354280084 177975.44799998615053482, 539803.07299983326811343 177988.6109998362371698, 539867.92300002300180495 178001.77400008717086166, 539939.35000006249174476 178017.05399980171932839, 540069.11500010220333934 178042.647999834647635, 540340.63499981269706041 178092.37200016525457613, 540345.39000013819895685 178012.63199982751393691, 540314.30699990096036345 178008.14000006471178494)))</t>
  </si>
  <si>
    <t>E01001585</t>
  </si>
  <si>
    <t>Greenwich 016B</t>
  </si>
  <si>
    <t>MultiPolygon (((543485.76999991829507053 179083.43799995031440631, 543556.81300008785910904 179037.48400009470060468, 543521.86100008513312787 178982.19299994455650449, 543687.77400009683333337 178902.66899991515674628, 543658.89099996176082641 178863.30899989916360937, 543700.38300001854076982 178810.20599993123323657, 543637.25000011548399925 178742.87600003046100028, 543592.88300004426855594 178824.15100006049033254, 543412.34500005724839866 178700.99100006523076445, 543310.06400007987394929 178629.57500001971493475, 543249.39299999841023237 178588.64799999998649582, 543225.4149999039946124 178628.13899990150821395, 543303.21899990760721266 178648.39799991890322417, 543287.98300002189353108 178708.3269999525800813, 543320.66699996415991336 178685.93300011625979096, 543385.6589999427087605 178731.88300001577590592, 543351.22399999981280416 178800.28700010105967522, 543318.67300004709977657 178804.24499988651950844, 543365.45200011064298451 178836.82100000584614463, 543323.83300012443214655 178837.28599988025962375, 543310.0529998856363818 178856.05899995009531267, 543341.90300003357697278 178879.54099994333228096, 543309.42000009072944522 178961.99199992069043219, 543243.69700000679586083 178935.77000000647967681, 543205.7099999813362956 179021.43699997346266173, 543262.06299994385335594 179036.14099990099202842, 543322.18800009461119771 179007.57800003443844616, 543369.70599992398638278 179052.33800001422059722, 543400.87699989986140281 179040.35200012303539552, 543409.31300006445962936 179092.51600000000325963, 543485.76999991829507053 179083.43799995031440631)))</t>
  </si>
  <si>
    <t>E01033735</t>
  </si>
  <si>
    <t>Greenwich 004G</t>
  </si>
  <si>
    <t>E02000316</t>
  </si>
  <si>
    <t>Greenwich 004</t>
  </si>
  <si>
    <t>MultiPolygon (((543323.11100012192036957 179309.74500010622432455, 543359.06299982499331236 179237.8220000046712812, 543389.00000003282912076 179261.0000000593427103, 543512.99999990314245224 179224.99999993122764863, 543611.00000016402918845 179243.9999998890561983, 543680.54600003908853978 179132.55699998591444455, 543734.50000008754432201 179140.90599998593097553, 543744.625 179088.34400000778259709, 543683.99999991874210536 179002.07799980623531155, 543696.93800009682308882 178905.12500011874362826, 543687.77400012814905494 178902.6689998515357729, 543521.86099995626136661 178982.19299991874140687, 543556.81300016096793115 179037.48399981405236758, 543485.77000007661990821 179083.43799992185086012, 543409.31300002033822238 179092.51600005154614337, 543400.8770000406075269 179040.35199990778346546, 543369.70599984377622604 179052.33799982652999461, 543322.18799998750910163 179007.578000012494158, 543262.06299985316582024 179036.14099991403054446, 543205.71000004222150892 179021.43700004371930845, 543243.69700010621454567 178935.76999987498857081, 543309.41999999689869583 178961.99199986874009483, 543341.90300008282065392 178879.54100010779802687, 543310.05300006724428385 178856.05899999686516821, 543323.83300005784258246 178837.28599994059186429, 543365.45200012810528278 178836.82100017185439356, 543318.6729998312657699 178804.24500005310983397, 543351.22399999212939292 178800.28700005935388617, 543385.65899983595591038 178731.88299988591461442, 543320.66699996090028435 178685.93299994530389085, 543287.98300007183570415 178708.32700004216167144, 543303.21900004066992551 178648.39800019373069517, 543225.41499991714954376 178628.13899989373749122, 543171.56299998122267425 178711.65499999216990545, 543162.40899983746930957 178661.04599991248687729, 543100.82500009378418326 178690.91200001872493885, 543116.60799989849328995 178724.64999988436466083, 543071.69100014376454055 178725.87599993436015211, 543054.99999994214158505 178788.00000011091469787, 542954 178811.99999993279925548, 542956.6410001921467483 178817.9419998359226156, 543059.47999981406610459 178842.77899995309417136, 543029.91599987808149308 178935.35600016248645261, 543123.94999981089495122 178972.25599995779339224, 543113.99999999848660082 179004.9999999827996362, 543042.00000013748649508 178992.0000001781154424, 543104.87699986563529819 179111.91000007186084986, 543055.27199984691105783 179194.23999981561792083, 543158.00000006717164069 179221.9999998546554707, 543182.22300001874100417 179306.49800008279271424, 543323.11100012192036957 179309.74500010622432455)))</t>
  </si>
  <si>
    <t>E01033737</t>
  </si>
  <si>
    <t>Greenwich 004I</t>
  </si>
  <si>
    <t>MultiPolygon (((543592.88300000596791506 178824.15100000001257285, 543637.24999996414408088 178742.87599991221213713, 543700.38299986382480711 178810.20599991726339795, 543806.71099998720455915 178758.36899993338738568, 543770.00000013341195881 178658.99999993751407601, 543817.98600000608712435 178623.20800000234157778, 543824.00000005168840289 178562.99999986684997566, 543793.58900009584613144 178501.88200012544984929, 543747.62900002347305417 178558.76199990985332988, 543705.66199990746099502 178496.08800013709696941, 543628.66999995242804289 178465.81400003773160279, 543661.80600012512877584 178335.13200001788209192, 543618.88999988080468029 178336.29999998360290192, 543603.67800000088755041 178268.93599999998696148, 543549.62000010279007256 178279.8310000462224707, 543588.06300008925609291 178342.91300011693965644, 543486.91800000483635813 178446.46800002091913484, 543476.95700012089218944 178407.87100004992680624, 543496.79400008113589138 178509.86899998033186421, 543442.57100000139325857 178532.72600004507694393, 543357.91600006876979023 178476.66600007025408559, 543310.06399994832463562 178629.57499991520307958, 543412.3449999043950811 178700.99100005472428165, 543592.88300000596791506 178824.15100000001257285)))</t>
  </si>
  <si>
    <t>E01001696</t>
  </si>
  <si>
    <t>Greenwich 011B</t>
  </si>
  <si>
    <t>E02000323</t>
  </si>
  <si>
    <t>Greenwich 011</t>
  </si>
  <si>
    <t>MultiPolygon (((543310.06400001188740134 178629.57499997835839167, 543357.91600004315841943 178476.66599989548558369, 543442.57099989254493266 178532.72599969865405001, 543496.79400014993734658 178509.8689998566696886, 543476.9570000923704356 178407.87100001564249396, 543486.91799981438089162 178446.4679997909697704, 543588.06300028332043439 178342.91300007933750749, 543549.62000017578247935 178279.83100011484930292, 543603.67799999995622784 178268.93600018319557421, 543558.67299976747017354 178214.91799996196641587, 543559.3710002948064357 178252.41899969361838885, 543506.47800018230918795 178261.66100021675811149, 543470.99999971489887685 178110.00000026429188438, 543373.99999975285027176 177883.81800017002387904, 543298.99999987077899277 177906.52099973039003089, 543292.14900011382997036 177872.9670002312050201, 543258.26099997188430279 177850.00000010035000741, 543278.4909999790834263 177834.74799986390280537, 543243.17299976444337517 177769.45599989860784262, 543211.13599991914816201 177802.49300024964031763, 543275.00000000675208867 177952.00000013635144569, 543278.9989997842349112 177966.99999974449747242, 542912.99999980675056577 177783.99999986041802913, 542596.19400015706196427 177688.4620000216527842, 542530.3750000688014552 177881.04699980080476962, 542376.18799999996554106 178142.21900005184579641, 542416.87499973992817104 178199.65599997824756429, 542497.18799982604105026 178259.21899969599326141, 542471.45899989642202854 178292.99899974404252134, 542626.39399984281044453 178409.97899989361758344, 542706.1250002752058208 178462.59499970279284753, 542972.63300021050963551 178509.46900014535640366, 543184.43799974373541772 178544.82799975347006693, 543249.39299969444982708 178588.64800016608205624, 543310.06400001188740134 178629.57499997835839167)))</t>
  </si>
  <si>
    <t>E01001699</t>
  </si>
  <si>
    <t>Greenwich 015B</t>
  </si>
  <si>
    <t>E02000327</t>
  </si>
  <si>
    <t>Greenwich 015</t>
  </si>
  <si>
    <t>MultiPolygon (((542827.31300000008195639 176685.60899994769715704, 542791.07400001317728311 176487.31699987684260122, 542781.2830001664115116 176466.9230001294054091, 542723.31299978168681264 176347.7340001237753313, 542663.62499981210567057 176332.71900007876683958, 542539.07599980349186808 176219.48899981408612803, 542454.81500005512498319 176123.33800008427351713, 542433.80600008578039706 176094.79099980954197235, 542261.00000000756699592 175920.29699984207400121, 542174.86299980035983026 175895.35500014555873349, 542162.09499978844542056 175906.09899980024783872, 542110.00000010477378964 176089.99999984898022376, 542105.74599975731689483 176088.82700011931592599, 542069.84200014104135334 176273.30999986309325323, 542106.79300011938903481 176341.67499978191335686, 541973.98100016114767641 176307.13300002380856313, 541920.94900007627438754 176450.76199975764029659, 541826.55499996629077941 176401.78200023891986348, 541750.20200000004842877 176456.20200002589263022, 541765.40299988107290119 176477.99899986185482703, 541833.22199984709732234 176593.22100005447282456, 541796.51899982953909785 176587.86800019588554278, 541770.99999984866008162 176633.0000002020096872, 541920.32199976081028581 176601.74799991020699963, 542093.97399997874163091 176565.00599985750159249, 542099.96199985628481954 176599.68500005645910278, 542202.35899986140429974 176653.53599980103899725, 542250.43100019264966249 176634.90599981782725081, 542262.9649999940302223 176583.96199987159343436, 542344.64700017007999122 176509.29199984532897361, 542442.72399985138326883 176541.58800020642229356, 542515.71200003533158451 176543.17899978742934763, 542545.9999999845167622 176623.8269997927127406, 542572.7919997574063018 176750.01599985448410735, 542827.31300000008195639 176685.60899994769715704)))</t>
  </si>
  <si>
    <t>E01001648</t>
  </si>
  <si>
    <t>Greenwich 022C</t>
  </si>
  <si>
    <t>E02000334</t>
  </si>
  <si>
    <t>Greenwich 022</t>
  </si>
  <si>
    <t>MultiPolygon (((543017.43699985451530665 176117.34800013768835925, 543088.26100007863715291 175946.34000010791351087, 543115.3749998074490577 175858.57799996435642242, 543381.00599983485881239 175888.029999905731529, 543394.81099999987054616 175843.05600019241683185, 543328.23099999106489122 175832.69800018199020997, 543346.13899986376054585 175741.40200001047924161, 543061.74999993352685124 175698.83500017170445062, 543038.82600019103847444 175854.28500000675558113, 542962.00000004598405212 175849.00000006263144314, 542956.5620001289062202 175823.93699985530111007, 542941.76899979915469885 175754.3270000632328447, 542906.58799983304925263 175764.01699983925209381, 542911.88200008554849774 175827.47099988325498998, 542850.70699994394090027 175822.47400007903343067, 542841.5849999935599044 175784.72300010290928185, 542826.80600005341693759 175820.17100002983352169, 542806.00000019138678908 175818.00000017986167222, 542773.57000017690006644 175812.10899987383163534, 542693.52100003114901483 176044.63400000866386108, 542656.54599993664305657 176054.1309999723744113, 542616.85400019970256835 175945.79999984559253789, 542584.22800000000279397 175950.50899991521146148, 542605.65399980277288705 176024.52499979856656864, 542689.99899987387470901 176260.00000003798049875, 542717.81000006513204426 176333.2219998283253517, 542978.12499980686698109 176298.37399992268183269, 543017.37499998195562512 176236.26600010468973778, 543017.43699985451530665 176117.34800013768835925)))</t>
  </si>
  <si>
    <t>E01001610</t>
  </si>
  <si>
    <t>Greenwich 023C</t>
  </si>
  <si>
    <t>E02000335</t>
  </si>
  <si>
    <t>Greenwich 023</t>
  </si>
  <si>
    <t>MultiPolygon (((542584.22799998626578599 175950.50900022388668731, 542616.85400022298563272 175945.79999981712899171, 542656.54600013676099479 176054.1310002158570569, 542693.52100001997314394 176044.63400015697698109, 542773.56999989913310856 175812.10900007918826304, 542806.00000011583324522 175818.0000001615844667, 542826.80600000533740968 175820.17100016886251979, 542841.58499984431546181 175784.72300003521377221, 542850.7069998033111915 175822.47399984142975882, 542911.8820001173298806 175827.47100004839012399, 542906.58799987786915153 175764.01700008264742792, 542941.76900000509340316 175754.32699978200253099, 542956.56200000585522503 175823.93700013411580585, 543005.99999996949918568 175762.00000005893525667, 542969.68199998117052019 175747.47400006462703459, 543007.14000005763955414 175533.98500014099408872, 542878.99999980884604156 175450, 542901.33500004804227501 175560.00000012147938833, 542865.4479999088216573 175561.00100001462851651, 542870.74499992630444467 175593.0279998080804944, 542806.27400020323693752 175586.15300022129667923, 542787.19999986665789038 175611.23299991685780697, 542787.14500019315164536 175648.54300001496449113, 542754.42799980286508799 175668.03299996326677501, 542759.46100004098843783 175741.76300013792933896, 542718.00100009434390813 175757.99999989129719324, 542605.06700012867804617 175715.2670001155056525, 542526.6619998759124428 175736.87199987302301452, 542542.83900002622976899 175798.88999979384243488, 542260.99999994249083102 175920.29699998020078056, 542433.80599991814233363 176094.79100021874182858, 542454.81499990832526237 176123.3380001446348615, 542539.07599983911495656 176219.48899988477933221, 542663.62499989999923855 176332.71899980722810142, 542723.3129999004304409 176347.73399999999674037, 542717.8100000040140003 176333.22200016744318418, 542689.99900011613499373 176259.99999983361340128, 542605.65400011267047375 176024.52500004740431905, 542584.22799998626578599 175950.50900022388668731)))</t>
  </si>
  <si>
    <t>E01001611</t>
  </si>
  <si>
    <t>Greenwich 023D</t>
  </si>
  <si>
    <t>MultiPolygon (((542129.08200009586289525 175009.5510000950016547, 542118.68200004240497947 174986.65899989087483846, 542180.96600002562627196 174926.70000007990165614, 542111.46700007235631347 174882.17100004514213651, 542149.99999999080318958 174835.9999999045394361, 542193.34100011351983994 174657.09499986740411259, 542194.41799994104076177 174652.19399983854964375, 542201.0570000521838665 174646.76899997878354043, 542210.56099999998696148 174603.11999989100149833, 542166.50699991988949478 174559.79300015125772916, 542089.48100015451200306 174541.98400007368763909, 541846.2250000003259629 174604.50299990782514215, 541616.87000002758577466 174627.91999999346444383, 541605.27700013434514403 174653.32099991812719963, 541603.99799984798301011 174672.15799994705594145, 541589.17499987222254276 174726.88700000295648351, 541657.99700006248895079 174792.74800005491124466, 541559.90999999991618097 174884.340000133641297, 541595.00000012188684195 174916.00000014062970877, 541724.59399993403349072 175082.29100003666826524, 541831.63799992599524558 175000.50699999384232797, 541882.55400001164525747 175048.34599992891889997, 541873.72899992798920721 175161.13299992628162727, 541995.0000000010477379 175117.9999999153369572, 542014.99999997881241143 175107.00000009028008208, 542083.51599997980520129 175069.21200012136250734, 542137.1730001358082518 175039.76699992729118094, 542129.08200009586289525 175009.5510000950016547)))</t>
  </si>
  <si>
    <t>E01001620</t>
  </si>
  <si>
    <t>Greenwich 025A</t>
  </si>
  <si>
    <t>E02000337</t>
  </si>
  <si>
    <t>Greenwich 025</t>
  </si>
  <si>
    <t>MultiPolygon (((542459.62500018707942218 174481.9529999841179233, 542344.56299985607620329 174481.0779999999795109, 542207.95499986712820828 174500.13599983221502043, 542089.48099991783965379 174541.98399999566026963, 542166.50700004410464317 174559.79300001219962724, 542210.56099993514362723 174603.12000008564791642, 542201.05700004030950367 174646.76899998696171679, 542194.41799999785143882 174652.193999787181383, 542193.34099988243542612 174657.09500013515935279, 542150.00000008102506399 174835.99999992939410731, 542111.46700015291571617 174882.17100000978098251, 542180.96600025170482695 174926.7000000515836291, 542118.68200015823822469 174986.65899994102073833, 542129.08199988270644099 175009.55099981147213839, 542137.17300010612234473 175039.76699985098093748, 542083.5159999622264877 175069.21199991373578086, 542014.99999977729748935 175106.99999986687907949, 542090.75300004705786705 175192.42000016014208086, 542110.56400020583532751 175207.10800022806506604, 542207.96300021861679852 175276.84400003170594573, 542177.01999985449947417 175317.32100021478254348, 542280.19799988775048405 175402.78300019906600937, 542359.99999982118606567 175455.99999976580147631, 542442.99999998160637915 175495, 542488.00000025180634111 175455.3910001905169338, 542409.06400022387970239 175422.35900010706973262, 542462.2489999053068459 175249.01600023976061493, 542489.05700024880934507 175197.3520001593278721, 542535.1880000923993066 175150.49999987462069839, 542560.43900001340080053 175046.04300010157749057, 542605.43099993211217225 174931.80199978986638598, 542613.73099989746697247 174889.96100025088526309, 542616.31499988585710526 174874.78599975843098946, 542655.1140002227621153 174653.41799983507371508, 542643.30999989167321473 174647.8989998332108371, 542486.6249998421408236 174602.32799975640955381, 542447.2319998920429498 174554.12999976609717123, 542459.62500018707942218 174481.9529999841179233)))</t>
  </si>
  <si>
    <t>E01001621</t>
  </si>
  <si>
    <t>Greenwich 025B</t>
  </si>
  <si>
    <t>MultiPolygon (((542261.00000012398231775 175920.29699992609675974, 542542.83900000003632158 175798.88999996287748218, 542526.66200004296842963 175736.87199996763956733, 542475.18799996748566628 175539.60899997313390486, 542497.4000001261010766 175507.13300003949552774, 542488.00000004086177796 175455.3909998546296265, 542443.00000006624031812 175495.00000016432022676, 542360.00000006798654795 175455.99999991472577676, 542299.64399986935313791 175452.33800007391255349, 542291.47800008731428534 175452.66499991549062543, 542138.66200003609992564 175490.21299996759626083, 542142.93399997393134981 175527.3340001555334311, 542105.53099997492972761 175544.37400017306208611, 542096.51200009393505752 175637.55200003294157796, 541917.42299998993985355 175710.68400019890395924, 541767.91400012734811753 175647.43099986365996301, 541764.37599997222423553 175692.62199995873379521, 541735.99000018800143152 175672.88300018341396935, 541727.81299999996554106 175747.39100018740282394, 541799.87499980209395289 175813.04699995284317993, 541865.92799995467066765 175828.29799996980000287, 542118.68199992517475039 175887.20099993396434002, 542125.97700016666203737 175889.10199999241740443, 542162.09500001813285053 175906.09900005321833305, 542174.86300009780097753 175895.35500008828239515, 542261.00000012398231775 175920.29699992609675974)))</t>
  </si>
  <si>
    <t>E01001624</t>
  </si>
  <si>
    <t>Greenwich 025D</t>
  </si>
  <si>
    <t>MultiPolygon (((541917.4230001155519858 175710.68400004549766891, 542096.51200004701968282 175637.55200013500871137, 542105.53099989052861929 175544.37400008301483467, 542142.933999881031923 175527.33399981100228615, 542138.66200018103700131 175490.21299993951106444, 542291.4779999180464074 175452.66500014500343241, 542299.64400015049614012 175452.33799981200718321, 542360 175456.00000002051820047, 542280.19799994002096355 175402.78300015101558529, 542177.01999984250869602 175317.32100018399069086, 542207.96300001803319901 175276.84399988551740535, 542110.56399989745113999 175207.10799983949982561, 542090.75299998803529888 175192.41999996651429683, 542014.99999982502777129 175106.99999990701326169, 541995.00000013248063624 175117.99999983751331456, 541873.72900017502252012 175161.13299984650802799, 541882.55399985751137137 175048.34599993351730518, 541831.63799995847512037 175000.50699985199025832, 541724.59399993100669235 175082.29099983550258912, 541594.99999990651849657 174915.999999954510713, 541563 174943.99900008601252921, 541617.86800011398736387 175010.98899999351124279, 541729.30099984002299607 175136.19699982900056057, 541778.99999986705370247 175219.00000017750426196, 541597.30099987704306841 175311.59400007349904627, 541627.35900009446777403 175366.96200013000634499, 541793.80899988149758428 175287.76099983751191758, 541866.13700013945344836 175289.36399996001273394, 541790.84299984795507044 175380.44199985501472838, 541720.8839999990304932 175404.42900001749512739, 541712.54399992199614644 175449.76700015150709078, 541630.01399996853433549 175460.4790001469955314, 541732.0750001824926585 175548.96199992200126871, 541707.00000017695128918 175591.00000003699096851, 541689.26400012848898768 175694.59500009851763025, 541726.0670001880498603 175669.0899998634995427, 541735.99000007100403309 175672.88300017250003293, 541764.3759998909663409 175692.62199989901273511, 541767.91400005004834384 175647.43100003901054151, 541917.4230001155519858 175710.68400004549766891)))</t>
  </si>
  <si>
    <t>E01001625</t>
  </si>
  <si>
    <t>Greenwich 025E</t>
  </si>
  <si>
    <t>MultiPolygon (((542759.46099986683111638 175741.76300007550162263, 542754.42799990926869214 175668.03300017223227769, 542787.14499986148439348 175648.5429999812040478, 542787.19999989704228938 175611.23300000038580038, 542806.27400014235172421 175586.15300013817613944, 542870.74499987647868693 175593.02799996157409623, 542865.44800010381732136 175561.00099997071083635, 542901.33499994012527168 175560.00000003454624675, 542878.99999997823033482 175450.00000001484295353, 543007.14000015635974705 175533.98499992318102159, 543066.42199986428022385 175388.85800000905874185, 543066.59900014044251293 175341.13499998563202098, 543120.41700000013224781 175308.39099991900729947, 543091.61099999106954783 175299.95199982757912949, 543087.49499985063448548 175252.89599994462332688, 543108.96899983764160424 175163.81099987370544113, 542914.76299996068701148 175120.45999992996803485, 542891.91800008912105113 175209.29600013082381338, 542871.75900014431681484 175287.95400002074893564, 542817.32400007965043187 175377.80800007176003419, 542732.44599998171906918 175356.23899995861575007, 542711.78199987194966525 175392.05699997665942647, 542617.33200001670047641 175326.76300003350479528, 542686.38799990364350379 175464.18999994624755345, 542680.05400004214607179 175522.43699989008018747, 542668.55399997544009238 175527.74399986321805045, 542583.00000005448237062 175349.99999986760667525, 542509.00000007357448339 175313.0009998616296798, 542522.78700003528501838 175236.12500005736364983, 542462.24899990286212415 175249.0160000538744498, 542409.06400000001303852 175422.35899988637538627, 542487.99999984353780746 175455.39100010698894039, 542497.4000001362292096 175507.13300017575966194, 542475.187999865738675 175539.60900013372884132, 542526.66199982585385442 175736.87200004811165854, 542605.06699990772176534 175715.26700013800291345, 542718.0009999176254496 175758.00000006999471225, 542759.46099986683111638 175741.76300007550162263)))</t>
  </si>
  <si>
    <t>E01001607</t>
  </si>
  <si>
    <t>Greenwich 027B</t>
  </si>
  <si>
    <t>E02000339</t>
  </si>
  <si>
    <t>Greenwich 027</t>
  </si>
  <si>
    <t>MultiPolygon (((543243.17300013650674373 177769.45600023536826484, 543247.99900015187449753 177736.00000003518653102, 543191.33799984841607511 177759.65899992056074552, 543164.41900021675974131 177700.32399989743134938, 543227.05999992007855326 177703.42100002273218706, 543219.09800032759085298 177671.34499983771820553, 543156.43700010282918811 177675.92600029203458689, 543184.90700011211447418 177631.51000005810055882, 543128.13599993765819818 177585.96399999994901009, 543122.00000006705522537 177547.99900002378853969, 543207.95200003986246884 177526.05100002550170757, 543208.61800015438348055 177466.88299999409355223, 543255.55200030305422843 177467.63900012400699779, 543232.52599997154902667 177516.56599998628371395, 543255.99999986204784364 177543.55499977798899636, 543321.3709998126141727 177296.51699972068308853, 543352.13799973565619439 177343.92399991367710754, 543331.64900024712551385 177460.91499970835866407, 543355.99599995475728065 177541.48599968140479177, 543436.59999982244335115 177512.84899968045647256, 543438.43999984266702086 177431.36800029096775688, 543491.96100019849836826 177431.8899997147382237, 543496.07700001797638834 177407.61500001946114935, 543283.03399999451357871 177235.09299974550958723, 543279.99200013768859208 177186.67100022902013734, 543272.83000009076204151 177127.41199992297333665, 543251.32599994679912925 177021.43700002366676927, 543205.49999991443473846 176970.31199993164045736, 543189.6879997868090868 176848.79699980342411436, 543101.00000000966247171 176686.28100006518070586, 543055.68799999170005322 176688.46899970126105472, 543047.13100003800354898 176635.09700000000884756, 542909.5670002963161096 176664.66899990267120302, 542827.31299970112740993 176685.60899972770130262, 542572.79200031864456832 176750.0160002525371965, 542436.28399987053126097 176792.31999990149051882, 542344.19200032227672637 176825.67999986320501193, 542286.02499998197890818 176976.91099991882219911, 542300.07299980649258941 177021.07599970264709555, 542392.68899996264372021 177154.56200014933710918, 542293.93800019496120512 177230.57799974651425146, 542373.12499978218693286 177606.0160001163603738, 542596.19400019687600434 177688.46199985666316934, 542913.00000025739427656 177784.00000007112976164, 543278.99899985606316477 177967, 543274.9999997237464413 177951.99999986391048878, 543211.13600006909109652 177802.49299973461893387, 543243.17300013650674373 177769.45600023536826484)))</t>
  </si>
  <si>
    <t>E01001701</t>
  </si>
  <si>
    <t>Greenwich 015C</t>
  </si>
  <si>
    <t>MultiPolygon (((543447.66000000247731805 177742.93000009417301044, 543485.09999987401533872 177694.6989998773788102, 543466.76100004906766117 177672.99400011546094902, 543433.24999995122198015 177600.29899993006256409, 543355.99600006104446948 177541.48599985355394892, 543331.64900007960386574 177460.91500012259348296, 543352.1379998727934435 177343.92400010352139361, 543321.3709999832790345 177296.51699999999254942, 543256.0000000138534233 177543.55500013567507267, 543232.52599993697367609 177516.56599993479903787, 543255.55199996114242822 177467.63900009912322275, 543208.61800000921357423 177466.88299987677601166, 543207.95200008200481534 177526.05100001610117033, 543122.00000012607779354 177547.9990000564721413, 543128.13599986187182367 177585.9639998706697952, 543184.90699995821341872 177631.51000007599941455, 543156.43700002098921686 177675.92599989654263481, 543219.09799988009035587 177671.34500009240582585, 543227.05999992461875081 177703.42099994045565836, 543164.41899996157735586 177700.32399987240205519, 543191.33800006844103336 177759.65899989180616103, 543247.99899997352622449 177735.99999993684468791, 543243.17299999285023659 177769.4559999390039593, 543278.49099999479949474 177834.74800012048217468, 543258.26099996990524232 177849.99999997793929651, 543292.14899992488790303 177872.96700011022039689, 543298.99999998917337507 177906.52100000000791624, 543374.00000002421438694 177883.81800014385953546, 543374.00000002421438694 177878.00000006827758625, 543366.00000008556526154 177760.00000005785841495, 543447.66000000247731805 177742.93000009417301044)))</t>
  </si>
  <si>
    <t>E01001702</t>
  </si>
  <si>
    <t>Greenwich 015D</t>
  </si>
  <si>
    <t>MultiPolygon (((538622.61599981028120965 176708.59400001380709, 538850.57300019590184093 176663.10599995314260013, 538855.00000003736931831 176449.99999988812487572, 538914 176420.99999986361945048, 538732.00000012246891856 176332.99999987648334354, 538599.17399980069603771 176274.84899996576132253, 538418.58699979644734412 176205.15200015107984655, 538365.88399998168461025 176145.88600008576759137, 538337.4029998310143128 176157.80800001125317067, 538351.79999982728622854 176295.70299987687030807, 538371.81800001813098788 176352.01299983152421191, 538411.0000000256113708 176351.99999992165248841, 538408.04099980602040887 176388.58700013865018263, 538385.05499991215765476 176465.24699983204482123, 538356.28000004740897566 176457.88499979933840223, 538330.90000007278285921 176532.1819999756407924, 538288.00100000645034015 176495.80099979060469195, 538289.54699993110261858 176556.35799979622242972, 538169.79599994502495974 176561.98100020395941101, 538161.28199981956277043 176561.0550001667579636, 538084.60700000310316682 176542.43900015251711011, 538076.16599985817447305 176557.13799987221136689, 538106.59600009233690798 176563.95200010240660049, 538070.56199999991804361 176697.14500011876225471, 538146.08699993696063757 176693.74899991118581966, 538162.99999994691461325 176697.00000005326000974, 538423.10499985050410032 176738.56199991420726292, 538467.95100020873360336 176733.9090000172436703, 538622.61599981028120965 176708.59400001380709)))</t>
  </si>
  <si>
    <t>E01003204</t>
  </si>
  <si>
    <t>Lewisham 007C</t>
  </si>
  <si>
    <t>E02000659</t>
  </si>
  <si>
    <t>Lewisham 007</t>
  </si>
  <si>
    <t>E09000023</t>
  </si>
  <si>
    <t>Lewisham</t>
  </si>
  <si>
    <t>MultiPolygon (((537413.81300012127030641 176909.15599998316611163, 537424.37500005983747542 176856.14100010559195653, 537491.39599999994970858 176858.99499993346398696, 537479.07599992642644793 176808.91699999113916419, 537415.93500007013790309 176789.64199998357798904, 537371.05600005248561502 176726.82599997147917747, 537348.69400002446491271 176709.88299997366266325, 537321.8129998940275982 176679.42000009585171938, 537179.99999988474883139 176792.99999995759571902, 537225.57300002034753561 176695.61399987648474053, 537308.00000013737007976 176656.99999992607627064, 537233.00000013294629753 176570.99999989755451679, 537160.00000000023283064 176741.00000008277129382, 537129.01100005314219743 176734.10900008396129124, 537025.37200007494539022 176650.83899997232947499, 536947.89600006060209125 176741.6769998625095468, 536908.18400000012479722 176792.2190000643604435, 536961.0000000698491931 176899.99999995238613337, 537008.64799997396767139 176876.64600005329702981, 537045.54300005082041025 176910.55399997200584039, 536985.56699986243620515 176959.2369999680086039, 536996.84699996770359576 176997.48000010242685676, 537041.07600000512320548 176986.5320001351647079, 537169.38899993197992444 176958.82599997377838008, 537176.05099998926743865 176957.49100000321050175, 537363.40300004102755338 176917.73800013909931295, 537413.81300012127030641 176909.15599998316611163)))</t>
  </si>
  <si>
    <t>E01003207</t>
  </si>
  <si>
    <t>Lewisham 005A</t>
  </si>
  <si>
    <t>E02000657</t>
  </si>
  <si>
    <t>Lewisham 005</t>
  </si>
  <si>
    <t>MultiPolygon (((540037.81300017994362861 176784.1410000626638066, 540137.17899988708086312 176490.31200026869191788, 540168.87500034540425986 176431.250000020256266, 540148.88400015071965754 176381.69700005825143307, 539952.37599987199064344 176468.28100010668276809, 539887.43500005081295967 176455.10400019871303812, 539921.63799976126756519 176309.00000032151001506, 539906.4509998339926824 176222.09199971429188736, 539942.59700005291961133 176129.23900006851181388, 539864.44600024097599089 176092.36199990208842792, 539713.63999977975618094 176030.64099987150984816, 539701.60800022224429995 176027.27299973060144112, 539656.60599965939763933 176014.67499993994715624, 539588.03100034443195909 175996.49399987747892737, 539385.24900024372618645 175965.17500025941990316, 539381.9239999350393191 175979.28300000188755803, 539384.00000011990778148 176012.00000013888347894, 539277.27200000174343586 176019.92499994847457856, 539297.9980003236560151 176082.23000032096751966, 539206.44799972837790847 176142.57300003126147203, 539163.22299991466570646 176130.11200009670574218, 539061.11100001621525735 176160.9150003281829413, 539038.99999975936952978 176209.00000012569944374, 539006.00000020570587367 176367.99999988416675478, 538913.99999968963675201 176421.00000003693276085, 538855.00000012689270079 176449.9999997507838998, 538850.57299999985843897 176663.10599966006702743, 538957.40599993639625609 176655.61399970733327791, 539841.00000019592698663 176831.67200016614515334, 540129.3099997938843444 176895.01799971613218077, 540250.21600000001490116 176916.85899974056519568, 540084.45200010144617409 176847.81599969623493962, 540037.06300007877871394 176828.07799967002938502, 540037.81300017994362861 176784.1410000626638066)))</t>
  </si>
  <si>
    <t>E01003200</t>
  </si>
  <si>
    <t>Lewisham 009B</t>
  </si>
  <si>
    <t>E02000661</t>
  </si>
  <si>
    <t>Lewisham 009</t>
  </si>
  <si>
    <t>MultiPolygon (((537232.42299986421130598 177254.00000004540197551, 537266.99800012202467769 177180.48499998479383066, 537237.99999996658880264 177106.00000009388895705, 537232.37500002840533853 177067.64199988087057136, 537193.21699987899046391 177079.55599990196060389, 537176.05100011522881687 176957.49099984666099772, 537169.38900014525279403 176958.82599984845728613, 537041.07600013038609177 176986.53200013126479462, 536927.57299989380408078 177094.14999995668767951, 536875.72699986514635384 177130.76399986419710331, 536890.47600007720757276 177205.66600008285604417, 536846.74400006327778101 177199.53999987291172147, 536799.09499999997206032 177239.78399989276658744, 536824.04100000869948417 177261.85099988681031391, 536895.16299997281748801 177244.21099993243115023, 536899.45999993022996932 177424.18400003405986354, 536866.70399989478755742 177428.7220000988454558, 536861.93800007028039545 177470.13799993912107311, 536893.48599986860062927 177486.04399992650724016, 536864.15999996138270944 177544.32000015332596377, 536901.10699994419701397 177523.86100005608750507, 536982.69599989941343665 177481.108999902557116, 537028.87299985776189715 177455.96899992771795951, 537098.76100012345705181 177419.95099996044882573, 537393.1919999384554103 177358.49300004221731797, 537409.30399992794264108 177297.17399992476566695, 537416 177263.99999986705370247, 537232.42299986421130598 177254.00000004540197551)))</t>
  </si>
  <si>
    <t>E01003304</t>
  </si>
  <si>
    <t>Lewisham 039D</t>
  </si>
  <si>
    <t>E02006798</t>
  </si>
  <si>
    <t>Lewisham 039</t>
  </si>
  <si>
    <t>MultiPolygon (((539070.43599977949634194 177808.11700017590192147, 539151.66899996914435178 177717.24099991135881282, 539313.51400005386676639 177568.74799973436165601, 539350.60900016245432198 177521.74500041961437091, 539494.06499966525007039 177322.3430002681852784, 539505.93800021382048726 177305.96999997142120264, 539549.08000030729454011 177246.24000023744883947, 539841.03000000002793968 176848.161999868840212, 539840.9999996128026396 176831.67199977760901675, 538957.40600009285844862 176655.61399982412694953, 538850.5729997536400333 176663.10599958710372448, 538622.61599991552066058 176708.59399993577972054, 538467.9509998558787629 176733.9089998381678015, 538423.10500007285736501 176738.56199984540580772, 538162.99999963887967169 176697.00000041449675336, 538125.74199999985285103 176751.60500005405629054, 538191.9999999221181497 176871.99999958020634949, 538271.6929999653948471 176903.97699968464439735, 538315.81799987878184766 176925.8310003814403899, 538258.22800031478982419 176991.70499963668407872, 538230.1880004124250263 176980.55599985417211428, 538203.73400039225816727 177008.73399982202681713, 538211.99999985122121871 177017.0000001386506483, 538207.13799971994012594 177214.31499994636396877, 538278.7640002992702648 177248.75500010055839084, 538298.66299978282768279 177217.18100005053565837, 538263.3970001193229109 177122.32699991253321059, 538286.10799986775964499 177091.81099979265127331, 538326.26199999800883234 177147.9159999200492166, 538346.54700017429422587 177131.19000021403189749, 538332.67699958570301533 177183.77400036156177521, 538364.3540001071523875 177228.7259997971705161, 538428.20999990915879607 177251.16200028528692201, 538460.62699968786910176 177350.27899968621204607, 538406.49000008380971849 177411.09499971161130816, 538385.51200039929244667 177461.08899988592020236, 538411.14900016854517162 177498.85100002496619709, 538428.87699993967544287 177548.49099991944967769, 538489.39699957612901926 177544.07700042336364277, 538507.9679999336367473 177512.05299971241038293, 538808.40000015730038285 177685.10000026357010938, 538834.75399974454194307 177736.76999976622755639, 538880.25000019650906324 177726.12499962619040161, 539070.43599977949634194 177808.11700017590192147)))</t>
  </si>
  <si>
    <t>E01001642</t>
  </si>
  <si>
    <t>Greenwich 038C</t>
  </si>
  <si>
    <t>E02006931</t>
  </si>
  <si>
    <t>Greenwich 038</t>
  </si>
  <si>
    <t>MultiPolygon (((537949.65799993893597275 176991.30400016086059622, 537998.90000006090849638 176986.07100013861781918, 538043.59800009918399155 177038.40999996982282028, 538084.99999987904448062 177035.00000004601315595, 538073.35799987684004009 177007.83500011099386029, 537965.49099996709264815 176811.60399997275089845, 537983.03699996322393417 176793.82599998757359572, 538007.38600000459700823 176844.35199986837687902, 538062.00200013897847384 176801.84599999838974327, 538074.20399981772061437 176750.99500017479294911, 538125.74199999985285103 176751.60499984258785844, 538163 176697.00000002095475793, 538146.08700008725281805 176693.74900005417293869, 538070.56199990480672568 176697.14499992050696164, 538060.99800003110431135 176700.51899991056416184, 538025.3749998927814886 176722.54699989635264501, 537995.87099993519950658 176639.99999994691461325, 537953.87500012514647096 176619.46899995216517709, 538001.99400002544280142 176515.98299988504732028, 537977.95000000507570803 176505.39199986259336583, 537849.36199990927707404 176454.36999997921520844, 537810.24999995087273419 176469.99999992322409526, 537835.58599992340896279 176520.17300012096529827, 537873.65799984021577984 176527.66700005959137343, 537822.49499996670056134 176642.06999988199095242, 537897.57200018304865807 176631.72400011605350301, 537866.28699992492329329 176701.6440000870206859, 537709.50999986461829394 176742.32899981326772831, 537685.59199998690746725 176676.17699989784159698, 537715.09099987044464797 176635.24300000566290691, 537667.06899983331095427 176628.63200010627042502, 537664.56499998969957232 176637.37800015404354781, 537595.7810001332545653 176667.66500016846111976, 537614.68799982964992523 176742.90600004128646106, 537587.48699996096547693 176770.14200005371822044, 537560.68299990240484476 176789.65499988314695656, 537552.96900007745716721 176808.24400004016933963, 537542.72499987401533872 176818.57400016853353009, 537491.39600001473445445 176858.99499988136813045, 537424.37500011746305972 176856.14100009936373681, 537413.81300000008195639 176909.15599997629760765, 537417.73899984790477902 177000.49899996470776387, 537477.59100012388080359 176995.09400009264936671, 537514.03499983297660947 176890.73000006028451025, 537565.83399990911129862 176864.71100001331069507, 537613.87700003245845437 176910.88800007579266094, 537595.26099992520175874 176982.36900008647353388, 537684.03700018592644483 177023.24500016865204088, 537706.15199988672975451 177058.70700002077501267, 537746.99999985389877111 177035.00000004601315595, 537791.13500009628478438 177011.39899991775746457, 537949.65799993893597275 176991.30400016086059622)))</t>
  </si>
  <si>
    <t>E01001644</t>
  </si>
  <si>
    <t>Greenwich 038D</t>
  </si>
  <si>
    <t>MultiPolygon (((540100.62800004123710096 177573.60399982830858789, 540113.1379998471820727 177482.49500015084049664, 540105.99999988288618624 177286.9999998901039362, 540166.86700009310152382 177281.5169999624195043, 540173.51899978704750538 177280.68499990509008057, 540201.5309997817967087 177277.1020000935823191, 540226.0000001658918336 177332.9999998671701178, 540287.5490000091958791 177321.97499979246640578, 540263.82300007913727313 177414.55799983575707301, 540315.06399993039667606 177431.53300008983933367, 540330.15500006102956831 177368.71099987078923732, 540406.00000015238765627 177396.00000016903504729, 540425.00000000011641532 177372.99999996149563231, 540371.45300016365945339 177329.47499997439444996, 540349.99999993271194398 177308.916999908775324, 540336.99999996775295585 177282.99999996824772097, 540404.78699985868297517 177267.19699994442635216, 540394.67599996807985008 177218.37799991577048786, 540325.18900008837226778 177196.88599978477577679, 540189.74899986188393086 177232.94099984999047592, 540237.00000016984995455 177123.99999979042331688, 540240.15100017900113016 177033.64899982089991681, 540275.88599995267577469 177016.80700013553723693, 540306.58099984237924218 177061.23200003936653957, 540385.77100001834332943 177056.63699992440524511, 540388.24299998232163489 176947.03899986433680169, 540250.21599981701001525 176916.85900020439294167, 540129.31000000331550837 176895.01799982247757725, 539841.00000002444721758 176831.6720001716457773, 539841.02999984647613019 176848.16200001802644692, 539549.07999999995809048 177246.23999992449535057, 539621.38299990526866168 177226.53100020953570493, 539853.99999998940620571 177244.00000007337075658, 539852.00000002852175385 177268.99899994119186886, 539850.92299989168532193 177291.5080001269816421, 539905.52199979417491704 177318.55799995973939076, 539901.2690000154543668 177393.07999997207662091, 539961.92499985685572028 177426.81099989611539058, 539968.33499993523582816 177503.78199996502371505, 540005.33099998056422919 177495.25300006227917038, 540100.62800004123710096 177573.60399982830858789)))</t>
  </si>
  <si>
    <t>E01001580</t>
  </si>
  <si>
    <t>Greenwich 021A</t>
  </si>
  <si>
    <t>E02000333</t>
  </si>
  <si>
    <t>Greenwich 021</t>
  </si>
  <si>
    <t>MultiPolygon (((540683.11699991603381932 177069.41100001914310269, 540712.30400006438139826 176996.99999989182106219, 540747.83700001565739512 176912.89700012994580902, 540789.29899999999906868 176826.93799983453936875, 540648.87299998034723103 176752.19299983434029855, 540662.73399990634061396 176705.6999999716936145, 540613.9999998597195372 176684.99999981315340847, 540568.27199993748217821 176664.94300007994752377, 540435.54899999033659697 176604.18300009242375381, 540447.50800015137065202 176562.80500004545319825, 540402.40500002319458872 176467.52599994212505408, 540309.99599991273134947 176454.67800013007945381, 540238.23800006008241326 176395.88000013137934729, 540222.45499991846736521 176477.7960000989260152, 540144.73299999616574496 176494.68900005824980326, 540137.17899982165545225 176490.31200017625815235, 540037.81299997842870653 176784.14099985084612854, 540037.06299999996554106 176828.07799995227833278, 540084.45199982181657106 176847.81600009329849854, 540250.21599982189945877 176916.85900006143492647, 540388.24300000804942101 176947.03899987289332785, 540385.77100018435157835 177056.63699991910834797, 540438.41200005111750215 177052.06400005778414197, 540455.33899994927924126 177099.13399991139885969, 540539.60199993231799453 177130.78899986861506477, 540662.11300012725405395 177124.44400016340659931, 540683.11699991603381932 177069.41100001914310269)))</t>
  </si>
  <si>
    <t>E01001583</t>
  </si>
  <si>
    <t>Greenwich 021C</t>
  </si>
  <si>
    <t>MultiPolygon (((537609.93800000345800072 176491.4380000987148378, 537557.00000007962808013 176445.7970000000204891, 537497.99999998195562512 176504.00000003635068424, 537437.13000002573244274 176604.16900001169415191, 537426.20200004964135587 176642.24699994074762799, 537371.05599996447563171 176726.82599991568713449, 537415.93499993847217411 176789.64200006515602581, 537479.07599994190968573 176808.91700003008008935, 537491.39599993429146707 176858.99499999999534339, 537542.72500002838205546 176818.57400006573880091, 537552.96900009259115905 176808.2440000688075088, 537560.68299995921552181 176789.65500010063988157, 537587.48700009635649621 176770.14199994708178565, 537614.6880000454839319 176742.90600006136810407, 537595.78100000414997339 176667.66499990315060131, 537664.56500005489215255 176637.37799990773783065, 537667.06899997498840094 176628.63200002195662819, 537668.68100003548897803 176620.59199994913069531, 537619.56299991998821497 176596.03099990979535505, 537609.93800000345800072 176491.4380000987148378)))</t>
  </si>
  <si>
    <t>E01033325</t>
  </si>
  <si>
    <t>Lewisham 008F</t>
  </si>
  <si>
    <t>E02000660</t>
  </si>
  <si>
    <t>Lewisham 008</t>
  </si>
  <si>
    <t>MultiPolygon (((538076.16599991964176297 176557.13800004086806439, 538084.60700004349928349 176542.43900000379653648, 538161.2820000231731683 176561.05500000028405339, 538169.79600011883303523 176561.98099995494703762, 538289.54700002400204539 176556.35800002980977297, 538288.00099989341106266 176495.80100001950631849, 538330.90000007965136319 176532.18200012159650214, 538356.27999993797857314 176457.88499991653952748, 538316.09700002439785749 176384.71199999481905252, 538344.78200003411620855 176394.10899994836654514, 538344.9059999689925462 176348.90599987996392883, 538303.12200002837926149 176360.62699988318490796, 538239.44899990712292492 176319.91399992021615617, 538162.93600010510999709 176221.20800000001327135, 538102.3100000562844798 176312.61399998384877108, 538090.30700012424495071 176335.82800003717420623, 538064.62300007767044008 176382.53699990132008679, 538044.29699993168469518 176417.05899989767931402, 538035.80500009539537132 176433.74900009247357957, 538001.99400007142685354 176515.98300006327917799, 537953.87500006204936653 176619.46899988412042148, 537995.8709999721031636 176640.0000000539876055, 538025.37499990570358932 176722.54699999999138527, 538060.99800000537652522 176700.5190000721195247, 538070.56199999060481787 176697.14499988223542459, 538106.59600005857646465 176563.95199994527501985, 538076.16599991964176297 176557.13800004086806439)))</t>
  </si>
  <si>
    <t>E01003205</t>
  </si>
  <si>
    <t>Lewisham 007D</t>
  </si>
  <si>
    <t>MultiPolygon (((537527.30000001133885235 177112.29999996247352101, 537408.89999991015065461 177066.30000005013425834, 537539.59999992663506418 177094.60000015489640646, 537537.89999994717072695 177048.50000013745739125, 537413.40200015984009951 177005.29399998093140312, 537417.73899987468030304 177000.49900000161142088, 537413.81300015805754811 176909.15599999998812564, 537363.40299994812812656 176917.73799983898061328, 537176.05100017343647778 176957.49099983632913791, 537193.217000070377253 177079.55600017495453358, 537232.37500016519334167 177067.64199987024767324, 537237.99999993259552866 177105.9999998472048901, 537266.99799983121920377 177180.48500005871756002, 537232.42299999878741801 177253.9999999737192411, 537416.00000014330726117 177264.00000000180443749, 537409.30400004552211612 177297.17399987980024889, 537393.19199988292530179 177358.4930000610766001, 537379.54899985739029944 177482.9439999436144717, 537566.56299985514488071 177522.15600016748066992, 537584.06199988524895161 177567.41199994852649979, 537626.12399985152296722 177591.4130001615267247, 537678.04799991764593869 177619.62099995277822018, 537736.80100000440143049 177631.90900000001420267, 537790.89999982644803822 177580.99999991626827978, 537656.7000001072883606 177512.80000016564736143, 537624.92200017848517746 177299.45000003089080565, 537643.70000017923302948 177221.29999994332320057, 537598.9000000823289156 177211.80000007926719263, 537527.30000001133885235 177112.29999996247352101)))</t>
  </si>
  <si>
    <t>E01032579</t>
  </si>
  <si>
    <t>Lewisham 039E</t>
  </si>
  <si>
    <t>MultiPolygon (((537830.38899988599587232 177685.09299993771128356, 537790.90000003727618605 177581.00000012692180462, 537736.80099999951198697 177631.90900011797202751, 537750.94399990094825625 177681.31999987392919138, 537830.38899988599587232 177685.09299993771128356)),((537942.88100001483689994 177364.9999998701387085, 537978.41399983945302665 177343.22500008463975973, 538092.86599987174849957 177363.64800016907975078, 538134.08699991193134338 177315.53399995568906888, 538140.00000013341195881 177312.99999998536077328, 538022.83599995786789805 177271.50099986218265258, 538044.50099984207190573 177238.99300002452218905, 538006.31899994262494147 177263.80599990993505344, 537916.47799989383202046 177219.4809999953431543, 537935.43599983816966414 177169.69299987112754025, 537801.79199990513734519 177155.35900009959004819, 537802.99999998486600816 177125.99999988812487572, 537836.14099979482125491 177125.99999988812487572, 537791.13500003411900252 177011.39900003102957271, 537746.99999994901008904 177035.00000008975621313, 537706.15200011455453932 177058.70699988707201555, 537684.0369998028036207 177023.2450000403332524, 537595.26099983742460608 176982.36899989840458147, 537613.87700000568293035 176910.88799999823095277, 537565.83400018571410328 176864.71100000001024455, 537514.03500016208272427 176890.72999988379888237, 537477.59099986660294235 176995.0939999085967429, 537526.09999993338715285 176998.30000019026920199, 537577.49999994097743183 177057.39999993779929355, 537565.89899991953279823 177145.30000002440647222, 537670.09999996598344296 177205.90000008838251233, 537667.86099993868265301 177329.75400007894495502, 537703.56299998564645648 177457.27299989768653177, 537807.90000015939585865 177543.19999996767728589, 537879.56500006071291864 177694.84099983476335183, 537938.0000001973239705 177696, 537942.99999986647162586 177664.99999997275881469, 537891.99999991548247635 177620.000000040512532, 537836.30799993581604213 177521.09899980970658362, 537863.92700004624202847 177504.03000020666513592, 537928.00000002759043127 177465.99999983818270266, 537947.79499992751516402 177453.28300015334389172, 538010.99999993958044797 177439.99999989580828696, 537974.99999982758890837 177369.99999995497637428, 537942.88100001483689994 177364.9999998701387085)))</t>
  </si>
  <si>
    <t>E01033730</t>
  </si>
  <si>
    <t>Greenwich 035D</t>
  </si>
  <si>
    <t>E02006928</t>
  </si>
  <si>
    <t>Greenwich 035</t>
  </si>
  <si>
    <t>MultiPolygon (((537866.28700001025572419 176701.64399989231606014, 537897.57200001948513091 176631.7239999117446132, 537822.49500006739981472 176642.06999988571624272, 537873.65800007584039122 176527.66700004835729487, 537835.58599989546928555 176520.1729999479430262, 537810.24999995203688741 176470.00000005739275366, 537849.36200006504077464 176454.37000000642728992, 537977.95000008167698979 176505.39199992938665673, 538001.99399991694372147 176515.98299995544948615, 538035.80499991995748132 176433.74899997666943818, 538044.29700001259334385 176417.05899990722537041, 538064.62299990886822343 176382.53699990443419665, 538090.3070001199375838 176335.82800000885617919, 538102.30999996932223439 176312.61399987098411657, 538040.28299992252141237 176262.69499992445344105, 537999.80600001476705074 176232.60000009194482118, 537968.87500011222437024 176208.84400000001187436, 537895.15400006296113133 176282.48800002536154352, 537863.29999989026691765 176338.60000007224152796, 537836.68800012092106044 176318.75000003329478204, 537822.68800000275950879 176345.2969999901833944, 537770.41899996495340019 176363.98800013225991279, 537683.31299997179303318 176413.84400003487826325, 537698.92800002498552203 176545.3980000680021476, 537668.68099991302005947 176620.59199994924711064, 537667.06900003086775541 176628.63200007428531535, 537715.09099987137597054 176635.2430000762687996, 537685.59199987805914134 176676.17700003981008194, 537709.50999989232514054 176742.32899999999790452, 537866.28700001025572419 176701.64399989231606014)))</t>
  </si>
  <si>
    <t>E01001638</t>
  </si>
  <si>
    <t>Greenwich 038A</t>
  </si>
  <si>
    <t>MultiPolygon (((548522.99999996251426637 174947.99999991210643202, 548560.00600022391881794 174947.27400010079145432, 548573.82399987336248159 174993.72400009859120473, 548721.55899978708475828 175006.87699979657190852, 548746.29099984059575945 174969.65699999648495577, 548786.41300015046726912 174833.59700002919998951, 548702.00000001455191523 174748.99999979519634508, 548630.76500010758172721 174790.77900012454483658, 548573.80400009278673679 174693.00099994757329114, 548611.62699992640409619 174657.29099991606199183, 548736.87299977289512753 174634.11100022876053117, 548774.61800014018081129 174727.63700021256227046, 548858.56200019898824394 174768.38399999233661219, 548889.99999979650601745 174716.00000017127604224, 548985.52599992486648262 174694.74499995581572875, 548969.66299981938209385 174467.69499997448292561, 548927.74600022193044424 174467.69499997448292561, 548920.07399981829803437 174329.39799990900792181, 548529.76300005463417619 174320.14899998879991472, 548283.26499984215479344 174297.05100000000675209, 548327.86699977633543313 174386.54400007979711518, 548222.21200017957016826 174449.47099993482697755, 548281.95599977788515389 174557.55400013411417603, 548257.02300002006813884 174650.06999992523924448, 548316.77999991283286363 174738.3099999705736991, 548275.72099996695760638 174774.83000008825911209, 548203.98800013994332403 174727.62399991799611598, 548153.30500013160053641 174716.33000000184983946, 548159.26899985584896058 174804.8589997983945068, 548128.35100007499568164 174814.33099977983511053, 548213.65700005367398262 175040.2360000143526122, 548265.84700011659879237 175052.34800002089468762, 548290.04100022884085774 175020.94699981025769375, 548269.44500007666647434 174936.38500022771768272, 548324.95400000852532685 174831.1090000849799253, 548382.96400017908308655 174869.50000022098538466, 548431.67599988577421755 174927.675999904749915, 548409.73800005437806249 174942.8309998634213116, 548432.22500000544823706 175130.14800002961419523, 548467.74600010889116675 175217.4910000000090804, 548492.90099986991845071 175217.24600004212697968, 548502.99999989755451679 175134.00000000980799086, 548535.28399983060080558 175133.82999980423483066, 548555.49200000625569373 175083.19300016560009681, 548511.63799978012684733 175055.55399977217894047, 548516.99999998905695975 174990.99999979860149324, 548522.99999996251426637 174947.99999991210643202)))</t>
  </si>
  <si>
    <t>E01000363</t>
  </si>
  <si>
    <t>Bexley 020D</t>
  </si>
  <si>
    <t>E02000084</t>
  </si>
  <si>
    <t>Bexley 020</t>
  </si>
  <si>
    <t>E09000004</t>
  </si>
  <si>
    <t>Bexley</t>
  </si>
  <si>
    <t>MultiPolygon (((549196.57400010584387928 174813.40300015831599012, 549522.39500015717931092 174716.6120000709197484, 549578.24799980560783297 174747.64099987124791369, 549571.65899981069378555 174791.64500006224261597, 549618.26700000884011388 174794.3960001808591187, 549664.56299980811309069 174706.3910000930482056, 549731.55600019986741245 174663.96499995276099071, 549838.3759999789763242 174605.45300002486328594, 549933.77100020414218307 174486.09199985628947616, 549979.68699999991804361 174342.9840000293625053, 549932.06299994315486401 174170.98399982077535242, 549769.69399977673310786 174268.12199985416373238, 549526.50000025751069188 174339.10900005663279444, 549322.13000012887641788 174346.03099986069719307, 549141.22599982761312276 174325.08199998535565101, 548983.8749999386491254 174324.62500002438900992, 548920.07400000002235174 174329.39799976276117377, 548927.74600024311803281 174467.69500000990228727, 548969.66299991449341178 174467.69500000990228727, 548985.52599990775343031 174694.74500023457221687, 548988.17799985397141427 174751.54299984284443781, 549045.0969998495420441 174841.03499988708063029, 549041.87700018251780421 174898.82500017923302948, 549211.00000010128132999 174865.0000000856234692, 549196.57400010584387928 174813.40300015831599012)))</t>
  </si>
  <si>
    <t>E01000364</t>
  </si>
  <si>
    <t>Bexley 023A</t>
  </si>
  <si>
    <t>E02000087</t>
  </si>
  <si>
    <t>Bexley 023</t>
  </si>
  <si>
    <t>MultiPolygon (((548117.12600018747616559 174294.76599990148679353, 548228.99900002486538142 174292.73700022185221314, 548283.26499999081715941 174297.05099990774760954, 548529.76300016196910292 174320.14900013757869601, 548920.07400028477422893 174329.397999777313089, 548983.87499979208223522 174324.62499998224666342, 549002.62499999988358468 174220.79699966439511627, 548811.6340001403586939 174127.64300026933779009, 548617.96300007659010589 174020.35700027181883343, 548544.54199984669685364 173978.30499986137147062, 548451.87499975552782416 173923.7190003388968762, 548483.18799982289783657 173887.0309997349686455, 548286.99999990407377481 173818.42199990610242821, 548201.9119999356335029 173752.03100028279004619, 548181.43699996767099947 173744.64399989403318614, 548150.99500003468710929 173793.89499967623851262, 548185.61000008310656995 173922.20600002942956053, 548089.97699988610111177 173985.00100029204622842, 548116.62100018456112593 174037.33600014439434744, 548147.87600011948961765 174026.86199979612138122, 548146.74900033976882696 174061.4299997606431134, 547954.12700020638294518 174243.96899966392084025, 547644.28400006634183228 174311.7370002961542923, 547639.96799999999348074 174356.3430001059314236, 547923.62700014095753431 174318.49400006743962876, 548117.12600018747616559 174294.76599990148679353)))</t>
  </si>
  <si>
    <t>E01000349</t>
  </si>
  <si>
    <t>Bexley 020B</t>
  </si>
  <si>
    <t>MultiPolygon (((547649.0000000410946086 174263.00000007729977369, 547639.43900024692993611 174220.31599978188751265, 547585.65700001607183367 174203.62799968451145105, 547641.58499986177776009 174113.85699999026837759, 547556.37799969932530075 174065.98000019311439246, 547589.34599978383630514 174020.29100009280955419, 547714.07000012078788131 173962.11299997213063762, 547716 173910.00000014007673599, 547510.00000019790604711 173989.00000019403523766, 547484.3969997379463166 173952.5960000352060888, 547430.36600004998035729 173986.94900019298074767, 547406.05399993702303618 174111.96800030529266223, 547335.64999973762314767 174179.87200019916053861, 547377.99999983864836395 173872.99999973285594024, 547342.00700013875029981 173865.95800016698194668, 547307.39000015170313418 173906.00999989931005985, 547287.18899971549399197 173997.63599966940819286, 547329.98999989626463503 174039.44199985204613768, 547306.90499977697618306 174123.57300020114053041, 547202.97499977599363774 174143.43199997008196078, 547170.76399968250188977 174219.58899984939489514, 546940.81500013277400285 174256.25099982580286451, 546918.21000026410911232 174256.02399995439918712, 546835.02400004421360791 174244.10100012391922064, 546672.85499991779215634 174375.90599975982331671, 546674.00000020861625671 174412.99999989327625372, 546378.84500008530449122 174470.21700031071668491, 546377.1319998293183744 174516.41799980975338258, 546344.41200000001117587 174532.32800021802540869, 546372.18600000941660255 174622.81999983306741342, 546532.32999995688442141 174581.53199974665767513, 546537.68399988696910441 174580.78500000375788659, 546886.01100019400473684 174548.36699984929873608, 547376.1519996621645987 174397.53100000249105506, 547412.11300021398346871 174390.55900011598714627, 547639.96799979312345386 174356.34300033978070132, 547644.283999755512923 174311.73699995211791247, 547649.0000000410946086 174263.00000007729977369)))</t>
  </si>
  <si>
    <t>E01000352</t>
  </si>
  <si>
    <t>Bexley 021D</t>
  </si>
  <si>
    <t>E02000085</t>
  </si>
  <si>
    <t>Bexley 021</t>
  </si>
  <si>
    <t>MultiPolygon (((549333.41599979239981622 173853.94299983140081167, 549404.25500006100628525 173743.83099988746107556, 549435.27899992512539029 173747.60200005274964496, 549469.42699997941963375 173704.94500010932097211, 549492.07899991341400892 173745.01199985833954997, 549505.99600000004284084 173694.99299987722770311, 549433.39399980497546494 173604.95799988228827715, 549321.83600018662400544 173661.57299995192443021, 549251.00000013748649508 173604.00000009426730685, 549267.09500017226673663 173566.61200009495951235, 549198.60699978063348681 173499.38300005279597826, 549177.08000001253094524 173486.22400007006945089, 549158.01299995591398329 173528.5060001062520314, 549156.63500007637776434 173579.88599990715738386, 549017.14099992637056857 173544.84000001443200745, 548981.2719999102409929 173551.88200002466328442, 548995.79499993228819221 173618.02400016505271196, 548914.33500021509826183 173614.95100015396019444, 548817.05100016156211495 173642.25900017659296282, 548682.76699993130750954 173765.88399980615940876, 548700.00000004703179002 173809.9999997831764631, 548813.00000008323695511 173767.00000020160223357, 548840.77899993257597089 173796.72400012065190822, 548813.04299997317139059 173829.21499986358685419, 548619.83399983576964587 173917.61600004581850953, 548617.96299999998882413 174020.35700018165516667, 548811.63400019367691129 174127.64299983321689069, 549002.62499982444569468 174220.79699994865222834, 548983.87500001979060471 174324.62499998623388819, 549141.22600020584650338 174325.08199997272458859, 549322.12999993981793523 174346.03099992993520573, 549355.44000010541640222 174175.09899981925264001, 549334.74600015627220273 174147.74500013125361875, 549470.54600015038158745 174085.40900020080152899, 549431.84499984700232744 174034.97999982375768013, 549441.08199986512772739 173954.12799989225459285, 549333.41599979239981622 173853.94299983140081167)))</t>
  </si>
  <si>
    <t>E01000449</t>
  </si>
  <si>
    <t>Bexley 023E</t>
  </si>
  <si>
    <t>MultiPolygon (((545862.27700011385604739 175301.1819999034923967, 545980.4209998695878312 175159.583999856346054, 546027.00000016030389816 175185.99999987534829415, 546168.33399995369836688 174984.26100003148894757, 546175.0000000890577212 174974.99900013275328092, 546261.12500012805685401 174867.40599984861910343, 546268.0390001165214926 174811.81299984676297754, 546268.82600000000093132 174740.42700009650434367, 545909.66699988546315581 174854.6369998746085912, 545879.95099987229332328 174810.95900004208669998, 545754.00000009976793081 174857.00000007677590474, 545601.08799996040761471 174910.93100011561182328, 545659.29099990904796869 174942.98600006455671974, 545663.82899995520710945 174986.29300005870754831, 545599.85699999995995313 175009.05099998528021388, 545611.19800001545809209 175049.08600001726881601, 545659.133000134723261 175130.19499991807970218, 545692.14399993314873427 175160.39200001466087997, 545760.01299985952209681 175118.16600007249508053, 545849.750000010128133 175226.38400003119022585, 545876.83899990178178996 175201.31700008359621279, 545828.87300009350292385 175266.92100008702254854, 545862.27700011385604739 175301.1819999034923967)))</t>
  </si>
  <si>
    <t>E01000411</t>
  </si>
  <si>
    <t>Bexley 016D</t>
  </si>
  <si>
    <t>E02000080</t>
  </si>
  <si>
    <t>Bexley 016</t>
  </si>
  <si>
    <t>MultiPolygon (((545311.9579998420085758 175159.05199998230091296, 545284.33799980371259153 175081.43100013825460337, 545568.87799994391389191 174975.57700022478820756, 545590.64800000004470348 174914.60400013366597705, 545122.99999988602939993 175082.00000009470386431, 545412.70999997295439243 174960.17600014398340136, 545378.15600010706111789 174908.1869999794580508, 545362.26600001100450754 174913.43800002720672637, 545137.68800000927876681 174989.95300025609321892, 545114.81299996236339211 175022.57800009465427138, 545028.00300007476471364 175023.78100022743456066, 545007.29099999030586332 175110.23000021988991648, 544856.24400016269646585 175188.45100015818024985, 544704.24999990686774254 175253.79700019303709269, 544586.8480002386495471 175349.84799987185397185, 544519.81300000008195639 175398.78100024873856455, 544798.99699990195222199 175485.84800000095856376, 544895.1239999532699585 175495.57400023867376149, 545091.38799978455062956 175556.69399973985855468, 545328.74499986751470715 175670.42300002052797936, 545373.34000000718515366 175597.90900022303685546, 545338.54200021363794804 175566.07300017916713841, 544966.26400011847727001 175418.39600001537473872, 545036.78100025991443545 175288.39100002951454371, 545326.0000000117579475 175198.99999973725061864, 545311.9579998420085758 175159.05199998230091296)))</t>
  </si>
  <si>
    <t>E01000412</t>
  </si>
  <si>
    <t>Bexley 018E</t>
  </si>
  <si>
    <t>E02000082</t>
  </si>
  <si>
    <t>Bexley 018</t>
  </si>
  <si>
    <t>MultiPolygon (((545754.00000004284083843 174857.00000004534376785, 545879.95099980605300516 174810.95900023137801327, 545909.66699988709297031 174854.6369998338050209, 546268.82600001653190702 174740.42699997432646342, 546262.81799997552298009 174661.46499978541396558, 546372.18599999998696148 174622.81999993283534423, 546344.41200008930172771 174532.32799984747543931, 546264.81299998506437987 174532.17200025060446933, 546231.06299980648327619 174497.0469998057524208, 546243.24999971082434058 174551.35900003457209095, 545958.72599997371435165 174630.38099987627356313, 545899.99899979133624583 174628.03699978376971558, 545864.24999970977660269 174624.28099978479440324, 545864.24999970977660269 174688.59399999360903166, 545776.1249997295672074 174723.12500000360887498, 545766.68699976010248065 174613.12499993079109117, 545729.7079999262932688 174619.03400010746554472, 545684.39999997173435986 174626.55099997241632082, 545471.08300002058967948 174659.5819999189407099, 545364.87500023818574846 174647.70299993944354355, 545339.80500021029729396 174599.54400026571238413, 545295.44400004262570292 174640.37100014896714129, 545391.06299987516831607 174727.96899978545843624, 545418.81299979984760284 174779.50000030634691939, 545446.87500016752164811 174771.67299994529457763, 545484.56299987458623946 174818.59400007963995449, 545515.3750001504085958 174805.4690001490234863, 545531.74999980209395289 174853.10899989074096084, 545378.15599976561497897 174908.18699972558533773, 545412.70999978820327669 174960.17599992774194106, 545123 175082.0000001942680683, 545590.64799980679526925 174914.60400012694299221, 545601.08799997356254607 174910.93099979334510863, 545754.00000004284083843 174857.00000004534376785)))</t>
  </si>
  <si>
    <t>E01000413</t>
  </si>
  <si>
    <t>Bexley 018F</t>
  </si>
  <si>
    <t>MultiPolygon (((547545.50000029196962714 175141.19999990030191839, 547585.60300001665018499 175042.95100027561420575, 547634.18500028958078474 175041.49400006036739796, 547739.49400002660695463 174911.53400024052825756, 547870.93200000189244747 174985.81900002228212543, 547966.75200023606885225 174997.43300009059021249, 547917.29699974623508751 174749.97400007848045789, 547929.00199975247960538 174779.03399999518296681, 547978.95699988876003772 174782.29499974753707647, 547935.59599989664275199 174663.24799999306560494, 547890.24999992561060935 174671.85899974350468256, 547871.23800005973316729 174633.72999971947865561, 547904.43800009752158076 174557.43699996804934926, 548051.18799971917178482 174421.15599981806008145, 548070.62500028917565942 174381.68700017451192252, 548033.81299989391118288 174376.79800001819967292, 548123.06300000008195639 174323.20299999814596958, 548117.1259999277535826 174294.7659998842573259, 547923.62699971301481128 174318.49400025821523741, 547639.96800001210067421 174356.34300029120640829, 547412.11300006648525596 174390.55900002640555613, 547376.15199992258567363 174397.53100027667824179, 547396.08099993655923754 174463.18899990321369842, 547350.27800022508017719 174547.57099979327176698, 547491.69999981415458024 174574.50000017482670955, 547512.20000008854549378 174603.10000027506612241, 547557.6000002435175702 174578.10000022876192816, 547575.69700001203455031 174616.12499998594284989, 547148.00100017222575843 174776.00000007514609024, 546941 175030.99999995631515048, 546999.17900014400947839 175090.58500020729843527, 547136.01800022553652525 175072.22899979693465866, 547164.99999994202516973 175217.54799986106809229, 547209.2509999901521951 175256.38700011573382653, 547545.50000029196962714 175141.19999990030191839)))</t>
  </si>
  <si>
    <t>E01000390</t>
  </si>
  <si>
    <t>Bexley 020F</t>
  </si>
  <si>
    <t>MultiPolygon (((546664.62800030980724841 174956.10400025537819602, 546715.66599989635869861 174918.25100008014123887, 546940.99999988765921444 175031.00000011932570487, 547148.00099980004597455 174775.99999990663491189, 547575.69700000016018748 174616.12500025946064852, 547557.59999977413099259 174578.10000016915728338, 547512.1999996806262061 174603.10000003536697477, 547491.6999999611871317 174574.50000005171750672, 547350.27799978328403085 174547.57099986186949536, 547396.08100032748188823 174463.18899980673450045, 547376.15200007380917668 174397.53100021055433899, 546886.01100025756750256 174548.36700015657697804, 546537.68400007404852659 174580.78499967616517097, 546532.33000005863141268 174581.53199995687464252, 546372.18600020033773035 174622.81999977311352268, 546262.81799981358926743 174661.46500000049127266, 546268.82600005634594709 174740.42699998104944825, 546268.03899997880216688 174811.81299992767162621, 546261.125 174867.40600003898725845, 546264.43800012930296361 174868.8600001463200897, 546437.56399990420322865 175060.70300028429483064, 546425.67300009832251817 175131.64800010481849313, 546430.78200004377868026 175141.21800013221218251, 546452.985999915166758 175163.28299978945869952, 546504.7700000504264608 175126.86300009110709652, 546721.71899991063401103 175105.02599980155355297, 546664.62800030980724841 174956.10400025537819602)))</t>
  </si>
  <si>
    <t>E01000391</t>
  </si>
  <si>
    <t>Bexley 021E</t>
  </si>
  <si>
    <t>MultiPolygon (((544158.43799999996554106 175125.35899985962896608, 543998.19199985906016082 174984.72199995830305852, 543687.00000017881393433 174761.04700012729153968, 543768.62499983026646078 174621.15600006931344979, 543726.62500005844049156 174601.15600015223026276, 543744.43799993372522295 174557.0470000006898772, 543699.63500025367829949 174540.23300007780198939, 543636.30400001455564052 174513.12600023977574892, 543469.78300012985710055 174439.23199996692710556, 543424.1329997560242191 174433.20400023355614394, 543357.99999989522621036 174691.00000018478021957, 543348.00000020663719624 174711.0000001018634066, 543167.99999987264163792 174646.00000023629399948, 543152.37100025976542383 174682.00500000722240657, 543190.82000024733133614 174700.32899991280282848, 543078.21499999996740371 174977.2610001580324024, 543242.59500005911104381 175014.18900025211041793, 543236.07099973189178854 175049.94000016764039174, 543194.0000001429580152 175039.00000014653778635, 543244.79300001170486212 175082.78800015116576105, 543207.64999989327043295 175116.85699995647883043, 543203.48800005472730845 175185.01299986313097179, 543257.34999988437630236 175196.86499975642072968, 543260.96199986152350903 175197.71599997591692954, 543462.7629997490439564 175245.97800008801277727, 543485.3610002544010058 175204.59400018240557984, 543491.76700026169419289 175188.75099975152988918, 543471.90699994587339461 175118.18100012157810852, 543545.99999998009297997 175121.99999999153078534, 544121.22299977787770331 175275.42399976646993309, 544136.81900019838940352 175212.30699980523786508, 544142.66500017989892513 175189.29500005434965715, 544158.43799999996554106 175125.35899985962896608)))</t>
  </si>
  <si>
    <t>E01001608</t>
  </si>
  <si>
    <t>Greenwich 027C</t>
  </si>
  <si>
    <t>MultiPolygon (((543126.16499999817460775 175055.09800009251921438, 543111.77100021415390074 175019.48000011371914297, 543194.00000020710285753 175039.00000019787694328, 543236.07099984725937247 175049.93999993475154042, 543242.59500018483959138 175014.18899976930697449, 543078.21499988250434399 174977.26099997202982195, 543190.81999988714233041 174700.32899996361811645, 543152.37099991284776479 174682.00500023574568331, 543167.99999989476054907 174645.99999994889367372, 543347.99999999022111297 174711.00000024112523533, 543358.00000018544960767 174690.9999998506391421, 543424.13300000003073364 174433.20400016973144375, 543380.80400000466033816 174435.797000216844026, 543299.17099998518824577 174440.40099981750245206, 543201.62699992582201958 174443.03799997409805655, 542897.39900024328380823 174420.72300016166991554, 542755.08599975798279047 174419.11299990749103017, 542645.00000003818422556 174428.5159997827722691, 542639.75100008700974286 174431.26600003184285015, 542459.62499978905543685 174481.95299979805713519, 542447.23199999995995313 174554.1300001323397737, 542486.62499992549419403 174602.3280002434621565, 542643.30999989586416632 174647.8989997565804515, 542655.11400018411222845 174653.41800000230432488, 542695.68299988331273198 174658.00800012316904031, 542689.25800015835557133 174735.80199999234173447, 542738.8480001810239628 174748.20099990736343898, 542723.99999982235021889 174837.99999988783383742, 542749.00100016861688346 174859.00000010247458704, 542860.29100008693058044 174643.52799983654404059, 542919.91600022534839809 174658.57000003411667421, 542847.25500015204306692 174792.85100011486792937, 542844.92899984784889966 174856.72700009678374045, 542808.15799976419657469 174860.52600005880231038, 542779.416999880108051 174939.69300009193830192, 542734.22399999771732837 174928.77800022854353301, 542725.99999995902180672 174967.99999998387647793, 542865.00500020547769964 174993.81600001588230953, 543126.16499999817460775 175055.09800009251921438)))</t>
  </si>
  <si>
    <t>E01001609</t>
  </si>
  <si>
    <t>Greenwich 027D</t>
  </si>
  <si>
    <t>MultiPolygon (((545059.51299990282859653 174828.394000134896487, 545098.84700010309461504 174518.63500012856093235, 544866.33099979651160538 174509.0350001854239963, 544739.99999992840457708 174529.99999988573836163, 544722.43799997423775494 174499.75500001694308594, 544688.01400006783660501 174505.78999996627680957, 544675.00000007217749953 174457.00000017843558453, 544851.88400009588804096 174444.12599981756648049, 544685.00000019068829715 174441.99999969598138705, 544682.51099970587529242 174358.45900003213318996, 544525.40099971648305655 174249.66600005902000703, 544367.75900014000944793 174281.03000002534827217, 544278.62900015560444444 174244.11200010424363427, 544152.36499971663579345 174179.97800000000279397, 544041.92999970004893839 174535.36700011504581198, 544075.20799997530411929 174592.10400010546436533, 544134.85299993667285889 174809.17100021720398217, 543998.19199989677872509 174984.72200027495273389, 544158.438000115333125 175125.35900018108077347, 544142.66500003437977284 175189.29500025336164981, 544136.81899986614007503 175212.30699970241403207, 544121.22299984155688435 175275.42400011338759214, 544115.00000013876706362 175297.15599985441076569, 544339.60199994349386543 175354.27400010023848154, 544519.81300003326032311 175398.78099999995902181, 544586.84799991326872259 175349.84799988433951512, 544704.2500002512242645 175253.79700025080819614, 544856.2440003011142835 175188.45099989551817998, 545007.29100017028395087 175110.22999976086430252, 545028.00300013448577374 175023.7810001261823345, 545059.51299990282859653 174828.394000134896487)))</t>
  </si>
  <si>
    <t>E01001614</t>
  </si>
  <si>
    <t>Greenwich 028B</t>
  </si>
  <si>
    <t>E02000340</t>
  </si>
  <si>
    <t>Greenwich 028</t>
  </si>
  <si>
    <t>MultiPolygon (((542686.38800015242304653 175464.19000015186611563, 542617.33199984452221543 175326.76299990277038887, 542711.78200017346534878 175392.05699978541815653, 542732.44599988218396902 175356.23899988789344206, 542817.32399992470163852 175377.80799997787107714, 542871.75900014326907694 175287.95400012121535838, 542891.91800022055394948 175209.29599984639207833, 542914.76300004101358354 175120.46000008107512258, 543108.96900009282398969 175163.81099993747193366, 543087.49500016984529793 175252.89599979159538634, 543091.61100000760052353 175299.95199997304007411, 543120.41699990828055888 175308.39099991941475309, 543066.59899986709933728 175341.13499990332638845, 543066.42200016090646386 175388.85800002433825284, 543100.50699991988949478 175394.89200009321211837, 543146.00000021513551474 175220.00100003081024624, 543180.27000006672460586 175227.51100020520971157, 543203.48800021735951304 175185.01299998714239337, 543207.65000006614718586 175116.85699981902143918, 543244.79299985023681074 175082.78799994857399724, 543194.00000000873114914 175039.00000020800507627, 543111.77100013312883675 175019.48000004433561116, 543126.1649998698849231 175055.09800000904942863, 542865.00499978568404913 174993.81599980453029275, 542725.9999998101266101 174968.00000018163700588, 542734.22399998351465911 174928.7779999065969605, 542779.41699993738438934 174939.69300006472622044, 542808.15799979364965111 174860.52599996526259929, 542844.92900018009822816 174856.72699996357550845, 542847.25499977904837579 174792.85100003791740164, 542919.91600000357721001 174658.57000008499016985, 542860.29099980392493308 174643.52799999999115244, 542749.00100009120069444 174859.00000009761424735, 542724.00000003981404006 174838.00000007735798135, 542738.8480000396957621 174748.20099978221696801, 542689.2579999400768429 174735.80200001646880992, 542695.68299988203216344 174658.00799991120584309, 542655.11399998422712088 174653.41800017078639939, 542616.31499980145599693 174874.78599986195331439, 542613.73100012121722102 174889.96100018080323935, 542605.43099981418345124 174931.80200005805818364, 542560.43899984145537019 175046.04299993356107734, 542535.188000095076859 175150.49999989446951076, 542489.05699993448797613 175197.35199994989670813, 542462.24900014966260642 175249.01599985689972527, 542522.7869997905800119 175236.12500020331935957, 542509.00000019045546651 175313.00100018363445997, 542583.00000009336508811 175350.00000008681672625, 542668.55400006799027324 175527.7440000000060536, 542680.05400018428917974 175522.43700011578039266, 542686.38800015242304653 175464.19000015186611563)))</t>
  </si>
  <si>
    <t>E01001604</t>
  </si>
  <si>
    <t>Greenwich 027A</t>
  </si>
  <si>
    <t>MultiPolygon (((543760.22900008130818605 175804.14700027965591289, 543758.70799978380091488 175755.52799981870339252, 544090.51299973740242422 175766.54900017339969054, 544259.18800022429786623 175707.07799998694099486, 544750.93799975549336523 175681.20900026801973581, 544798.99699999997392297 175485.84800029953476042, 544519.81300015933811665 175398.78099989661131985, 544339.6019999673590064 175354.27399984188377857, 544114.99999972165096551 175297.1559997488220688, 544121.22299994167406112 175275.42399998041219078, 543546.00000029033981264 175122.0000000043946784, 543471.90699996193870902 175118.18099999061087146, 543491.76700018963310868 175188.75099993776530027, 543485.36100033146794885 175204.59399971380480565, 543462.7629996701143682 175245.97799976088572294, 543465.10300024563912302 175293.36900031677214429, 543497.68999974615871906 175301.90899978403467685, 543474.92900000174995512 175393.26500021808897145, 543562.83799971174448729 175382.57800009098718874, 543551.00000036077108234 175418.99999989618663676, 543632.00000012223608792 175450.99999988710624166, 543637.00000019266735762 175522.00000027412897907, 543600.07200029050000012 175564.79000010894378647, 543489.85400004731491208 175534.48800004046643153, 543488.08500022336374968 175486.82300015614600852, 543417.8219996775733307 175471.36000019844505005, 543390.38700032816268504 175511.03300003884942271, 543266.03500000014901161 175485.1229997182963416, 543269.10099988174624741 175584.19500035242526792, 543366.98500018822960556 175602.85099996157805435, 543371.20800007344223559 175651.64200029193307273, 543404.9999996836995706 175663.00000011437805369, 543382.99999983364250511 175747.00099986919667572, 543346.13900033512618393 175741.40200026260572486, 543328.23100033611990511 175832.69799979752860963, 543394.8109998912550509 175843.05600021907594055, 543381.0060002786340192 175888.03000028454698622, 543762.49999973794911057 176015.9220000093919225, 543760.22900008130818605 175804.14700027965591289)))</t>
  </si>
  <si>
    <t>E01001605</t>
  </si>
  <si>
    <t>Greenwich 023A</t>
  </si>
  <si>
    <t>MultiPolygon (((541029.88099975255317986 176265.02300006459699944, 541101.99700006213970482 176059.47899995089392178, 541144.99999987368937582 175867.99999986041802913, 541114.99999966297764331 175711.00000019173603505, 541098.99999999185092747 175728.99999982182634994, 541089.0000001973239705 175701.00000039726728573, 541103.83799998590257019 175615.95700017584022135, 541108.14000012655742466 175648.83899958856636658, 541140.25300014950335026 175595.6200003873964306, 541382.99999994575046003 175429.99999976260005496, 541377.00000006903428584 175421.99999992700759321, 541437.28000030259136111 175399.8439997983223293, 541597.30099981289822608 175311.59399964736076072, 541779.00000007951166481 175219.00000037645804696, 541729.30100040894467384 175136.19700030752574094, 541617.86799968348350376 175010.98900030975346453, 541563.00000038254074752 174943.99899973013089038, 541594.99999972491059452 174916.00000039945007302, 541559.90999985462985933 174884.33999988372670487, 541657.99700021662283689 174792.74800036640954204, 541589.17499973089434206 174726.88699988066218793, 541564.43799970194231719 174753.06200005620485172, 541443.68799959856551141 174699.078000186214922, 541455.99999968626070768 174624.31200011714827269, 541136.66600012022536248 174614.47599999999511056, 541039.63899999286513776 174630.86200033410568722, 540878.41399996646214277 174667.88699985237326473, 540887.13300028897356242 174791.50500032538548112, 540900.312999960151501 175036.73199964049854316, 540885.14100025373045355 175185.94899998986511491, 540880.64299991354346275 175221.55200003614299931, 540868.12099996663164347 175327.1550002982839942, 540617.25000027613714337 175280.39099984150379896, 540594.7160002354066819 175341.37399988734978251, 540512.33999971474986523 175572.11999983634450473, 540490.91899992048274726 175629.40899973557679914, 540509.43099963269196451 175807.82300019590184093, 540516.54800013126805425 175876.23099987200112082, 540536.50000017776619643 175886.92200000677257776, 540852.58199972636066377 176178.02499997225822881, 540872.29300031263846904 176159.08499979073530994, 540918.25000029429793358 176113.46900038406602107, 540956.06300015863962471 176120.96899960955488496, 540994.37499971210490912 176179.67199988424545154, 540966.4999996128026396 176248.99999988888157532, 541028.3749998405110091 176268.8909999999741558, 541029.88099975255317986 176265.02300006459699944)))</t>
  </si>
  <si>
    <t>E01033726</t>
  </si>
  <si>
    <t>Greenwich 034E</t>
  </si>
  <si>
    <t>E02006927</t>
  </si>
  <si>
    <t>Greenwich 034</t>
  </si>
  <si>
    <t>MultiPolygon (((540865.43799982313066721 177336.23399991588667035, 540892.375000188825652 177305.70299990370403975, 540949.424000040628016 177320.41699977812822908, 541024.79399985715281218 177318.56900018500164151, 541027.87499983562156558 177179.15600021052523516, 541057.64300002809613943 177172.60799981671152636, 541308.61900002439506352 177109.84699984939652495, 541307.06899973168037832 177068.19899996070307679, 541588.99999977287370712 177008.00000014039687812, 541705 176985.00000021627056412, 541681.15099989320151508 176839.14300016133347526, 541510.70999995467718691 176842.52199997956631705, 541430.3670002679573372 176800.43999996577622369, 541390.36000000219792128 176795.59399986625066958, 541268.67000007862225175 176778.12200008414220065, 541216.88599977339617908 176800.28199980087811127, 541150.49900018761400133 176950.21700008938205428, 541125.47700024978257716 176976.30199992100824602, 541065.99999976262915879 176937.00000023387838155, 540922.99899976549204439 176918.11100009296205826, 540915.49100021354388446 176962.81199991720495746, 540804.87499998498242348 176964.24600010938593186, 540747.83699980319943279 176912.89700004644691944, 540712.30399976088665426 176996.99999994214158505, 540683.11700018832925707 177069.41100004414329305, 540662.11299992993008345 177124.44400004556518979, 540626.125 177216.76600023513310589, 540651.16899981733877212 177210.54999988732743077, 540738.62500026216730475 177188.84399994101841003, 540738.49900006921961904 177228.23400022526038811, 540764.06299983512144536 177229.26600026426604018, 540873.93800012348219752 177205.71899992637918331, 540865.43799982313066721 177336.23399991588667035)))</t>
  </si>
  <si>
    <t>E01001652</t>
  </si>
  <si>
    <t>Greenwich 019D</t>
  </si>
  <si>
    <t>E02000331</t>
  </si>
  <si>
    <t>Greenwich 019</t>
  </si>
  <si>
    <t>MultiPolygon (((541519.99999987322371453 174627.99999973914236762, 541543.99999992665834725 174590.00000015358091332, 541440.00000019418075681 174499.99999995325924829, 541127.00000012130476534 174321.99999980657594278, 541116.30200031981803477 174327.99999981993460096, 541098.00000018149148673 174321.99999980657594278, 541085.27600009273737669 174366.17300011610495858, 541045.13999990664888173 174355.46199992371839471, 541066.90800021553877741 174417.03800028734258376, 541016.32200019957963377 174427.35599989088950679, 540984.49099972064141184 174378.88099972374038771, 540939.38999995193444192 174388.08899963542353362, 540956.78799985570367426 174445.34500034872326069, 540761.79099988611415029 174345.90499999764142558, 540784.99599998828489333 174265.01299969633691944, 540739.18799992033746094 174246.61200032394845039, 540696.55700031551532447 174222.56000020404462703, 540785.00000010861549526 174149.99999967328039929, 540740.75499987974762917 174114.62499967249459587, 540655.0000000688014552 174067.999999740277417, 540627.42400027986150235 174070.28999973164172843, 540598.49999963107984513 174157.6719998090993613, 540503.97999975504353642 174173.04400017418083735, 540274.81300008750986308 174212.06199967942666262, 540114.63499986845999956 174279.75599986177985556, 540106.94700000004377216 174328.08500013014418073, 540121.81300012115389109 174285.8440002755378373, 540447.99799992213957012 174350.49100016080774367, 540425.8750001669395715 174460.46899999363813549, 540343.29399998055305332 174444.09500018999096937, 540321.46099996275734156 174553.5689998390735127, 540438.23599982028827071 174558.72199983469909057, 540567.61299984098877758 174478.6839997615898028, 540612.26799967279657722 174483.83499969707918353, 540559.99999998207204044 174681.9999998593411874, 540613.27600004023406655 174670.05299992917571217, 540682.6560000175377354 174671.13700033628265373, 540697.25599962589330971 174709.0160000262549147, 540878.41399966459721327 174667.88699992359033786, 541039.63899992674123496 174630.86199971332098357, 541136.66600033070426434 174614.47600029737805016, 541455.99999998020939529 174624.31199963012477383, 541443.6880003031110391 174699.07799987212638371, 541564.4379999169614166 174753.06200025975704193, 541589.17499967478215694 174726.88699993016780354, 541603.99800000002142042 174672.1580003461567685, 541519.99999987322371453 174627.99999973914236762)))</t>
  </si>
  <si>
    <t>E01001659</t>
  </si>
  <si>
    <t>Greenwich 034D</t>
  </si>
  <si>
    <t>MultiPolygon (((542096.25599976675584912 174180.18800010828999802, 542128.80599993688520044 174109.84800014330539852, 542050.83700007805600762 174081.07099989565904252, 541992.38800019049085677 173972.48499980958877131, 541994.12700005865190178 173882.50399993258179165, 541993.86899988120421767 173876.88299988250946626, 541884.35599981097038835 174021.49400022500776686, 541764.56500017398502678 174014.41699973051436245, 541744.83300006529316306 173962.43699990239110775, 541714.12299987464211881 173995.18200003076344728, 541598.07200022542383522 174035.02899989992147312, 541622.00000010780058801 174105.99999977948027663, 541519.26499973144382238 174120.63899987452896312, 541508.739999785204418 174059.57100005802931264, 541398.84199975593946874 174027.05299993915832601, 541412.99399989726953208 174247.66800014616455883, 541133.9999997460981831 174261.00000025541521609, 541127 174321.99999989528441802, 541440.00000022538006306 174499.9999998455750756, 541544.00000008102506399 174590.00000020911102183, 541519.99999994796235114 174627.9999998341081664, 541603.99799983587581664 174672.15800011745886877, 541605.27699984435457736 174653.32099994155578315, 541616.87000008544418961 174627.91999997600214556, 541846.22499978996347636 174604.50299995081149973, 542089.48100026347674429 174541.98400018771644682, 542207.95500000007450581 174500.13600019889418036, 542127.60500001988839358 174354.84600013506133109, 542156.65499977662693709 174333.60700012504821643, 542162.75299986568279564 174217.46799992930027656, 542096.25599976675584912 174180.18800010828999802)))</t>
  </si>
  <si>
    <t>E01001661</t>
  </si>
  <si>
    <t>Greenwich 029E</t>
  </si>
  <si>
    <t>E02000341</t>
  </si>
  <si>
    <t>Greenwich 029</t>
  </si>
  <si>
    <t>MultiPolygon (((541150.49899985478259623 176950.2169999597244896, 541216.8859997543040663 176800.28200008132262155, 541268.66999982972629368 176778.12199994982802309, 541390.35999990894924849 176795.59399976654094644, 541430.3670001762220636 176800.43999992497265339, 541450.44399987917859107 176760.18899986043106765, 541447.75099995743948966 176711.38700007213628851, 541292.41499987640418112 176663.46199975142371841, 541204.07099974772427231 176511.4639997536141891, 541272.46099985821638256 176455.33299981924938038, 541327.2219997615320608 176462.48399981248076074, 541371.10699979704804718 176439.08199979411438107, 541348.11399996082764119 176395.90100004238775, 541394.48100019781850278 176371.22800022389856167, 541380.4949998987140134 176338.88800018100300804, 541418.59800018602982163 176234.1389998376253061, 541207.05399982107337564 176194.41500019977684133, 541371.99999991955701262 176120.99999999179271981, 541382.00000010582152754 176056.0000000549480319, 541320.88700005086138844 175957.15200000003096648, 541101.99700011790264398 176059.47900005028350279, 541029.88099983707070351 176265.02299989582388662, 541028.37499984377063811 176268.8909997642331291, 541008.3840000944910571 176320.35099982493557036, 540886.06099983537569642 176632.25999992404831573, 540840.97300023562274873 176724.54399981125607155, 540789.29900007706601173 176826.93799980168114416, 540747.83700012078043073 176912.89699987808126025, 540804.87500024121254683 176964.24600023569655605, 540915.49099999072495848 176962.81200013242778368, 540922.99900007573887706 176918.11099981429288164, 541065.99999992677476257 176936.99999980264692567, 541125.47699976235162467 176976.30199999999604188, 541150.49899985478259623 176950.2169999597244896)))</t>
  </si>
  <si>
    <t>E01001647</t>
  </si>
  <si>
    <t>Greenwich 022B</t>
  </si>
  <si>
    <t>MultiPolygon (((541588.60200016607996076 175771.28999997006030753, 541689.26400012313388288 175694.594999903725693, 541706.9999998671701178 175590.99999981219298206, 541732.07500011567026377 175548.96200011938344687, 541630.01400007412303239 175460.47900018852669746, 541712.54400002595502883 175449.7670001229562331, 541720.88400000310502946 175404.4290000673790928, 541790.84299998031929135 175380.44200016738614067, 541866.13699999998789281 175289.36399990887730382, 541793.80900007183663547 175287.76099980756407604, 541627.35900010727345943 175366.96200014089117758, 541597.30100013467017561 175311.59399990818928927, 541437.28000005870126188 175399.84400017798179761, 541377.00000011548399925 175422.00000002645538189, 541383.00000017450656742 175429.99999984615715221, 541140.25299997825641185 175595.62000000922125764, 541108.13999992818571627 175648.839000004256377, 541103.83799991721753031 175615.95699996716575697, 541089.00000000011641532 175700.99999985896283761, 541098.99999996903352439 175729.00000000509317033, 541114.99999999697320163 175710.99999982787994668, 541144.99999990372452885 175867.99999988405033946, 541101.99700005538761616 176059.47900019242661074, 541320.88699982909020036 175957.15200014421134256, 541469.06900003645569086 175864.09400013429694809, 541493.37899983336683363 175847.31899984448682517, 541588.60200016607996076 175771.28999997006030753)))</t>
  </si>
  <si>
    <t>E01001623</t>
  </si>
  <si>
    <t>Greenwich 025C</t>
  </si>
  <si>
    <t>MultiPolygon (((540994.37500002235174179 176179.6720002239162568, 540956.06300009426195174 176120.96899979090085253, 540918.25000013969838619 176113.46899988350924104, 540872.29300001624505967 176159.08499980284250341, 540852.58200003555975854 176178.02500007033813745, 540536.49999991792719811 175886.92199999999138527, 540418.24200004013255239 176055.59699991493835114, 540394.75300008419435471 176113.56399978048284538, 540420.56899977789726108 176127.45500020904000849, 540452.92399987194221467 176077.55899980987305753, 540403.86500005936250091 176185.25000017698039301, 540421.97199997841380537 176235.32600000989623368, 540474.45800014189444482 176238.63700003639678471, 540531.00000014249235392 176294.00000000928412192, 540496.99999977892730385 176349.00000011356314644, 540519.03799996746238321 176358.62599989757291041, 540402.40500010875985026 176467.52599996305070817, 540447.50799992633983493 176562.80499992566183209, 540435.54899981233756989 176604.1830002200731542, 540568.27200020872987807 176664.94300006522098556, 540614.00000021443702281 176685.00000019517028704, 540662.73399983521085232 176705.6999999395920895, 540648.87300001736730337 176752.19300000634393655, 540789.29900006647221744 176826.9379999999946449, 540840.97299983887933195 176724.54400013305712491, 540886.06099982117302716 176632.26000018831109628, 541008.38400018936954439 176320.35099993931362405, 541028.37499991583172232 176268.89099997933954, 540966.50000009231735021 176249.00000009487848729, 540994.37500002235174179 176179.6720002239162568)))</t>
  </si>
  <si>
    <t>E01001582</t>
  </si>
  <si>
    <t>Greenwich 021B</t>
  </si>
  <si>
    <t>MultiPolygon (((539113.0939998171525076 175414.30399997657514177, 539129.29299992462620139 175365.6290000080189202, 538995.42499998142011464 175342.29199993019574322, 538985.12799995497334749 175345.72400018631014973, 538976.76300012797582895 175380.39999984297901392, 539113.0939998171525076 175414.30399997657514177)),((539113.0939998171525076 175414.30399997657514177, 539053.49300013016909361 175582.98500002446235158, 538907.18799994548317045 175517.24999983358429745, 538832.07800011953804642 175543.03900014967075549, 538799.55199996894225478 175553.7800000433344394, 538690.63800010900013149 175563.0180001888948027, 538687.19299991184379905 175564.96299985016230494, 538518.43800012569408864 175615.79699983698083088, 538444.96699979994446039 175576.23200007816194557, 538323.76200017950031906 175628.15999986088718288, 538299 175685.99999997418490238, 538429.00000011536758393 175742.00000017136335373, 538461.62000002420973033 175676.86799979044008069, 538601.76600003952626139 175722.64700013273977675, 538672.27600007527507842 175694.90299990581115708, 538716.63800013205036521 175717.67400004278169945, 538631.23099980049300939 175877.30600015734671615, 538692.08099979732651263 175879.25299977269605733, 538758.5149999896530062 176049.46899979226873256, 538911.0660000229254365 176046.26800022160750814, 538952.32099978800397366 176098.77699984030914493, 538915.99999981047585607 176195.00000002051820047, 538947.31999986176379025 176179.04599979775957763, 538948.14299989095889032 176130.60700016017653979, 539000.4409998026676476 176168.00799977593123913, 538985.00000001909211278 176201.99999980552820489, 539039.00000014086253941 176209.00000006982008927, 539061.11100009945221245 176160.91499997017672285, 539163.22299994039349258 176130.11199978683725931, 539187.42699999525211751 176062.77100005676038563, 539126.24699990928638726 176045.42200000179582275, 539123.61600018758326769 176002.05200016641174443, 539079.35100005962885916 176004.24899979119072668, 539107.9210000071907416 175941.0690001089242287, 539192.92499976966064423 175952.10300022261799313, 539222.94199979293625802 175934.74300018066423945, 539199.10099978803191334 175854.14200017999974079, 539072.17199983273167163 175827.61100013111717999, 539130.00000022165477276 175703.00000013672979549, 539148.90500000561587512 175653.84799986067810096, 539177.38500010315328836 175657.47000006644520909, 539188.33299979567527771 175572.83700017046066932, 539246.86600004823412746 175482.69500003388384357, 539257.52099999994970858 175469.30400013600592501, 539113.0939998171525076 175414.30399997657514177)))</t>
  </si>
  <si>
    <t>E01003199</t>
  </si>
  <si>
    <t>Lewisham 007A</t>
  </si>
  <si>
    <t>MultiPolygon (((538385.05500005767680705 176465.2470000000030268, 538408.04099986213259399 176388.5870001410075929, 538410.99999989988282323 176352.00000014354009181, 538371.81799996760673821 176352.01300011907005683, 538351.79999994137324393 176295.70300008566118777, 538337.40299988270271569 176157.80800012798863463, 538365.88400013465434313 176145.88600004813633859, 538353.01499998825602233 176107.53600012595416047, 538348.0000001530861482 176097.99999991958611645, 538307.44499995606020093 176033.14200018448173068, 538363.40999982040375471 176000.5159999753232114, 538359.49100013496354222 175964.62800005642930046, 538442.49300015030894428 175967.2809998516459018, 538449.2379999419208616 175945.36400018713902682, 538477.67299985594581813 175941.16799999232171103, 538627.03499996184837073 175961.13500017524347641, 538631.23100015672389418 175877.30600004945881665, 538716.63799997942987829 175717.67399996702442877, 538672.27599997690413147 175694.90300018226844259, 538601.76600002939812839 175722.64700009353691712, 538461.61999985296279192 175676.86799999998765998, 538428.99999999639112502 175742.00000006816117093, 538298.99999999976716936 175686.00000011810334399, 538244.82799985201563686 175879.99999988876515999, 538253.06300008238758892 175922.15599995173397474, 538260.93800005072262138 175988.78099984655273147, 538174.49399999750312418 176204.63999981546658091, 538162.93600002059247345 176221.20800012213294394, 538239.44899991387501359 176319.91400013043312356, 538303.12200018228031695 176360.62700015131849796, 538344.90600006643217057 176348.90600005682790652, 538344.7819998754421249 176394.108999809861416, 538316.09699985606130213 176384.71199988754233345, 538356.2799998742993921 176457.88499982372741215, 538385.05500005767680705 176465.2470000000030268)))</t>
  </si>
  <si>
    <t>E01003201</t>
  </si>
  <si>
    <t>Lewisham 007B</t>
  </si>
  <si>
    <t>MultiPolygon (((539676.37399986025411636 175809.59400011898833327, 539720.83799987507518381 175529.7109999003005214, 539722.08199993695598096 175443.95199982120539062, 539741.87899995094630867 175279.20700025034602731, 539743.92699992388952523 175269.68800003943033516, 539842.18800025025848299 174995.74999977886909619, 539724.75900006457231939 174987.24700000003213063, 539711.38399989658500999 174997.17799986636964604, 539611.1240002071717754 175135.86099982250016183, 539509.00000005669426173 175199.79799991784966551, 539538.85700020077638328 175332.30200010660337284, 539465.38099998096004128 175344.39700016309507191, 539466.14000008685979992 175409.68599995563272387, 539425.18099980149418116 175527.16499992489116266, 539356.2719997497042641 175731.06199999814270996, 539360.61699995375238359 175750.0619999679911416, 539387.89399996120482683 175796.62999991892138496, 539370.93000011902768165 175870.78500007701222785, 539402.48500020953360945 175878.48500014588353224, 539429.00000002142041922 175763.00000007505877875, 539488.3760001283371821 175779.38399985869182274, 539540.24900023848749697 175876.81899995819549076, 539521.26199980149976909 175915.54099975287681445, 539616.74500023177824914 175937.78100008529145271, 539588.03099986747838557 175996.49399987637298182, 539656.60600002889987081 176014.67499999998835847, 539660.16400014550890774 175870.91500002812244929, 539676.37399986025411636 175809.59400011898833327)))</t>
  </si>
  <si>
    <t>E01003202</t>
  </si>
  <si>
    <t>Lewisham 009C</t>
  </si>
  <si>
    <t>MultiPolygon (((539425.1809998550452292 175527.1650000129302498, 539466.14000001188833266 175409.68599982641171664, 539465.38099989120382816 175344.39700008605723269, 539538.85699999995995313 175332.30200012293062173, 539508.99999998742714524 175199.7979998275404796, 539468.54999985848553479 175206.76500009253504686, 539453.00000008614733815 175207.4059999599121511, 539254.61000012955628335 175195.47200017189607024, 539177.00299986056052148 175192.98900004319148138, 539031.83499999216292053 175186.44599998710327782, 538920.1639999533072114 175195.0629999533703085, 538825.00899997842498124 175238.03700008353916928, 538779.82500000006984919 175292.26299988231039606, 538891.66199995763599873 175352.8770000895310659, 538976.76299982483033091 175380.3999998526123818, 538985.12800002854783088 175345.72400017149630003, 538995.42500005639158189 175342.29200017044786364, 539129.29299983161035925 175365.6289999351138249, 539113.09399999456945807 175414.30399985148687847, 539257.5210001862142235 175469.30400014083716087, 539277.49400010867975652 175438.09799987979931757, 539341.76799986721016467 175471.44999992894008756, 539364.14000012399628758 175434.41300009153201245, 539391.92299984686542302 175453.34999989374773577, 539368.55200000281911343 175493.35900015360675752, 539425.1809998550452292 175527.1650000129302498)))</t>
  </si>
  <si>
    <t>E01003203</t>
  </si>
  <si>
    <t>Lewisham 009D</t>
  </si>
  <si>
    <t>MultiPolygon (((538832.07799990091007203 175543.03899998037377372, 538907.18800007784739137 175517.24999998183920979, 539053.4930000341264531 175582.98500010676798411, 539113.09400000004097819 175414.30399998728535138, 538976.76300000376068056 175380.39999993416131474, 538891.66200004343409091 175352.87699991062982008, 538779.82499988144263625 175292.2630001520155929, 538825.00900010182522237 175238.03700005551218055, 538802.95099999522790313 175219.84899998857872561, 538714.21200008073356003 175147.25900014050421305, 538687.37500012258533388 175142.50000000250292942, 538671.81300006923265755 175182.25000006248592399, 538632.22300005669239908 175168.43700015344074927, 538570.26500003365799785 175111.7299999714596197, 538569.66000001097563654 175142.15999986004317179, 538526.00000015005934983 175141.00000010110670701, 538521.99999996763654053 175205.00000001490116119, 538517.99400000460445881 175248.18000006768852472, 538512.99999989103525877 175302.00000009822542779, 538594.99999995797406882 175337.00000002500019036, 538473.00000007008202374 175464.99999985255999491, 538466.1999998934334144 175491.44599986402317882, 538550.29299998946953565 175523.57999987315270118, 538444.96699999994598329 175576.23199999204371125, 538518.43800012778956443 175615.79700002854224294, 538687.19299998937640339 175564.96299986768281087, 538690.63800010143313557 175563.01799999104696326, 538799.55200009304098785 175553.78000004857312888, 538832.07799990091007203 175543.03899998037377372)))</t>
  </si>
  <si>
    <t>E01003288</t>
  </si>
  <si>
    <t>Lewisham 012A</t>
  </si>
  <si>
    <t>E02000664</t>
  </si>
  <si>
    <t>Lewisham 012</t>
  </si>
  <si>
    <t>MultiPolygon (((538920.16400005831383169 175195.06300012502470054, 539031.83499999379273504 175186.44600000974605791, 539177.00300012819934636 175192.98900012485682964, 539254.60999999998603016 175195.47200016365968622, 539226.69099979801103473 175160.46399987026234157, 539089.9999999743886292 175155.49300015138578601, 539089.77799997944384813 175103.5519999458338134, 539011.37500001152511686 175052.85300001103314571, 539023.16300013125874102 174979.38000007710070349, 538988.15000019653234631 174970.14999995011021383, 538989.93199988920241594 174904.26199997783987783, 538838.39299993880558759 174857.31499997488572262, 538916.9999998799758032 174749.99999997206032276, 538890.94700015615671873 174723.05300012472434901, 538866.49900018458720297 174594.50500011674012057, 538666.70299983269069344 174778.1670001091551967, 538588.02200003014877439 174839.39700014831032604, 538433.85300000000279397 174959.90600010158959776, 538463.6879999655066058 174957.29100017677410506, 538464.08100016717799008 175083.04000008301227354, 538570.26499989663716406 175111.73000012300326489, 538632.22299990418832749 175168.43699998193187639, 538671.81300008436664939 175182.25000008815550245, 538687.37500011699739844 175142.49999989685602486, 538714.21200005931314081 175147.25900013447972015, 538802.95100016938522458 175219.84900014055892825, 538825.00900007784366608 175238.03699988327571191, 538920.16400005831383169 175195.06300012502470054)))</t>
  </si>
  <si>
    <t>E01003282</t>
  </si>
  <si>
    <t>Lewisham 013A</t>
  </si>
  <si>
    <t>E02000665</t>
  </si>
  <si>
    <t>Lewisham 013</t>
  </si>
  <si>
    <t>MultiPolygon (((539544.65700013493187726 174831.90200013382127509, 539577.00499986461363733 174774.78500014229211956, 539614.00000011408701539 174794.00000007747439668, 539635.37399992032442242 174694.43999994840123691, 539640.71700007852632552 174655.41499989898875356, 539439.79199985379818827 174617.84599992935545743, 539407.16699997882824391 174688.14500014495570213, 539370.91600005002692342 174681.00700005557155237, 539360.77299992134794593 174710.356000151776243, 539326.55799987784121186 174703.90299991832580417, 539326.89899986458476633 174653.55600012629292905, 539222.90900011057965457 174677.34000011341413483, 539083.68999999994412065 174770.7619998398295138, 539171.17299996269866824 174842.86399988667108119, 539268.31399994320236146 174874.31900011541438289, 539201.93799999740440398 175008.1829998972825706, 539246.51700005284510553 175013.18400000102701597, 539255.81600014853756875 175101.34700012250686996, 539226.69100013852585107 175160.46400012850062922, 539254.60999999043997377 175195.47199996074778028, 539452.99999991327058524 175207.40600007062312216, 539468.5500000414904207 175206.7649999855493661, 539508.99999999708961695 175199.79799992337939329, 539611.12400014593731612 175135.86099987616762519, 539711.38399986340664327 174997.17800012073712423, 539724.7590000000782311 174987.24699990765657276, 539706.00000013737007976 174916.88499991822754964, 539612.88200013875029981 174892.16100013590767048, 539544.65700013493187726 174831.90200013382127509)))</t>
  </si>
  <si>
    <t>E01003283</t>
  </si>
  <si>
    <t>Lewisham 013B</t>
  </si>
  <si>
    <t>MultiPolygon (((539083.69000011309981346 174770.76200005898135714, 539222.90900013397913426 174677.33999993375618942, 539200.99999999708961695 174643.99999997153645381, 539125.00099983450490981 174689.99999991309596226, 539090.11900013638660312 174649.19600015829200856, 539086.65699985297396779 174616.78799987363163382, 539044.66900013037957251 174554.15500002045882866, 539245.56900003529153764 174440.38100018285331316, 539189.57599999185185879 174408.64400000000023283, 539010.8209999050013721 174520.11599992416449822, 538986.90799987583886832 174435.04899989307159558, 538888.58600011968519539 174569.33200013410532847, 538866.49899983138311654 174594.50500011138501577, 538890.94699985941406339 174723.05300010851351544, 538916.99999988393392414 174749.99999982051667757, 538838.39300004602409899 174857.31500013740151189, 538989.93199997674673796 174904.2620000691676978, 538988.15000012540258467 174970.15000010142102838, 539023.16299994755536318 174979.37999988801311702, 539011.37499989895150065 175052.85299987910548225, 539089.77800014615058899 175103.55199999868636951, 539090.0000001871958375 175155.49299999189679511, 539226.69099981943145394 175160.46400000000721775, 539255.81599989265669137 175101.34699990163790062, 539246.51699994609225541 175013.18399984782445244, 539201.93799995013978332 175008.18299996625864878, 539268.31399995391257107 174874.31899991261889227, 539171.17300002789124846 174842.863999893568689, 539083.69000011309981346 174770.76200005898135714)))</t>
  </si>
  <si>
    <t>E01003284</t>
  </si>
  <si>
    <t>Lewisham 013C</t>
  </si>
  <si>
    <t>MultiPolygon (((540228.42900003865361214 174839.47100007510744035, 540270.8129998582880944 174826.6089999069517944, 540271.42699997022282332 174738.10899991498445161, 540321.46099985809996724 174553.56900012993719429, 540343.29399999999441206 174444.09499997721286491, 540201.12399992789141834 174404.13999988650903106, 540150.35800011327955872 174585.44700009524240158, 540107.00000017846468836 174574.9999999486899469, 540050.99999981129076332 174560.99999995672260411, 540025.99999985424801707 174671.00000000765430741, 540003.00000018114224076 174770.9999998361163307, 539936.9999999909196049 174756.00000010145595297, 539874.35700015001930296 174827.78100010377238505, 539870.99999980058055371 174726.99900008196709678, 539798.26099997607525438 174720.93800013430882245, 539668.26799993286840618 174700.54199992548092268, 539635.37399993184953928 174694.43999995081685483, 539614.00000003376044333 174793.99999990849755704, 539577.00499983632471412 174774.78500013615121134, 539544.65699999989010394 174831.90200016720336862, 539612.88200007705017924 174892.16099988025962375, 539705.99999992386437953 174916.88500007451511919, 539724.75899993174243718 174987.24699982459424064, 539842.18800002243369818 174995.75000011350493878, 539971.21199981728568673 174921.30099987436551601, 540068.97399994521401823 174884.49700010463129729, 540078.02399989299010485 174881.72399986689561047, 540228.42900003865361214 174839.47100007510744035)))</t>
  </si>
  <si>
    <t>E01003286</t>
  </si>
  <si>
    <t>Lewisham 013D</t>
  </si>
  <si>
    <t>MultiPolygon (((539856.50599996373057365 175845.49799999999231659, 539865.48200021975208074 175781.30300013179657981, 539934.76399975817184895 175794.03700016203220002, 540006.65100007713772357 175739.42200004620826803, 540035.99999979080166668 175756.00000006865593605, 540071.43500008201226592 175608.53700003039557487, 540122.4689998080721125 175587.71500015945639461, 540203.82299990870524198 175625.0490001545404084, 540260.38099982822313905 175591.53099990519694984, 540281.88899995328392833 175507.66000022969092242, 540407.00000005401670933 175456.00000020291190594, 540052.81500015687197447 175356.38899986937758513, 540208.37099999014753848 175257.21600005001528189, 540157.12200022186152637 175105.15799985802732408, 540239.09000023012049496 175036.06400010627112351, 540324.99999983585439622 175045.00000022584572434, 540351.0000000522704795 174916.00000004211324267, 540291.99999987077899277 174903.99999982616282068, 540280.92099976784083992 174850.9990000132820569, 540234.99999997671693563 174861.99999982482404448, 540228.42899981862865388 174839.47099999999045394, 540078.02400007529649884 174881.72400019838823937, 540068.97399999410845339 174884.49699994284310378, 539971.21199982252437621 174921.30099976365454495, 539842.18799985875375569 174995.7500002512242645, 539743.92700023483484983 175269.68799996562302113, 539741.87899988412391394 175279.20699977388721891, 539722.082000179332681 175443.95199992370908149, 539720.83800000755582005 175529.71099990681977943, 539676.3739999458193779 175809.59399998161825351, 539856.50599996373057365 175845.49799999999231659)))</t>
  </si>
  <si>
    <t>E01001657</t>
  </si>
  <si>
    <t>Greenwich 034B</t>
  </si>
  <si>
    <t>MultiPolygon (((540594.71599988546222448 175341.37400000001071021, 540617.2500001413282007 175280.39099990372778848, 540868.12100009352434427 175327.15500021347543225, 540880.64299979305360466 175221.55200012991554104, 540885.14099988853558898 175185.94899993375292979, 540900.31299994641449302 175036.7319999257742893, 540887.13299984054174274 174791.50500005314825103, 540878.41399991884827614 174667.88699984061531723, 540697.25600014487281442 174709.01600008417153731, 540682.65599978994578123 174671.13699979995726608, 540613.27600010845344514 174670.05300005216849968, 540559.99999986216425896 174682.00000004417961463, 540612.2679998988751322 174483.83499991937424056, 540567.61300014704465866 174478.6840000000083819, 540438.2359998271567747 174558.72200019503361546, 540321.460999901057221 174553.56900012888945639, 540271.42699988977983594 174738.10900005916482769, 540270.81300012406427413 174826.60900008009048179, 540228.42899987765122205 174839.47100014294846915, 540235.00000004610046744 174861.9999998162384145, 540280.92099996097385883 174850.99899979753536172, 540292.00000009604264051 174903.99999992121593095, 540350.99999982246663421 174916.00000013606040739, 540325.0000001477310434 175045.00000018120044842, 540239.08999996434431523 175036.06400007958291098, 540157.12200005364138633 175105.15799990957020782, 540208.37100015196483582 175257.21599984195199795, 540594.71599988546222448 175341.37400000001071021)))</t>
  </si>
  <si>
    <t>E01001658</t>
  </si>
  <si>
    <t>Greenwich 034C</t>
  </si>
  <si>
    <t>MultiPolygon (((533736.97799997043330222 187161.27399996979511343, 533768.0009998669847846 187146.95999999693594873, 533884.00000006891787052 187152.99999987552291714, 533885.56100003165192902 187115.01299990405095741, 533928.02699991897679865 187097.32300004601711407, 533939.55400008463766426 186960.26000011185533367, 533895.58599998371209949 186944.58899986042524688, 533909.99599990958813578 186902.00999992634751834, 533814.99999996786937118 186852.99999997482518665, 533874.69700006383936852 186828.465000121796038, 533852.03899989882484078 186764.42900001749512739, 533823.72099993354640901 186706.01200006372528151, 533872.20499986631330103 186691.0230001149175223, 533860.20199995744042099 186631.0089999999909196, 533783.26199987484142184 186644.61400009758654051, 533764.49999986891634762 186647.28100010749767534, 533676.47900006268173456 186696.21799994466709904, 533654.43800013011787087 186708.92199997277930379, 533658.18600004946347326 186754.78100012711365707, 533657.35600008326582611 186791.19100004766369238, 533654.71699993964284658 186906.75499986816430464, 533654.18999991531018168 186930.10400009725708514, 533654.38400012045167387 186936.97699995851144195, 533657.41700013144873083 187203.75799995634588413, 533706.77900000684894621 187207.21499999999650754, 533736.97799997043330222 187161.27399996979511343)))</t>
  </si>
  <si>
    <t>E01001724</t>
  </si>
  <si>
    <t>Hackney 006B</t>
  </si>
  <si>
    <t>E02000350</t>
  </si>
  <si>
    <t>Hackney 006</t>
  </si>
  <si>
    <t>MultiPolygon (((533766.32299997948575765 187337.49899999017361552, 533795.62500001583248377 187326.50000006740447134, 533807.47699994780123234 187361.82399993704166263, 533881.32999995653517544 187331.75600001993007027, 533879.61300004925578833 187410.2770000332093332, 533888.45000007655471563 187208.97100002923980355, 533964.99400002823676914 187209.18100002181017771, 533965.52799998258706182 187181.00799994482076727, 533736.97799999441485852 187161.27399999997578561, 533706.77899992512539029 187207.21500000506057404, 533657.41699998814146966 187203.7580000254092738, 533657.343000054708682 187219.95700006914557889, 533657.08799996331799775 187275.52799997921101749, 533656.69299998099450022 187361.67899998303619213, 533656.51999995519872755 187399.50600004888838157, 533656.18800001742783934 187472.15600000877748244, 533713.19800004689022899 187473.45600000000558794, 533757.6729999358067289 187464.46600004265201278, 533766.32299997948575765 187337.49899999017361552)))</t>
  </si>
  <si>
    <t>E01001726</t>
  </si>
  <si>
    <t>Hackney 004B</t>
  </si>
  <si>
    <t>E02000348</t>
  </si>
  <si>
    <t>Hackney 004</t>
  </si>
  <si>
    <t>MultiPolygon (((533974.48599996010307223 184778.19000014942139387, 533989.55599982384592295 184673.38099997100653127, 534070.56299983139615506 184685.32100004161475226, 534089.45700015011243522 184648.85099982874817215, 534174.80400007299613208 184661.6900001635949593, 534176.97900014801416546 184609.22399993316503242, 534223.25999994773883373 184601.65899985522264615, 534229.91799994581378996 184521.89399997680447996, 534316.8900000574067235 184516.03200005789403804, 534319.31299999996554106 184482.98400016652885824, 534120.90700011455919594 184467.3000000304018613, 533979.35399998968932778 184454.29699993919348344, 533964.20000001462176442 184452.75699988519772887, 533939.00100016966462135 184450.20499989140080288, 533783.70600009604822844 184434.82699986797524616, 533755.920999831170775 184431.89299983810633421, 533620.63100010738708079 184421.17699984615319408, 533574.97100000001955777 184495.3930000827240292, 533577.8880000029457733 184553.97100014658644795, 533618.00000011979136616 184550.99899996892781928, 533748.99999998556450009 184546.99999987150658853, 533747.72400017478503287 184585.92400001044734381, 533711.02999991341494024 184596.98900000809226185, 533730.58300007239449769 184638.14999981678556651, 533678.54799991194158792 184670.84900007460964844, 533712.28700002259574831 184689.61299994657747447, 533742.25400015455670655 184707.552999826380983, 533780.72999982442706823 184669.25499986935756169, 533827.02199988241773099 184704.47000002014101483, 533873.78200013469904661 184638.30700015314505436, 533905.67500007862690836 184653.10199988764361478, 533900.60799984319601208 184757.81199997485964559, 533924.23499999940395355 184793.94099999766331166, 533894.99999993271194398 184801.00000010570511222, 533951.868000045302324 184816.0620001538482029, 533954.20400017849169672 184813.60200008691754192, 533948.00100006954744458 184788.00000008492497727, 533974.48599996010307223 184778.19000014942139387)))</t>
  </si>
  <si>
    <t>E01001744</t>
  </si>
  <si>
    <t>Hackney 021B</t>
  </si>
  <si>
    <t>E02000365</t>
  </si>
  <si>
    <t>Hackney 021</t>
  </si>
  <si>
    <t>MultiPolygon (((534160.24699999997392297 185752.19999992946395651, 534089.64000012201722711 185681.16499986223061569, 534069.07000005955342203 185719.85600014729425311, 534037.0000001072185114 185699.99999999042483978, 534092.50099999993108213 185602.1539998683729209, 534036.42900005972478539 185565.25699986744439229, 534058.11900012264959514 185547.12700003254576586, 534110.68299994827248156 185506.85099990776507184, 534086.31200012110639364 185492.67099994159070775, 534115.50700002524536103 185399.76400001949514262, 534047.07099989254493266 185373.26500004041008651, 534014.00100001564715058 185353.99900005391100422, 533992.23100010410416871 185455.70999994067824446, 533935.07900008803699166 185537.40100001089740545, 533892.00000014214310795 185532.9999998678395059, 533786.70699993288144469 185449.38600012799724936, 533707.65999997686594725 185400.92799990635830909, 533682.99999985645990819 185435.5909998499264475, 533633.43400012608617544 185408.18399998403037898, 533605.99999991036020219 185439.9999999173451215, 533555.10900000017136335 185463.21000013189041056, 533566.4690000033006072 185543.96799994655884802, 533568.638000070117414 185557.43300001655006781, 533662.96199990750756115 185591.09700002599856816, 533685.12100007443223149 185592.75200011156266555, 533688.66299986746162176 185593.01500004544504918, 533813.12500007264316082 185602.09400013310369104, 533824.24999987718183547 185657.03099991215276532, 533905.18400014576036483 185632.66000008495757356, 533945.18800011917483062 185682.6869999950286001, 533999.70999988866969943 185693.49700005480553955, 534003.31599998427554965 185701.81000012331060134, 534026.62499986786860973 185844.96899994608247653, 534128.21200001938268542 185839.11999987825402059, 534160.24699999997392297 185752.19999992946395651)))</t>
  </si>
  <si>
    <t>E01001745</t>
  </si>
  <si>
    <t>Hackney 016A</t>
  </si>
  <si>
    <t>E02000360</t>
  </si>
  <si>
    <t>Hackney 016</t>
  </si>
  <si>
    <t>MultiPolygon (((533992.23099992144852877 185455.70999998651677743, 534014.00100000004749745 185353.99899981857743114, 533893.00000008067581803 185311.99999982278677635, 533779.0000001679873094 185314.00000000096042641, 533745.00000017404090613 185355.99999994883546606, 533704.00000012549571693 185326.99999983128509484, 533624.31399996124673635 185298.21899984570336528, 533552.93199998419731855 185274.6739998129196465, 533548.74800009559839964 185275.38399994632345624, 533500.18699992983601987 185249.11599984529311769, 533546.41800017061177641 185202.65400004733237438, 533511.16900006483774632 185184.740999966947129, 533513.11099998641293496 185149.44999997617560439, 533396.36400001693982631 185116.29099991053226404, 533324.88199989823624492 185271.44500008234172128, 533322.3949999064207077 185277.31500001534004696, 533283.73400011053308845 185353.88699987233849242, 533255.31200000003445894 185388.10899985456489958, 533280.12499999324791133 185450.64100000099278986, 533425.68800016865134239 185455.79699999216245487, 533416.12499996903352439 185507.62499996504629962, 533469.12499994842801243 185513.0310001207399182, 533510.90800004790071398 185464.1900000894383993, 533534.70000000949949026 185463.88200004756799899, 533555.10900003009010106 185463.20999999073683284, 533606.00000012072268873 185439.99999984461464919, 533633.43400013633072376 185408.18399994052015245, 533682.99999996193218976 185435.59100011133705266, 533707.66000007605180144 185400.92800000883289613, 533786.70700012019369751 185449.38600017654243857, 533892.00000018125865608 185532.99999997307895683, 533935.07900003809481859 185537.40100008950685151, 533992.23099992144852877 185455.70999998651677743)))</t>
  </si>
  <si>
    <t>E01001747</t>
  </si>
  <si>
    <t>Hackney 014B</t>
  </si>
  <si>
    <t>E02000358</t>
  </si>
  <si>
    <t>Hackney 014</t>
  </si>
  <si>
    <t>MultiPolygon (((534047.07100007694680244 185373.26500000001396984, 534071.14300001156516373 185218.39800000915420242, 534065.46700010541826487 185215.51399986795149744, 534075.14299984672106802 185133.26899986938224174, 534077.79800008167512715 185075.26299989962717518, 534080.81300000939518213 185033.68699997229850851, 534017.8750000320142135 185017.45299986179452389, 533992.03100012894719839 184963.90499984761117958, 534033.52499986800830811 184959.46599984931526706, 533982.94700001238379627 184812.01599998099845834, 533954.20400014752522111 184813.6019998979754746, 533951.86799997300840914 184816.06200000434182584, 533894.99999998789280653 184800.99999996402766556, 533924.23500005854293704 184793.94099992749397643, 533900.60800003074109554 184757.81200000003445894, 533867.48300003947224468 184768.4399999822198879, 533801.00000001396983862 184776.46000002877553925, 533801.00000001396983862 184803.00000003550667316, 533824.99999994831159711 184824.00099997385405004, 533779.00000015099067241 184828.00000000564614311, 533783.77600005571730435 184887.30900013982318342, 533728.78999995382037014 184911.05499985162168741, 533677.42000009689945728 184910.90599991122144274, 533541.99999999068677425 185004.00000014022225514, 533544.00000006216578186 185038.9999998522689566, 533592.35900012822821736 185048.8419998845201917, 533595.00000003830064088 185135.99999993341043591, 533712.15100007352884859 185096.6299998898175545, 533701.75600013439543545 185131.34199990914203227, 533802.06700010958593339 185148.20399995223851874, 533805.33799986669328064 185191.5710001131228637, 533842.99999997613485903 185194.99999988760100678, 533839.26099991053342819 185238.64799988651066087, 533799.89800002926494926 185233.98199989640852436, 533757.19899993785656989 185287.34300005561090074, 533779.00000015099067241 185314.00000013946555555, 533892.99999991641379893 185312.00000006798654795, 534014.00100004312116653 185353.99899991904385388, 534047.07100007694680244 185373.26500000001396984)))</t>
  </si>
  <si>
    <t>E01001748</t>
  </si>
  <si>
    <t>Hackney 020A</t>
  </si>
  <si>
    <t>E02000364</t>
  </si>
  <si>
    <t>Hackney 020</t>
  </si>
  <si>
    <t>MultiPolygon (((533296.24899989867117256 184315.98999994486803189, 533387.09600014437455684 184301.75600005759042688, 533397.44300013419706374 184369.0750001635751687, 533427.22300006973091513 184364.53999993921024725, 533463.41100002359598875 184360.58099996624514461, 533497.60999996378086507 184356.17900012151221745, 533486.90999993192963302 184190.18599995368276723, 533479.86899985244963318 184022.81399999069981277, 533479.45200001774355769 183986.04199985548621044, 533408.45300001103896648 183990.66599996251170523, 533341.2259999819798395 183996.13200002169469371, 533333.71599999361205846 183948.87000004557194188, 533253.53199997113551944 183914.41600017598830163, 533239.44899986498057842 183795.49100000617909245, 533305.78799990343395621 183785.02900009660515934, 533323.01300012029241771 183765.25800002174219117, 533235.588000004645437 183692.25, 533197.99999995424877852 183697.00000015096156858, 533128.00000006926711649 183706.00000006562913768, 533139.01599998178426176 183809.08299995504785329, 533104.89500015275552869 183812.22899985432741232, 533095.52500003622844815 183850.75699996942421421, 533147.43999999784864485 183853.61399997229455039, 533160.64100014907307923 183925.57200009809457697, 533218.54300015291664749 183916.80200002287165262, 533206.52300003007985651 184004.88300004266784526, 533175.03199985320679843 184007.05399996295454912, 533198.19900002097710967 184154.72900017374195158, 533204.10099996905773878 184204.88699985548737459, 533208.14500003610737622 184240.06399996895925142, 533163.12899989716242999 184249.94299999711802229, 533174.98499986750539392 184338.63399988252785988, 533190.41400010185316205 184397.76800004183314741, 533231.07099988730624318 184397.92900000000372529, 533305.99999998859129846 184382.00000008411007002, 533296.24899989867117256 184315.98999994486803189)))</t>
  </si>
  <si>
    <t>E01001750</t>
  </si>
  <si>
    <t>Hackney 021C</t>
  </si>
  <si>
    <t>MultiPolygon (((533478.80900000920519233 183712.09500007660244592, 533477.04400003829505295 183627.23600008318317123, 533476.08000002347398549 183581.08699991498724557, 533446.28200011735316366 183577.11400009333738126, 533418.66399988147895783 183587.05099992456962354, 533375.65000008465722203 183534.08799997097230516, 533350.93499996431637555 183569.50100011672475375, 533324.92899995297193527 183546.49300008939462714, 533233.56399992771912366 183527.18500010774005204, 533238.57199997408315539 183588.00000009077484719, 533197.54800011054612696 183606.72600004030391574, 533148.00200011418201029 183570.7630000687786378, 533134.85799994342960417 183526.35799998408765532, 533069.13900008867494762 183544.25100001931423321, 533090.99999991327058524 183594.68200001725926995, 532983.34199999994598329 183650.71099989718641154, 533034.38499997544568032 183711.61499995802296326, 533126.78799999668262899 183694.6909999698982574, 533128.00000012235250324 183705.99999996641417965, 533198.0000000485451892 183696.99999997590202838, 533235.58800008043181151 183692.25000010494841263, 533323.01300000073388219 183765.25800007962970994, 533305.78800005605444312 183785.02900007017888129, 533239.44899992400314659 183795.49100006214575842, 533253.53199994843453169 183914.41599994921125472, 533333.7160000583389774 183948.87000011236523278, 533341.22600011492613703 183996.13200001590303145, 533408.45300001977011561 183990.66599999289610423, 533479.45199993858113885 183986.04199994218652137, 533479.5 183921.06199989159358665, 533478.129000089247711 183850.7750000991509296, 533479.11499999789521098 183726.48100007037282921, 533478.80900000920519233 183712.09500007660244592)))</t>
  </si>
  <si>
    <t>E01001754</t>
  </si>
  <si>
    <t>Hackney 025C</t>
  </si>
  <si>
    <t>E02000369</t>
  </si>
  <si>
    <t>Hackney 025</t>
  </si>
  <si>
    <t>MultiPolygon (((533238.57200003485195339 183587.99999998349812813, 533233.56400005181785673 183527.18499996673199348, 533324.92899999674409628 183546.49300003104144707, 533350.93500007630791515 183569.50100002341787331, 533375.65000006509944797 183534.08800006340607069, 533418.6639999954495579 183587.05099999095546082, 533446.28199991723522544 183577.11400010291254148, 533476.07999999995809048 183581.08699996903305873, 533475.45300006226170808 183551.07299999924725853, 533467.64700001059100032 183358.15999995757010765, 533428.55799992522224784 183350.69700009978259914, 533262.87500008509960026 183333.4370000344933942, 533260.31499993056058884 183288.96300005170633085, 533259.7710000379011035 183282.75299997368711047, 533089.86000003793742508 183264.21700000599958003, 533060.49899999995250255 183260.10299994808156043, 533061.64800001110415906 183377.7720000168774277, 533063.1939999801106751 183405.00000002712476999, 533063.19500007573515177 183516.90799996399437077, 533069.13900005433242768 183544.25099996413337067, 533134.85800007765647024 183526.35800001045572571, 533148.00200010149274021 183570.76300004086806439, 533197.54799995687790215 183606.72600005194544792, 533238.57200003485195339 183587.99999998349812813)))</t>
  </si>
  <si>
    <t>E01001755</t>
  </si>
  <si>
    <t>Hackney 025D</t>
  </si>
  <si>
    <t>MultiPolygon (((533431.68899996019899845 184776.11499991873279214, 533452.0869999643182382 184773.10199998237658292, 533529.99600000004284084 184788.71799995706533082, 533516.25499998976010829 184643.37400003880611621, 533510.61099998909048736 184558.95500006788643077, 533508.92699996056035161 184535.2919999058067333, 533498.06300000916235149 184364.17200007534120232, 533497.6099999436410144 184356.17899995559128001, 533463.41099991684313864 184360.58100009468034841, 533427.22300012793857604 184364.54000007620197721, 533397.44300008367281407 184369.07500012044329196, 533387.09599989093840122 184301.75600001710699871, 533296.24900007713586092 184315.99000000703381374, 533306.00000010884832591 184382.00000001830630936, 533231.07100003096275032 184397.92899993536411785, 533190.41399987251497805 184397.76800000559887849, 533186.29999990598298609 184443.9389999495469965, 533203.50699991814326495 184579.19700009623193182, 533247.46199993067421019 184616.34300010220613331, 533163.21900003380142152 184631.13999999212683178, 533165.70799999358132482 184681.94999987006303854, 533041.84999994689133018 184680.25799991525127552, 533008.01799993007443845 184731.07100004798849113, 533011.12600012146867812 184763.43300004291813821, 532971.32000003568828106 184771.91799986912519671, 532965.18900000001303852 184818.49999998288694769, 533039.40299988293554634 184814.64499989108298905, 533139.2890000706538558 184806.68700001391698606, 533155.33200006780680269 184805.42200008159852587, 533284.09299987717531621 184794.62100011497386731, 533431.68899996019899845 184776.11499991873279214)))</t>
  </si>
  <si>
    <t>E01001756</t>
  </si>
  <si>
    <t>Hackney 021E</t>
  </si>
  <si>
    <t>MultiPolygon (((533929.36199991416651756 183964.99999995157122612, 533926.53599995700642467 183892.0140000851242803, 533926.17000002157874405 183884.28300003497861326, 533930.52400003955699503 183794.02399999467888847, 533936.65800001425668597 183707.04700006899656728, 533940.3010000231442973 183667.74200000002747402, 533820.00000002305023372 183679.64100005844375119, 533832.101999954553321 183820.37700005088117905, 533869.09300002781674266 183857.39400002709589899, 533802.90699994773603976 183897.81799993675667793, 533810.17400001653004438 183852.43600008561043069, 533813.08099998347461224 183807.53900007752235979, 533798.626999985659495 183828.24700000049779192, 533742.00000006542541087 183760.9999999693245627, 533706.99999999138526618 183760.9999999693245627, 533699.76999995054211468 183691.41499995242338628, 533678.61699999519623816 183693.48900004709139466, 533669.58800004853401333 183935.06000003614462912, 533735.18799993849825114 183943.81200005384744145, 533694.40000000619329512 183979.73299996386049315, 533682.95900001807603985 183991.04099996373406611, 533663.37499997683335096 184013.35899999999674037, 533929.07999994419515133 184003.2120000827126205, 533929.36199991416651756 183964.99999995157122612)))</t>
  </si>
  <si>
    <t>E01001772</t>
  </si>
  <si>
    <t>Hackney 024A</t>
  </si>
  <si>
    <t>E02000368</t>
  </si>
  <si>
    <t>Hackney 024</t>
  </si>
  <si>
    <t>MultiPolygon (((533678.61699993873480707 183693.48899992401129566, 533699.77000011072959751 183691.41499987622955814, 533707.00000000419095159 183760.99999990049400367, 533742.00000000849831849 183760.99999990049400367, 533798.62700004794169217 183828.24700009741354734, 533813.08100004948209971 183807.53899992172955535, 533810.17399986914824694 183852.4359999043517746, 533802.90700003318488598 183897.81799998955102637, 533869.09300011536106467 183857.39400005096103996, 533832.10199989739339799 183820.37700013007270172, 533820.00000012654345483 183679.64099994659773074, 533822.9999999642604962 183600.99999988084891811, 533850.31400011049117893 183603.91899990325327963, 533839.25500001339241862 183480.93400005681905895, 533789.67099986539687961 183462.76800000664661638, 533800.2399999484186992 183417.51600006356602535, 533769.51099998014979064 183392.68199999997159466, 533686.57600006810389459 183448.88700012458139099, 533684.04099987307563424 183496.02099993056617677, 533725.10199999273754656 183483.25500013053533621, 533741.15700005274266005 183533.54600003550876863, 533704.36699996900279075 183584.4929998941370286, 533663.01499995053745806 183578.43699996150098741, 533551.39899987261742353 183562.95900005876319483, 533475.45299988472834229 183551.07299988568411209, 533476.07999997155275196 183581.08700002150726505, 533477.04400012001860887 183627.2359998875472229, 533478.80900009907782078 183712.09500005884910934, 533479.11500000383239239 183726.48099996102973819, 533478.12899991893209517 183850.77500009321374819, 533479.49999997625127435 183921.06199996289797127, 533538.99999987508635968 183926.59799986943835393, 533561.99199991091154516 183928.60299994397792034, 533669.58800001651979983 183935.05999999999767169, 533678.61699993873480707 183693.48899992401129566)))</t>
  </si>
  <si>
    <t>E01001773</t>
  </si>
  <si>
    <t>Hackney 025E</t>
  </si>
  <si>
    <t>MultiPolygon (((533741.15699999348726124 183533.54599995270837098, 533725.10199998447205871 183483.25499990148819052, 533684.04099999868776649 183496.0209999852522742, 533686.57599992596078664 183448.88700006622821093, 533769.51099993556272238 183392.68199991024448536, 533800.23999998264480382 183417.51599993708077818, 533803.39799990749452263 183332.58800009271362796, 533765.65200008975807577 183330.70899996030493639, 533803.42899991828016937 183293.11999998340616003, 533805.98799989942926913 183204.40100007687578909, 533715.99999993783421814 183193.99999995823600329, 533708.41000006394460797 183187.45900008172611706, 533558.00000008544884622 183182, 533554.05599995667580515 183287.68699994325288571, 533467.76500003086403012 183295.70400001225061715, 533467.00000010046642274 183310.9990000601101201, 533467.64699995063710958 183358.16000001455540769, 533475.45299990673083812 183551.07299997750669718, 533551.3989999737823382 183562.95900003210408613, 533663.01499992969911546 183578.43699996231589466, 533704.36699993943329901 183584.49300000001676381, 533741.15699999348726124 183533.54599995270837098)))</t>
  </si>
  <si>
    <t>E01001776</t>
  </si>
  <si>
    <t>Hackney 025F</t>
  </si>
  <si>
    <t>MultiPolygon (((533554.05600009963382035 183287.68700002986588515, 533558.00000002735760063 183181.99999993178062141, 533708.41000009281560779 183187.4590000870230142, 533716.00000012258533388 183194.0000001207808964, 533805.98800005135126412 183204.40099987931898795, 533804.67599994607735425 183082.38200013432651758, 533770.02199997415300459 183110.69899997345055453, 533704.54799998179078102 183092.93600002577295527, 533662.58700008515734226 183147.00700008781859651, 533639.67300008190795779 183146.72500003781169653, 533642.70500009460374713 183063.09899996017338708, 533678.16600000392645597 183063.79400008733500727, 533675.64099999296013266 183037.54200008165207691, 533696.71599989337846637 183017.34699999255826697, 533636.5810000819619745 182931.48400000785477459, 533582.06199995020870119 182805.79600000000209548, 533532.99999986367765814 182822.00000006100162864, 533552.9999999946448952 182915.00000000689760782, 533515.05099990067537874 182925.02400001196656376, 533466.99999992887023836 182837.99999994479003362, 533429.00000006682239473 182845.99900010784040205, 533471.9999999615829438 183061.99999997485429049, 533475.99999993247911334 183113.000000087718945, 533375.89400007401127368 183112.68199999019270763, 533363.40000004612375051 182924.30700005521066487, 533399.28099986538290977 182921.78800009816768579, 533396.13399987726006657 182875.83400006339070387, 533361.71800002013333142 182846.80100004634005018, 533327.31000005069654435 182924.27100000772043131, 533277.83300005318596959 182917.85600000218255445, 533269.94399986660573632 182953.33500007333350368, 533261.77399996109306812 182987.21200010130996816, 533260.34500004653818905 183212.29100012098206207, 533259.77099994872696698 183282.75300003823940642, 533260.3150000530295074 183288.96300008770776913, 533262.87500005646143109 183333.43699988746084273, 533428.55800005106721073 183350.69700005344930105, 533467.64699990057852119 183358.16000000000349246, 533466.99999992887023836 183310.99900011354475282, 533467.76500004099216312 183295.70400007860735059, 533554.05600009963382035 183287.68700002986588515)))</t>
  </si>
  <si>
    <t>E01001777</t>
  </si>
  <si>
    <t>Hackney 027B</t>
  </si>
  <si>
    <t>MultiPolygon (((533608.1720000000204891 187486.00400006634299643, 533605.84800005576107651 187417.16200011823093519, 533556.00700010277796537 187435.61699988876353018, 533547.53899994352832437 187398.7800000294810161, 533558.19299991149455309 187362.82499995816033334, 533569.21800010092556477 187277.02500002091983333, 533541.45300011057406664 187276.43300005004857667, 533445.45199998782481998 187272.18199996673502028, 533469.04300008749123663 187322.05099990821327083, 533509.96300009894184768 187316.77200007543433458, 533508.85600005090236664 187357.06100014268304221, 533393.7349999068537727 187352.1309999639634043, 533396.00200012011919171 187212.1910001382639166, 533457.42499987408518791 187118.61399987604818307, 533450.48700004874262959 187092.81200013810303062, 533398.85399993334431201 187130.39400000163004734, 533329.60800010815728456 187170.20300005207536742, 533312.6509998730616644 187246.63000001953332685, 533342.48500005097594112 187264.16600013474817388, 533312.82900003506802022 187323.63599986711051315, 533234.52900009858421981 187392.16299986961530522, 533175.73399995069485158 187370.81900011945981532, 533224.65599994931835681 187263.42000007751630619, 533192.01499995042104274 187249.83600005073822103, 533165.38700010254979134 187285.18500000741914846, 533117.90099994244519621 187262.46899992277030833, 533118.46599997777957469 187213.7219999271328561, 533087.00000004167668521 187200.00000006367918104, 533053.00000009790528566 187309.00000001530861482, 533010.23300000000745058 187408.46199992595938966, 533052.08799991651903838 187429.24300004570977762, 533119.26099994010291994 187461.58500004978850484, 533167.18100007192697376 187481.90499996344442479, 533270.78899988473858684 187494.01399987944751047, 533326.97800009709317237 187497.96399986190954223, 533425.54699993610847741 187488.62800005849567242, 533431.23200005083344877 187487.9070001298096031, 533447.20200001785997301 187486.09500010378542356, 533608.1720000000204891 187486.00400006634299643)))</t>
  </si>
  <si>
    <t>E01001799</t>
  </si>
  <si>
    <t>Hackney 003A</t>
  </si>
  <si>
    <t>E02000347</t>
  </si>
  <si>
    <t>Hackney 003</t>
  </si>
  <si>
    <t>MultiPolygon (((533656.18800009728875011 187472.15600011550122872, 533656.5199999762699008 187399.50600002479040995, 533656.69299994758330286 187361.67899987194687128, 533657.0879999736789614 187275.52799990345374681, 533657.34299992013256997 187219.95700000954093412, 533657.41699993831571192 187203.75800007485668175, 533654.3840000880882144 186936.97700000857003033, 533654.18999988248106092 186930.10399999999208376, 533567.78699988184962422 187011.11300001500057988, 533457.42500006104819477 187118.61399989269557409, 533396.00200000847689807 187212.19100001739570871, 533393.73500006168615073 187352.130999891058309, 533508.85600002319552004 187357.06099987489869818, 533509.96300010464619845 187316.7720000614062883, 533469.04299986886326224 187322.05099990218877792, 533445.45200001168996096 187272.18200000224169344, 533541.45299986284226179 187276.4330001003399957, 533569.21799988544080406 187277.02499996841652319, 533558.19300000974908471 187362.82499995175749063, 533547.53900001151487231 187398.77999990584794432, 533556.00699997402261943 187435.61699997229152359, 533605.8480000247946009 187417.16199996200157329, 533608.17200001201126724 187486.00400000001536682, 533656.18800009728875011 187472.15600011550122872)))</t>
  </si>
  <si>
    <t>E01001800</t>
  </si>
  <si>
    <t>Hackney 004C</t>
  </si>
  <si>
    <t>MultiPolygon (((533398.8539999641943723 187130.39400000000023283, 533450.48699995572678745 187092.81200012139743194, 533457.4249999662861228 187118.61399992363294587, 533567.78699996380601078 187011.11300008266698569, 533654.19000008318107575 186930.10399996943306178, 533654.71699992823414505 186906.754999942088034, 533657.35600002098362893 186791.19100011803675443, 533658.18600007751956582 186754.78099989594193175, 533654.43800002720672637 186708.92199997807620093, 533569.81299998715985566 186728.04600001289509237, 533559.99999995087273419 186626.31200002305558883, 533483.64799994637724012 186634.61399986976175569, 533456.42899989860597998 186637.37499993271194398, 533381.57300014153588563 186618.74600000094505958, 533377.31299990019761026 186566.65600008590263315, 533283.43799999065231532 186562.51599995687138289, 533234.86600005475338548 186554.48099999999976717, 533140.67599992244504392 186764.25200004418729804, 533159.46500000392552465 186795.00100008238223381, 533204.48900007654447109 186825.69899985688971356, 533320.00000006693881005 186804.00000007706694305, 533418.99999994714744389 186797.99999993600067683, 533426.2999998644227162 186875.87599992626928724, 533416.00000002060551196 186990.00000013111275621, 533339.17500007746275514 187007.19399994440027513, 533343.00100005674175918 187109.10000009508803487, 533391.74099986185319722 187093.200999981345376, 533398.8539999641943723 187130.39400000000023283)))</t>
  </si>
  <si>
    <t>E01001805</t>
  </si>
  <si>
    <t>Hackney 009B</t>
  </si>
  <si>
    <t>E02000353</t>
  </si>
  <si>
    <t>Hackney 009</t>
  </si>
  <si>
    <t>MultiPolygon (((533574.31300001789350063 187945.53299999999580905, 533669.00100003066472709 187821.00000009586801752, 533680.40000001236330718 187901.99999999452847987, 533772.00000011909287423 187900.99999989758362062, 533711.38200009998399764 187808.3999999348889105, 533849.00000011210795492 187740.99900003834045492, 533888.96999993047211319 187732.50499990565003827, 533904.29699995741248131 187541.61000005601090379, 533876.08999996411148459 187496.56200004467973486, 533876.9300001033116132 187467.34900010662386194, 533818.10400009201839566 187464.18300001035095192, 533791.61900003475602716 187463.48200000001816079, 533713.19799998099915683 187473.4560001025965903, 533656.18800009170081466 187472.15599990426562726, 533608.17200002213940024 187486.00399997606291436, 533447.20200004265643656 187486.09500011769705452, 533449.88399996573571116 187614.70100004383129999, 533601.43699989106971771 187598.7920000804879237, 533597.84800004225689918 187635.73399991675978526, 533660.99999996344558895 187744.99999995884718373, 533524.4470000461442396 187780.92399991385173053, 533534.52700003026984632 187813.81400003892485984, 533483.91000003123190254 187825.57200003101024777, 533493.67899999220389873 187898.87199997861171141, 533574.31300001789350063 187945.53299999999580905)))</t>
  </si>
  <si>
    <t>E01001808</t>
  </si>
  <si>
    <t>Hackney 001A</t>
  </si>
  <si>
    <t>MultiPolygon (((533601.8100000259000808 188031.14100010588299483, 533574.31300011614803225 187945.53299986876663752, 533493.67899987730197608 187898.87199985791812651, 533483.91000003484077752 187825.57199987309286371, 533534.5270000760210678 187813.81399996770778671, 533524.44700008921790868 187780.92400000270572491, 533661.00000006973277777 187744.99999995596590452, 533597.84800004889257252 187635.73400000692345202, 533601.43700014206115156 187598.79199999224510975, 533449.8839999872725457 187614.7009999398724176, 533447.2019999761832878 187486.09499999997206032, 533431.23199998901691288 187487.90699989089625888, 533425.54699991154484451 187488.62799988104961812, 533326.97799999138806015 187497.96400008225464262, 533333.5699998599011451 187653.10000009249779396, 533297.00100002018734813 187655.00000007383641787, 533332.17100007913541049 187758.34100004279753193, 533378.33800011815037578 187860.05299994838424027, 533397.99999986437615007 187907.99999987182673067, 533285.23099993041250855 187936.93900005301111378, 533313.63499992236029357 187943.68400001589907333, 533314.22099994902964681 188008.14999999129213393, 533407.31399997021071613 187974.85900010037585162, 533445.04699993459507823 188052.11099986013141461, 533466.12499989243224263 188022.48399997735396028, 533481.06300003617070615 188053.70299996153335087, 533604.15800009726081043 188068.16200000001117587, 533601.8100000259000808 188031.14100010588299483)))</t>
  </si>
  <si>
    <t>E01001809</t>
  </si>
  <si>
    <t>Hackney 001B</t>
  </si>
  <si>
    <t>MultiPolygon (((534159.19600010674912483 184346.38900010570068844, 534152.23299987276550382 184306.69599989292328246, 534160.05900010513141751 184269.03000003963825293, 534149.24499995936639607 184156.24999988827039488, 534166.20100000011734664 184096.41899996803840622, 534118.00000006670597941 184052.99999993140227161, 534144.49800012935884297 184013.45199995720759034, 533977.82900002261158079 184004.4940001308277715, 533976.41500001167878509 183965.95500007239752449, 533968.98899990261998028 183965.74300005179247819, 533929.36200005584396422 183964.99999990640208125, 533929.07999990193638951 184003.21200006330036558, 533663.37499992293305695 184013.35900011064950377, 533640.33100000000558794 184048.46600006372318603, 533719.00000008183997124 184055.99999993524397723, 533731.33400011726189405 184125.65000005945330486, 533816.07599990244489163 184120.36499998607905582, 533824.00099989504087716 184161.99999998326529749, 533909.82600002246908844 184156.96600002731429413, 533852.08300006703939289 184184.81799991152365692, 533883.43699992704205215 184227.88099989370675758, 533936.99999992258381099 184229.99999989502248354, 533937.00100012740585953 184295.30300004943273962, 533910.9540001122513786 184295.00000006586196832, 533876.23899995919782668 184357.09999993501696736, 533912.59699994325637817 184357.33200010636937805, 533937.62900012882892042 184323.63899990127538331, 533939.00099995464552194 184450.20499999108142219, 533964.19999988737981766 184452.75700003569363616, 533979.35399988433346152 184454.29700007624342106, 534120.90699996100738645 184467.30000009358627722, 534120.25900007167365402 184427.47099990729475394, 534162.37099991808645427 184423.83899987177574076, 534159.19600010674912483 184346.38900010570068844)))</t>
  </si>
  <si>
    <t>E01001819</t>
  </si>
  <si>
    <t>Hackney 020E</t>
  </si>
  <si>
    <t>MultiPolygon (((533623.80700000643264502 186525.71700001563294791, 533611.05100011825561523 186405.5360000699874945, 533568.10200009541586041 186406.95000002783490345, 533589.88200000231154263 186354.93800003945943899, 533561.96499993943143636 186303.38899994787061587, 533530.99999995902180672 186301.99999999022111297, 533530.99999995902180672 186343.00100010435562581, 533506.75100008572917432 186332.04899990983540192, 533511.15199990710243583 186295.20499993587145582, 533446.67599987250287086 186267.45399992770398967, 533463.70399990177247673 186238.31100006881752051, 533489.4249998937593773 186212.94900002630311064, 533300.40700009244028479 186102.72999999998137355, 533266.34299987333361059 186352.68599991450901143, 533296.06800011114683002 186366.61100002593593672, 533257.76999991177581251 186502.22799988117185421, 533289.49999989825300872 186504.35899995168438181, 533283.43800001009367406 186562.51599998923484236, 533377.31299995922017843 186566.65600002233986743, 533381.57299999322276562 186618.74599990440765396, 533456.42900011094752699 186637.375, 533422.99999989697244018 186564.99999995564576238, 533459.99499992560595274 186563.85499994645942934, 533627.34300008811987936 186559.82400012807920575, 533623.80700000643264502 186525.71700001563294791)))</t>
  </si>
  <si>
    <t>E01001829</t>
  </si>
  <si>
    <t>Hackney 009C</t>
  </si>
  <si>
    <t>MultiPolygon (((533611.05100013338960707 186405.53599991611554287, 533597.58800006797537208 186250.99999998277053237, 533652.69999999832361937 186223.31499997631181031, 533626.00000012048985809 186126.99999988899799064, 533584.99999996100086719 186131.00000012046075426, 533584.4729999559931457 186125.34000013818149455, 533578.6390001445543021 185974.43499990314012393, 533581.00000002456363291 185871.00000012377859093, 533577.25199996284209192 185816.81400000001303852, 533541.62900006689596921 185827.62400000737397932, 533542.6410000977339223 185860.36799988741404377, 533545.93799993395805359 185928.42600002783001401, 533446.00000003189779818 185930.00000014458782971, 533353.87999999488238245 185930.00000014458782971, 533331.99999992677476257 185875.00000006018672138, 533265.20500000147148967 185882.97400001614005305, 533276.74699998216237873 186053.02200000794255175, 533276.97399992553982884 186057.37600010557798669, 533280.44399990059901029 186083.72000014639343135, 533300.40700012084562331 186102.73000006764777936, 533489.42500002565793693 186212.9490000011282973, 533463.70400006847921759 186238.31099986977642402, 533446.67599993478506804 186267.45399991012527607, 533511.15199995902366936 186295.20500013665878214, 533506.75099995511118323 186332.04899997363099828, 533531.00000008195638657 186343.00099998066434637, 533531.00000008195638657 186302.00000013079261407, 533561.96499987691640854 186303.38899998823762871, 533589.88200004899408668 186354.93800011623534374, 533568.1020000014686957 186406.95000000001164153, 533611.05100013338960707 186405.53599991611554287)))</t>
  </si>
  <si>
    <t>E01001830</t>
  </si>
  <si>
    <t>Hackney 014C</t>
  </si>
  <si>
    <t>MultiPolygon (((533764.50000011897645891 186647.28099998962716199, 533822.96600003645289689 186532.91799990786239505, 533861.70699995139148086 186354.94199992134235799, 533835.80999987001996487 186321.10900007816962898, 533782.23600008024368435 186325.89199991573696025, 533747.47799995425157249 186342.85299993838998489, 533749.00000008672941476 186247.99999985983595252, 533679.74499991023913026 186223.67000010868650861, 533682.00000004889443517 186122.99999993515666574, 533656.09099985158536583 186097.20800000001327135, 533626.00000012549571693 186126.9999998621060513, 533652.69999989017378539 186223.31500012462493032, 533597.58800002373754978 186251.00000012046075426, 533611.05099986679852009 186405.53599985386244953, 533623.80700000724755228 186525.71699990882189013, 533627.34299997542984784 186559.82400013683945872, 533459.99499998148530722 186563.85500007393420674, 533423.0000000485451892 186565.00000006245682016, 533456.42899988137651235 186637.37500008099596016, 533483.64799984660930932 186634.61400005131145008, 533560.00000006938353181 186626.31200006796279922, 533569.81299994757864624 186728.04600000000209548, 533654.43799990008119494 186708.92199999099830166, 533676.4789998676860705 186696.21800014231121168, 533764.50000011897645891 186647.28099998962716199)))</t>
  </si>
  <si>
    <t>E01001831</t>
  </si>
  <si>
    <t>Hackney 009D</t>
  </si>
  <si>
    <t>MultiPolygon (((533861.7069999307859689 186354.94200000001001172, 533927.47899988456629217 186149.2669999563076999, 533940.89800005208235234 186119.94599989740527235, 533952.55300009169150144 186097.43999990276643075, 533975.47000005631707609 186054.73899996900581755, 533960.59700001741293818 185999.43100004972075112, 533810.72399996360763907 185981.76199993336922489, 533784.71200010215397924 186016.68999990521115251, 533769.49400004756171256 185945.87299996675574221, 533793.33299995679408312 185932.33300008470541798, 533777.24200000835116953 185902.53399990731850266, 533621.4029999771155417 185957.53999990999000147, 533618.17199988022912294 185920.81499995425110683, 533615.43600004795007408 185870.11699999999837019, 533581.00000000128056854 185870.99999989429488778, 533578.63899994362145662 185974.43499994301237166, 533584.47300001222174615 186125.33999994621262886, 533584.99999993888195604 186130.99999995849793777, 533626.00000008707866073 186127.00000002089655027, 533656.09099993819836527 186097.20799998930306174, 533681.99999994051177055 186123.0000000833242666, 533679.74500008148606867 186223.67000000763800927, 533749.00000004656612873 186247.99999989042407833, 533747.47800007497426122 186342.85299989234772511, 533782.23600003914907575 186325.89199990482302383, 533835.81000007444527 186321.10900007744203322, 533861.7069999307859689 186354.94200000001001172)))</t>
  </si>
  <si>
    <t>E01001832</t>
  </si>
  <si>
    <t>Hackney 009E</t>
  </si>
  <si>
    <t>MultiPolygon (((533975.46999988448806107 186054.73900000000139698, 534018.16699988895561546 185913.66599989531096071, 534021.38399993383791298 185888.07299998990492895, 534026.624999905587174 185844.96900006415671669, 534003.31599997403100133 185701.80999999106279574, 533999.70999994536396116 185693.49699990724911913, 533945.1880000923993066 185682.6870000502676703, 533905.183999924804084 185632.65999996205209754, 533824.2500000074505806 185657.03099990167538635, 533813.12500008940696716 185602.09399989849771373, 533688.6629998964490369 185593.01499995938502252, 533685.12100008188281208 185592.75200000003678724, 533716.49100004846695811 185625.72200000565499067, 533780.99999994703102857 185630.00100005848798901, 533782.44099999929312617 185723.5499999042658601, 533768.85800009570084512 185766.9819999743194785, 533587.58200007805135101 185765.18700007337611169, 533577.25200009427499026 185816.81399996971595101, 533580.99999991210643202 185870.99999991152435541, 533615.4359999344451353 185870.11700000055134296, 533618.17199990432709455 185920.81499994031037204, 533621.40300000307615846 185957.54000002177781425, 533777.24199995864182711 185902.53399995021754876, 533793.3330000079004094 185932.33299995661946014, 533769.49400004313793033 185945.87299995822831988, 533784.71199988992884755 186016.68999992200406268, 533810.72400005988311023 185981.76199991416069679, 533960.59699991764500737 185999.43099995053489693, 533975.46999988448806107 186054.73900000000139698)))</t>
  </si>
  <si>
    <t>E01001833</t>
  </si>
  <si>
    <t>Hackney 014D</t>
  </si>
  <si>
    <t>MultiPolygon (((533545.9380000316305086 185928.4260000488429796, 533542.64099999924656004 185860.36799990563304164, 533541.62899990624282509 185827.62399992888094857, 533577.25200003606732935 185816.81399993348168209, 533587.58200002240482718 185765.18700007494771853, 533768.85800006485078484 185766.98199995059985667, 533782.4409999999916181 185723.54999991322983988, 533781.00000007217749953 185630.00099990394664928, 533716.4910000836243853 185625.72199994258699007, 533685.1209998776903376 185592.75199988100212067, 533662.96199997374787927 185591.09699998615542427, 533568.63799991190899163 185557.43299994862172753, 533566.46899997908622026 185543.96800008325953968, 533554.42999995965510607 185543.24999987159390002, 533537.71300004643853754 185592.6639999751932919, 533535.27500010759104043 185642.57900009796139784, 533546.46699989004991949 185696.32300007567391731, 533405.43099990370683372 185707.4280001146835275, 533409.9300000217044726 185745.14599992966395803, 533259.61699999996926636 185772.12799999679555185, 533261.99999989964999259 185835.96199995640199631, 533263.97299991163890809 185864.9199999995471444, 533265.20499989984091371 185882.9739999518787954, 533331.99999998998828232 185874.9999999268038664, 533353.88000009453389794 185930.00000012840609998, 533446.00000003236345947 185930.00000012840609998, 533545.9380000316305086 185928.4260000488429796)))</t>
  </si>
  <si>
    <t>E01001834</t>
  </si>
  <si>
    <t>Hackney 014E</t>
  </si>
  <si>
    <t>MultiPolygon (((533537.71299992920830846 185592.66399998686392792, 533554.43000003113411367 185543.24999994866084307, 533566.46900003822520375 185543.96800001282826997, 533555.10900002508424222 185463.2099999389029108, 533534.69999997527338564 185463.88200003566453233, 533510.90799994010012597 185464.19000001304084435, 533469.12500002817250788 185513.03099994719377719, 533416.12499993189703673 185507.62499993512756191, 533425.68799997470341623 185455.79699998657451943, 533280.12500005785841495 185450.64100000000325963, 533280.24700003431644291 185518.02500006259651855, 533271.335000075167045 185572.83800005493685603, 533249.99999996181577444 185613.90999996059690602, 533252.97799994773231447 185643.92600005003623664, 533259.61700001533608884 185772.12799999996786937, 533409.92999993392731994 185745.14600003839586861, 533405.43099994293879718 185707.42800006171455607, 533546.4669999583857134 185696.32300000064424239, 533535.27500004984904081 185642.5790000613196753, 533537.71299992920830846 185592.66399998686392792)))</t>
  </si>
  <si>
    <t>E01001835</t>
  </si>
  <si>
    <t>Hackney 014F</t>
  </si>
  <si>
    <t>MultiPolygon (((533324.88200001686345786 185271.44500000000698492, 533396.36400000064168125 185116.29100001548067667, 533414.41399990604259074 185084.14099988041562028, 533423.75399997725617141 185067.50399997309432365, 533482.64400010125245899 184838.05400010821176693, 533452.08699996082577854 184773.10200000001350418, 533431.68899995065294206 184776.11499996753991581, 533284.09299997170455754 184794.62099991401191801, 533155.33200000762008131 184805.4219998826738447, 533139.28900003910530359 184806.68699998315423727, 533039.40299989876803011 184814.64499998104292899, 533055.39700004260521382 184840.92800000362331048, 533173.71000005619134754 184985.76100001035956666, 533217.10600002680439502 184999.35899990081088617, 533257.61800010222941637 184986.30400002491660416, 533300.16100006422493607 185007.10200002740020864, 533304.00000006589107215 185029.00000000890577212, 533266.06799994129687548 185031.08399991938495077, 533272.03200002701487392 185075.96000011102296412, 533307.00000000873114914 185134.99999998297425918, 533277.65099999471567571 185145.43499990878626704, 533262.0000001183943823 185150.99999992735683918, 533257.55200005369260907 185224.78499989220290445, 533293.13300004857592285 185212.70500012231059372, 533286.31100007891654968 185252.37200008926447481, 533324.88200001686345786 185271.44500000000698492)))</t>
  </si>
  <si>
    <t>E01002778</t>
  </si>
  <si>
    <t>Islington 012B</t>
  </si>
  <si>
    <t>E02000565</t>
  </si>
  <si>
    <t>Islington 012</t>
  </si>
  <si>
    <t>MultiPolygon (((533888.59900007885880768 183000.98900000809226185, 533941.35000008170027286 182897.78900010421057232, 533955.98100000014528632 182865.15699991234578192, 533887.99999992945231497 182822.00000002564047463, 533895.99999992386437953 182795.9999999841384124, 533856.51000002038199455 182767.09300000537768938, 533839.80400002654641867 182804.47599999481462874, 533746.93299988110084087 182716.50199997000163421, 533734.71199990750756115 182721.34100009972462431, 533676.68999992485623807 182672.1129999709664844, 533676.52300010318867862 182666.37900005097617395, 533670.88499993772711605 182637.35500010283431038, 533599.13999990292359143 182631.78899999189889058, 533543.66200009954627603 182668.14799989416496828, 533533.07599997357465327 182670.9950001043616794, 533478.31799999997019768 182683.62300000200048089, 533523.69500005897134542 182731.48200006040860899, 533530.99999991070944816 182740.00000002334127203, 533582.06200002483092248 182805.79599996164324693, 533636.58099988335743546 182931.48399989539757371, 533683.99999995285179466 182915.9999999001447577, 533700.66399999440182 182937.84800005465513095, 533727.39000002958346158 182972.88899996507097967, 533751.08899995684623718 182934.66300001254421659, 533836.41900009801611304 182990.37400000612251461, 533888.59900007885880768 183000.98900000809226185)))</t>
  </si>
  <si>
    <t>E01004311</t>
  </si>
  <si>
    <t>Tower Hamlets 006A</t>
  </si>
  <si>
    <t>E02000869</t>
  </si>
  <si>
    <t>Tower Hamlets 006</t>
  </si>
  <si>
    <t>MultiPolygon (((534209.1110001178458333 183064.31400002862210386, 534157.59799992723856121 183010.50999994378071278, 534080.03099994151853025 183006.03700008994201198, 534108.13599995581898838 183054.03600003107567318, 534043.555999870528467 183013.82099999609636143, 534020.97999994258861989 182984.52799998965929262, 534014.51999986497685313 183007.7959999450831674, 533935.95999993092846125 182991.35600004106527194, 533888.59899990574922413 183000.98899998844717629, 533836.41899985889904201 182990.3739999957033433, 533751.08900006185285747 182934.66299998929025605, 533727.38999984855763614 182972.88900007004849613, 533700.66400010150391608 182937.84800008911406621, 533683.99999990547075868 182915.99999995529651642, 533636.58100000000558794 182931.48400000456604175, 533696.71600015240255743 183017.34699985981569625, 533843.82199985010083765 183093.25300002182484604, 533879.02499985799659044 183100.67500006931368262, 534156.81399998313281685 183129.13600013515679166, 534225.61299997894093394 183140.64600004471139982, 534252.54599999985657632 183123.72899992452585138, 534209.1110001178458333 183064.31400002862210386)))</t>
  </si>
  <si>
    <t>E01004318</t>
  </si>
  <si>
    <t>Tower Hamlets 006D</t>
  </si>
  <si>
    <t>MultiPolygon (((533939.00100005406420678 184450.20499999998719431, 533937.6290000188164413 184323.6390000220562797, 533912.59699997876305133 184357.33199998724739999, 533876.23899999575223774 184357.09999999366118573, 533910.95400004251860082 184295.00000002692104317, 533937.00099996279459447 184295.30299992690561339, 533937.00000001781154424 184230.00000006717164069, 533883.43700005300343037 184227.88100007086177357, 533852.08300000475719571 184184.81800003524404019, 533909.82599992712493986 184156.96599999998579733, 533824.00100001250393689 184162.00000004388857633, 533823.8190000542672351 184164.82899998387438245, 533683.00000001268927008 184172.00000006024492905, 533684.99999995739199221 184209.00000006213667803, 533649.00499994598794729 184211.8569999280734919, 533675.79000002914108336 184315.1319999826955609, 533694.19199999608099461 184315.96699994124355726, 533755.92099999147467315 184431.8930000671534799, 533783.70600004692096263 184434.82699994926224463, 533939.00100005406420678 184450.20499999998719431)))</t>
  </si>
  <si>
    <t>E01033698</t>
  </si>
  <si>
    <t>Hackney 021F</t>
  </si>
  <si>
    <t>MultiPolygon (((533757.19900004786904901 185287.3430000048247166, 533799.89800013706553727 185233.98200013127643615, 533839.26100006990600377 185238.64800011151237413, 533842.99999987380579114 185195.0000001096050255, 533805.33800006087403744 185191.57100003457162529, 533802.06700002623256296 185148.20400000311201438, 533701.75600014324299991 185131.34200010425411165, 533712.15100000123493373 185096.62999985451460816, 533594.99999995576217771 185136.00000010090298019, 533592.35899986838921905 185048.84200003280420788, 533543.99999986926559359 185038.99999987910268828, 533541.99999988870695233 185003.99999992828816175, 533677.41999989980831742 184910.90600007883040234, 533607.75000012316741049 184851.45300001508439891, 533506.93899995356332511 184892.95299990265630186, 533487.00000013248063624 184804.00000012599048205, 533541.40300012880470604 184794.22300009406171739, 533529.99599986791145056 184788.71800004856777377, 533452.08700003975536674 184773.10200000001350418, 533482.64399988111108541 184838.05400004872353747, 533423.75400001124944538 185067.50400003071990795, 533414.41400006716139615 185084.14100013577262871, 533396.36400012625381351 185116.29099988119560294, 533513.11099997977726161 185149.45000014486140572, 533511.16900009894743562 185184.74099997279699892, 533546.41800008586142212 185202.65399993953178637, 533500.18700009630993009 185249.11600007492233999, 533548.74799989990424365 185275.38400000115507282, 533552.93200006673578173 185274.67399992645368911, 533624.31400012283120304 185298.21900000624009408, 533704.00000006076879799 185326.99999999077408575, 533744.99999995320104063 185356, 533778.99999991373624653 185314.00000011728843674, 533757.19900004786904901 185287.3430000048247166)))</t>
  </si>
  <si>
    <t>E01033699</t>
  </si>
  <si>
    <t>Hackney 021G</t>
  </si>
  <si>
    <t>MultiPolygon (((533783.7760000191628933 184887.30899997876258567, 533778.99999995878897607 184827.99999992456287146, 533825.00000008975621313 184824.00100001951796003, 533800.99999998579733074 184802.99999991874210536, 533800.99999998579733074 184776.46000008058035746, 533867.48300002294126898 184768.43999998772051185, 533900.60800001688767225 184757.81199990815366618, 533905.67500007629860193 184653.10200012597488239, 533873.78200005751568824 184638.30699987130356021, 533827.02199990267399698 184704.47000007107271813, 533780.73000007052905858 184669.25500001158798113, 533742.25400012044701725 184707.55299993592780083, 533712.28700007277075201 184689.61299996412708424, 533678.54800004232674837 184670.84899989169207402, 533730.58300009602680802 184638.14999987932969816, 533711.0299998881528154 184596.98899990995414555, 533747.72399990318808705 184585.92400011749123223, 533748.9999998970888555 184546.99999990299693309, 533617.99999991047661752 184550.99900008150143549, 533577.88800001272466034 184553.97099992414587177, 533574.97099991992581636 184495.39300005548284389, 533620.63099988200701773 184421.17700002231867984, 533554.8880000839708373 184414.29799994069617242, 533552.8750000512227416 184366.71900010996614583, 533498.06300003849901259 184364.17199999996228144, 533508.9270000938558951 184535.29199996232637204, 533510.61099996231496334 184558.95500009751413018, 533516.25499986857175827 184643.37399993068538606, 533529.99599990027491003 184788.71799998093047179, 533541.40300008619669825 184794.22300000221002847, 533486.9999999237479642 184804.00000009397626854, 533506.93899999698624015 184892.95299988496117294, 533607.74999989161733538 184851.45299999561393633, 533677.41999998677056283 184910.90600008598994464, 533728.78999988303985447 184911.05499999999301508, 533783.7760000191628933 184887.30899997876258567)))</t>
  </si>
  <si>
    <t>E01033700</t>
  </si>
  <si>
    <t>Hackney 021H</t>
  </si>
  <si>
    <t>MultiPolygon (((533824.00099999038502574 184162.00000006126356311, 533816.07600003876723349 184120.36500010790769011, 533731.33399999444372952 184125.64999991000513546, 533719.00000005809124559 184056.00000012465170585, 533640.33100005402229726 184048.46599992620758712, 533663.37499998172279447 184013.35899999435059726, 533682.95900004624854773 183991.040999980061315, 533694.39999996486585587 183979.73300002058385871, 533735.1879999766824767 183943.81200008519226685, 533669.58799989835824817 183935.059999991877703, 533561.99199994094669819 183928.6030001156614162, 533539.0000000549480319 183926.59799993433989584, 533479.49999998928979039 183921.0620000000053551, 533479.45200000982731581 183986.04199989617336541, 533479.86900003929622471 184022.81400009070057422, 533486.9100000491598621 184190.18600005964981392, 533497.61000001290813088 184356.17899999499786645, 533498.06300009076949209 184364.17199998145224527, 533552.87500011536758393 184366.71900002704933286, 533554.88799991004634649 184414.29800012364285067, 533620.63099997525569052 184421.17700004312791862, 533755.92099994956515729 184431.89300000001094304, 533694.19200005370657891 184315.96699999261181802, 533675.79000009095761925 184315.13199998205527663, 533649.00500008487142622 184211.85699991925503127, 533685.00000002060551196 184209.00000003798049875, 533683.00000010861549526 184171.99999987697810866, 533823.81900010001845658 184164.82900001836242154, 533824.00099999038502574 184162.00000006126356311)))</t>
  </si>
  <si>
    <t>E01033707</t>
  </si>
  <si>
    <t>Hackney 021I</t>
  </si>
  <si>
    <t>MultiPolygon (((540279.04100014781579375 173821.04100013949209824, 540174.8490000672172755 173737.85200020557385869, 540278.96799995750188828 173581.35299998547998257, 540297.38899999996647239 173553.27800001460127532, 540247.06699979794211686 173521.22900003773975186, 540196.52200015156995505 173576.12199999316362664, 540137.000000010128133 173571.00000011271913536, 540137.000000010128133 173537.99999990200740285, 540178.15099986037239432 173334.54699996765702963, 540122.65600009856279939 173375.37099990146816708, 540079.01899993512779474 173364.49800018340465613, 539925.43299986654892564 173267.16100005057523958, 539818.18999993521720171 173198.16799979167990386, 539670.53199994750320911 173418.07299993597553112, 539602.79799995012581348 173518.6680000975029543, 539597.30099983862601221 173526.83399991394253448, 539584.19599995261523873 173546.29699992213863879, 539458.875 173732.4219998781918548, 539677.63199985050596297 173764.28000020133913495, 539888.5669998339144513 173790.26600018184399232, 539910.73800009093247354 173792.90400002419482917, 540040.00699982664082199 173815.64499987778253853, 540101.35099991119932383 173845.40799980438896455, 540150.7629998599877581 173778.30500003931229003, 540250.01699979894328862 173855.8700002083205618, 540279.04100014781579375 173821.04100013949209824)))</t>
  </si>
  <si>
    <t>E01003268</t>
  </si>
  <si>
    <t>Lewisham 023B</t>
  </si>
  <si>
    <t>E02000675</t>
  </si>
  <si>
    <t>Lewisham 023</t>
  </si>
  <si>
    <t>MultiPolygon (((540553.64399986190255731 173877.14900009511620738, 540582.43800006934907287 173650.71899991363170557, 540523.31300004792865366 173623.28100013785297051, 540592.05400011781603098 173461.97300018853275105, 540558.31799996469635516 173419.61300018877955154, 540582.9819999571191147 173251.58499999999185093, 540516.65400002454407513 173292.70699989952845499, 540490.0000000869622454 173270.99999993212986737, 540417.70699993707239628 173379.24800015849177726, 540362.09000010648742318 173344.7159998647402972, 540329.72299979790113866 173391.32999995222780854, 540382.22399996651802212 173432.54299980757059529, 540297.38899981288705021 173553.27800017595291138, 540278.96799992967862636 173581.3530000489554368, 540174.84899999469053 173737.85200005045044236, 540279.04100004164502025 173821.04099998480523936, 540250.01699993258807808 173855.86999993782956153, 540150.76300013705622405 173778.30499985936330631, 540101.35100006789434701 173845.4079999114619568, 540630.00000006286427379 174064.53099999998812564, 540672.49999993212986737 173963.76599983029882424, 540555.61699988681357354 173905.38999988304567523, 540553.64399986190255731 173877.14900009511620738)))</t>
  </si>
  <si>
    <t>E01003269</t>
  </si>
  <si>
    <t>Lewisham 023C</t>
  </si>
  <si>
    <t>MultiPolygon (((538946.0000000880099833 173504.00000008224742487, 538953.80399994377512485 173383.94600002156221308, 538955.99999998148996383 173350.99999992939410731, 538959.99600000004284084 173285.05700007925042883, 538747.43600012513343245 173276.88899993195082061, 538746.68300011532846838 173310.04600004479289055, 538692.06099988729692996 173308.83600008315988816, 538665.69199988560285419 173341.4179998837353196, 538663.57799999474082142 173380.17800008208723739, 538621.16500007209833711 173379.1539999503584113, 538619.8110000203596428 173419.78399995047948323, 538698.73099989269394428 173421.60300008647027425, 538697.46199987817090005 173458.39500007146853022, 538465.4980000164359808 173452.47700002751662396, 538493.71199988399166614 173567.99999990977812558, 538450.5470000000204891 173573.97999989701202139, 538458.62199997762218118 173611.89899990308913402, 538460.25199988391250372 173668.67400012601865456, 538601.5710000618128106 173671.87300004353164695, 538689.81299988075625151 173673.68699993760674261, 538934.97899995325133204 173680.32800006805337034, 538938.67700007185339928 173618.11099990824004635, 538946.0000000880099833 173504.00000008224742487)))</t>
  </si>
  <si>
    <t>E01003224</t>
  </si>
  <si>
    <t>Lewisham 022E</t>
  </si>
  <si>
    <t>E02000674</t>
  </si>
  <si>
    <t>Lewisham 022</t>
  </si>
  <si>
    <t>MultiPolygon (((539360.72399995697196573 173370.57400005366071127, 539438.95300007495097816 173189.97700011704000644, 539405.27399985934607685 173173.59199996534152888, 539412.4700000633019954 173128.7460000850551296, 539367.36599989957176149 173123.53299999999580905, 539365.00000006018672138 173154.00000010474468581, 539324.94999993348028511 173135.30699994205497205, 539287.99999993410892785 173127.999999893741915, 539249.64600002346560359 173125.5730001027113758, 539233.17499997385311872 173368.48400005823350511, 539194.00000003282912076 173365.99999998864950612, 539113.9999998597195372 173361.00000010678195395, 539036.00000011106021702 173355.9999999301508069, 538955.99999993795063347 173351.00000004831235856, 538953.80399991059675813 173383.94600011545117013, 538945.99999987951014191 173504.00000008824281394, 538938.67699995986185968 173618.11099995078984648, 538934.97899992507882416 173680.3280000127851963, 539014.87900001800153404 173685.36100007142522372, 539176.05300006142351776 173696.10300005861790851, 539392.76500007975846529 173713.06400000001303852, 539358.00700013979803771 173383.41300012735882774, 539360.72399995697196573 173370.57400005366071127)))</t>
  </si>
  <si>
    <t>E01003220</t>
  </si>
  <si>
    <t>Lewisham 022C</t>
  </si>
  <si>
    <t>MultiPolygon (((537956.80199989618267864 174071.23000005609355867, 537963.0160000273026526 174017.55400006915442646, 538153.84499998204410076 174038.02399996333406307, 538155.03300009190570563 173998.47599992348114029, 538194.30500007164664567 174002.02799987178877927, 538198.7290001466171816 173837.11800005310215056, 538197.01099988981150091 173826.07199994748225436, 538249.0830001316498965 173824.91899996469146572, 538323.86600008618552238 173719.22599998005898669, 538315.14200003969017416 173668.81599997830926441, 538292.71699997910764068 173633.98199999998905696, 538205.66099996981211007 173646.42399987755925395, 538164.66700002085417509 173649.51400007691700011, 538180.05199993727728724 173730.29199989166227169, 538147.37799984763842076 173740.74599995405878872, 538128.48399984568823129 173785.20399995835032314, 538015.87699998787138611 173769.29500008560717106, 538009.76300013088621199 173721.79599993544979952, 537881.79800012579653412 173742.91300011702696793, 537890.9600000916980207 173780.52100000050268136, 537822.07799991394858807 173793.9330001118069049, 537833.28500010655261576 173831.89100002188934013, 537844.89500009152106941 173873.6839999035873916, 537884.30999989726115018 173871.4189999446971342, 537880.02300007967278361 173970.49099998234305531, 537885.44300007401034236 174003.80800002487376332, 537855.32799995318055153 174009.94799987840815447, 537887.99900010309647769 174171.99999992243829183, 537891.74100007466040552 174256.11799999998765998, 537952.6429998945677653 174251.47399988156394102, 537946.12700001779012382 174209.86999993960489519, 537895.28799991589039564 174207.84199989031185396, 537946.83500011789146811 174122.51400004074093886, 538143.65799984929617494 174119.18200013582827523, 538143.45600006671156734 174077.55400005338015035, 537956.80199989618267864 174071.23000005609355867)))</t>
  </si>
  <si>
    <t>E01003325</t>
  </si>
  <si>
    <t>Lewisham 018D</t>
  </si>
  <si>
    <t>E02000670</t>
  </si>
  <si>
    <t>Lewisham 018</t>
  </si>
  <si>
    <t>MultiPolygon (((538180.05199999350588769 173730.29200006928294897, 538164.66700001212302595 173649.51399996620602906, 538139.06299991789273918 173508.67000001631095074, 538145.20399986824486405 173501.54200004515587352, 538174.84999996609985828 173496.55100011240574531, 538175.68599992897361517 173525.41199990207678638, 538362.86300000012852252 173498.10000006560585462, 538351.14200006541796029 173443.56700007169274613, 538299.64799990761093795 173421.95100008501322009, 538159.098000000230968 173455.83899996633408591, 538122.26700013608206064 173426.57799993240041658, 538119.92600010999012738 173418.78799996775342152, 538092.56299993430729955 173399.18700001345132478, 537780.06300011463463306 173478.9529999092919752, 537757.67600003362167627 173432.78899992551305331, 537678.18900000001303852 173436.98900009409408085, 537689.68200006941333413 173546.55999987680115737, 537845.0000001632142812 173530.0000000337313395, 537856.54199995438102633 173593.20800001925090328, 537807.09199988096952438 173619.24200003375881352, 537822.42000006709713489 173751.24500009609619156, 537881.79800010996405035 173742.91299986894591711, 538009.76300003426149487 173721.79599987890105695, 538015.87699986540246755 173769.29500016444944777, 538128.48399992741178721 173785.20399998655193485, 538147.37800003192387521 173740.7460001545259729, 538180.05199999350588769 173730.29200006928294897)))</t>
  </si>
  <si>
    <t>E01003319</t>
  </si>
  <si>
    <t>Lewisham 018A</t>
  </si>
  <si>
    <t>MultiPolygon (((538460.25200006214436144 173668.67399995241430588, 538458.62200017413124442 173611.89900011447025463, 538450.54700004006735981 173573.98000016703736037, 538387.47100016684271395 173344.39400007910444401, 538380.68800008343532681 173308.43699999997625127, 538319.70100008742883801 173328.07800000291899778, 538162.50700017972849309 173372.68700006452854723, 538119.92599987075664103 173418.78800002450589091, 538122.2669999347999692 173426.57800002960721031, 538159.09800006949808449 173455.83900013740640134, 538299.64799994672648609 173421.95100016912329011, 538351.14199984667357057 173443.56699985213344917, 538362.86299990699626505 173498.10000018036225811, 538175.68600009882356972 173525.41199986770516261, 538174.85000010894145817 173496.55099981947569177, 538145.20399994833860546 173501.54199986887397245, 538139.06299986410886049 173508.67000010833726265, 538164.66700006485916674 173649.51399990014033392, 538205.66099994722753763 173646.42399995838059112, 538292.7169999903999269 173633.98199983887025155, 538315.14199994225054979 173668.81599996809381992, 538323.86600003007333726 173719.22600008148583584, 538249.08300000580493361 173824.91900013445410877, 538324.74300001421943307 173909.85199989675311372, 538442.20299988146871328 173970.87900015347986482, 538596.88400005979929119 174036.30999999999767169, 538648.52800002763979137 173872.18999989572330378, 538690.11400012928061187 173709.03700018025119789, 538689.812999896123074 173673.68699996321811341, 538601.57099994737654924 173671.87299996771616861, 538460.25200006214436144 173668.67399995241430588)))</t>
  </si>
  <si>
    <t>E01003320</t>
  </si>
  <si>
    <t>Lewisham 018B</t>
  </si>
  <si>
    <t>MultiPolygon (((538986.90799985057674348 174435.04900007802643813, 539218.19300011382438242 174094.76700007155886851, 539301.87100015697069466 173968.9979999850038439, 539437.63299980410374701 173764.43000000037136488, 539458.87500017031561583 173732.42200014099944383, 539392.7650000024586916 173713.06400009535718709, 539176.05299978994298726 173696.10300012250081636, 539014.87900006375275552 173685.36099999997531995, 539013.21200003824196756 173723.32500021578744054, 539196.79399986821226776 173758.12699992177658714, 539198.03799988096579909 173795.88800017526955344, 539085.04699993482790887 173864.56800017043133266, 539063.73300013074185699 173892.55999999871710315, 539028.24900000274647027 173919.53399981802795082, 538956.19400005554780364 174008.20899996909429319, 538990.00000002281740308 174032.99999981300788932, 538939.93600011977832764 174089.15599989486509003, 538920.80400007788557559 174110.94500018988037482, 538894.81800005969125777 174138.09699994564289227, 538930.65099989413283765 174159.35500018691527657, 538903.25899980193935335 174207.09599988153786398, 539025.4159997976385057 174261.62199986996711232, 539011.90099988551810384 174287.86800006841076538, 539006.99999991222284734 174348.0000000516010914, 538921.88099984719883651 174319.59100016360753216, 538878.67400011792778969 174391.36000013348530047, 538892.10799999930895865 174461.14300013706088066, 538849.01699980651028454 174466.16099986003246158, 538820.67599982966203243 174515.84700006197090261, 538875.28400006203446537 174525.79000001287204213, 538863.36500006669666618 174555.58799988660030067, 538888.586000089882873 174569.33199999999487773, 538986.90799985057674348 174435.04900007802643813)))</t>
  </si>
  <si>
    <t>E01003295</t>
  </si>
  <si>
    <t>Lewisham 017D</t>
  </si>
  <si>
    <t>E02000669</t>
  </si>
  <si>
    <t>Lewisham 017</t>
  </si>
  <si>
    <t>MultiPolygon (((540630 174064.53100002155406401, 540101.35099991841707379 173845.40799986242200248, 540040.00700001372024417 173815.64500002196291462, 539910.73799994646105915 173792.90399980437359773, 539888.56699984648730606 173790.26599993032868952, 539864.77900018903892487 173854.77799997109104879, 539876.10800009965896606 173948.08199979015626013, 539805.26500020385719836 173959.48300004986231215, 539800.9099998283199966 174001.24799980767420493, 539759.98400000017136335 174021.71500005535199307, 539777.78300004696939141 174050.47599985855049454, 539919.41699985228478909 174087.50400001075468026, 539900.69699999783188105 174149.7349999328434933, 539965.7380002171266824 174173.80399996798951179, 539997.5370001905830577 174043.87799992325017229, 539998.93099985690787435 174039.80899990745820105, 540036.92799990437924862 174048.60799981516902335, 540026.59800021594855934 173980.03899988927878439, 540077.31899992376565933 173997.23500011174473912, 540053.2160000983858481 174073.30500001952168532, 540113.53699995460920036 174123.51900007840595208, 540081.38000014238059521 174149.64400017433217727, 540142.92599992710165679 174234.50800000785966404, 540120.49999987741466612 174242.89499992370838299, 540114.63500016741454601 174279.75600006966851652, 540274.81299994047731161 174212.06200003044796176, 540503.97999986354261637 174173.04400010124663822, 540598.50000016542617232 174157.67200016797869466, 540627.42400007625110447 174070.29000002724933438, 540630 174064.53100002155406401)))</t>
  </si>
  <si>
    <t>E01003280</t>
  </si>
  <si>
    <t>Lewisham 016A</t>
  </si>
  <si>
    <t>E02000668</t>
  </si>
  <si>
    <t>Lewisham 016</t>
  </si>
  <si>
    <t>MultiPolygon (((539789.72200022405013442 174263.49800014510401525, 539888.48100021714344621 174169.895999776548706, 539961.99900007387623191 174190.00000023236498237, 539965.73800000012852252 174173.80400008580181748, 539900.69699976674746722 174149.73500009218696505, 539919.41700018418487161 174087.5040000626759138, 539777.78299977607093751 174050.47600003139814362, 539759.98400008236058056 174021.71499996702186763, 539800.91000020620413125 174001.2479999162897002, 539805.2649998749839142 173959.48300006266799755, 539876.10799976147245616 173948.08199982068617828, 539864.77899980719666928 173854.77799984090961516, 539888.56700022099539638 173790.26599996103323065, 539677.6319997669197619 173764.28000007616356015, 539458.87499993480741978 173732.42200000016600825, 539437.63299997500143945 173764.42999990069074556, 539301.87099975813180208 173968.99799995953799225, 539218.1929999761050567 174094.76699990557972342, 538986.90800000005401671 174435.04899982630740851, 539010.82099994132295251 174520.11599999983445741, 539189.57599999778904021 174408.64400001399917528, 539173.80899999535176903 174370.34999985850299709, 539208.40000012388918549 174357.49999988253694028, 539484.52200015750713646 174306.81999991956399754, 539659.1440001679584384 174283.35500019163009711, 539789.72200022405013442 174263.49800014510401525)))</t>
  </si>
  <si>
    <t>E01003281</t>
  </si>
  <si>
    <t>Lewisham 016B</t>
  </si>
  <si>
    <t>MultiPolygon (((538736.88400006981100887 174065.17699991376139224, 538801.49999994528479874 174004.2499999429564923, 538786.18800011079292744 173963.67199996102135628, 538830.4809998992132023 173918.34599995019380003, 538956.19400007219519466 174008.20899991490296088, 539028.24900010519195348 173919.53400000088731758, 539063.7330000652000308 173892.55999992319266312, 539085.04700008442159742 173864.56800012159510516, 539198.037999999942258 173795.88799985562218353, 539196.79399997170548886 173758.12699995201546699, 539013.21200009481981397 173723.32499985050526448, 539014.87899993173778057 173685.36099987462512217, 538934.97899990365840495 173680.32799989407067187, 538689.81299990229308605 173673.68700003103003837, 538690.11399993533268571 173709.03700000082608312, 538648.52800004999153316 173872.19000009627779946, 538596.88399993709754199 174036.3100000019185245, 538583.85499999998137355 174149.86900004092603922, 538615.63099999714177102 174145.68700004860875197, 538631.89200008765328676 174010.30899999520624988, 538714.15399991581216455 174036.64100011065602303, 538676.18600007309578359 174162.34299995901528746, 538719.61299998895265162 174167.41199996901559643, 538734.62799996428657323 174080.46499993331963196, 538736.88400006981100887 174065.17699991376139224)))</t>
  </si>
  <si>
    <t>E01033320</t>
  </si>
  <si>
    <t>Lewisham 017E</t>
  </si>
  <si>
    <t>MultiPolygon (((540939.38999992480967194 174388.08900000219000503, 540984.49100000597536564 174378.88099987126770429, 541016.32199988467618823 174427.35600011717178859, 541066.90799985069315881 174417.03799993434222415, 541045.14000007312279195 174355.46200011638575234, 541085.2759998292895034 174366.17299995990470052, 541097.99999997834675014 174321.99999991283402778, 541116.30200015811715275 174328.00000008885399438, 541127.0000001845182851 174321.99999991283402778, 541134.00000017508864403 174261.00000005678157322, 541412.99399999994784594 174247.6679999002662953, 541398.84199990949127823 174027.05300004821037874, 541382.08600002725142986 173940.55400004971306771, 541333.00000021269079298 173809.00000011618249118, 541216.62099982739891857 173879.62599997405777685, 541110.99400016316212714 173942.95499988790834323, 541089.46600008325185627 173869.2449999833770562, 541116.78400012035854161 173796.252999894117238, 540944.1839999119983986 173902.30500012400443666, 540941.46500018436927348 173954.24800010470789857, 540865.42100009403657168 173939.53200001586810686, 540856.24299987161066383 173883.28999982718960382, 540888.91200005903374404 173841.56400019413558766, 540858.44299989321734756 173839.13200016404152848, 540863.22600020049139857 173804.28200018359348178, 540783.6609999641077593 173812.96399991365615278, 540746.54099988914094865 173802.64499987711315043, 540717.88099979166872799 173850.99299979422357865, 540667.63299979735165834 173811.13399990939069539, 540553.64399999985471368 173877.14900008120457642, 540555.61700014094822109 173905.39000002437387593, 540672.49999984831083566 173963.76600000626058318, 540629.99999999790452421 174064.53100017708493397, 540627.42399997741449624 174070.28999994235346094, 540655.00000008684583008 174068.00000019528670236, 540740.75500020617619157 174114.62499992499942891, 540785.00000003364402801 174150.00000002290471457, 540696.55699994892347604 174222.56000014074379578, 540739.18799997272435576 174246.6120001133531332, 540784.99600018910132349 174265.01299999127513729, 540761.79100006795488298 174345.90499990413081832, 540956.78799999738112092 174445.34500010588089935, 540939.38999992480967194 174388.08900000219000503)))</t>
  </si>
  <si>
    <t>E01001660</t>
  </si>
  <si>
    <t>Greenwich 029D</t>
  </si>
  <si>
    <t>MultiPolygon (((542252.68799980531912297 172828.64099972756230272, 542274.61700000008568168 172754.93599974876269698, 542218.36099996778648347 172721.5430001477652695, 542232.03200023667886853 172683.30499983427580446, 542172.54000008245930076 172651.7739998557663057, 542122.6299997657770291 172741.7669998652418144, 542182.93599975644610822 172789.98500010304269381, 542157.24600012716837227 172808.63200015499023721, 542061.39599966700188816 172778.59500035370001569, 542038.29799986665602773 172723.66700007781037129, 542087.89700015180278569 172733.15199988684616983, 542119.44099980662576854 172636.79200007376493886, 542057.62000027275644243 172621.47099990208516829, 542059.41999977291561663 172581.62100001701037399, 542020.99999965913593769 172574.0000001139997039, 542062.29499999748077244 172234.62700023097568192, 541740.15900034131482244 172227.15999977005412802, 541733.42499978991691023 172303.33699989999877289, 541740.93800027179531753 172455.64100029409746639, 541472.72499997913837433 172269.12499975378159434, 541438.438000034308061 172323.03100031829671934, 541381.92699996451847255 172280.88999994055484422, 541322.62799972551874816 172356.76399972857325338, 541292.50000002421438694 172297.84399977183784358, 541304.56299984420184046 172356.82800013443920761, 541198.29400006064679474 172435.87900034722406417, 541106.68800033780280501 172513.12500035116681829, 541133.56299967411905527 172551.48399976210203022, 541127.26099969597999007 172673.8250000118277967, 541109.76599972846452147 172750.48700028387247585, 541103.49999979813583195 172776.8999998495564796, 541006.87499997450504452 172791.31199971763999201, 540876.8300003333715722 172705.78899998322594911, 540851.23400030727498233 172814.14500022941501811, 540830.36899999994784594 172971.11999978125095367, 541099.71100000559818 173041.79200024853344075, 541077.18800010578706861 173215.87499979586573318, 541102.5129999928176403 173309.94899982496281154, 541104.68799993046559393 173355.70300032341037877, 541146.99999999348074198 173370.48499992024153471, 541177.92399986856617033 173557.03299994138069451, 541196.11900012299884111 173660.47800022998126224, 541358.24999969685450196 173608.23399982490809634, 541557.08099966938607395 173465.91700034728273749, 541696.89800008211750537 173400.73300002157338895, 541865.00699992605950683 173310.88400020316476002, 542042.2499996549449861 173143.34400013129925355, 542076.91900030733086169 173014.76400016760453582, 542131.82300006994046271 172949.99000018538208678, 542252.68799980531912297 172828.64099972756230272)))</t>
  </si>
  <si>
    <t>E01000779</t>
  </si>
  <si>
    <t>Bromley 001A</t>
  </si>
  <si>
    <t>E02000127</t>
  </si>
  <si>
    <t>Bromley 001</t>
  </si>
  <si>
    <t>E09000006</t>
  </si>
  <si>
    <t>Bromley</t>
  </si>
  <si>
    <t>MultiPolygon (((546752.62500020442530513 170419.62499973268131725, 547047.18799968529492617 170329.9369997859466821, 547213.96300008636899292 170356.62799982482101768, 547448 170380.24700026799109764, 547445.18800009426195174 170225.48400011044577695, 547340.87500004621688277 170254.40599969669710845, 547325.31299984664656222 170169.4840001167031005, 547223.37500008917413652 170172.34500032634241506, 547191.24999978102277964 170118.10899991512997076, 547204.69800032721832395 170052.95299982916912995, 547021.39299966767430305 170098.98400014245999046, 547020.06300019996706396 170069.9050001960422378, 546997.16999980085529387 169957.10700012693996541, 546757.46999988844618201 169929.37400010210694745, 546761.81400014669634402 169879.98199976416071877, 546586.30600004084408283 169862.55499987374059856, 546586.71800003270618618 169793.38300014584092423, 546488.912999811116606 169802.34000019004452042, 546449.50600027572363615 169755.05000016753911041, 546440.00000011257361621 169849.00000021848245524, 546327.49399997282307595 169834.21799975700560026, 546332.25400000240188092 169777.23000013950513676, 546273.41999998001847416 169775.31600014475407079, 546263.33399973751511425 169928.69299991440493613, 546262.17999991588294506 169890.90500027567031793, 546222.16100006166379899 169885.74099981295876205, 546173.03499975090380758 169922.98100027986220084, 546111.62199999997392297 170056.46800004542456008, 546175.24899990193080157 170104.76599992482806556, 546327.12499994761310518 170131.59400009075761773, 546368.58700005244463682 170270.82200022978940979, 546444.18899990036152303 170571.39099983245250769, 546621.27799999457783997 170476.43200031385640614, 546752.62500020442530513 170419.62499973268131725)))</t>
  </si>
  <si>
    <t>E01000735</t>
  </si>
  <si>
    <t>Bromley 014C</t>
  </si>
  <si>
    <t>E02000140</t>
  </si>
  <si>
    <t>Bromley 014</t>
  </si>
  <si>
    <t>MultiPolygon (((544619.00000045204069465 172293.53700018831295893, 544880.24499962897971272 172189.4520003414072562, 545156.20399954763706774 171778.58300028863595799, 545341.90099997050128877 171527.20800011424580589, 545275.60300016193650663 171186.43399969194433652, 545189.31400021479930729 171213.21199976501520723, 545183.36300012678839266 171248.91800029284786433, 545090.13199954421725124 171248.91800029284786433, 545084.7140000177314505 171313.49400032998528332, 544986.00000026449561119 171358.99999975052196532, 545000.00000025238841772 171109.00000035981065594, 545007.00000024633482099 171085.99999998733983375, 545088.00000004528556019 171085.00000024982728064, 545124.60199959808960557 170850.48200024184188806, 544954.82899998396169394 170806.26300036811153404, 544981.96000033605378121 170673.39199986174935475, 544926.59599991736467928 170593.85799998202128336, 544878.51599957188591361 170597.02000018124817871, 544745.41299980040639639 170685.71700042663724162, 544624.46899996697902679 170569.39299960035714321, 544488.20599981630221009 170547.8189999999885913, 544490.78400038124527782 170661.36300012754509225, 544399.02899973350577056 170691.27099961705971509, 544369.66299999551847577 170768.71499988058349118, 544307.02600034489296377 170773.67500033671967685, 544280.1850004477892071 170822.52200032889959402, 544286.93599995947442949 170944.19099992615520023, 544334.02299993741326034 171033.88999972905730829, 544285.87799994787201285 171093.46099969727220014, 544311.76600045594386756 171155.05200008754036389, 544419.97499999683350325 171480.84400008016382344, 544332.375999825890176 171510.404999666265212, 544181.51800012728199363 171527.24299971130676568, 544279.99999969964846969 171797.00000015544355847, 544270.99900032067671418 171859.00000036327401176, 544190.45499977213330567 171910.32799957785755396, 544110.00000037031713873 171969.99999961294815876, 544032.02500028104986995 171954.32600011210888624, 544004.60800002957694232 171979.6319998902908992, 544134.43800043500959873 172108.10900027904426679, 544202.01800024032127112 172228.27600045004510321, 544235.62500013061799109 172289.7969998148328159, 544204.81299958913587034 172302.15699997678166255, 544223.93799983407370746 172346.65600028980406933, 544255.8339998786104843 172332.89000030278111808, 544331.68399983900599182 172244.6829999104666058, 544354.60699981602374464 172347.6330002659233287, 544355.69399996474385262 172352.51500041657709517, 544361.62500002130400389 172379.15599999998812564, 544599.13300014182459563 172299.95700018797651865, 544619.00000045204069465 172293.53700018831295893)))</t>
  </si>
  <si>
    <t>E01000689</t>
  </si>
  <si>
    <t>Bromley 002A</t>
  </si>
  <si>
    <t>E02000128</t>
  </si>
  <si>
    <t>Bromley 002</t>
  </si>
  <si>
    <t>MultiPolygon (((547560.00000021967571229 171318.99999976370600052, 547567.00000011245720088 171218.00000002305023372, 547499.99999985133763403 171129.00000009866198525, 547450.08100020047277212 171121.88399970569298603, 547466.24399973743129522 171086.52399973227875307, 547439.75000029115471989 171056.73599984086467884, 547407.19200021692086011 171075.02300025906879455, 547347.59499975549988449 170996.51400011294754222, 547402.67299987096339464 170897.76800006107077934, 547468.99999968241900206 170860.99999969737837091, 547490.99999998905695975 170900.99999972846126184, 547523.31300008320249617 170883.65900021596462466, 547541.25500020093750209 170753.83399971007020213, 547482.85899969225283712 170728.68599987632478587, 547374.50599999015685171 170770.16200025801663287, 547343.81999973277561367 170736.92499990781652741, 547278.93499997013714164 170770.91299973495188169, 547265.40799999388400465 170747.61700029752682894, 547332.12100020470097661 170635.34300029833684675, 547565.62999990826938301 170597.41799999418435618, 547653.18999972601886839 170442.67799998237751424, 547448.00000000395812094 170380.24699990541557781, 547213.96300015400629491 170356.62800017368863337, 547047.18800005305092782 170329.93699999997625127, 546752.62500027392525226 170419.62499993958044797, 546828.81600001163315028 170657.27500000115833245, 546930.49000017310027033 170863.1640000632032752, 547058.61199982662219554 170884.84300001765950583, 547061.7360000490443781 170776.02299968889565207, 547244.2550002436619252 170833.64899998420150951, 547251.98800013493746519 170895.47600018625962548, 547101.64999999781139195 170973.6530002988583874, 547161.20900027314200997 171090.76900029467651621, 547104.83099985576700419 171108.24399978583096527, 547120.63999999663792551 171140.24699985247571021, 547012.00000024423934519 171204.00000023739994504, 547030.2069997627986595 171233.14899998094188049, 547071.28899997682310641 171222.33299996636924334, 547156.12400023848749697 171351.0009998882887885, 547189.43800028820987791 171406.55299978423863649, 547118.37100009899586439 171523.39599996764445677, 547135.97199980053119361 171616.90100000001257285, 547242.99999992502853274 171550.00000008798087947, 547347.00000026333145797 171528.99999976600520313, 547513.57499972393270582 171367.78200018155621365, 547560.00000021967571229 171318.99999976370600052)))</t>
  </si>
  <si>
    <t>E01000386</t>
  </si>
  <si>
    <t>Bexley 028D</t>
  </si>
  <si>
    <t>E02000092</t>
  </si>
  <si>
    <t>Bexley 028</t>
  </si>
  <si>
    <t>MultiPolygon (((544628.51700016518589109 172941.70900002957205288, 544697.87100007757544518 172838.06600010918918997, 544678.21200000878889114 172787.27100017265183851, 544746.89599981589708477 172750.36199996390496381, 544825.35500003304332495 172715.09699983449536376, 544791.94400018115993589 172574.43600007510394789, 544867.36999993515200913 172581.73699996786308475, 544897.9379999574739486 172496.71700015640817583, 544968.35800013074185699 172528.72699988569365814, 544949.51599992415867746 172266.94299992162268609, 544895.26100013917312026 172270.90799993762630038, 544893.96799995494075119 172225.61800007097190246, 544880.24500001745764166 172189.45199999999022111, 544619.00000005320180207 172293.53700002853292972, 544599.13299993344116956 172299.95699992595473304, 544361.62499997881241143 172379.15600005997112021, 544334.79699981468729675 172388.60900003896676935, 544322.72199986933264881 172404.04500017542159185, 544411.50000010128132999 172522.56200006537255831, 544385.55899999267421663 172565.37299980985699221, 544421.87500004167668521 172599.51600013449206017, 544393.49899999785702676 172650.34399982955073938, 544430.9999999109422788 172696.70300017800764181, 544355.65100010251626372 172774.42600000958191231, 544328.8470001791138202 172805.87100011442089453, 544340.70099987939465791 172828.35699997949996032, 544359.35999996773898602 172848.87499995020334609, 544424.312000124133192 172920.29600017750635743, 544523.18800012592691928 172879.57799999092821963, 544559.51200000068638474 172952.86700000002747402, 544628.51700016518589109 172941.70900002957205288)))</t>
  </si>
  <si>
    <t>E01000423</t>
  </si>
  <si>
    <t>Bexley 025C</t>
  </si>
  <si>
    <t>E02000089</t>
  </si>
  <si>
    <t>Bexley 025</t>
  </si>
  <si>
    <t>MultiPolygon (((545372.27999991248361766 172450.76000004075467587, 545482.9999998330604285 172434.99999991068034433, 545476.12999986798968166 172396.72199985792394727, 545524.48000017460435629 172384.30899985088035464, 545488.06000009726267308 172270.22799996129469946, 545461.80800012056715786 172211.89499985164729878, 545462.26499998371582478 172168.38500007273978554, 545420.36799989081919193 172153.37500001859734766, 545446.63699990638997406 172124.29700003107427619, 545436.61199986294377595 172071.85599991111666895, 545423.00000007962808013 172007.00000000686850399, 545355.89999998186249286 172025.37399987148819491, 545334.95200014323927462 172000.68400016720988788, 545298.23300017009023577 172028.07999989824020304, 545250.00000000617001206 171944.99999993381788954, 545256.99999989534262568 171817.99999983515590429, 545249.73199999495409429 171772.27000000001862645, 545209.99999993632081896 171773.99999982860754244, 545156.20399985008407384 171778.5829999981506262, 544880.24499982548877597 172189.45199983115890063, 544893.96800006821285933 172225.61800009440048598, 544895.26099991402588785 172270.90800010508974083, 544949.51599999191239476 172266.94299995881738141, 544988.26000013493467122 172264.10999984943191521, 545080.79199985007289797 172445.34400008147349581, 545248.3230000709882006 172439.06900006657815538, 545310.94299994455650449 172474.8090000000083819, 545372.27999991248361766 172450.76000004075467587)))</t>
  </si>
  <si>
    <t>E01000426</t>
  </si>
  <si>
    <t>Bexley 026B</t>
  </si>
  <si>
    <t>E02000090</t>
  </si>
  <si>
    <t>Bexley 026</t>
  </si>
  <si>
    <t>MultiPolygon (((545852.92100019392091781 172023.08099979491089471, 545780.33700018119998276 171849.82199990848312154, 545862.99999990069773048 171828.00000001024454832, 545812.7339998782845214 171774.08300009137019515, 545773.23499988205730915 171808.64500009236508049, 545738.1390001776162535 171749.73099998335237615, 545713.56299980415496975 171769.03900018619606271, 545697.04499999526888132 171685.6159998141520191, 545744.59599999140482396 171686.43099994343356229, 545719.70499995711725205 171580.34800010500475764, 545817.31699976383242756 171563.02100023583625443, 545875.44600008870474994 171444.47799988312181085, 545837.84399995510466397 171381.97300007264129817, 545808.56799983629025519 171405.38300024159252644, 545773.55699995381291956 171318.56300008823745884, 545635.07000000739935786 171385.89499994940706529, 545638.7919998950092122 171340.53399988423916511, 545579.91299985849764198 171279.29999999998835847, 545354.08599988592322916 171507.46799998937058263, 545341.90100022382102907 171527.20800020845490508, 545156.2039999112021178 171778.58299984765471891, 545210.00000008929055184 171773.99999996210681275, 545249.73199995886534452 171772.27000020444393158, 545257.00000002107117325 171818.00000005637411959, 545249.99999990465585142 171945.00000011455267668, 545298.23300015123095363 172028.08000017321319319, 545334.95200019888579845 172000.68400005166768096, 545355.90000011469237506 172025.37399975495645776, 545422.99999994889367372 172007.00000022488529794, 545436.61199984583072364 172071.85600000215345062, 545446.63699992222245783 172124.29699978296412155, 545420.3680000517051667 172153.37500010078656487, 545462.26500022527761757 172168.3850002292310819, 545461.80800008645746857 172211.89499980502296239, 545488.06000009167473763 172270.22800000000279397, 545593.89700007217470556 172265.83999988093273714, 545701.93000005278736353 172264.69199988365289755, 545707.82899988687131554 172145.77100013606832363, 545768.93599996133707464 172117.87500004158937372, 545763.1150000337511301 172028.54299988553975709, 545852.92100019392091781 172023.08099979491089471)))</t>
  </si>
  <si>
    <t>E01000427</t>
  </si>
  <si>
    <t>Bexley 026C</t>
  </si>
  <si>
    <t>MultiPolygon (((546018.07499995490070432 171877.54700025930651464, 546056.38899994280654937 171832.6209998496924527, 546130.52999997057486326 171872.92999987051007338, 546163.87500010489020497 171872.29699978878488764, 546159.94100021896883845 171829.50700030813459307, 546159.81300001579802483 171748.21800001047085971, 546091.27399992337450385 171731.48499994419398718, 546076.62500020221341401 171687.74999979548738338, 546114.99999968300107867 171666.812000039848499, 546122.97300033923238516 171579.56500001659151167, 546129.81300034804735333 171504.67200007132487372, 546176.62500031001400203 171507.34400011913385242, 546189.75000002793967724 171467.32800023289746605, 546269.93800009356345981 171431.12500023419852369, 546278.72700003953650594 171388.48100023326696828, 546332.56299966434016824 171356.20299975300440565, 546344.37500013550743461 171383.29700002699973993, 546379.34299994015600532 171370.88899993165978231, 546511.1879999436205253 171359.31199998164083809, 546639.43800029158592224 171311.10900026166928001, 546625.56300008972175419 171275.87499996647238731, 546663.91399980592541397 171263.81100014364346862, 546688.31299998424947262 171203.74999985678005032, 546796.86700024618767202 171114.77700017052120529, 546872.12100002390798181 171006.0930002719105687, 546930.48999976739287376 170863.16399995007668622, 546828.8159998512128368 170657.27500015241093934, 546752.62500005622860044 170419.625, 546621.27799972658976912 170476.43200029522995465, 546444.18899969744961709 170571.39099979712045752, 545990.88400017633102834 170915.588999648403842, 545579.91300023254007101 171279.29999964841408655, 545638.79199989675544202 171340.53400019041146152, 545635.06999975489452481 171385.89499988898751326, 545773.55699970363639295 171318.56299990051775239, 545808.56799972464796156 171405.38299982718308456, 545837.84400029422249645 171381.97300025002914481, 545875.44599997240584344 171444.47800026839831844, 545817.31700006290338933 171563.02099964639637619, 545719.70500023569911718 171580.3479999034316279, 545744.59600032900925726 171686.43100006060558371, 545697.04499968409072608 171685.61599975838907994, 545713.56300012697465718 171769.03900009312201291, 545738.13899975444655865 171749.73100021274876781, 545773.23499976226594299 171808.64500017178943381, 545812.73400025221053511 171774.08299984934274107, 545862.9999997029080987 171827.99999986472539604, 545882.52399965259246528 171853.39299995711189695, 545918.52700015425216407 171878.00099999998928979, 546018.07499995490070432 171877.54700025930651464)))</t>
  </si>
  <si>
    <t>E01000428</t>
  </si>
  <si>
    <t>Bexley 027D</t>
  </si>
  <si>
    <t>E02000091</t>
  </si>
  <si>
    <t>Bexley 027</t>
  </si>
  <si>
    <t>MultiPolygon (((541714.12300013564527035 173995.18199993213056587, 541744.83300005865748972 173962.43699989904416725, 541764.56499999191146344 174014.41700008005136624, 541884.35600017860997468 174021.49399996135616675, 541993.86900018691085279 173876.88299983611796051, 542046 173807.99999988143099472, 542011.35699982417281717 173779.98799988551763818, 542039.89299989969003946 173746.01499999646330252, 542004.41100017528515309 173694.9989998615346849, 541941.23700019856914878 173748.75399988278513774, 541944.63499993702862412 173793.15200004246435128, 541894.84199980809353292 173858.8649999593035318, 541857.24600013508461416 173867.33399995829677209, 541823.26799997116904706 173842.29699990409426391, 541842.00000017392449081 173818.9999998907733243, 541818.33299979288130999 173745.66700007327017374, 541710.25100009154994041 173659.64499986456939951, 541670.91000010271091014 173710.58200016102637164, 541557.08100011909846216 173465.91700005714665167, 541358.24999990675132722 173608.23400011233752593, 541196.11899999994784594 173660.47800010320497677, 541216.62100019305944443 173879.62600011233007535, 541333.00000012665987015 173809.0000000367872417, 541382.08599997451528907 173940.55400002299575135, 541398.84200008097104728 174027.05300019233254716, 541508.74000000674277544 174059.57099998494959436, 541519.2649998253909871 174120.6389999428356532, 541621.99999998649582267 174105.99999986481270753, 541598.07199987559579313 174035.02899994602194056, 541714.12300013564527035 173995.18199993213056587)))</t>
  </si>
  <si>
    <t>E01001653</t>
  </si>
  <si>
    <t>Greenwich 029A</t>
  </si>
  <si>
    <t>MultiPolygon (((542245.37500003247987479 173708.95299999605049379, 542165.835999705363065 173625.04400011865072884, 542380.75000021106097847 173524.90600018383702263, 542343.87499980709981173 173361.96900021968758665, 542559.75000000558793545 173328.06200029634055682, 542559.43800006352830678 173305.4690000788832549, 542452.56299985735677183 173306.37500006548361853, 542449.68699987523723394 173262.67199999999138527, 542182.85999984724912792 173333.01599994453135878, 542129.33099979988764971 173353.04299976147012785, 541967.00000018731225282 173426.00000022674794309, 541865.00700026156846434 173310.88400023450958543, 541696.89799970993772149 173400.73299993813270703, 541557.08099999441765249 173465.91700022114673629, 541670.91000030271243304 173710.58200008055428043, 541710.25099978526122868 173659.64500017106183805, 541818.33300010266248137 173745.66700014632078819, 541842.00000027555506676 173818.99999971687793732, 541823.26799972855951637 173842.29700001000310294, 541857.24599976767785847 173867.33400028973119333, 541894.84199990902561694 173858.86500023654662073, 541944.63500023691449314 173793.1520001805620268, 541941.2370001970557496 173748.75400011509191245, 542004.41100007947534323 173694.99900016112951562, 542039.89300025207921863 173746.01499977242201567, 542011.35699997690971941 173779.98799983819480985, 542046.00000017613638192 173807.99999969496275298, 541993.86899971473030746 173876.88300014255219139, 541994.12699982163030654 173882.50399969279533252, 541992.387999705853872 173972.48500030004652217, 542050.83700007817242295 174081.07099990520509891, 542128.80600012931972742 174109.84800000675022602, 542096.2560001346282661 174180.18799984894576482, 542162.75299983902368695 174217.46799994580214843, 542156.65499999048188329 174333.6070002896594815, 542127.60499986226204783 174354.84600019111530855, 542207.95500006468500942 174500.13599999996949919, 542344.56300009193364531 174481.07800008065532893, 542345.72499982477165759 174384.68999991429154761, 542331.18799976294394583 174127.51500005522393622, 542266.02300012088380754 173910.84999974540551193, 542263.69099983165506274 173881.92799979966366664, 542245.37500003247987479 173708.95299999605049379)))</t>
  </si>
  <si>
    <t>E01001655</t>
  </si>
  <si>
    <t>Greenwich 029C</t>
  </si>
  <si>
    <t>MultiPolygon (((542680.18400002212729305 173118.449000199791044, 542653.736999919754453 173093.33600006680353545, 542613.99999993247911334 173117.99999990322976373, 542497.24900003406219184 172976.6000000117928721, 542530.7620001066243276 172932.8329998477420304, 542522.23500023852102458 172916.14600001001963392, 542560.93800009530968964 172862.05599978170357645, 542519.9999998064013198 172809.00000017901766114, 542557.84700021578464657 172779.5969997780630365, 542529.95400005916599184 172748.20999992222641595, 542550.54500010167248547 172559.95299994375091046, 542637.70800021023023874 172557.68200008542044088, 542643.13200022489763796 172461.39399984953342937, 542604.83100023132283241 172435.94400000001769513, 542415.88799985591322184 172641.36799975618487224, 542353.79700017638970166 172639.54199987312313169, 542274.61699980602134019 172754.93599981130682863, 542252.68799996795132756 172828.64099990722024813, 542131.82300007657613605 172949.99000005982816219, 542076.91900006146170199 173014.7640000164101366, 542042.25000020756851882 173143.34399990213569254, 541865.00699997798074037 173310.883999866200611, 541966.99999990267679095 173426, 542129.33099991793278605 173353.04300008283462375, 542182.85999976471066475 173333.01599979648017325, 542449.6869998803595081 173262.67200022703036666, 542665.00000023772008717 173231.00899998494423926, 542638.92299990355968475 173155.00700017009512521, 542680.18400002212729305 173118.449000199791044)))</t>
  </si>
  <si>
    <t>E01001597</t>
  </si>
  <si>
    <t>Greenwich 031A</t>
  </si>
  <si>
    <t>E02000343</t>
  </si>
  <si>
    <t>Greenwich 031</t>
  </si>
  <si>
    <t>MultiPolygon (((543408.41799983056262136 173124.74300002978998236, 543437.60199999995529652 173070.55200022921781056, 543425.09900021704379469 172992.11599986505461857, 543357.14199982455465943 172927.10399981899536215, 543201.61700022814329714 172923.6790000451146625, 543070.36400014057289809 172744.86300022818613797, 543049.74800000083632767 172639.24999980430584401, 543029.77899986901320517 172532.39399987965589389, 543093.70499987050425261 172457.39099981269100681, 543031.99999987229239196 172445.99999989449861459, 542965.0000000192085281 172479.00000002566957846, 542881.00000006996560842 172428.99999979839776643, 542767.21699979202821851 172448.96300000790506601, 542796.16799976525362581 172506.09000003634719178, 542741.16800017352215946 172480.25300018058624119, 542689.9260000407230109 172387.59200023039011285, 542661.58800020220223814 172405.62400012984289788, 542634.9720001668902114 172379.16600008623208851, 542604.83099992841016501 172435.94399985313066281, 542643.13199983688537031 172461.39399978262372315, 542637.70800000650342554 172557.6820000259031076, 542550.54500002565328032 172559.95300000873976387, 542529.95400011073797941 172748.21000007161637768, 542557.84699999028816819 172779.59700000713928603, 542520.00000015925616026 172808.99999992703669704, 542560.93800001370254904 172862.05599976886878721, 542522.23500013805460185 172916.14600001511280425, 542530.76199983654078096 172932.83299985373741947, 542497.24899999983608723 172976.59999998920829967, 542613.99999977787956595 173117.99999995861435309, 542653.73700005793944001 173093.33600019649020396, 542680.18399985216092318 173118.44900017924373969, 542638.9230000264942646 173155.00699985123355873, 542665.0000000661239028 173231.00899991375626996, 543073.53900001675356179 173171.85800007410580292, 543091.85899994883220643 173169.28099982155254111, 543408.41799983056262136 173124.74300002978998236)))</t>
  </si>
  <si>
    <t>E01001598</t>
  </si>
  <si>
    <t>Greenwich 031B</t>
  </si>
  <si>
    <t>MultiPolygon (((543479.99999998603016138 173038.00000027517671697, 543488.91499991167802364 172889.30300009867642075, 543551.22500003676395863 172896.37000021460698918, 543563.03500001458451152 172834.42999995342688635, 543564.64400014851707965 172732.99899995586019941, 543520.71699985861778259 172679.06499996260390617, 543526.00000017404090613 172665.0000000232248567, 543539.70500021311454475 172593.51400025596376508, 543656.52200024318881333 172566.81299995773588307, 543908.78799977782182395 172476.46300023049116135, 543896.25799999956507236 172427.25200017166207545, 543928.00000016414560378 172408.9999999214487616, 543813.57299990754108876 172194.88999983962276019, 543717.00000025937333703 172133.99999999118153937, 543686.99999992700759321 172173.00000024231849238, 543670.57899972901213914 172347.85800026348442771, 543568.02800017583649606 172348.14200007755425759, 543571.99999975878745317 172245.00000019554863684, 543517.86900005803909153 172239.10400011364254169, 543464.00000013050157577 172219.99999981804285198, 543490.99999988672789186 172001.99999997642589733, 543543.00000002060551196 172004.99999994933023117, 543545.00000000244472176 171926.00000005931360647, 543512.53699998068623245 171918.40200000000186265, 543428.52999973890837282 171981.20599978050449863, 543401.00000009604264051 171960.99999974336242303, 543352.09000021184328943 171968.36299975047586486, 543290.14300015696790069 172075.37700018141185865, 543253.22499971091747284 172066.64599982954678126, 543237.99999975797254592 172050.00000014630495571, 543162.84299997915513813 172045.04400027307565324, 543166.33199992717709392 172075.12100014512543567, 543196.59400003275368363 172101.16900021879700944, 543165.67800024908501655 172166.8140000062121544, 543128.8139998484402895 172170.9450001583318226, 543134.58700019563548267 172205.81499971085577272, 543085.20600015041418374 172335.84200006793253124, 543120.30500001809559762 172359.36800012338790111, 543180.63700020220130682 172343.13599978253478184, 543201.30499989015515894 172416.75100020976969972, 543242.48900030006188899 172440.08100001123966649, 543299.24000014609191567 172421.34299995598848909, 543227.99999984819442034 172599.00000001583248377, 543049.74799983599223197 172639.24999995407415554, 543070.36400019517168403 172744.86299997905734926, 543201.61700008518528193 172923.67899999584187753, 543357.14200009871274233 172927.1039999347703997, 543425.09900006302632391 172992.11600002826889977, 543437.60200012032873929 173070.55199991376139224, 543408.41800020518712699 173124.74300000001676381, 543482.99999995902180672 173114.08099995873635635, 543479.99999998603016138 173038.00000027517671697)))</t>
  </si>
  <si>
    <t>E01001599</t>
  </si>
  <si>
    <t>Greenwich 032B</t>
  </si>
  <si>
    <t>E02000344</t>
  </si>
  <si>
    <t>Greenwich 032</t>
  </si>
  <si>
    <t>MultiPolygon (((544109.91899993305560201 172915.61199984059203416, 544002.50599996966775507 172842.16299992383574136, 544096.99999986914917827 172698.99999995902180672, 544067.87800016487017274 172672.83899983591982163, 544149.84999999997671694 172585.90200012677814811, 544107.26099996594712138 172518.41100012575043365, 543987.02699999837204814 172558.43400007110903971, 543958.77599988551810384 172472.05400006263516843, 543908.78799985989462584 172476.46299998706672341, 543656.52199986460618675 172566.8129999905359, 543539.70499986584763974 172593.51400002607260831, 543526.00000015646219254 172665.00000016382546164, 543520.7170000474434346 172679.0650000381283462, 543564.64400000229943544 172732.99900000309571624, 543563.03499987185932696 172834.42999999516177922, 543551.2250001187203452 172896.36999993570498191, 543488.91500015754718333 172889.3030000441649463, 543480.00000000011641532 173037.99999994630343281, 543482.99999992293305695 173114.08099993737414479, 543533.09400002681650221 173106.91800015815533698, 544102.05299994722008705 173024.7050000153540168, 544109.14499998046085238 173014.80999992994475178, 544124.77800014126114547 172992.07300004296121188, 544126.50699988007545471 172989.55699990270659328, 544133.20599992317147553 172979.81399983481969684, 544109.91899993305560201 172915.61199984059203416)))</t>
  </si>
  <si>
    <t>E01001600</t>
  </si>
  <si>
    <t>Greenwich 032C</t>
  </si>
  <si>
    <t>MultiPolygon (((544411.5000000026775524 172522.56199977922369726, 544322.72199984674807638 172404.04500011031632312, 544334.79700009687803686 172388.60899976946529932, 544361.62499990442302078 172379.1560001366015058, 544355.69400015892460942 172352.51499985685222782, 544354.60699986084364355 172347.63299999455921352, 544331.68400013400241733 172244.68300000403542072, 544255.83399994601495564 172332.88999975676415488, 544223.93799993034917861 172346.65600021294085309, 544204.81299981370102614 172302.15699986860272475, 544235.62500007729977369 172289.79699975790572353, 544202.01800021633971483 172228.27599997341167182, 544134.43799989437684417 172108.10900005910662003, 544004.60800013411790133 171979.63199999998323619, 543937.44899992027785629 172067.87100007571280003, 544092.25000007555354387 172233.07100000462378375, 544110.1559998745797202 172279.26100005488842726, 544075.32700015010777861 172339.51299992346321233, 544042.33700006257276982 172257.54800000798422843, 544005.49999994854442775 172266.79599983769003302, 543979.70200006698723882 172228.24700019639567472, 543922.13299991551321 172298.68099985172739252, 543838.8740000348770991 172180.06700003199512139, 543813.57300009077880532 172194.88999982704990543, 543928.00000001525040716 172408.99999975616810843, 543896.25800002238247544 172427.25200001572375186, 543908.78800006746314466 172476.46299978793831542, 543958.77600022801198065 172472.05399999598739669, 543987.02699997439049184 172558.43399979520472698, 544107.26100008049979806 172518.41099993471289054, 544149.84999986796174198 172585.90200006158556789, 544067.87800017872359604 172672.83900021642330103, 544096.99999991827644408 172699.00000015200930648, 544002.50600013975054026 172842.16300007674726658, 544109.91900024842470884 172915.61199986221618019, 544133.20600021118298173 172979.81400000001303852, 544354.27399976586457342 172683.44899988497490995, 544361.07799986854661256 172675.0510002271621488, 544393.49899991683196276 172650.34399987134383991, 544421.87499990907963365 172599.51599985867505893, 544385.55900009977631271 172565.37299996343790554, 544411.5000000026775524 172522.56199977922369726)))</t>
  </si>
  <si>
    <t>E01001601</t>
  </si>
  <si>
    <t>Greenwich 032D</t>
  </si>
  <si>
    <t>MultiPolygon (((548136.56300004583317786 170588.95299970274209045, 548380.75000008416827768 170534.18699967686552554, 548778.11299981316551566 170299.72900013238540851, 548824.99899992498103529 170194.00000003178138286, 548883.14000027778092772 170162.27399982846691273, 548694.35200039867777377 170107.41700050362851471, 548668.35000034270342439 169999.5820004565466661, 548997.00000046996865422 170007.00000049479422159, 549004.00000022503081709 169897.99999985951581039, 549088.00000040011946112 169728.9999999892024789, 549216.65099999983794987 169625.82100006638211198, 548845.8269999329932034 169440.10700051640742458, 548843.02499953971710056 168993.49600036186166108, 548381.32500009366776794 168738.4589998725859914, 548267.48599965986795723 168590.61700006990577094, 548060.11799991480074823 168754.74399989005178213, 548006.0680000560823828 168873.24999982706503943, 547906.05699987523257732 168875.64200024062301964, 547889.12500023178290576 168768.69699969360954128, 547938.77999948465730995 168712.11300026424578391, 547943.5040001121815294 168605.51000023222877644, 547908.07599963608663529 168598.64100025547668338, 547884.50500043504871428 168538.923000297305407, 547865.47900026186835021 168592.80299993642256595, 547840.92700018489267677 168628.03500024488312192, 547810.39200051780790091 168617.24900014532613568, 547804.54699993319809437 168669.79900020486093126, 547577.22199999773874879 168730.48899965902091935, 547561.78099981194827706 168764.00000009062932804, 547496.32900036545470357 168768.34099968589725904, 547498.28499981272034347 168850.96999976428924128, 547411.07000018924009055 168829.73499989041010849, 547419.70199955953285098 168774.82599963099346496, 547358.29299982427619398 168779.3790000009466894, 547341.34899972542189062 168731.71799956023460254, 547317.76299995521549135 168780.76699970432673581, 547280.99999970989301801 168785.00000039403676055, 547292.3029996951809153 168887.09299961075885221, 547259.67399949859827757 168942.86400038475403562, 547139.72900000005029142 168960.63399963220581412, 547168.43799996003508568 169141.87399973277933896, 547251.31300002615898848 169128.23400038230465725, 547271.20799994107801467 169178.56000017194310203, 547302.48799983714707196 169240.10499987506773323, 547299.37400006724055856 169381.34400044768699445, 547396.25199975725263357 169504.55100013944320381, 547405.68799951835535467 169675.51599979857564904, 547289.19600019080098718 169708.24000048442394473, 547236.875000512576662 169722.93700047911261208, 547323.81300001055933535 169851.64100001289625652, 547316.06299983675125986 169933.4220001079083886, 547185.50000038230791688 169959.03099979070248082, 547204.69799981231335551 170052.95300051345839165, 547191.25000047765206546 170118.10900015191873536, 547223.37500024330802262 170172.34499979877728038, 547325.31299980962648988 170169.48400028224568814, 547340.87500043271575123 170254.40600013319635764, 547445.1879997676005587 170225.48400039903935976, 547447.9999995018588379 170380.24700007459614426, 547653.18999968387652189 170442.67800016448018141, 547903.18800005514640361 170564.81199964339612052, 547970.57300015329383314 170561.24100018732133321, 548136.56300004583317786 170588.95299970274209045)))</t>
  </si>
  <si>
    <t>E01000728</t>
  </si>
  <si>
    <t>Bromley 019E</t>
  </si>
  <si>
    <t>E02000145</t>
  </si>
  <si>
    <t>Bromley 019</t>
  </si>
  <si>
    <t>MultiPolygon (((537595.18700000538956374 174068.21999997127568349, 537442.72699999995529652 174052.36200007543084212, 537475.67099996691104025 174180.72900003747781739, 537534.22199991776142269 174416.07599991609458812, 537660.99999999941792339 174489.49999992453376763, 537810.91600007889792323 174451.38300000570598058, 537900.87199999997392297 174429.94299991402658634, 537900.31199997453950346 174425.87899995170300826, 537891.74099994904827327 174256.11799998598871753, 537887.99900009878911078 174172.00000000407453626, 537835.28299992450047284 174166.49200007587205619, 537844.74899995175655931 174086.37500007919152267, 537630.80100008158478886 174069.5140000571263954, 537595.18700000538956374 174068.21999997127568349)))</t>
  </si>
  <si>
    <t>E01003322</t>
  </si>
  <si>
    <t>Lewisham 020D</t>
  </si>
  <si>
    <t>E02000672</t>
  </si>
  <si>
    <t>Lewisham 020</t>
  </si>
  <si>
    <t>MultiPolygon (((537887.99899999983608723 174172.00000001527951099, 537855.32800003362353891 174009.94800001379917376, 537885.44299993081949651 174003.80799995205597952, 537880.02300006116274744 173970.49100004168576561, 537884.31000002648215741 173871.41900003244518302, 537844.89499995589721948 173873.68399990844773129, 537833.28499997954349965 173831.89100006473017856, 537765.00000010745134205 173837.99999993975507095, 537794.67500006384216249 173897.35100001239334233, 537737.66800000623334199 173928.33699994214111939, 537727.42200007347855717 173867.3229999435134232, 537688.57100000965874642 173873.1420000123034697, 537676.99999990942887962 173850.00000003897002898, 537630.66700007778126746 173868.66699996913666837, 537628.99500007554888725 173827.96799992671003565, 537622.91200004226993769 173792.16199998473166488, 537508.50999989663250744 173808.02799996652174741, 537515.12100008595734835 173852.07000008047907613, 537471.44799991720356047 173859.74400011135730892, 537476.00000000675208867 173894.00000002444721758, 537493.00000005273614079 174022.00000002348679118, 537434 174013.9989999488752801, 537442.72700009041000158 174052.36199989268789068, 537595.18700001970864832 174068.2199999580916483, 537630.80099992558825761 174069.51399993887753226, 537844.74900000647176057 174086.37500001903390512, 537835.28300009272061288 174166.49199993046931922, 537887.99899999983608723 174172.00000001527951099)))</t>
  </si>
  <si>
    <t>E01003324</t>
  </si>
  <si>
    <t>Lewisham 020E</t>
  </si>
  <si>
    <t>MultiPolygon (((537794.67500017932616174 173897.35100005238200538, 537765.00000018475111574 173838.00000017491402104, 537833.28500021423678845 173831.89099989202804863, 537822.07799990894272923 173793.93299997292342596, 537890.96000016073230654 173780.52099996726610698, 537881.79799982032272965 173742.91300019199843518, 537822.41999994043726474 173751.24500017694663256, 537807.09200014930684119 173619.24200009161722846, 537856.54200023238081485 173593.20799987381906249, 537845.00000011955853552 173530.00000019979779609, 537689.68199995497707278 173546.56000021594809368, 537678.18899990245699883 173436.98900024036993273, 537667.31299985095392913 173183.03100004506995901, 537694.72900014009792358 173056.55899991031037644, 537750.56299997319001704 172963.53099983767606318, 537700.31300020718481392 172936.92199995776172727, 537542.68800016527529806 173031.90599987539462745, 537518.1250001386506483 172974.04699985607294366, 537448.93800024955999106 172991.32799982689903118, 537419.31099992454983294 172923.42399999999906868, 537314.50400005222763866 173140.11000011599389836, 537235.72699983918573707 173454.60599990715854801, 537341.52500019338913262 173572.35400007670978084, 537339.571000125259161 173625.57099994813324884, 537355.00799981481395662 173621.56200002590776421, 537404.87199993594549596 173570.95400000375229865, 537409.47400002437643707 173610.96000005546375178, 537437.15999983588699251 173609.9349998495017644, 537432.84700016491115093 173836.70599983257125132, 537446.92500023182947189 173897.6340001342468895, 537475.99999983620364219 173894.00000007904600352, 537471.44800019904505461 173859.74400016554864123, 537515.12100014137104154 173852.07000012948992662, 537508.51000009151175618 173808.02800015310640447, 537622.91200023237615824 173792.16200008912710473, 537628.9949998987140134 173827.96799992193700746, 537630.66699977347161621 173868.66700003738515079, 537676.99999990477226675 173849.99999993905657902, 537688.57099979685153812 173873.1420002257800661, 537727.42200007732026279 173867.32300024869618937, 537737.66800007084384561 173928.33699999999953434, 537794.67500017932616174 173897.35100005238200538)))</t>
  </si>
  <si>
    <t>E01003318</t>
  </si>
  <si>
    <t>Lewisham 020B</t>
  </si>
  <si>
    <t>MultiPolygon (((538363.55499984580092132 174897.70399983203969896, 538311.0490001073339954 174820.23200015042675659, 538372.60700007958803326 174781.80600018036784604, 538337.8899998291162774 174703.38900011908845045, 538387.03500000003259629 174685.811000212241197, 538354.87500005401670933 174648.19300005107652396, 538287.87999996030703187 174645.52299989206949249, 538271.00000020395964384 174598.00000015753903426, 538330.63800001400522888 174504.96600018511526287, 538349.67799984628800303 174441.53999989689327776, 538304.2579998723231256 174400.30899989634053782, 538156.88699999020900577 174395.87699981319019571, 538082.04699997312854975 174413.5950000605371315, 538072.38099996384698898 174366.94700010900851339, 537957.26400006143376231 174376.67599997308570892, 537933.19499991834163666 174424.55400017512147315, 537900.31200003519188613 174425.87899995618499815, 537900.8720001180190593 174429.94300014324835502, 537810.91600011521950364 174451.38299996513524093, 537660.99999986041802913 174489.50000020093284547, 537534.2219999999506399 174416.07599980247323401, 537680.72699983464553952 174773.93100000126287341, 537774.87900012626778334 174797.64600002649240196, 537936.95800018345471472 174678.99500019059632905, 537948.99999989254865795 174718.00000006434856914, 537982.00000017613638192 174809.00000009674113244, 538048.32299982919357717 174822.65600000348058529, 538079.64399978739675134 174795.85000015367404558, 538106.82300000230316073 174817.55799987204954959, 538110.71399982343427837 174881.03000004068599083, 538262.98799988045357168 174859.30700019444338977, 538273.18900018592830747 174937.64200015374808572, 538330.99999994412064552 174954.99999989097705111, 538355.49000017927028239 174935.08899996866239235, 538363.55499984580092132 174897.70399983203969896)))</t>
  </si>
  <si>
    <t>E01003291</t>
  </si>
  <si>
    <t>Lewisham 012D</t>
  </si>
  <si>
    <t>MultiPolygon (((538495.84200002404395491 174548.91899993407423608, 538606.65000000002328306 174321.00099993689218536, 538492.74499993782956153 174289.53799997342866845, 538446.15200011827982962 174279.14100010387483053, 538335.97400011529680341 174275.2190000360715203, 538281.99999989289790392 174269.20800012481049635, 538102.66599983302876353 174249.67099985861568712, 538059.63200003223028034 174247.92300016962690279, 537952.64299996721092612 174251.47399999917251989, 537891.74100000003818423 174256.11799989189603366, 537900.31200003414414823 174425.87899990624282509, 537933.19500015233643353 174424.55400007654679939, 537957.26400016515981406 174376.67599994334159419, 538072.3810001106467098 174366.94699996232520789, 538082.04700016579590738 174413.59499987593153492, 538156.88700004247948527 174395.8770001286175102, 538304.25799993344116956 174400.3089998341165483, 538349.67799994291272014 174441.53999985184054822, 538330.638000124017708 174504.96599998429883271, 538382.24999999045394361 174525.29800014829379506, 538397.253999994834885 174394.60599987788009457, 538429.70899982273112983 174397.5599999338737689, 538419.18299998599104583 174537.66199992553447373, 538471.61000004434026778 174580.80999983038054779, 538495.84200002404395491 174548.91899993407423608)))</t>
  </si>
  <si>
    <t>E01003293</t>
  </si>
  <si>
    <t>Lewisham 017B</t>
  </si>
  <si>
    <t>MultiPolygon (((537822.68800008948892355 176345.29699999999138527, 537836.68799988704267889 176318.74999986967304721, 537863.29999981203582138 176338.59999976187827997, 537895.15400020766537637 176282.48800019183545373, 537968.87499995273537934 176208.84400004908093251, 537999.80599974992219359 176232.60000007558846846, 538040.2830001306720078 176262.69499988781171851, 538102.31000009214039892 176312.61400017645792104, 538162.93599992257077247 176221.20799980140873231, 538174.49400021298788488 176204.64000000659143552, 538260.93799981207121164 175988.78100008086767048, 538253.06300005142111331 175922.1560002016776707, 538244.8280000378144905 175879.99999979572021402, 538298.99999975075479597 175686.00000001938315108, 538323.76199988170992583 175628.16000003824592568, 538323.27699979196768254 175582.72300018827081658, 538245.32399978395551443 175578.6210000166320242, 538119.21999992651399225 175453.21499984641559422, 538150.91600001032929868 175676.06199986330466345, 538120.21899997582659125 175646.0540001624613069, 537963.08499990019481629 175350.21299995755543932, 537918.6730000174138695 175341.12899999998626299, 537883.83099983131978661 175561.46800006175180897, 537852.97100023459643126 175693.0940000846167095, 537842.88000002119224519 175737.09799998183734715, 537810.89499988488387316 175875.2689998347486835, 537784.54000019072555006 175975.28199978193151765, 537686.52899994351901114 176148.80500017935992219, 537637.68800011125858873 176201.7499999838473741, 537627.6250001183943823 176230.18599978488055058, 537822.68800008948892355 176345.29699999999138527)))</t>
  </si>
  <si>
    <t>E01003296</t>
  </si>
  <si>
    <t>Lewisham 012E</t>
  </si>
  <si>
    <t>MultiPolygon (((538150.91599990346003324 175676.06200000003445894, 538119.22000023711007088 175453.21499992930330336, 538245.32400020572822541 175578.62100015347823501, 538323.27699999499600381 175582.72300009641912766, 538323.76199980603996664 175628.15999985503731295, 538444.96699980925768614 175576.23200020214426331, 538550.2929999198531732 175523.57999978997395374, 538466.20000022498425096 175491.44600005671964027, 538473.00000015622936189 175464.99999984598252922, 538595.00000006554182619 175337.00000020262086764, 538513.0000000448198989 175302.00000017549609765, 538517.99400005559436977 175248.18000008366652764, 538521.99999989510979503 175205.0000000718573574, 538262.63400012883357704 175251.71900016267318279, 538201.5530001959996298 175121.17500002184533514, 538153.00000005075708032 175138.0000001338776201, 538141.1710000658640638 175112.37100011270376854, 538107.84899998747278005 175124.84200007258914411, 538081.67400009464472532 175020.42299990574247204, 537983.55500017199665308 174968.52399994651204906, 537989.01299976860173047 174935.27700024491059594, 538045.738999989698641 174926.9179998129257001, 538011.99900001147761941 174860.62899987757555209, 538042.12899976677726954 174868.13399996072985232, 538048.32299982395488769 174822.65599980999832042, 537981.99999990395735949 174809.00000017808633856, 537949.00000012060627341 174717.99999980846769176, 537936.95800020219758153 174678.99499999999534339, 537774.87899979471694678 174797.64599992081639357, 537680.72699993441347033 174773.93100012335344218, 537691.44999985978938639 174801.35800009791273624, 537742.44600010802969337 174928.30499977528234012, 537869.09700000658631325 175194.62900019335211255, 537897.18899979919660836 175247.98200002612429671, 537918.67299986747093499 175341.12900022140820511, 537963.08499979402404279 175350.21299997525056824, 538120.21900005149655044 175646.05399986726115458, 538150.91599990346003324 175676.06200000003445894)))</t>
  </si>
  <si>
    <t>E01033327</t>
  </si>
  <si>
    <t>Lewisham 012F</t>
  </si>
  <si>
    <t>MultiPolygon (((538522.00000003492459655 175205.00000014051329345, 538525.99999989429488778 175141.00000004359753802, 538569.6599999024765566 175142.15999993242439814, 538570.26500000001396984 175111.73000005466747098, 538464.08100002957507968 175083.03999986342387274, 538463.68799996329471469 174957.29100000439211726, 538433.85300000454299152 174959.90599991686758585, 538355.48999998916406184 174935.0890000450599473, 538331.00000000232830644 174955.00000012863893062, 538273.1890001071151346 174937.64199996498064138, 538262.98800006648525596 174859.30700009773136117, 538110.71400010585784912 174881.03000003899796866, 538106.82300011033657938 174817.55799992586253211, 538079.64399994548875839 174795.85000010582734831, 538048.32299996668007225 174822.65599997487151995, 538042.12900011579040438 174868.13400012391502969, 538011.99900002218782902 174860.62900000490481034, 538045.739000050467439 174926.91799988318234682, 537989.01300002471543849 174935.27700011708657257, 537983.55500000005122274 174968.52400005335221067, 538081.67400011757854372 175020.42299991240724921, 538107.84900012880098075 175124.84199989645276219, 538141.17100008437409997 175112.37100009107962251, 538153.00000009953510016 175137.99999985573231243, 538201.55299986910540611 175121.17499991183285601, 538262.6340000806376338 175251.71899989419034682, 538522.00000003492459655 175205.00000014051329345)))</t>
  </si>
  <si>
    <t>E01033341</t>
  </si>
  <si>
    <t>Lewisham 012G</t>
  </si>
  <si>
    <t>MultiPolygon (((536642.74900007050018758 176832.94899999999324791, 536741.99999989150092006 176742.99999994150130078, 536762.83599987498018891 176767.36099994924734347, 536778.68599998019635677 176787.73899998326669447, 536845.7349998849676922 176675.62800002208678052, 536822.00000011490192264 176647.99999987729825079, 536799.78099989413749427 176624.17700005843653344, 536824.22399995953310281 176564.93800006332457997, 536749.2640000709798187 176477.82199988880893216, 536719.75900006073061377 176379.27200006076600403, 536656.72800003341399133 176368.98400005584699102, 536569.62499988439958543 176363.63099987033638172, 536556.3870000340975821 176296.58900000000721775, 536519.28900010685902089 176303.33400000724941492, 536522.98700009915046394 176454.58599996299017221, 536469.49499988649040461 176573.33200000444776379, 536486.99299988243728876 176594.70300004715682007, 536432.02200011059176177 176666.66800002282252535, 536372.29900011501740664 176703.47100007289554924, 536416.481999994488433 176753.42800009725033306, 536536.17700002016499639 176695.77200013349647634, 536642.74900007050018758 176832.94899999999324791)))</t>
  </si>
  <si>
    <t>E01003209</t>
  </si>
  <si>
    <t>Lewisham 005B</t>
  </si>
  <si>
    <t>MultiPolygon (((536947.89599990984424949 176741.67699999999604188, 537025.37200004060287029 176650.83899992730584927, 537129.01099993078969419 176734.10899991288897581, 537159.99999983061570674 176740.99999994490644895, 537233.00000005157198757 176570.99999986981856637, 537231.00000011431984603 176568.00000015721889213, 537179.74700014712288976 176508.93799981378833763, 537162.99999992968514562 176489.99999989994103089, 537061.99999981466680765 176372.00000012517557479, 537073.61000009765848517 176357.71100018426659517, 537018.99999981152359396 176279.99999992083758116, 536975.96699991484638304 176170.01199982117395848, 536937.04600010544527322 176184.68799999050679617, 536934.45700008724816144 176243.05899991406477056, 536901.8710001225117594 176197.92299990844912827, 536841.42200016172137111 176010.90799997607246041, 536794.60600005427841097 175968.74200006082537584, 536741.01699989754706621 175968.70999999999185093, 536717.96899994846899062 176016.00999996473547071, 536780.00000016298145056 176245.00000005314359441, 536725.00000014994293451 176265.99999997377744876, 536734.00000006076879799 176362.99999982793815434, 536806.66400002944283187 176461.90099993837065995, 536859.49300009408034384 176533.23500003575463779, 536824.22399998072069138 176564.93799998855683953, 536799.78099981939885765 176624.17700011291890405, 536822.00000000419095159 176647.9999999652209226, 536845.73499988240655512 176675.62799982851720415, 536907.1900001612957567 176655.70900005465955473, 536947.89599990984424949 176741.67699999999604188)))</t>
  </si>
  <si>
    <t>E01003210</t>
  </si>
  <si>
    <t>Lewisham 005C</t>
  </si>
  <si>
    <t>MultiPolygon (((537108.08599990187212825 176384.3970001443522051, 537285.28099989332258701 176274.35700009079300798, 537342.9189999271184206 176329.40200002209166996, 537343.7909999075345695 176382.82499983368325047, 537393.16399983456358314 176358.33099998600664549, 537415.12800006673205644 176325.10800012163235806, 537574.67399999999906868 176196.31699997346731834, 537432.76199988182634115 176132.74000008078292012, 537407.37700001278426498 176145.02300002065021545, 537326.61599992134142667 175855.84500006068265066, 537292.775999870384112 175862.36800010548904538, 537278.93599986284971237 175819.11599984948406927, 537205.62500002048909664 175831.59700012786197476, 537198.49300005217082798 175784.70699985563987866, 537138.00000014225952327 175792.99999988210038282, 537139.42299997399095446 175796.70000010210787877, 537087.61499996844213456 175819.69900008593685925, 537101.39400005538482219 175931.58499995106831193, 537053.00000004039611667 175949.00000015529803932, 537061.78800007875543088 175989.77000003837747499, 537063.25400007329881191 176015.92799988543265499, 536967.43700002634432167 175966.23500011250143871, 536907.15099999995436519 175997.85200004969374277, 536945.07999996677972376 176078.51299985550576821, 537010.71599991887342185 176069.09599990330752917, 537035.00000003457535058 176148.00000007165363058, 536975.96700008877087384 176170.01199988016742282, 537019.00000006647314876 176279.99999989205389284, 537073.60999995702877641 176357.7109999509411864, 537108.08599990187212825 176384.3970001443522051)))</t>
  </si>
  <si>
    <t>E01003211</t>
  </si>
  <si>
    <t>Lewisham 008B</t>
  </si>
  <si>
    <t>MultiPolygon (((537045.54299999983049929 176910.55399998382199556, 537008.64799992099869996 176876.64599998900666833, 536961.00000009580980986 176899.99999987229239196, 536908.18399979907553643 176792.21899988694349304, 536947.89600017189513892 176741.67700012170826085, 536907.19000017549842596 176655.7090000860625878, 536845.73499991581775248 176675.627999905962497, 536778.68599988974165171 176787.73900009374483489, 536762.83599997742567211 176767.36100016374257393, 536742.00000017997808754 176743.00000004077446647, 536642.74899993871804327 176832.9490002071543131, 536536.17700013273861259 176695.77200016978895292, 536416.48200002301018685 176753.42800003915908746, 536372.29899992549326271 176703.47100007405970246, 536291.70400018303189427 176655.13299993131658994, 536277.73899990878999233 176695.61599996921722777, 536199.31400000001303852 176925.10600012046052143, 536466.39900001266505569 177019.32600013402407058, 536620.97700020717456937 177040.10799994340050034, 536731.2600002036197111 177050.1390000686806161, 536751.01400017749983817 177048.05799983136239462, 536996.84700013999827206 176997.4799997920054011, 536985.56699985987506807 176959.23700007383013144, 537045.54299999983049929 176910.55399998382199556)))</t>
  </si>
  <si>
    <t>E01003215</t>
  </si>
  <si>
    <t>Lewisham 005E</t>
  </si>
  <si>
    <t>MultiPolygon (((537534.99999992095399648 176045.99999990942887962, 537523.50600016815587878 176021.4449997978808824, 537497.05100012221373618 176027.70900006350711919, 537439.4230001155519858 175813.55700014901231043, 537519.3989999535260722 175814.99999988562194631, 537513.87499982060398906 175728.3020000894612167, 537457.92099984898231924 175727.7080001579306554, 537428.96900019922759384 175634.02199981940793805, 537381.64499983924906701 175633.00000008213100955, 537371.34200010518543422 175599.82700014649890363, 537312.83300016354769468 175555.23500017501646653, 537193.00000003771856427 175575.99999996228143573, 537016.00000017136335373 175501.99900014328886755, 537012.5000000064028427 175492.36900012634578161, 536868.14200007368344814 175314.36200004830607213, 536837.89399996551219374 175333.35000002212473191, 536809.58199999004136771 175309.32500000001164153, 536791.14999992412049323 175336.96600008365930989, 536818.81000001961365342 175387.13000017401645891, 536784.398000079090707 175431.5610000008600764, 536908.5629999884404242 175557.26099996821722016, 536973.31700018385890871 175651.28199987841071561, 537060.17200005613267422 175611.09999998108833097, 537083.69500005035661161 175607.86199991396279074, 537182.43799994385335594 175657.59400013007689267, 537308.56200006639119238 175638.29600007244152948, 537323.55199991574045271 175834.11299980562762357, 537326.61600013799034059 175855.84499995555961505, 537407.37699993886053562 176145.02299999998649582, 537432.76199984364211559 176132.73999979783548042, 537534.99999992095399648 176045.99999990942887962)))</t>
  </si>
  <si>
    <t>E01003277</t>
  </si>
  <si>
    <t>Lewisham 011B</t>
  </si>
  <si>
    <t>E02000663</t>
  </si>
  <si>
    <t>Lewisham 011</t>
  </si>
  <si>
    <t>MultiPolygon (((537686.52899991231970489 176148.80500009018578567, 537784.54000011284369975 175975.28199991275323555, 537810.89500003331340849 175875.26899990165838972, 537842.88000005728099495 175737.09799990832107142, 537726.21599988371599466 175705.47699987722444348, 537727.00000007683411241 175671.00000011015799828, 537639.8380001368932426 175683.76400003666640259, 537613.64000009349547327 175758.20400013029575348, 537545.00000001257285476 175759.9999999200226739, 537537.99999998696148396 175632.00000013937824406, 537455.99999990174546838 175633.00000010005896911, 537455.59499992372002453 175601.46400002349400893, 537371.34199994278606027 175599.82699999999022111, 537381.64500006358139217 175633.00000010005896911, 537428.96900012344121933 175634.02200004539918154, 537457.92100013792514801 175727.70799990449449979, 537513.87499988253694028 175728.30200009301188402, 537519.39900014188606292 175814.99999986338661984, 537439.42299985187128186 175813.5569999237486627, 537497.0510001276852563 176027.70899993684724905, 537523.50599992380011827 176021.44500005562440492, 537535.00000010489020497 176046.00000010704388842, 537432.76199985027778894 176132.73999995764461346, 537574.67400004435330629 176196.31699996450333856, 537637.68800010113045573 176201.75, 537686.52899991231970489 176148.80500009018578567)))</t>
  </si>
  <si>
    <t>E01003278</t>
  </si>
  <si>
    <t>Lewisham 011C</t>
  </si>
  <si>
    <t>MultiPolygon (((537179.9999999989522621 176793.00000003832974471, 537321.8130000923993066 176679.42000010368064977, 537348.69400018232408911 176709.88300011339015327, 537371.05600008787587285 176726.82599981455132365, 537426.20199981844052672 176642.2470001521287486, 537437.1299998868489638 176604.16900017840089276, 537497.99999995739199221 176504.00000004741013981, 537556.9999999568099156 176445.79699986995547079, 537609.93800007447134703 176491.43799993678112514, 537619.5630001719109714 176596.03099982955609448, 537668.68100011174101382 176620.59200002858415246, 537698.92800010147038847 176545.39799997649970464, 537683.31300000206101686 176413.84399995821877383, 537770.41899987566284835 176363.98799991828855127, 537822.68800000008195639 176345.29700004815822467, 537627.62500018265563995 176230.18599988895584829, 537637.68799986632075161 176201.74999986804323271, 537574.67399990709964186 176196.31699996170937084, 537415.12800014147069305 176325.10800012029358186, 537393.16400018474087119 176358.33099983623833396, 537343.79100013140123338 176382.82500015760888346, 537342.91899989568628371 176329.40199982427293435, 537285.28099996957462281 176274.35700006259139627, 537108.08599988440982997 176384.39699994403054006, 537073.60999983933288604 176357.7109999408130534, 537062 176371.99999990678043105, 537163.00000004423782229 176489.99999990570358932, 537179.74700011464301497 176508.9380001139070373, 537230.99999986309558153 176567.99999998879502527, 537232.99999999208375812 176571.00000018216087483, 537307.99999988172203302 176657.00000002022716217, 537225.57299988344311714 176695.61400015631807037, 537179.9999999989522621 176793.00000003832974471)))</t>
  </si>
  <si>
    <t>E01033324</t>
  </si>
  <si>
    <t>Lewisham 008E</t>
  </si>
  <si>
    <t>MultiPolygon (((539125.06199979118537158 171712.25500006007496268, 539159.86899997165892273 171686.41400007679476403, 539227.01200006529688835 171704.57100020494544879, 539258.21600003156345338 171679.42400013143196702, 539238.97400019492488354 171648.32500001229345798, 539278.33600006229244173 171631.92399984275107272, 539260.87299984390847385 171587.5100001530663576, 539298.98800017742905766 171570.03899988497141749, 539301.00000000873114914 171564.00000021149753593, 539491.64100004581268877 171520.10400019699591212, 539480.45000014349352568 171487.79200000342098065, 539361.16299989691469818 171483.9640000554791186, 539414.9630000313045457 171363.54499986206064932, 539381.27399981813505292 171318.26499983808025718, 539404.262999904807657 171219.28099984678556211, 539286.32199996861163527 171268.07299978798255324, 539317.49599985580425709 171233.4750001008505933, 539323.34199999447446316 171136.03599988453788683, 539301.45799995528068393 171104.75700015024631284, 539205.00999982992652804 171157.34200009040068835, 539170.53099996945820749 171188.95899988469318487, 539017.90300016885157675 171199.81200015661306679, 539012.06700019969139248 171082.23300000000745058, 538929.36400006175972521 171269.55299996447865851, 538996.67200016067363322 171325.72100020939251408, 539099.1019999812124297 171341.2430001249013003, 539023.99999988055787981 171377.00000008780625649, 539105.04200016707181931 171412.58000018578604795, 539130.79700015287380666 171483.80499998020241037, 539108.63900002185255289 171479.86200001562247053, 539094.72499978949781507 171513.48899995093233883, 539054.60199986444786191 171496.65000017386046238, 538895.36300005752127618 171435.00199980952311307, 538830.99999984260648489 171521.00000018076389097, 538764.00000015425030142 171518.0000000087893568, 538766.00000012572854757 171482.99999986388138495, 538722.05699987290427089 171469.75699988167616539, 538635.62199995398987085 171545.36900003725895658, 538657.44500020472332835 171579.56199994604685344, 538712.56000008073169738 171548.26800017224741168, 538782.44700004416517913 171563.11500002761022188, 539034.35600001725833863 171573.09399991546524689, 539106.76300017663743347 171601.37800020689610392, 539014.01400000287685543 171872.87899993639439344, 538984.56299981556367129 171913.1870002057403326, 539023.34500015946105123 171941.39100000000325963, 539072.00000005483161658 171851.99999996781116351, 539156.16500014998018742 171800.63999996185884811, 539125.06199979118537158 171712.25500006007496268)))</t>
  </si>
  <si>
    <t>E01003240</t>
  </si>
  <si>
    <t>Lewisham 038B</t>
  </si>
  <si>
    <t>E02006784</t>
  </si>
  <si>
    <t>Lewisham 038</t>
  </si>
  <si>
    <t>MultiPolygon (((538722.05699997849296778 171469.75699997405172326, 538559.99999994563404471 171396.00000007092603482, 538414.48900003253947943 171417.93400004343129694, 538392.8660000521922484 171392.03599995875265449, 538435.50400019250810146 171349.20800010467064567, 538449.96899997256696224 171286.00399989436846226, 538377.57600015879143029 171007.01399999999557622, 538111.95399995753541589 171285.99700001688324846, 537928.50000002153683454 171592.17199979655561037, 537979.60100014007184654 171629.47600001562386751, 538187.64799997373484075 171784.52900001656962559, 538223.86099982564337552 171825.13899999999557622, 538330.39299984718672931 171733.16899993093102239, 538364.02700012689456344 171702.84800011123297736, 538440.22799997788388282 171643.7289998824999202, 538657.44500009808689356 171579.56199986999854445, 538635.62200005317572504 171545.36900013967533596, 538722.05699997849296778 171469.75699997405172326)))</t>
  </si>
  <si>
    <t>E01003241</t>
  </si>
  <si>
    <t>Lewisham 038C</t>
  </si>
  <si>
    <t>MultiPolygon (((538831.00000017671845853 171521.00000007398193702, 538895.36300013714935631 171435.00199983204947785, 539054.60200009203981608 171496.65000001015141606, 539094.72500000684522092 171513.48900002412847243, 539108.63899996399413794 171479.86199983689584769, 539130.7970000000204891 171483.80499991856049746, 539105.04199985752347857 171412.5799999781884253, 539023.99999984120950103 171377.0000001760199666, 539099.10200000298209488 171341.24299984122626483, 538996.67200007813517004 171325.72099996678298339, 538929.3640001603635028 171269.55300004634773359, 539012.06700011296197772 171082.23300002215546556, 539012.99900000041816384 171078.99800018791574985, 538797.00000005436595529 171148.00000016044941731, 538776.3019999178359285 171199.98999994315090589, 538793.67299992404878139 171141.68699999415548518, 538694.44500009168405086 171117.811999923462281, 538556.14900009136181325 170966.61999999085674062, 538483.56400013109669089 170862.9109999259817414, 538377.57600000011734664 171007.01400015942635946, 538449.96900016139261425 171286.00400010554585606, 538435.50399983557872474 171349.2080000827263575, 538392.86599989770911634 171392.03600001786253415, 538414.4889998622238636 171417.93399992052582093, 538559.99999987706542015 171395.99999990101787262, 538722.05699994973838329 171469.75700006244005635, 538766.00000008672941476 171482.99999987074988894, 538763.99999985808972269 171517.99999991917866282, 538831.00000017671845853 171521.00000007398193702)))</t>
  </si>
  <si>
    <t>E01003243</t>
  </si>
  <si>
    <t>Lewisham 038D</t>
  </si>
  <si>
    <t>MultiPolygon (((538080.53199982200749218 173001.24100004247156903, 538117.78100012335926294 172894.7790001560060773, 538154.36199988110456616 172807.26100021705497056, 538068.18400006904266775 172776.35399979935027659, 538102.41700010222848505 172733.91300011239945889, 538026.28599984419997782 172707.2169997982273344, 537898.96699982276186347 172662.76699979230761528, 537897.80299978842958808 172553.15899986814474687, 537865.96700008562766016 172553.59499994537327439, 537716.80900010699406266 172545.24200000002747402, 537686.33999995503108948 172578.18400006633601151, 537662.55700000957585871 172547.68699995032511652, 537542.74200016353279352 172741.53499981784261763, 537466.37700014223810285 172854.00900013910722919, 537419.31100011884700507 172923.42400003809598275, 537448.93799982313066721 172991.32800018900888972, 537518.12500007846392691 172974.04700004920596257, 537542.68799997807946056 173031.90599994279909879, 537700.31299994676373899 172936.92199984335456975, 537750.56300002266652882 172963.53099998255493119, 537694.72900017269421369 173056.55899985422729515, 537667.31300020962953568 173183.03099984841537662, 537678.1889998777769506 173436.98900000000139698, 537757.67599990381859243 173432.78900004157912917, 537744.4330000578192994 173394.57500018284190446, 537825.6700000666314736 173340.07499989419011399, 537829.09299990790896118 173280.85100019242963754, 538004.00000011059455574 173164.00000017179991119, 538061.93299984559416771 173053.45800004544435069, 538080.53199982200749218 173001.24100004247156903)))</t>
  </si>
  <si>
    <t>E01003221</t>
  </si>
  <si>
    <t>Lewisham 025C</t>
  </si>
  <si>
    <t>E02000677</t>
  </si>
  <si>
    <t>Lewisham 025</t>
  </si>
  <si>
    <t>MultiPolygon (((538313.9490002142265439 172915.07900020782835782, 538357.26900012884289026 172823.87900003790855408, 538396.86800004926044494 172837.95300019637215883, 538444.99999997252598405 172726.0000000798900146, 538480.22699979657772928 172740.83800016684108414, 538548.44799999985843897 172673.71299994669971056, 538534.82600003329571337 172612.0160000555915758, 538499.33799988869577646 172600.51700022016302682, 538532.19100008462555707 172515.28800018056062981, 538507.05499993334524333 172505.65699985253741033, 538293.31400006299372762 172424.69000015256460756, 538249.8419998565223068 172406.80800018826266751, 538038.97899983625393361 172328.68799991157720797, 537965.37499990907963365 172300.40600016491953284, 537947.90699984214734286 172348.38099982749554329, 537899.99999984388705343 172330.28099980592378415, 537785.39499997347593307 172279.38699992903275415, 537766.27000014577060938 172327.12400010204873979, 537711.98899978527333587 172451.36999979527899995, 537662.55700000002980232 172547.68699984269915149, 537686.3400000884430483 172578.18399994377978146, 537716.80899983271956444 172545.24200003739679232, 537865.96699992311187088 172553.59499983457499184, 537897.80299990868661553 172553.15900016293744557, 537898.96699999924749136 172662.76699985019513406, 538026.28600009751971811 172707.21699980163248256, 538102.41700011573266238 172733.91299996463931166, 538068.18400011397898197 172776.35399978238274343, 538154.36199981370009482 172807.26099998308927752, 538117.78100019867997617 172894.77900018118089065, 538289.92500012344680727 172961.38900007092161104, 538313.9490002142265439 172915.07900020782835782)))</t>
  </si>
  <si>
    <t>E01003223</t>
  </si>
  <si>
    <t>Lewisham 025D</t>
  </si>
  <si>
    <t>MultiPolygon (((538797.00000022130552679 171147.9999998118437361, 539012.99899989529512823 171078.99799987996811979, 539012.06700003240257502 171082.23300016458961181, 539017.9029998384648934 171199.81199987197760493, 539170.53099979122634977 171188.95900017174426466, 539205.01000005390960723 171157.34199999843258411, 539184.00100001925602555 171080.00000014738179743, 539238.88199994771275669 171094.50600005782325752, 539270.48799980583135039 171031.54599985096137971, 539239.1769999306416139 170986.22300001958501525, 539191.37799977709073573 170978.24000021649408154, 539175.16700014588423073 170877.80099995949422009, 539216.98400006024166942 170868.93700011144392192, 539272.39599986537359655 170859.19600012229057029, 539308.95000000030267984 170807.45300014305394143, 539321.29700020200107247 170704.87800020421855152, 539287.31300021719653159 170738.67199988570064306, 539204.20800008135847747 170674.76299987663514912, 539175.52800016582477838 170639.61100013524992391, 539171.52799983113072813 170636.0139999705424998, 539149.74999984237365425 170500.23399999251705594, 539114.83799989859107882 170457.486000075325137, 539116.12500015739351511 170437.10900015657534823, 538920.37499976844992489 170408.95300017000408843, 538925.21900022577028722 170332.99299980231444351, 538829.33299988345243037 170294.67499985720496625, 538784.00099992065224797 170414.03099987367750145, 538718.50000014167744666 170437.51600023050559685, 538716.62399977701716125 170290.47699987486703321, 538643.3139999556588009 170272.90599999995902181, 538564.81300001591444016 170641.84299982883385383, 538483.56399979803245515 170862.91100000208825804, 538556.14899999916087836 170966.61999981888220645, 538694.44499980204273015 171117.81199996301438659, 538793.67299982893746346 171141.68699999092496, 538776.30199978535529226 171199.98999999999068677, 538797.00000022130552679 171147.9999998118437361)))</t>
  </si>
  <si>
    <t>E01003235</t>
  </si>
  <si>
    <t>Lewisham 038A</t>
  </si>
  <si>
    <t>MultiPolygon (((538816.24000008148141205 172201.6819998454884626, 538891.59999999986030161 172099.15000006961054169, 538825.45400013367179781 172085.46800004961551167, 538864.86900011892430484 171989.74399980960879475, 538856.37600001425016671 171937.48600001164595596, 538825.31499985395930707 171928.83000004713539965, 538689.8589999177493155 171876.51800019785878249, 538644.70899994077626616 171963.13100018838304095, 538532.96499996702186763 171915.42000013813958503, 538380.66699995822273195 171875.33299995679408312, 538335.5740000355290249 171908.19100005444488488, 538313.25599992251954973 171880.01899998422595672, 538343.00500001606997102 171817.75700012090965174, 538330.39299998024944216 171733.1689998417859897, 538223.86099979607388377 171825.13899990732898004, 538213.64999997662380338 171908.68099978237296455, 538157.83300018962472677 172037.11599998030578718, 538095.2229999954579398 172012.68499992458964698, 538029.78799991973210126 172108.02299994524219073, 538006.12100000004284084 172142.98099982560961507, 538034.50200012128334492 172166.85199993924470618, 538068.96999983105342835 172142.06800013827160001, 538090.01300006022211164 172189.93300003977492452, 538165.04600011045113206 172167.6329999438021332, 538318.83899991714861244 172233.32599982211831957, 538249.84199984942097217 172406.80800019414164126, 538293.31399985449388623 172424.6899997795408126, 538507.05499983346089721 172505.65700015821494162, 538676.56900012283585966 172306.93300014015403576, 538672.2610000119311735 172261.42200011524255387, 538816.24000008148141205 172201.6819998454884626)))</t>
  </si>
  <si>
    <t>E01003348</t>
  </si>
  <si>
    <t>Lewisham 030B</t>
  </si>
  <si>
    <t>E02000682</t>
  </si>
  <si>
    <t>Lewisham 030</t>
  </si>
  <si>
    <t>MultiPolygon (((538249.84199993661604822 172406.80799999998998828, 538318.83899998175911605 172233.32600002948311158, 538165.04599981487262994 172167.63299985849880613, 538090.01299994741566479 172189.93300009600352496, 538068.970000165165402 172142.06800003797980025, 538034.50199991080444306 172166.85200017894385383, 538006.12100017291959375 172142.98100007645552978, 538029.78799994289875031 172108.02299993392080069, 538095.22300000488758087 172012.68499980983324349, 538157.83300005085766315 172037.11599984267377295, 538213.65000017883721739 171908.68100008138571866, 538223.86100013297982514 171825.13900011064833961, 538187.6479998737340793 171784.52900000486988574, 537979.60100012575276196 171629.47599989289301448, 537928.49999989697244018 171592.17199999999138527, 537909.06699986371677369 171660.13799998207832687, 537882.92000005301088095 171861.55299999061389826, 537869.4129999503493309 171950.80200007415260188, 537785.3950000184122473 172279.38700007041916251, 537900.00000016880221665 172330.28100006954628043, 537947.90700000780634582 172348.3809998111682944, 537965.37499984551686794 172300.40599986136658117, 538038.97899986384436488 172328.68800014475709759, 538249.84199993661604822 172406.80799999998998828)))</t>
  </si>
  <si>
    <t>E01003352</t>
  </si>
  <si>
    <t>Lewisham 030D</t>
  </si>
  <si>
    <t>MultiPolygon (((538984.56300016050226986 171913.1870000233175233, 539014.01400016609113663 171872.8789999850851018, 539106.76300000003539026 171601.37799984708544798, 539034.35600004578009248 171573.09399987399228849, 538782.44699998281430453 171563.11499986352282576, 538712.56000011833384633 171548.26799985425896011, 538657.44499996514059603 171579.56200001158867963, 538440.22800017124973238 171643.72899990557925776, 538364.02700004016514868 171702.84799987942096777, 538330.39300011133309454 171733.16900016635190696, 538343.00499997253064066 171817.75699990993598476, 538313.25600000005215406 171880.01900017305160873, 538335.57400013646110892 171908.19099980712053366, 538380.66700013482477516 171875.33300013004918583, 538532.96500019554514438 171915.42000013694632798, 538644.70899995521176606 171963.13099992647767067, 538689.85899994196370244 171876.51800007538986392, 538825.31500000506639481 171928.82999983482295647, 538856.37599992472678423 171937.48599990733782761, 538864.86900016979780048 171989.74399992841063067, 538825.45399981655646116 172085.46799993983586319, 538891.59999982046429068 172099.14999995095422491, 538980.05000011681113392 172118.59900014571030624, 539023.3450001422315836 171941.39099981091567315, 538984.56300016050226986 171913.1870000233175233)))</t>
  </si>
  <si>
    <t>E01003353</t>
  </si>
  <si>
    <t>Lewisham 030E</t>
  </si>
  <si>
    <t>MultiPolygon (((539673.03899989777710289 170884.32400012071593665, 539901.33400003938004375 170857.63599977566627786, 539952.53100004571024328 170863.46299989000544883, 539996.597000039415434 170923.47799979543196969, 540112.76999993121717125 170878.54000003129476681, 540261.84800008521415293 170911.6219998505548574, 540271.98899992706719786 170952.09299983197706752, 540310.0000002309679985 170960.00000017182901502, 540356.88400020985864103 170859.53299985060584731, 540371.06700000003911555 170816.8130000801756978, 540329.1360000076238066 170807.43000022112391889, 540324.69699996279086918 170683.91600012822891586, 540292.70000015990808606 170628.14900012357975356, 540323.99999987066257745 170568.99999987374758348, 540325.22300013399217278 170521.55500017109443434, 540248.72899990947917104 170504.93600020511075854, 540210.91400016448460519 170460.59799995357752778, 540201.00000019813887775 170499.99999990564538166, 540175.63100003835279495 170460.50399991025915369, 540049.59599989873822778 170449.97000020812265575, 540010.99499995424412191 170354.00700005851103924, 539981.47600017336662859 170350.60500006898655556, 539930.04300011927261949 170339.35099999417434447, 539651.41500022704713047 170489.28100017426186241, 539608.80500000820029527 170463.20399987153359689, 539631.72300018381793052 170452.00500005128560588, 539604.72800002840813249 170413.48899997796979733, 539598.76300014578737319 170425.17599988062283956, 539563.04700019198935479 170467.78600009946967475, 539413.5 170613.8280000863596797, 539560.3899997768457979 170742.89700003573670983, 539528.38999991654418409 170829.78199977928306907, 539579.50099987303838134 170968.34299991812440567, 539597.56999997782986611 171020.54500000583357178, 539629.01899998646695167 171014.99099984928034246, 539654.083000214304775 171000.24800003514974378, 539629.54899991501588374 170927.98899978180998005, 539673.03899989777710289 170884.32400012071593665)))</t>
  </si>
  <si>
    <t>E01032563</t>
  </si>
  <si>
    <t>Bromley 040E</t>
  </si>
  <si>
    <t>E02006782</t>
  </si>
  <si>
    <t>Bromley 040</t>
  </si>
  <si>
    <t>MultiPolygon (((539622.63400008075404912 171238.58299984809127636, 539701.97100000502541661 171195.83100006738095544, 539678.76799983321689069 171106.4920001444988884, 539677.61399993777740747 171101.06400005289469846, 539669.52400015783496201 171063.126000024843961, 539642.87500008416827768 171072.07800007393234409, 539634.38200008124113083 171074.95099987805588171, 539632.20899998710956424 171066.63000015539000742, 539629.01900009997189045 171014.99100005149375647, 539597.57000003720168024 171020.54499993709032424, 539579.50099992495961487 170968.34299984120298177, 539528.39000001992098987 170829.78200018100324087, 539560.38999994785990566 170742.89700005456688814, 539413.50000009592622519 170613.8279999999795109, 539321.29699988721404225 170704.87800013148807921, 539308.94999989867210388 170807.45300002073054202, 539272.39599989051930606 170859.19600007057306357, 539216.98400008061435074 170868.93699980925885029, 539175.16699999500997365 170877.80100008155568503, 539191.37800007488112897 170978.2400000756024383, 539239.17699995671864599 170986.22300007010926493, 539270.48800009861588478 171031.5459999229060486, 539238.88200010638684034 171094.50599993497598916, 539184.00099995010532439 171080.00000000032014214, 539205.00999999803025275 171157.34200017421972007, 539301.45799990394152701 171104.7570000666892156, 539323.34200016618706286 171136.03599987033521757, 539317.4959998851409182 171233.4750000633939635, 539286.32199984579347074 171268.07300015661166981, 539404.2629999176133424 171219.28099996651872061, 539381.2740000857738778 171318.26500015129568055, 539414.96299998974427581 171363.54500012626522221, 539507.41899998916778713 171382.91899999999441206, 539621.87600014207419008 171284.41800011502346024, 539622.63400008075404912 171238.58299984809127636)))</t>
  </si>
  <si>
    <t>E01032565</t>
  </si>
  <si>
    <t>Lewisham 038E</t>
  </si>
  <si>
    <t>MultiPolygon (((539623.87500017031561583 170375.97499980483553372, 539528.41999988537281752 170317.61900018292362802, 539552.40799987607169896 170275.56099991672090255, 539614.22100017638877034 170288.68300002772593871, 539648.9720000724773854 170163.42500001133885235, 539668.34500007913447917 170125.64600019587669522, 539628.95099989813752472 170104.10000017017591745, 539634.84800006705336273 170058.20700014691101387, 539505.29099983803462237 169970.88700006893486716, 539429.8300001168390736 170002.33599981947918423, 539482.53499994811136276 169841.04900021810317412, 539447.68999994802288711 169832.66000000000349246, 539382.49500000150874257 169960.84200017736293375, 539272.65600008855108172 170015.32799989267368801, 539252.28100018762052059 170069.57299996295478195, 539124.01900005666539073 170128.53899979725247249, 539008.333000059123151 170228.26900003690388985, 538959.66800014907494187 170343.48299994593253359, 538925.21899987396318465 170332.99300002938252874, 538920.37499992083758116 170408.95299990277271718, 539116.1249999477295205 170437.10899983096169308, 539114.83799993561115116 170457.48600020643789321, 539149.74999997613485903 170500.23400018562097102, 539171.52799977664835751 170636.01400000939611346, 539175.52800017409026623 170639.61099992715753615, 539204.20799984352197498 170674.76299982838099822, 539287.31300015852320939 170738.67199999999138527, 539321.29700019373558462 170704.8780001942650415, 539413.49999996437691152 170613.82799990198691376, 539563.0469998080516234 170467.78599989347276278, 539598.76299988036043942 170425.17600003810366616, 539604.72799987392500043 170413.48900017043342814, 539623.87500017031561583 170375.97499980483553372)))</t>
  </si>
  <si>
    <t>E01000672</t>
  </si>
  <si>
    <t>Bromley 011A</t>
  </si>
  <si>
    <t>E02000137</t>
  </si>
  <si>
    <t>Bromley 011</t>
  </si>
  <si>
    <t>MultiPolygon (((539629.32499980030115694 170365.29499985006987117, 539786.94899987848475575 170058.94399989178054966, 539800.90800005267374218 170032.93800021350034513, 539810.40800020156893879 170015.24100005236687139, 539818.86100014427211136 169998.13399989175377414, 539859.53400008485186845 169924.32300002814736217, 539887.66500012448523194 169870.19099992117844522, 539901.5720000599976629 169828.09499999938998371, 539967.0000002181623131 169613.0000000863801688, 539875.00000008777715266 169589.00000014741090126, 539782.97800000768620521 169619.70600007430766709, 539758.62999995134305209 169501.38200000001234002, 539753.8589998057577759 169504.17299986971192993, 539709.21299980022013187 169505.13900008253403939, 539691.25699985458049923 169552.4830001110676676, 539680.88099992286879569 169526.40600009844638407, 539611.43799999472685158 169678.36700000651762821, 539542.98700018017552793 169735.01799981101066805, 539566.16200004064012319 169770.46699978865217417, 539526.84100018418394029 169761.80299991168431006, 539482.53499995660968125 169841.04900010977871716, 539429.8299997819121927 170002.33599988941568881, 539505.29099980264436454 169970.88699997449293733, 539634.84799993317574263 170058.20700004900572821, 539628.95099978218786418 170104.10000000146101229, 539668.34500016702804714 170125.64599999465281144, 539648.97199994826223701 170163.42500012251548469, 539614.2209999623009935 170288.68300002039177343, 539552.40800009260419756 170275.56100021523889154, 539528.4200000069104135 170317.61899994575651363, 539623.87500019581057131 170375.97500000000582077, 539629.32499980030115694 170365.29499985006987117)))</t>
  </si>
  <si>
    <t>E01000674</t>
  </si>
  <si>
    <t>Bromley 008A</t>
  </si>
  <si>
    <t>E02000134</t>
  </si>
  <si>
    <t>Bromley 008</t>
  </si>
  <si>
    <t>MultiPolygon (((540370.99999986472539604 170514.9999998198763933, 540298.86100010154768825 170436.94300017703790218, 540391.77199999999720603 170378.54400009629898705, 540369.42400013492442667 170324.2709998746868223, 540275.037999895401299 170290.78899981747963466, 540202.61699990590568632 170121.70100007980363443, 540218.4470000461442396 170045.7319998353777919, 540150.86900014791171998 170051.48599981499137357, 540085.99899985536467284 170146.00000016830745153, 540061.26899991207756102 170128.88900013023521751, 539934.29799995862413198 170041.6360001259308774, 539927.85400007828138769 170067.96599991878611036, 539893.2179999043000862 170030.10300010759965517, 539856.56400002527516335 170046.92599988941219635, 539810.40799983218312263 170015.24099994319840334, 539800.9080001839902252 170032.93799988785758615, 539786.94899999920744449 170058.94400003188638948, 539629.32500013231765479 170365.29500017431564629, 539623.87499983294401318 170375.97499993784003891, 539604.72800000000279397 170413.48900004106690176, 539631.72300002793781459 170452.00500002747867256, 539608.80500007374212146 170463.20399982240633108, 539651.41499989083968103 170489.28099999271216802, 539930.04300004616379738 170339.35099981492385268, 539981.47600000351667404 170350.6049998186645098, 540010.99500016216188669 170354.00699986980180256, 540049.59600011352449656 170449.97000017203390598, 540175.63100011961068958 170460.50400012539466843, 540200.99999990582000464 170500.00000014758552425, 540210.91400004539173096 170460.59799993847263977, 540248.72900001064408571 170504.93600011256057769, 540325.22299992281477898 170521.55500005721114576, 540324.00000005203764886 170569.00000005683978088, 540362.00100015825591981 170565.00000003929017112, 540370.99999986472539604 170514.9999998198763933)))</t>
  </si>
  <si>
    <t>E01000822</t>
  </si>
  <si>
    <t>Bromley 008D</t>
  </si>
  <si>
    <t>MultiPolygon (((540271.63100002927239984 170061.20000015571713448, 540231.1880000977544114 170019.11199988081352785, 540238.19599991745781153 169976.25500016572186723, 540477.68700015882495791 170034.65400006723939441, 540516.46100011782255024 170026.85799995926208794, 540508.31500017317011952 169997.05099981580860913, 540551.02300000004470348 169966.28200003659003414, 540509.01299981574993581 169883.8899999346176628, 540489.81299993942957371 169896.64099989971145988, 540405.43799984222277999 169806.07800002340809442, 540370.74999987066257745 169805.68700011059991084, 540392.93799985514488071 169851.68699991455650888, 540352.1879998235963285 169851.90600014035589993, 540347.25099987350404263 169808.15599981564446352, 540227.67600006470456719 169804.49499989440664649, 540218.87499984377063811 169770.01599999461905099, 540187.03000015392899513 169769.45300002454314381, 540186.8349999274360016 169853.37999988644151017, 539944.04699981724843383 169835.43499990069540218, 539901.57200006151106209 169828.09500015125377104, 539887.66500006441492587 169870.1910001790674869, 539859.53399981616530567 169924.32300008239690214, 539818.86100004485342652 169998.13400001940317452, 539810.40800000005401671 170015.24100005754735321, 539856.56399998511187732 170046.92599987494759262, 539893.21799987519625574 170030.10300013807136565, 539927.8540001567453146 170067.96599995077122003, 539934.29800017608795315 170041.63599985674954951, 540061.26899985631462187 170128.8889998490922153, 540085.99900011485442519 170145.99999994886456989, 540150.86899989622179419 170051.48600012791575864, 540218.44699991645757109 170045.73199999824282713, 540202.61700010776985437 170121.70099984886473976, 540275.03800011135172099 170290.78900006550247781, 540369.42400018242187798 170324.270999975502491, 540389.56499992660246789 170279.60700001375516877, 540271.63100002927239984 170061.20000015571713448)))</t>
  </si>
  <si>
    <t>E01000824</t>
  </si>
  <si>
    <t>Bromley 008F</t>
  </si>
  <si>
    <t>MultiPolygon (((543593.48599999863654375 166140.09400003665359691, 543708.0000003402819857 166094.9270000385295134, 543801.7339999231044203 166048.04800034125219099, 543672.00000012281816453 165855.00000003242166713, 543834.90900001639965922 165744.87600014917552471, 543836.66699970024637878 165703.2410000842937734, 543851.85799990477971733 165669.96700024942401797, 543666.00000020174775273 165531.00000014950637706, 543910.55099986691493541 165467.20199998278985731, 543961.22100005706306547 165361.92399974452564493, 543900.4739999690791592 165303.53799996551242657, 543865.26000015053432435 165336.46600009617395699, 543829.74400028248783201 165281.65499974018894136, 543806.24599976977333426 165247.619000009377487, 543856.00000023550819606 165239.00000007581547834, 544025.60799992200918496 165369.53200018074130639, 544050.61599999107420444 165308.74899968405952677, 544065.89800000004470348 165094.39400015978026204, 543878.66299987002275884 164977.37200014427071437, 543720.55800029658712447 165090.84599966087262146, 543685.47399980353657156 165164.8129996946954634, 543599.57200028165243566 165209.58199970543500967, 543502.06300008029211313 165167.7809999063028954, 543493.9999999311985448 165205.00000006248592399, 543361.19299987913109362 165058.19299996437621303, 543334.11099984112661332 165066.81599986655055545, 543224.63599987654015422 165025.77000019111437723, 543129.10000026400666684 164922.84699996333802119, 542848.31300015968736261 165129.73400002642301843, 542704.96899967233184725 165387.93299973491230048, 542683.5 165426.90600029745837674, 542778.68800026969984174 165562.98299991933163255, 542820.06300030113197863 165579.04699966736370698, 542801.75000005646143109 165594.67200026809587143, 542834.35500012966804206 165638.22500014372053556, 542865.18800028320401907 165627.26599990917020477, 542986.32199982809834182 165791.13799967669183388, 543078.97500011732336134 165880.55300014495151117, 543080.56300009822007269 165990.71900004422059283, 543035.1209996659308672 166096.99999984257738106, 543168.52600020950194448 166097.54799968976294622, 543274.56199968396686018 166096.9699997323914431, 543433.99899986467789859 166096.00000008614733815, 543582.48400027432944626 166113.21800011020968668, 543593.48599999863654375 166140.09400003665359691)))</t>
  </si>
  <si>
    <t>E01000756</t>
  </si>
  <si>
    <t>Bromley 033D</t>
  </si>
  <si>
    <t>E02000159</t>
  </si>
  <si>
    <t>Bromley 033</t>
  </si>
  <si>
    <t>MultiPolygon (((541386.53999986965209246 168565.02399982893257402, 541244.86100020166486502 168459.90699978443444706, 541204.00000006356276572 168342.00000004496541806, 541227.34700017503928393 168320.21000002292566933, 541280.92100011615548283 168344.33899993289378472, 541398.58199992508161813 168267.56899980627349578, 541331.43199987581465393 168177.77099983621155843, 541425 168156.00000020107836463, 541354.17100015131291002 168077.9070000012870878, 541391.43699988955631852 168032.73999984096735716, 541412.74999982281588018 167988.82799991816864349, 541386.82600015751086175 167930.12999993111588992, 541321.12500000454019755 167867.34399989151279442, 541051.68099988880567253 168075.20600020786514506, 540885.99999992572702467 167981.03100003948202357, 540787.9379998364020139 167997.12499992229277268, 540783.18800009263213724 168050.07799983888980933, 540731.56300017330795527 168040.42200001893797889, 540642.87500023073516786 167977.76500014294288121, 540655.43799989961553365 167927.59400004395865835, 540622.68799988878890872 167960.29700018963194452, 540590.93800012883730233 167933.39099990358226933, 540564.74799987184815109 167909.2060000722121913, 540525.00000010163057595 167867.99999986690818332, 540492.06299993977881968 167817.04699996937415563, 540459.94999999995343387 167862.69699993429821916, 540495.10199981019832194 167905.28700005821883678, 540469.70600023097358644 167961.10499988272204064, 540488.88399978331290185 168040.43500020747887902, 540576.17700016731396317 168061.41700005391612649, 540622.30099988053552806 168229.40400002009118907, 540727.78500023717060685 168202.20499993849080056, 540739.9550001819152385 168228.99699983309255913, 540903.70899988547898829 168271.25000015430850908, 540943.43299982720054686 168205.35100021024118178, 540992.06799980730284005 168247.12999981810571626, 541025.00000004516914487 168213.00000002095475793, 541020.72299977543298155 168304.114000073983334, 541052.19499999447725713 168313.24800000622053631, 541089.68699996708892286 168343.07099998931516893, 541095.16799999447539449 168504.96099982762825675, 540937.80999993020668626 168536.51999978674575686, 540895.74399976013228297 168503.42100005902466364, 540903.07199981447774917 168554.99999990512151271, 540856.8830001235473901 168558.99999994324753061, 540884.89600009669084102 168642.87199989007785916, 540848.99999981420114636 168656.00000014461693354, 540855.28800022543873638 168701.1660000306146685, 541186.9930001525208354 168693.43799977932940237, 541189.9940002141520381 168637.4669999627803918, 541228.39399980835150927 168603.01700020118732937, 541376.84900009876582772 168602.70900015096412972, 541386.53999986965209246 168565.02399982893257402)))</t>
  </si>
  <si>
    <t>E01000671</t>
  </si>
  <si>
    <t>Bromley 020D</t>
  </si>
  <si>
    <t>E02000146</t>
  </si>
  <si>
    <t>Bromley 020</t>
  </si>
  <si>
    <t>MultiPolygon (((540538.24599989841226488 169673.13399999996181577, 540556.68299997271969914 169478.12200028420193121, 540506.00000018789432943 169412.75899980906979181, 540777.56300002941861749 169499.12400017149047926, 540889.53300015791319311 169499.82399974414147437, 540989.85900013265199959 169492.57499989500502124, 541042.30100001581013203 169489.08300000446615741, 541043.93800000462215394 169395.32799990198691376, 541128.3250000347616151 169377.95300016755936667, 541135.68799972243141383 169251.20299998443806544, 541091.43799973325803876 169258.32800023100571707, 541092.27800002484582365 169213.19900006605894305, 541061.76300003880169243 169220.50200002011843026, 541018.81299983058124781 169166.79399978381115943, 540931.7499999632127583 169265.0719999287975952, 540908.50899981113616377 169203.60800019887392409, 540863.99999995715916157 169217.99999975497485138, 540958.99999998905695975 169038.99999987034243532, 540963.95600004296284169 168972.86800007152487524, 540919.13700003351550549 168969.27999980290769599, 540913.1139997576829046 168931.82899993762839586, 540829.64800017641391605 168879.89999990223441273, 540652.98499985318630934 168861.37399997419561259, 540559.58599974017124623 168811.19900015500024892, 540588.59999974619131535 168707.21999972141929902, 540641.00100025185383856 168524, 540540.00000011455267668 168564.00000028556678444, 540437.96200019668322057 168597.30799976142589003, 540405.67299989191815257 168654.63499987969407812, 540257.97699999413453043 168622.5730000797775574, 540204.87399984814692289 168718.56299973707064055, 540114.94799984409473836 168732.3229997249727603, 540114.04200019035488367 168794.12099984855740331, 540082.57900027756113559 168927.02499985983013175, 540126.00000006041955203 168876.99999994903919287, 540257.50799991271924227 168952.79699982269085012, 540297.00000023271422833 168975.99999983710586093, 540264.04299971519503742 169138.10000027189380489, 540368.42100015794858336 169125.8769997592899017, 540336.52199984481558204 169298.4200001846475061, 540417.59600001305807382 169321.24599978569312952, 540421.63100019260309637 169362.7789999857195653, 540405.34699976921547204 169405.47700027885730378, 540273.99999991047661752 169417.00000006970367394, 540161.75499994994606823 169599.92400010974961333, 540164.99999980733264238 169600.93300009128870443, 540327.03299998433794826 169610.48399975307984278, 540390.55000000062864274 169612.82000014252844267, 540456.54299997631460428 169502.91399981116410345, 540493.56099983013700694 169592.07200023805489764, 540471.97300020873080939 169645.22100021809455939, 540538.24599989841226488 169673.13399999996181577)))</t>
  </si>
  <si>
    <t>E01000675</t>
  </si>
  <si>
    <t>Bromley 018B</t>
  </si>
  <si>
    <t>E02000144</t>
  </si>
  <si>
    <t>Bromley 018</t>
  </si>
  <si>
    <t>MultiPolygon (((540488.56399985356256366 169807.82800020082504489, 540483.81299983221106231 169696.42200006367056631, 540585.5630000785458833 169790.79700010071974248, 540589.58900009072385728 169748.39499997903476469, 540603.02000000001862645 169579.0169999290665146, 540578.31299998727627099 169571.73399981009424664, 540568.20999987365212291 169489.24900017591426149, 540556.68300019856542349 169478.12199986531049944, 540538.24599997652694583 169673.13399997918168083, 540471.97299998323433101 169645.2210001713829115, 540493.5609998133732006 169592.07200014861882664, 540456.54300005408003926 169502.91399997510598041, 540390.55000020691659302 169612.81999996237573214, 540327.03300009039230645 169610.48400009371107444, 540164.9999999173451215 169600.93300009935046546, 540161.75499985902570188 169599.92400006862590089, 540273.99999983271118253 169417.0000001021544449, 540405.34699979494325817 169405.47699988030944951, 540421.63100014883093536 169362.77900011072051711, 540417.59600020584184676 169321.24600015781470574, 540336.52199990465305746 169298.42000004011788405, 540368.42100012593436986 169125.87699997363961302, 540264.04299981624353677 169138.09999992765369825, 540257.70199991471599787 169274.50700020985095762, 540202.99999991490039974 169329.99999985212343745, 540162.00000003981404006 169302.00100018942612223, 540187.03100009495392442 169162.90000021050218493, 540132.76199990953318775 169115.17300021109986119, 540049.23000016144942492 169102.77300006969016977, 539995.25599986629094929 169164.83799980801995844, 540021.99999998195562512 169212.99999998178100213, 539950.56400013214442879 169369.51599992351839319, 539852.20500004151836038 169441.83299999058363028, 539827.27500000747386366 169407.6790001223271247, 539758.62999999988824129 169501.38199997739866376, 539782.97800000454299152 169619.70599999016849324, 539875.00000006915070117 169588.9999999801220838, 539966.9999999743886292 169612.99999984525493346, 539901.57200005277991295 169828.09500000620028004, 539944.04699980095028877 169835.43499982773209922, 540186.83499986596871167 169853.3800001728523057, 540187.02999991492833942 169769.45299984910525382, 540218.87500012922100723 169770.01599983696360141, 540227.67599983746185899 169804.49499992770142853, 540347.25099994405172765 169808.15600011876085773, 540352.18800008366815746 169851.90600005764281377, 540392.93800014490261674 169851.68699991164612584, 540370.75000000151339918 169805.68699995899805799, 540405.43800012744031847 169806.07799981485004537, 540489.81300000962801278 169896.64099993029958569, 540509.01299990178085864 169883.88999995394260623, 540535.43299997493159026 169866.34599999763304368, 540488.56399985356256366 169807.82800020082504489)))</t>
  </si>
  <si>
    <t>E01000676</t>
  </si>
  <si>
    <t>Bromley 008B</t>
  </si>
  <si>
    <t>MultiPolygon (((540931.75000019290018827 169265.0719999999855645, 541018.813000253518112 169166.7939997413486708, 541061.76300010003615171 169220.50200022451463155, 541092.27800022426526994 169213.19899982758215629, 541187.68800013337749988 169165.74999976376420818, 541191.22299992793705314 169069.29099990491522476, 541139.12499995529651642 169058.3309998661861755, 541125.81299985223449767 168837.89100020442856476, 541190.4999997423728928 168836.23399995532236062, 541197.1500000903615728 168709.79500015178928152, 541186.9929997919825837 168693.43800015791202895, 540855.28800006431993097 168701.16599976824363694, 540848.9999998064013198 168656.00000015267869458, 540884.89599997468758374 168642.8720000778848771, 540856.88300013239495456 168559.00000014776014723, 540903.07199984230101109 168554.99999978419509716, 540895.74400011054240167 168503.42100008015404455, 540937.81000014138408005 168536.52000002990826033, 541095.16799992532469332 168504.96099992815288715, 541089.68699991155881435 168343.07100011050351895, 541052.19500020681880414 168313.24799981829710305, 541020.72300014703068882 168304.11400014039827511, 541025.00000002142041922 168213, 540992.06800019450020045 168247.12999999968451448, 540891.45999974908772856 168340.4360000426240731, 540797.71800002793315798 168407.65700003656093031, 540725.60699988808482885 168458.73299990914529189, 540641.00099983357358724 168524.00000025442568585, 540588.59999996877741069 168707.21999975008657202, 540559.58599990967195481 168811.19899985051597469, 540652.98499996121972799 168861.37400000193156302, 540829.64800016954541206 168879.9000000263331458, 540913.11400025454349816 168931.82899988713325001, 540919.13699988287407905 168969.2799998200207483, 540963.955999850993976 168972.86799984576646239, 540959.00000007229391485 169039.00000011251540855, 540863.9999999861465767 169217.999999942665454, 540908.50900010101031512 169203.60800006228964776, 540931.75000019290018827 169265.0719999999855645)))</t>
  </si>
  <si>
    <t>E01000678</t>
  </si>
  <si>
    <t>Bromley 016E</t>
  </si>
  <si>
    <t>E02000142</t>
  </si>
  <si>
    <t>Bromley 016</t>
  </si>
  <si>
    <t>MultiPolygon (((542503.91300030739512295 167621.43400032250792719, 542477.25399981904774904 167588.64599976560566574, 542449.86500006879214197 167615.97999987713410519, 542323.28099968563765287 167516.32300028062309138, 542252.95599967159796506 167525.8400000752590131, 542212.25499974377453327 167452.07300020544789732, 542300.60700020915828645 167278.02799991375650279, 542357.7209997457684949 167266.66300026854150929, 542421.92999996908474714 167200.9790002271765843, 542387.95299971371423453 167153.90100010379683226, 542438.6770001087570563 167132.97400011194986291, 542418.88599986070767045 167070.70499986145296134, 542467.51899982150644064 167084.13399987592129037, 542604.30699972540605813 166820.24999986393959261, 542300.06600006914231926 166736.4279999186983332, 542152.52099973580334336 166645.1289996765262913, 542241.99999970139469951 166448.9999999686551746, 542191.98900025407783687 166321.00700000004144385, 542139.3340001298347488 166373.03999978973297402, 541702.01100002357270569 166332.49099983234191313, 541662.87499968602787703 166407.81200003050616942, 541624.18800003209616989 166740.32800003568991087, 541547.99999989755451679 166903.56199976828065701, 541487.24999984202440828 166961.40499972377438098, 541409.33000018482562155 167238.54100006507360376, 541344.62499970768112689 167360.37500004097819328, 541298.50200027448590845 167374.07199968784698285, 541710.45800030697137117 167549.93799976530135609, 541857.74799995380453765 167248.7740000007324852, 541926.98499996948521584 167285.10500011328258552, 541944.60700011404696852 167334.62800004109158181, 541928.67799999041017145 167502.02200012045796029, 541889.99999991408549249 167504.00100026093423367, 541978.60299969976767898 167523.78099991532508284, 542199.00000022118911147 167555.00000018181162886, 542178.62900033127516508 167590.2610001171415206, 542218.54699971061199903 167637.61499994146288373, 542244.81299999495968223 167584.12500015500700101, 542400.87500021245796233 167652.79800000000977889, 542503.91300030739512295 167621.43400032250792719)))</t>
  </si>
  <si>
    <t>E01000661</t>
  </si>
  <si>
    <t>Bromley 026A</t>
  </si>
  <si>
    <t>E02000152</t>
  </si>
  <si>
    <t>Bromley 026</t>
  </si>
  <si>
    <t>MultiPolygon (((543139.55199989408720285 167492.03799998547765426, 543260.46899953891988844 167463.06600016428274103, 543314.31200030329637229 167548.66700010935892351, 543394.80899966042488813 167562.29099991064867936, 543417.0000001541338861 167427.00000007764901966, 543540.00000025064218789 167338.99999975494574755, 543530.75299982517026365 167305.70999987988034263, 543467.89500042411964387 167302.06500034456257708, 543330.318999576382339 167402.02199993145768531, 543306.57700038538314402 167289.86300021022907458, 543250.05199953110422939 167291.21200023539131507, 543230.53400027239695191 167243.88499963248614222, 543242.31499997270293534 167194.99799958639778197, 543292.39799965487327427 167223.5920002261409536, 543253.83600008103530854 166986.08900007174815983, 543318.92199986986815929 166899.53099960283725522, 543242.00000033969990909 166909.99999971815850586, 543208.42399987333919853 166953.84100009626126848, 543173.56300016876775771 166916.98200026116683148, 543205.11700009135529399 166868.8790001631132327, 543311.15399973839521408 166828.2890001785417553, 543330.27799985522869974 166778.3999996610218659, 543273.24400020320899785 166748.68199967945110984, 543252.03000042017083615 166684.65099981703679077, 543332.90900013071950525 166659.73700045768055134, 543246.68800006760284305 166384.3909995975845959, 543263.3750000192085281 166242.65599989742622711, 543211.50000005052424967 166166.18699977645883337, 543274.56199965521227568 166096.96999988390598446, 543168.52600030123721808 166097.54799998790258542, 543035.12099993077572435 166097.00000016411649995, 543080.56300041859503835 165990.7189999399415683, 543078.97500033571850508 165880.55299982975702733, 542986.32200013927649707 165791.13800000000628643, 542827.48399962752591819 165949.87699987078667618, 542703.02899965038523078 166022.48700015948270448, 542713.91499997326172888 166070.88899993020459078, 542758.6419999283971265 166087.00699957826873288, 542780.72900020715314895 166184.89000040487735532, 542745.63299972575623542 166242.09300040628295392, 542682.08899977919645607 166225.5280002704821527, 542612.91399990080390126 166155.76699983514845371, 542656.53399982198607177 166115.17299962413380854, 542642.07599960570223629 166020.51200014929054305, 542612.82400000561028719 166018.80999975802842528, 542469.51000002305954695 166016.93499973637517542, 542439.27499984542373568 166043.22800034651299939, 542388.59900039178319275 166024.22499975247774273, 542371.99999974935781211 166066.99999981772270985, 542497.07900007104035467 166150.12800039580906741, 542490.00000041839666665 166230.00000006091431715, 542456.43800027191173285 166208.43800043116789311, 542408.96200045198202133 166260.4990000570542179, 542447.51200029195751995 166308.22899960217182525, 542491.64200024935416877 166316.32200040560564958, 542541.34099993761628866 166212.78899975327658467, 542612.44700017175637186 166217.2930004098743666, 542596.46199978038202971 166252.60700046917190775, 542693.2170000933110714 166547.37399958746391349, 542765.18899971758946776 166683.71700035888352431, 542749.93799975281581283 166729.20900036831153557, 542865.99999990628566593 166742.00000004755565897, 542887.03599953954108059 166947.33399973521591164, 542886.28400045773014426 167175.88799978932365775, 543056.08200028166174889 167354.91299985194928013, 542988.24799997545778751 167345.0059998802607879, 542892.99999965075403452 167386.000000045489287, 542967.99999957124236971 167520.99999971326906234, 542977.67700023110955954 167680.38899998232955113, 543018.77599995885975659 167682.05100000000675209, 543020.5590004448313266 167589.09799983794800937, 543139.55199989408720285 167492.03799998547765426)))</t>
  </si>
  <si>
    <t>E01000664</t>
  </si>
  <si>
    <t>Bromley 026D</t>
  </si>
  <si>
    <t>MultiPolygon (((542693.21700010669883341 166547.37399992544669658, 542596.46199996687937528 166252.60699968744302168, 542612.44700033159460872 166217.29299964418169111, 542541.34100027289241552 166212.78900007775519043, 542491.64199967531021684 166316.32200013965484686, 542447.51200008997693658 166308.22899979990324937, 542408.96199975966010243 166260.49899971243576147, 542456.43799989297986031 166208.43800018526962958, 542489.99999995448160917 166229.99999981134897098, 542497.0790002258727327 166150.1279998563695699, 542372.00000000838190317 166066.99999990465585142, 542388.59900030307471752 166024.22500015640980564, 542439.27500005706679076 166043.22800003428710625, 542469.50999977765604854 166016.93500008701812476, 542612.82400002353824675 166018.8099998066900298, 542642.07599985739216208 166020.51200014277128503, 542656.53399976086802781 166115.17300028656609356, 542612.91399983176961541 166155.76700022412114777, 542682.08899979467969388 166225.52799992900690995, 542745.63299986813217402 166242.09300004850956611, 542780.72899988060817122 166184.8900003329035826, 542758.64199988718610257 166087.00700036762282252, 542713.91500008793082088 166070.88900003861635923, 542703.02899975550826639 166022.48699989705346525, 542827.48399981658440083 165949.87699982346384786, 542986.32200017117429525 165791.13800000108312815, 542865.18799972056876868 165627.26599997110315599, 542834.35500028356909752 165638.22499965250608511, 542606.09800023841671646 165699.43500024141394533, 542539.43500037165358663 165745.69400024361675605, 542476.89599964255467057 165726.61599978245794773, 542461.52099971170537174 165814.15399999637156725, 542387.21399978676345199 165836.75399963968084194, 542413.0000000714790076 165782.00000015445402823, 542377.99999985448084772 165685.99999964408925734, 542220.99999979382846504 165737.0009996963199228, 542059.70599971932824701 165356.69599993625888601, 542038.99899975734297186 165334.00099999998928979, 542042.08200037048663944 165574.08299986261408776, 541986.76699985144659877 165529.99800018139649183, 541990.51599978841841221 165622.09200009860796854, 542042.690000313334167 165615.78499991592252627, 542044.94299997051712126 165709.09400021625333466, 542004.68200006638653576 165713.21099986432818696, 541864.1269996379269287 165883.34099993368727155, 541758.32599995075725019 165924.59600019652862102, 541757.61699972779024392 166023.254999746568501, 541743.0000001632142812 166249.25099965609842911, 541702.01099982892628759 166332.49100035996525548, 542139.33399994659703225 166373.0399996502965223, 542191.98899969412013888 166321.00700031116139144, 542242.00000036996789277 166448.99999976804247126, 542152.52099983394145966 166645.12899966811528429, 542300.06600022804923356 166736.42799979334813543, 542604.30700033972971141 166820.25, 542729.83900033496320248 166798.053999991127057, 542749.93800035410095006 166729.20900006804731674, 542765.18900030152872205 166683.71699966976302676, 542693.21700010669883341 166547.37399992544669658)))</t>
  </si>
  <si>
    <t>E01000665</t>
  </si>
  <si>
    <t>Bromley 033A</t>
  </si>
  <si>
    <t>MultiPolygon (((542080.31199964880943298 168095.85900002589914948, 542104.39300031797029078 167938.97300026557059027, 542057.90800001379102468 167912.85900026053423062, 542106.15000000002328306 167824.84000031868345104, 541950.88899995561223477 167812.30599998135585338, 541914.99899985967203975 167883.9999997703707777, 541927.80300036899279803 167935.76100007793866098, 541863.29500031238421798 167987.36700025876052678, 541784.0000001338776201 167928.00000011967495084, 541610.79599974257871509 167787.99600001945509575, 541675.4440000846516341 167684.28800031286664307, 541695.75899966340512037 167654.51999990051263012, 541661.1689999463269487 167622.80000035534612834, 541725.30300022498704493 167610.21500025494606234, 541732.8799996564630419 167575.0709996351506561, 541830.83600005542393774 167588.21300000045448542, 541889.99999966670293361 167504.00099975522607565, 541928.677999691455625 167502.02200030218227766, 541944.60699994571041316 167334.62800001859432086, 541926.98500029148999602 167285.1049996544898022, 541857.74800009711179882 167248.77400013647275046, 541710.45800006052013487 167549.9380001537501812, 541298.50200013036374003 167374.07200031782849692, 541134.14699994667898864 167461.71400036194245331, 540920.93800034688320011 167569.51599985812208615, 540881.31299964059144258 167696.04700001643504947, 540794.24999998195562512 167725.01600035215960816, 540590.93799999996554106 167933.39100016828160733, 540622.68799998518079519 167960.29699997050920501, 540655.4379997372161597 167927.59399982186732814, 540642.87499975739046931 167977.7650002955342643, 540731.56299988948740065 168040.42199994798284024, 540783.18800007121171802 168050.07799979404080659, 540787.93800028972327709 167997.12499963102163747, 540886.00000037450809032 167981.03100036602700129, 541051.68099970207549632 168075.20599983344436623, 541321.12500017415732145 167867.34400004093185998, 541386.82600012607872486 167930.13000029741670005, 541412.75000012246891856 167988.82800024619791657, 541391.43700009898748249 168032.74000011297175661, 541462.1249998816056177 168081.21899971130187623, 541480.99900027131661773 168053.81200036453083158, 541596.53100000345148146 168152.07500013965182006, 541633.77699968323577195 168183.32499986255425029, 541844.81299966154620051 168317.62500029851798899, 541937.00000007427297533 168341.10899986355798319, 541959.46799999137874693 168308.99699982185848057, 542069.3750001824228093 168154.96899975440464914, 542046.71900033648125827 168108.24000031629111618, 542080.31199964880943298 168095.85900002589914948)))</t>
  </si>
  <si>
    <t>E01000668</t>
  </si>
  <si>
    <t>Bromley 020B</t>
  </si>
  <si>
    <t>MultiPolygon (((541914.99899999680928886 167884.00000014589750208, 541950.88899992313235998 167812.30600009855697863, 542106.14999985147733241 167824.83999994775513187, 542057.9079999253153801 167912.85899986006552354, 542104.39299991505686194 167938.97300010843900964, 542159.50900004140567034 167797.56400014704558998, 542173.37499985657632351 167698.64100011481787078, 542218.5470000000204891 167637.61500014236662537, 542178.62899995862971991 167590.2610000921995379, 542199.00000000384170562 167554.99999996411497705, 541978.60300009592901915 167523.78100010316120461, 541890.00000009266659617 167504.00099992094328627, 541830.83599998138379306 167588.21299986078520305, 541732.87999985821079463 167575.07100013754097745, 541725.30300009809434414 167610.21499999347724952, 541661.16900010383687913 167622.7999998755985871, 541695.75899997761007398 167654.51999988115858287, 541675.44399993272963911 167684.28800000323099084, 541610.79599999985657632 167787.99599990624119528, 541784.00000008672941476 167927.99999989033676684, 541863.2949999812990427 167987.36700007907347754, 541927.80299991299398243 167935.76099991225055419, 541914.99899999680928886 167884.00000014589750208)))</t>
  </si>
  <si>
    <t>E01000669</t>
  </si>
  <si>
    <t>Bromley 020C</t>
  </si>
  <si>
    <t>MultiPolygon (((540891.46000020985957235 168340.43599988028290682, 540992.06799999997019768 168247.12999979150481522, 540943.43299972009845078 168205.35099969172733836, 540903.70899969607125968 168271.25000007948256098, 540739.95499996654689312 168228.99700007578940131, 540727.78500003216322511 168202.20500030749826692, 540622.30100017739459872 168229.40399985108524561, 540576.17700009420514107 168061.41699972428614274, 540488.88400019227992743 168040.43500028521521017, 540469.70600003749132156 167961.10500018316088244, 540495.10199970856774598 167905.28700020787073299, 540459.95000031671952456 167862.69700008927611634, 540407.2760002538561821 167835.55600013467483222, 540398.48099982412531972 167800.24200010282220319, 540162.25100005266722292 167824.43400017110980116, 540159.31300017773173749 167862.74899996659951285, 540116.93799998820759356 167860.46900001031463034, 540120.06300005770754069 167924.7660002633347176, 540051.62499973876401782 167971.95299992055515759, 539759.62500027765054256 167793.81200018915114924, 539696.24399985815398395 167883.78099981122068129, 539695.81400000001303852 167918.24999972991645336, 539797.0739999971119687 167979.81400008566561155, 540047.4779999612364918 168111.87200024782214314, 540016.30600005527958274 168162.22399978039902635, 539948.74900006374809891 168271.34399988266522996, 540172.62000023445580155 168444.40999993169680238, 540274.00000029755756259 168530.65399980283109471, 540303.24999967694748193 168543.46900017256848514, 540279.6840002010576427 168569.22900028128060512, 540257.97700006666127592 168622.57299968597362749, 540405.67300005909055471 168654.63499981089262292, 540437.9620001845760271 168597.30800009224913083, 540540.00000016612466425 168563.9999997905397322, 540641.00100018840748817 168524.00000006856862456, 540725.60699971066787839 168458.73299998481525108, 540797.71799990313593298 168407.65699981685611419, 540891.46000020985957235 168340.43599988028290682)))</t>
  </si>
  <si>
    <t>E01000670</t>
  </si>
  <si>
    <t>Bromley 018A</t>
  </si>
  <si>
    <t>MultiPolygon (((543599.57200040179304779 165209.58199999999487773, 543685.47400018014013767 165164.81300014079897664, 543720.5579996514134109 165090.84600037505151704, 543878.66299982939381152 164977.37199977831915021, 543840.56499970518052578 164908.39499994844663888, 543854.05499948828946799 164848.49100021942285821, 543932.9999999760184437 164749.99999978658161126, 544052.66399954922962934 164775.90099980565719306, 544069.22900030319578946 164821.51700026020989753, 544141.31100017402786762 164793.84099969753879122, 544129.59800011338666081 164767.15000000814325176, 544059.63799962436314672 164712.6250004431931302, 544087.61999981291592121 164649.07499970373464748, 544061.11600047012325376 164606.86699963029241189, 544091.48500045412220061 164585.01999977783998474, 544069.88400001672562212 164530.20600033609662205, 544026.63300010852981359 164543.18899968336336315, 543985.36099980445578694 164634.57200019134324975, 543836.10799988242797554 164600.56199973207549192, 543869.96599960047751665 164534.72599965560948476, 543835.49799980933312327 164519.43499965165392496, 543838.38099989842157811 164484.10499973010155372, 543903.20600045972969383 164449.52500037362915464, 543911.32299968565348536 164295.67700035087182187, 543787.17699968419037759 164438.61600044657825492, 543684.14900018263142556 164284.13199963819351979, 543634.460999705363065 164021.86399959362461232, 543947.20499968354124576 163517.94199988979380578, 544067.47299972281325608 163395.59100050217239186, 543538.374999959487468 163369.62499973704689182, 543226.49999982572626323 163454.12400048619019799, 542918.62500028999056667 163372.60900028460309841, 542781.49900022707879543 163288.76600039139157161, 542702.84700004430487752 163197.70999968668911606, 542672.78599990031216294 163138.96700000000419095, 542464.56299980450421572 163383.28099968936294317, 542553.00099979841616005 163474.97999985842034221, 542478.37499989091884345 163550.35899961681570858, 542435.37399982602801174 163650.42199956925469451, 542605.81300027994439006 163760.43699950212612748, 542586.18800016073510051 163887.73400032747304067, 542675.80700026731938124 164115.11300003321957774, 542682.72000002453569323 164226.55100010090973228, 542702.75000001408625394 164304.14100048568798229, 542761.81299978995230049 164285.89099950439413078, 542792.12800020549912006 164563.94800006062723696, 543053.12499982118606567 164588.46900040656328201, 543159.24999954260420054 164694.57800048589706421, 543124.93799988552927971 164723.34399970254162326, 543188.624999760533683 164865.32800006572506391, 543129.10000022465828806 164922.84700021336902864, 543224.63600010820664465 165025.76999986349255778, 543334.11100021400488913 165066.81599978753365576, 543361.1930003457237035 165058.19300023280084133, 543493.99999982840381563 165205.00000025556073524, 543502.06299948575906456 165167.78100001096026972, 543599.57200040179304779 165209.58199999999487773)))</t>
  </si>
  <si>
    <t>E01000751</t>
  </si>
  <si>
    <t>Bromley 036C</t>
  </si>
  <si>
    <t>E02000162</t>
  </si>
  <si>
    <t>Bromley 036</t>
  </si>
  <si>
    <t>MultiPolygon (((544502.71299978997558355 165025.9640001367952209, 544664.53899983514565974 164947.54100012537674047, 544760.77400007308460772 164991.83700013149064034, 544896.86200033442582935 164985.72199966182233766, 544945.54700025834608823 165000.72599986763088964, 544959.37499979697167873 164936.56199998973170295, 545043.12500013876706362 164895.8909996046568267, 544975.39900001743808389 164831.47000008512986824, 544893.56300011218991131 164838.32799994232482277, 544854.87499992060475051 164770.14099984156200662, 544926.74999985762406141 164725.45299961304408498, 544801.62600003951229155 164600.2649996560649015, 544780.61700017843395472 164560.65399958178750239, 544806.48799985821824521 164544.29699965950567275, 544877.50499997497536242 164503.14599990792339668, 545241.17100035969633609 164251.01599990471731871, 545309.375 164163.81200028679450043, 544965.1879998731892556 163944.39099967238144018, 544868.5539999472675845 163811.76100005672196858, 544863.88900016352999955 163805.61199967030552216, 544651.99999987415503711 163616.59400029835524037, 544067.47299993806518614 163395.59099986319779418, 543947.20500039670150727 163517.94200033854576759, 543634.46100000012665987 164021.86400018743006513, 543684.14900039893109351 164284.13200004570535384, 543787.1769995940849185 164438.61600033511058427, 543911.32300037844106555 164295.6769996820949018, 543970.00000041641760617 164267.99999969560303725, 543988.28800031472928822 164308.84199958806857467, 544055.40400010696612298 164313.97900018654763699, 544067.93799961230251938 164290.44299978914204985, 544119.17299999156966805 164298.99999974708771333, 544116.36799974192399532 164345.75199984764913097, 544144.76200026331935078 164361.86799974431050941, 544228.63199981849174947 164321.71400008836644702, 544233.80600010475609452 164381.38900014557293616, 544165.52299979573581368 164500.19100022260681726, 544216.9049998396076262 164518.93800025313976221, 544238.99999970151111484 164527.00000031484523788, 544387.92900031746830791 164581.0150003399758134, 544343.6919999944511801 164753.29800017338129692, 544403.74199989705812186 164723.89199986401945353, 544444.86100041656754911 164746.82500023551983759, 544530.03600000287406147 164965.4919997897814028, 544497.27900009113363922 165001.09899986561504193, 544502.71299978997558355 165025.9640001367952209)))</t>
  </si>
  <si>
    <t>E01000752</t>
  </si>
  <si>
    <t>Bromley 036D</t>
  </si>
  <si>
    <t>MultiPolygon (((546125.03100016433745623 163952.36199998337542638, 546135.81999971508048475 163796.3309999008779414, 546086.50099984963890165 163672.37299989385064691, 546163.0729996933368966 163608.45200011151609942, 546118.58399987255688757 163564.15800019609741867, 546079.47899978922214359 163604.2440002714865841, 546030.00000014493707567 163587.99999992828816175, 546089.00000017532147467 163499.99999973553349264, 546106.00000014191027731 163338.00000019959406927, 546152.00000027089845389 163347.00000003576860763, 546152.00000027089845389 163318.28300018521258608, 546112.97800030978396535 163301.21999999112449586, 546108.0529998333659023 163249.41999995388323441, 546131.55200019094627351 162902.1940002677438315, 546011.95599995867814869 162787.16000000000349246, 545838.13400015968363732 162857.7920000511512626, 545646.75100005476269871 163077.15600027787149884, 545504.74400019855238497 163447.32400008535478264, 545463.66799974360037595 163673.91999988834140822, 545448.90400030661839992 163759.22500029028742574, 545601.99999999802093953 163828.99999982083681971, 545568.18300028180237859 163939.02600011127651669, 545623.27599969529546797 163945.15200004284270108, 545641.60499993420671672 163873.44199982687132433, 545753.3420001013437286 163892.67499977993429638, 545790.67099971836432815 163931.21099993877578527, 545836.61100016313139349 163910.64800015350920148, 545841.22699996759183705 163854.47299985081190243, 545873.25699971034191549 163839.38399995042709634, 545957.45299992430955172 163874.97599995191558264, 545994.62500030570663512 163926.23800008784746751, 545970.56299986783415079 163962.10699993575690314, 545985.29299998073838651 164029.62100000001373701, 546105.3609999647596851 163961.85299990614294074, 546125.03100016433745623 163952.36199998337542638)))</t>
  </si>
  <si>
    <t>E01000687</t>
  </si>
  <si>
    <t>Bromley 037D</t>
  </si>
  <si>
    <t>E02000163</t>
  </si>
  <si>
    <t>Bromley 037</t>
  </si>
  <si>
    <t>MultiPolygon (((546919.56200030341278762 163939.02899966572294943, 546889.73600030830129981 163871.12599979180959053, 546817.17699983657803386 163862.22300008989986964, 546877.96299968776293099 163803.18999983437242918, 546858.34600021434016526 163781.38999980740481988, 546886.58299972023814917 163753.19300020640366711, 546865.32699969632085413 163606.63599967714981176, 546888.63300006790086627 163486.02200010980595835, 546994.80700011528097093 163293.92400030576391146, 546976.27399972162675112 163253.5210002314124722, 547069.69299993442837149 163226.97000028236652724, 547071.21000030683353543 163269.47499978891573846, 547148.26700006006285548 163316.68599995435215533, 547191.94400030886754394 163263.16499984616530128, 547243.99899997748434544 163255.26399967086035758, 547245.00000035227276385 163210.00000011574593373, 547212.41100010205991566 163206.70800009201047942, 547213.97699994407594204 163110.50000008189817891, 547192.69999973615631461 163042.9000001898384653, 546896.40000016568228602 163099.59999970850185491, 546874.50000001641456038 163096.90000000564032234, 546880.79999980295542628 163042.69999994526733644, 546691.0910000269068405 163042.54600027520791627, 546644.71300020348280668 162932.31200015734066255, 546656.15099991031456739 162747.97200016654096544, 546481.00000034552067518 162689, 546302.23399974289350212 162729.88199978193733841, 546011.95599964773282409 162787.15999997869948857, 546131.55200030235573649 162902.19400020813918673, 546108.05300022754818201 163249.41999966456205584, 546112.97800013213418424 163301.21999966914881952, 546151.99999965482857078 163318.28300013666739687, 546151.99999965482857078 163346.9999999417050276, 546106.00000026496127248 163337.99999973244848661, 546089.00000034959521145 163499.99999989970820025, 546030.00000017764978111 163588.00000026606721804, 546079.47900006466079503 163604.24400003426126204, 546118.58399973216000944 163564.1580003043927718, 546163.07300013909116387 163608.45199982495978475, 546086.50100004323758185 163672.37299969507148489, 546135.82000031042844057 163796.33099981045234017, 546236.42299986479338259 163739.48399972330662422, 546320.99999974493402988 163795.99999982316512614, 546491.00000033807009459 163907.00000024435576051, 546530.99899971683043987 163934.00000015227124095, 546557.35600009083282202 163896.85500014646095224, 546610.92100031045265496 163916.09300003465614282, 546775.4439998633461073 164066.92200005854829215, 546782.99999968870542943 164127.99899999212357216, 546830.23100016650278121 164128.70000000001164153, 546932.16000013321172446 164028.73699964466504753, 546855.88199973467271775 163989.0180003204732202, 546919.56200030341278762 163939.02899966572294943)))</t>
  </si>
  <si>
    <t>E01000688</t>
  </si>
  <si>
    <t>Bromley 037E</t>
  </si>
  <si>
    <t>MultiPolygon (((544975.3989999647019431 164831.47000021545682102, 545020.21100012643728405 164749.99999997488339432, 545077.60700016445480287 164777.08200015951297246, 545186.15600011916831136 164755.76599999412428588, 545219.58699978585354984 164769.15900009707547724, 545221.12000004725996405 164823.65200012069544755, 545350.02899980265647173 164773.89200020290445536, 545396.21899990260135382 164723.97699996188748628, 545419.92799984652083367 164752.51100007936474867, 545457.68099978473037481 164689.64899986432283185, 545488.52200009557418525 164669.12300000136019662, 545575.12299991794861853 164611.17800002757576294, 545651.08300010848324746 164745.39299992192536592, 545697.07099999999627471 164733.91800011464511044, 545553.00000014493707567 164499.99899979110341519, 545470.99999989289790392 164458.99999997465056367, 545468.72599983343388885 164406.41199988848529756, 545436.28599990985821933 164396.99000000802334398, 545455.34099991561379284 164347.35300013094092719, 545376.60899993660859764 164284.78600004335748963, 545287.54099988273810595 164293.81800017473869957, 545241.17099996912293136 164251.01599991810508072, 544877.50499985134229064 164503.14600018426426686, 544806.48800016019959003 164544.29699985357001424, 544780.61700000008568168 164560.65400006558047608, 544801.62599998933728784 164600.2650000560679473, 544926.74999981850851327 164725.45299999209237285, 544854.87499985459726304 164770.14099980361061171, 544893.56300007237587124 164838.32800008193589747, 544975.3989999647019431 164831.47000021545682102)))</t>
  </si>
  <si>
    <t>E01000682</t>
  </si>
  <si>
    <t>Bromley 035B</t>
  </si>
  <si>
    <t>E02000161</t>
  </si>
  <si>
    <t>Bromley 035</t>
  </si>
  <si>
    <t>MultiPolygon (((546257.37199995201081038 164364.14900010571000166, 546218.73100021737627685 164278.19400008811498992, 546009.4880000950070098 164299.45999976884922944, 545914.80800007132347673 164298.89199984873994254, 545910.57600005820859224 164178.80200021402561106, 546027.14000000187661499 164176.13600007959757932, 546010.25500016123987734 164114.20800006718491204, 546106.44599981675855815 164086.58200007159030065, 546105.36099986487533897 163961.85299984519951977, 545985.29300012078601867 164029.62099987184046768, 545970.56299988005775958 163962.10700023820390925, 545994.62499990046489984 163926.23800025304080918, 545957.45300019555725157 163874.97599991693277843, 545873.25700018531642854 163839.38399978470988572, 545841.22699984896462411 163854.4729999438568484, 545836.61099975788965821 163910.64799993531778455, 545790.67099983501248062 163931.21100008318899199, 545753.34200010646600276 163892.67499987393966876, 545641.60499991453252733 163873.44199978455435485, 545623.27600020368117839 163945.15199984679929912, 545568.18299989518709481 163939.02600021357648075, 545602.00000014691613615 163828.99999988917261362, 545448.90400010789744556 163759.2250000000349246, 545390.12499981571454555 164007.65599997609388083, 545309.37500013061799109 164163.81200008309679106, 545241.17100004805251956 164251.01600018341559917, 545287.5410000093979761 164293.81799981108633801, 545376.60900016280356795 164284.78599986465997063, 545455.34100004006177187 164347.35299991728970781, 545436.28599977539852262 164396.98999976919731125, 545468.72599991841707379 164406.41199981101090088, 545470.99999977822881192 164458.99999984703026712, 545553.00000015599653125 164499.99900020644417964, 545697.07099983526859432 164733.91800022989627905, 545734.27099996863398701 164799.90100000001257285, 545778.03200022177770734 164714.50299995721434243, 545721.51300009549595416 164668.93899991546641104, 545916.18099982151761651 164520.3239998344797641, 545850.66099992569070309 164467.83700000593671575, 545915.86500011512544006 164431.87799975858069956, 545916.48799976182635874 164372.08000022714259103, 546257.37199995201081038 164364.14900010571000166)))</t>
  </si>
  <si>
    <t>E01000686</t>
  </si>
  <si>
    <t>Bromley 037C</t>
  </si>
  <si>
    <t>MultiPolygon (((531860.28700013482011855 165385.79700022091856226, 531906.77399998810142279 165244.49799976166104898, 531967.09899984858930111 165137.2820000143838115, 532010.51999986555892974 165071.95900022904970683, 532077.43500023474916816 164999.34099979550228454, 532137.19000014802441001 164955.20699996186885983, 532269.04400023992639035 164776.10300001365249045, 532227.91200023202691227 164768.5880002043559216, 532186.57799994829110801 164699.46699978280230425, 532163.31600008753594011 164694.49600000001373701, 532153.85000024328473955 164736.75100000482052565, 532078.65800008608493954 164697.89100010873517022, 532053.23100013914518058 164848.70700010468135588, 531997.26900022150948644 164861.46000000764615834, 531975.99999986786860973 164902.99900012239231728, 531880.54400009638629854 164905.03200008976273239, 531903.69999995606485754 164914.17000020449631847, 531883.00000004377216101 165041.65000008456991054, 531864.29899978532921523 165143.5049998395552393, 531851.99099988210946321 165187.00200016054441221, 531794.12700009136460721 165188.23799981150659733, 531786.64700010151136667 165222.36500004466506653, 531795.96299990511033684 165159.26600023359060287, 531725.33499994222074747 165316.1970000046712812, 531603.38900013931561261 165292.33800005450029857, 531611.99999980349093676 165337.70099988629226573, 531563.70399976021144539 165338.69699988688807935, 531711.96099988115020096 165528.0700001425575465, 531705.11199977563228458 165552.49299989320570603, 531860.18799978657625616 165731.32800000000861473, 531880.68799999030306935 165625.49999999333522283, 531859.55899995123036206 165398.69700009116786532, 531860.28700013482011855 165385.79700022091856226)))</t>
  </si>
  <si>
    <t>E01001166</t>
  </si>
  <si>
    <t>Croydon 024D</t>
  </si>
  <si>
    <t>E02000217</t>
  </si>
  <si>
    <t>Croydon 024</t>
  </si>
  <si>
    <t>E09000008</t>
  </si>
  <si>
    <t>Croydon</t>
  </si>
  <si>
    <t>MultiPolygon (((531725.33500005560927093 165316.19700009876396507, 531795.962999836076051 165159.26600012581911869, 531786.6470001753186807 165222.36500014731427655, 531794.12699981755577028 165188.23800018618931063, 531851.99099987687077373 165187.00199989642715082, 531864.2989997846307233 165143.50499975771526806, 531882.99999984796158969 165041.64999992426601239, 531903.69999999995343387 164914.16999990976182744, 531880.54399996332358569 164905.03200005635153502, 531794.00000009185168892 164916.00000003341119736, 531613.96700011158827692 164948.16299978029564954, 531296.55999985418748111 164911.78800019159098156, 531264.41800022695679218 164936.47600020861136727, 531225.55799979891162366 164967.56399977096589282, 531238.52099993487354368 164986.0860000443062745, 531181.00000020558945835 164944.00000005526817404, 531056.87699989520478994 164921.03999999834923074, 531092.39699983375612646 164829.29600003932137042, 531132.68500011367723346 164814.07999987588846125, 531076.37000022456049919 164771.51999990118201822, 531030.28200012817978859 165004.53600011617527343, 530968.02599996700882912 165010.78899979859124869, 530928.58299999986775219 165083.78799997756141238, 530999.60500019229948521 165131.3649998324981425, 531116.64099982718471438 165135.67399992546415888, 531118.77300002402625978 165164.75500002678018063, 531157.99999987415503711 165160.99999998082057573, 531142.01200006937142462 165103.36199986320571043, 531177.14100003114435822 165099.58800015007727779, 531320.69099987670779228 165156.54400002499460243, 531331.78200013702735305 165153.0449998828698881, 531378.71700002381112427 165158.15900001424597576, 531433.90800009912345558 165106.90199977473821491, 531469.44900015741586685 165086.9409998421324417, 531522.6650002112146467 165160.39599983452353626, 531569.59900011541321874 165246.74700016123824753, 531603.38900012883823365 165292.33800018730107695, 531725.33500005560927093 165316.19700009876396507)))</t>
  </si>
  <si>
    <t>E01001168</t>
  </si>
  <si>
    <t>Croydon 024E</t>
  </si>
  <si>
    <t>MultiPolygon (((536660.63500008406117558 166536.24500000002444722, 536717.37500019965227693 166261.85899978518136777, 536746.28599986841436476 166266.72700000717304647, 536721.6749998388113454 166045.65099975775228813, 536721.02600000018719584 166041.70699999254429713, 536717.00000006658956409 165816.00000010887742974, 536754.71399980515707284 165826.60600004176376387, 536752.94199992856010795 165755.80699983754311688, 536593.57799976598471403 165712.50799995820852928, 536464.09999991103541106 165684.43499985552625731, 536484.67299979203380644 165591.72999987241928466, 536442.13699984247796237 165572.70399998346692882, 536252.92800018866546452 165560.22099999999045394, 536195.6880000582896173 165572.51600019264151342, 536163.06300019181799144 165680.12499987450428307, 536080.96500007819849998 165694.91699984329170547, 536128.22300023562274873 165817.88700001337565482, 536131.62500020931474864 165853.85899992499616928, 536096.35700006468687207 165843.92900007069692947, 536066.08700019482057542 165884.8739998902019579, 536108.48400017432868481 165896.54400018634623848, 536167.59700012090615928 166110.55400002191890962, 536245.81599976366851479 166182.72400015444145538, 536269 166180.00000013248063624, 536283.69700013671535999 166204.98299999741720967, 536375.25999982259236276 166182.77399991190759465, 536441.66799981403164566 166344.10600021068239585, 536434.54600002313964069 166370.81599987781373784, 536611.77300013299100101 166455.89800011870102026, 536614.00099988654255867 166527.00000014153192751, 536660.63500008406117558 166536.24500000002444722)))</t>
  </si>
  <si>
    <t>E01001133</t>
  </si>
  <si>
    <t>Croydon 026E</t>
  </si>
  <si>
    <t>E02000219</t>
  </si>
  <si>
    <t>Croydon 026</t>
  </si>
  <si>
    <t>MultiPolygon (((535402.94399997557047755 166557.96800024280673824, 535423.37499989208299667 166501.49999982491135597, 535459.87500001094304025 166510.14099989159149118, 535478.74999984353780746 166409.39099977383739315, 535581.05100018950179219 166435.71099993475945666, 535750.25000003969762474 166522.64100023321225308, 535815.04399985587224364 166474.81700008825282566, 535897.12799986719619483 166414.85999994046869688, 535919.28399977227672935 166454.38400003430433571, 535999.97799988614860922 166467.00800011536921374, 536033.30800024257041514 166360.67300015344517305, 535926.43299976224079728 166359.57300018193200231, 535915.99999998160637915 166294.00000001111766323, 535932.99999976286198944 166256.00000024162000045, 535903.56699985347222537 166238.52700015532900579, 535934.92200011678505689 166197.16699976299423724, 535826.60700020624790341 166113.64899975771550089, 535870.20799994363915175 166022.1309998266515322, 536038.3579999121138826 166086.16600017488235608, 536011.59600011305883527 165867.53499993740115315, 536049.7079997732071206 165830.79499991339980625, 535693.73699994466733187 165706.45299975923262537, 535615.86500007263384759 165688.4310000000114087, 535591.24999998952262104 165768.70299989861086942, 535659.81300023815128952 165827.26599987398367375, 535666.93800004245713353 165880.09399994250270538, 535584.10799999267328531 166024.88900006134645082, 535541.97099987114779651 166131.13400018090032972, 535534.43999997538048774 166177.01100020547164604, 535532.87499976088292897 166182.62500009103678167, 535296.06300005887169391 166141.84399996988940984, 535277.25900022673886269 166377.399000132601941, 535304.06299998471513391 166454.15599997810204513, 535294.81300002476200461 166599.2189999746333342, 535363.37300006707664579 166664.58400000000256114, 535402.94399997557047755 166557.96800024280673824)))</t>
  </si>
  <si>
    <t>E01001134</t>
  </si>
  <si>
    <t>Croydon 018E</t>
  </si>
  <si>
    <t>E02000211</t>
  </si>
  <si>
    <t>Croydon 018</t>
  </si>
  <si>
    <t>MultiPolygon (((537488.94399981200695038 165967.96699981967685744, 537648.59800007694866508 165556.31600016090669669, 537662.21800008206628263 165500.54300007474375889, 537573.1209999774582684 165492.92900016575003974, 537541.99999987985938787 165715.99999982430017553, 537498.27200000954326242 165727.80800020543392748, 537508.09699992486275733 165691.70900020690169185, 537441.4159998643444851 165600.02499976195394993, 537328.78799984150100499 165588.31599997921148315, 537361.90300006128381938 165367.538000018481398, 537335.60000026097986847 165363.91400024335598573, 537335.91899978707078844 165292.36999999711406417, 537236.12900023011025041 165277.93600011037779041, 537140.00000025110784918 165273, 537128.14399988343939185 165332.39600018010241911, 537124.99999997380655259 165454.9999999551801011, 537155.00000000116415322 165463.99999980523716658, 537159.99999974214006215 165559.99999978739651851, 537114.34000001789536327 165554.29200011308421381, 537101.61699979437980801 165604.60500001604668796, 536980.07600012770853937 165583.17900015585473739, 536906.04100004152860492 165619.36999982100678608, 536833.99899986886885017 165569.99999979650601745, 536815.0000002181623131 165665.00000014682882465, 536897.00000008207280189 165677.99899989753612317, 536885.42599996493663639 165784.72900018951622769, 536826.26200015912763774 165787.41300018416950479, 536921.3110001771710813 165875.41900014414568432, 536905.81100008392240852 165910.40599983921856619, 536754.71400013368111104 165826.6060002161830198, 536716.99999991781078279 165815.99999991556978785, 536721.02600017341319472 166041.70700010945438407, 536721.67499993660021573 166045.65100014637573622, 537090.87899992614984512 166070.87599987545399927, 537260.93700004310812801 166118.56200006441213191, 537331.1249997466802597 166214.24999987037153915, 537334.68900019768625498 166323.60899976597283967, 537419.50000016344711185 166327.51600000000325963, 537449.6369997460860759 166174.44400019690510817, 537488.05099980963859707 166027.05800022807670757, 537488.94399981200695038 165967.96699981967685744)))</t>
  </si>
  <si>
    <t>E01001135</t>
  </si>
  <si>
    <t>Croydon 025D</t>
  </si>
  <si>
    <t>E02000218</t>
  </si>
  <si>
    <t>Croydon 025</t>
  </si>
  <si>
    <t>MultiPolygon (((535520.09500030649360269 165535.48799972771666944, 535610.22500009147915989 165507.81099965804605745, 535695.88299997069407254 165542.81199979269877076, 535741.18299977341666818 165516.90800017947913148, 535770.31200039107352495 165438.09700022064498626, 535894.50000028568319976 165442.98899983812589198, 535932.99999989266507328 165305.99899960495531559, 535968.64600022824015468 165292.16799967223778367, 535928.23600007290951908 165227.04800002818228677, 535971.24999981408473104 165159.93400023665162735, 535990.8000002697808668 165083.80000005674082786, 535893.30000025115441531 164994.20000005111796781, 535836.74699963326565921 165061.03599971882067621, 535673.09699996246490628 164934.19299971562577412, 535693.23799971223343164 164859.77700038737384602, 535657.67500027781352401 164832.67000035557430238, 535636.00000035087577999 164915.99999994473182596, 535150.00000008672941476 164695.99999961684807204, 534817.00000036659184843 164499.99900042390800081, 534623.72299981920514256 164466.64899999997578561, 534554.62499973026569933 164553.17200021518510766, 534631.90699986601248384 164643.64400002281763591, 534686.37500041315797716 164711.98400031725759618, 534695.5329995914362371 164812.77999984729103744, 534775.99999961513094604 164878.68700013816123828, 534805.68800000660121441 164947.34400040097534657, 534786.68799988855607808 165102.04699987638741732, 534882.68800007842946798 165220.96899975236738101, 534866.63199959904886782 165291.94199962710263208, 534836.91900001128669828 165423.51600037355092354, 534838.87600028421729803 165499.31199961283709854, 534889.06300020834896713 165509.54700023998157121, 534857.8130000593373552 165834.8280002377287019, 535118.31300005177035928 165928.061999837460462, 535061.58400035544764251 166035.29700025427155197, 535046.68799965211655945 166066.68599960714345798, 535296.06300034304149449 166141.84399982760078274, 535532.87500011676456779 166182.625, 535534.4400002583861351 166177.01100004857289605, 535541.97100022423546761 166131.13399988389573991, 535584.10799980931915343 166024.88900007473421283, 535666.93800002755597234 165880.09399969197693281, 535659.81299998331815004 165827.26600030742702074, 535591.25000002782326192 165768.70299978184630163, 535615.86499965318944305 165688.43099983886349946, 535436.69700002041645348 165652.01299991863197647, 535483.21400003193411976 165561.87199986955965869, 535520.09500030649360269 165535.48799972771666944)))</t>
  </si>
  <si>
    <t>E01001062</t>
  </si>
  <si>
    <t>Croydon 026A</t>
  </si>
  <si>
    <t>MultiPolygon (((536252.92800008214544505 165560.22099980458733626, 536303.18800010322593153 165380.65600010711932555, 536257.87499982281588018 165348.62500009988434613, 536301.4750000179046765 165265.121999788825633, 536298.62500002246815711 165207.40600016634562053, 536231.02299987419974059 165195.17600005111307837, 536350.55000000004656613 165073.91100002042367123, 536328.5000001072185114 165043.30000009268405847, 536208.69899989326950163 165122.79999984594178386, 536196.49999995646066964 164985.80000013607786968, 536131.50000020419247448 164974.69999981703585945, 536084.60000006237532943 165021.69899993899161927, 536098.49999982386361808 165168.49999996562837623, 535957.09999988041818142 165224.20000011750380509, 535971.25000012246891856 165159.93399978397064842, 535928.23599993891548365 165227.04800014567445032, 535968.64600021613296121 165292.16800022003008053, 535933.00000015925616026 165305.99899996761814691, 535894.50000017241109163 165442.98899984106537886, 535770.31200019782409072 165438.09699988635838963, 535741.18299979262519628 165516.90800017028232105, 535695.88299998489674181 165542.81200008769519627, 535610.22499996342230588 165507.81100021986640058, 535520.09499997214879841 165535.48800015513552353, 535483.21399978024419397 165561.87199999002041295, 535436.69699999992735684 165652.01300002986681648, 535615.86500002176035196 165688.43099979779799469, 535693.73699989879969507 165706.4530002270184923, 536049.70800001116003841 165830.79499996762024239, 536096.35699991718865931 165843.92899991979356855, 536131.62500021606683731 165853.85900018297252245, 536128.22300010989420116 165817.88699997469666414, 536080.96499988297000527 165694.91700018476694822, 536163.0630000977544114 165680.1249999332067091, 536195.68799998564645648 165572.51599999907193705, 536252.92800008214544505 165560.22099980458733626)))</t>
  </si>
  <si>
    <t>E01001063</t>
  </si>
  <si>
    <t>Croydon 026B</t>
  </si>
  <si>
    <t>MultiPolygon (((532308.60599993320647627 165774.36400000000139698, 532376.57000000681728125 165663.38700036326190457, 532532.97399976488668472 165707.7670000753714703, 532577.00000016880221665 165607.00000005323090591, 532545.0000001871958375 165563.9999998226412572, 532572.00000005553010851 165354.00000026862835512, 532557.9999997386476025 165267.99999980747816153, 532576.62899996200576425 165174.95300028691417538, 532625.94800023385323584 165176.6699996639508754, 532621.33999982057139277 165086.54600033658789471, 532566.187999980407767 165061.58599983097519726, 532544.86299985053483397 165155.53000009161769412, 532476.37700006668455899 165159.49099995620781556, 532506.00000004714820534 165024.0010000609618146, 532507.51699986530002207 165014.89899966624216177, 532516.87100012018345296 164977.82300027398741804, 532541.48000007774680853 164881.40999965064111166, 532482.89200032933149487 164917.05200033416622318, 532476.52900014736223966 164882.86800032694009133, 532587.8050000307848677 164849.79200028238119557, 532597.96999967040028423 164693.86600009389803745, 532619.87200005771592259 164652.92300012454506941, 532615.93300026340875775 164606.54300036714994349, 532563.35799998324364424 164615.96300009012338705, 532579.99500032200012356 164556.99699980864534155, 532544.27199968346394598 164522.59500025256420486, 532555.16599966108333319 164430.63600029313238338, 532632.75200017099268734 164357.04700037068687379, 532663.13800005812663585 164317.76500013959594071, 532648.83500015700701624 164288.72599999996600673, 532597.42500005546025932 164337.92800033677485771, 532477.00699971697758883 164466.55700007893028669, 532442.16699990874622017 164556.83899997887783684, 532399.94400023727212101 164617.90000017036800273, 532269.0440000225789845 164776.10299983771983534, 532289.80499997036531568 164794.66400018136482686, 532247.90500028466340154 164843.9919997054093983, 532276.82599991199094802 164892.2939997989742551, 532225.983000238542445 164923.33899973292136565, 532325.99999968660995364 164962.00100014312192798, 532319.59200027247425169 164982.29199993910151534, 532186.66999994206707925 164977.99400017905281857, 532253.12600019259843975 165039.86300025216769427, 532272.99999997252598405 165092.0000002802698873, 532331.42300030775368214 165115.10200024908408523, 532254.87900029250886291 165131.72700034687295556, 532231.9999997871927917 165194.99999964059679769, 532227.99999969662167132 165214.00000007072230801, 532198.99999978300184011 165234.99999980325810611, 532264.40699995553586632 165330.1649998813518323, 532305.99999997671693563 165349.00000015544355847, 532225.13500029663555324 165541.63299994103726931, 532315.00000018044374883 165566.53100031599751674, 532253.75300033972598612 165756.30899978813249618, 532308.60599993320647627 165774.36400000000139698)))</t>
  </si>
  <si>
    <t>E01001043</t>
  </si>
  <si>
    <t>Croydon 027B</t>
  </si>
  <si>
    <t>E02000220</t>
  </si>
  <si>
    <t>Croydon 027</t>
  </si>
  <si>
    <t>MultiPolygon (((532621.30999995395541191 166269.48000000001047738, 532653.40499987441580743 166164.11800015685730614, 532646.00099968444555998 166131.99999971361830831, 532622.99999965587630868 166027.0000001578591764, 532657.99999999883584678 165941.00000036740675569, 532749.00000015390105546 166000.00000010375515558, 532780.79499978735111654 166098.95599973958451301, 532879.1740001083817333 166077.96999972400953993, 532857.75000035134144127 165954.45900031103519723, 532850.62199980684090406 165699.07500017245183699, 532891.99999997671693563 165705.99699981289450079, 532968.12499989406205714 165754.96899991267127916, 533104.18699964869301766 165727.42000018764520064, 533106.40000035183038563 165686.20600035137613304, 533145.76100027118809521 165667.13199989663553424, 533107.08299973851535469 165631.58700035797664896, 533144.55000002589076757 165570.30900029820622876, 533172.01299984543584287 165531.06799990439321846, 533107.92099986260291189 165505.88600002822931856, 533131.22599991678725928 165445.69400009419769049, 532997.49400003452319652 165436.58200027339626104, 533018.01600016595330089 165375.85400000333902426, 533031.05799991684034467 165368.55399964776006527, 533001.64800006116274744 165312.08799971381085925, 532918.84500002989079803 165283.22299979030503891, 532917.71800018893554807 165222.31799985171528533, 532848.78199996135663241 165219.51300026135868393, 532851.99500014819204807 164796.55100000000675209, 532776.02600035071372986 164823.61699979321565479, 532780.00000035238917917 164917.99999970861244947, 532783.63499985297676176 164992.52099982943036593, 532768.49499980360269547 164965.70400015660561621, 532656.31899989303201437 164966.4949998528463766, 532619.8149998493026942 165023.17199981189332902, 532628.73699993023183197 165087.01300017317407764, 532621.33999983535613865 165086.54599993259762414, 532625.94800003117416054 165176.66999986825976521, 532576.62899995292536914 165174.95299990478088148, 532558.00000007124617696 165268.00000019173603505, 532572.00000020838342607 165353.99999998218845576, 532545.00000015425030142 165563.99999983017914928, 532576.99999983655288815 165606.99999972540535964, 532532.97400031483266503 165707.7670001805818174, 532341.00000015459954739 166088.99999981839209795, 532413.37899990542791784 166212.15400027437135577, 532514.02600009844172746 166179.18499963564681821, 532576.65199973923154175 166168.57899982907110825, 532621.30999995395541191 166269.48000000001047738)))</t>
  </si>
  <si>
    <t>E01001045</t>
  </si>
  <si>
    <t>Croydon 027C</t>
  </si>
  <si>
    <t>MultiPolygon (((533543.35699991462752223 165574.69600002412335016, 533562.22400000400375575 165541.78599990220391192, 533598.52200005669146776 165511.35199998583993874, 533662.9689999989932403 165439.9730000999988988, 533743.21599993878044188 165491.49799996364163235, 533774.9930000735912472 165455.02900013737962581, 533864.58799999626353383 165466.65000011387746781, 533832.48300000326707959 165425.20600016278331168, 533882.79199999989941716 165378.89200002755387686, 533881.17600007553119212 165323.56800014516920783, 533782.6629999604774639 165205.94299996245536022, 533732.67000013869255781 165229.79699985997285694, 533606.03299985337071121 165188.93400011750054546, 533566.46599984937347472 165237.73500013881130144, 533530.78000009106472135 165208.16400016195257194, 533494.66599984792992473 165241.75000005564652383, 533475.72999991744291037 165195.35800005443161353, 533392.48100006568711251 165149.84400003423797898, 533319.99999992863740772 165187.99999998146086, 533287.90399996051564813 165297.51400010628276505, 533183 165244.99999995436519384, 533237.41300015989691019 165316.79199993368820287, 533193.89600006898399442 165338.48400014493381605, 533207.04100006516091526 165398.92999985927599482, 533242.99999987939372659 165469.99999993949313648, 533277.5509999948553741 165463.46600004797801375, 533317.00000002223532647 165468.00000000183354132, 533317.99999999103602022 165515.99999990535434335, 533373.99999999511055648 165524.00000000590807758, 533358.84500003361608833 165606.18300005604396574, 533389.70500007946975529 165614.45799986811471172, 533437.14399982965551317 165565.43099992102361284, 533427.00000009266659617 165647.99999998993007466, 533484.00000006554182619 165659.99999996580299921, 533543.35699991462752223 165574.69600002412335016)))</t>
  </si>
  <si>
    <t>E01001046</t>
  </si>
  <si>
    <t>Croydon 023B</t>
  </si>
  <si>
    <t>E02000216</t>
  </si>
  <si>
    <t>Croydon 023</t>
  </si>
  <si>
    <t>MultiPolygon (((534857.81300003547221422 165834.8279999999795109, 534889.06300018320325762 165509.54700034373672679, 534838.87599987827707082 165499.31199967788415961, 534836.91900018509477377 165423.51600018996396102, 534866.63199996994808316 165291.94199967689928599, 534882.68800018751062453 165220.9689998202084098, 534786.68800020962953568 165102.04700019530719146, 534805.68799994396977127 164947.34400029864627868, 534775.99999992304947227 164878.68699984086561017, 534695.53300005663186312 164812.77999992918921635, 534686.37499994097743183 164711.98400003652204759, 534631.90700001758523285 164643.64400028297677636, 534554.6250000293366611 164553.17200001515448093, 534623.722999676479958 164466.64900009302073158, 534518.70899974240455776 164401.6840000000083819, 534268.43800034618470818 164419.14100023073842749, 534099.4169997574063018 164467.91799966155667789, 533837.37499966693576425 164522.31199991106404923, 533647.92100009124260396 164523.77299993098131381, 533489.91900016041472554 164573.5989998611912597, 533459.05399981688242406 164585.27900021080859005, 533464.10099985531996936 164642.08499972661957145, 533517.91900018381420523 164649.02799983357544988, 533522.03000026091467589 164779.90100017277291045, 533541.10800029069650918 164873.44200021025608294, 533617.1070003267377615 164891.34400025187642314, 533588.95399999956134707 165024.00299969187472016, 533648.3630003317957744 165052.6900002219772432, 533723.63199980859644711 165015.26599995771539398, 533789.80200027511455119 165139.60100023521226831, 533753.74700006819330156 165162.71999985654838383, 533782.66299981181509793 165205.94300019548973069, 533881.17599987937137485 165323.56800020096125081, 533882.79200015543028712 165378.89199983782600611, 533832.48299988463986665 165425.20600013993680477, 533864.5880001278128475 165466.65000013678218238, 533774.99300014914479107 165455.02900017594220117, 533743.21599999035242945 165491.49799985575373285, 533648.03199996030889452 165536.92700005901861005, 533630.25599978945683688 165583.85799966572085395, 533728.75100028491578996 165636.70299983769655228, 533705.35600005951710045 165666.27299979765666649, 533737.29800023674033582 165683.20899987465236336, 533834.89800015452783555 165650.80699988489504904, 533889.40900013048667461 165760.36199970525922254, 534008.23400027002207935 165749.07600002069375478, 534097.56599969381932169 165730.91199975871131755, 534226.81299999472685158 165666.09400011206162162, 534473.91099994408432394 165676.6930000064894557, 534794.99500013457145542 165807.01700014102971181, 534857.81300003547221422 165834.8279999999795109)))</t>
  </si>
  <si>
    <t>E01001049</t>
  </si>
  <si>
    <t>Croydon 023C</t>
  </si>
  <si>
    <t>MultiPolygon (((533889.40899999998509884 165760.36199978410149924, 533834.89799996290821582 165650.80699977907352149, 533737.29799984162673354 165683.20899985829601064, 533705.3560000181896612 165666.27299987059086561, 533728.75100003753323108 165636.70299982620053925, 533630.25599978235550225 165583.85799979034345597, 533648.031999965547584 165536.92700003096251749, 533743.21599991095717996 165491.4979998481576331, 533662.9689999190159142 165439.97300011955667287, 533598.5219998883549124 165511.35200009879190475, 533562.22400003205984831 165541.78599998753634281, 533543.35700005572289228 165574.69600006606196985, 533484.00000016915146261 165659.99999979301355779, 533426.99999983515590429 165648.00000012171221897, 533437.14400020428001881 165565.43100021374993958, 533389.70499999960884452 165614.45799977716524154, 533358.84500010090414435 165606.1830001552880276, 533374.000000134925358 165524.00000009930226952, 533318.00000018230639398 165516.00000016979174688, 533316.99999980092979968 165468.00000014671240933, 533277.55099982069805264 165463.46600019145989791, 533243.0000001183943823 165470.00000001760781743, 533207.04100020730402321 165398.92999997647712007, 533089.43500012706499547 165348.35400003765244037, 533031.05799987388309091 165368.5539999823377002, 533018.01599998981691897 165375.85400004623807035, 532997.49399999994784594 165436.58199993977905251, 533131.22599987930152565 165445.69399980106391013, 533107.92099988088011742 165505.88599980768049136, 533172.01299990329425782 165531.06800013894098811, 533144.55000009667128325 165570.30900018961983733, 533107.08299980475567281 165631.58699991385219619, 533145.76099991763476282 165667.13200008537387475, 533106.39999983902089298 165686.20600015448872, 533104.18699996313080192 165727.4200000251585152, 533175.80399987893179059 165726.97299987653968856, 533252.89699979079887271 165738.57100007860572077, 533327.91400020057335496 165753.44500006205635145, 533403.06300001672934741 165750.98499993546283804, 533485.7980000227689743 165738.29800005967263132, 533506.55599982966668904 165736.57700011992710643, 533710.36899980250746012 165758.6340000954514835, 533772.08499980706255883 165758.97399987728567794, 533856.15799985697958618 165760.99999996233964339, 533889.40899999998509884 165760.36199978410149924)))</t>
  </si>
  <si>
    <t>E01001050</t>
  </si>
  <si>
    <t>Croydon 023D</t>
  </si>
  <si>
    <t>MultiPolygon (((532066.36600025207735598 164471.04400024635833688, 532078.86999975598882884 164386.85599994458607398, 532132.20799993781838566 164391.41599987479276024, 532112.95899981795810163 164330.54200001139543019, 532073.27500022237654775 164310.58900003766757436, 532098.63600018108263612 164245.84499997968669049, 532180.537999959429726 164262.0729999681643676, 532351.22199974930845201 164232.55599993778741919, 532411.76899989682715386 164163.8969998128595762, 532356.04299985314719379 164100.70300015420070849, 532344.19899983133655041 163934.19600010581780225, 532207.65099999273661524 163900.76300000003539026, 532127.10399998212233186 163930.42500023968750611, 532100.77099993685260415 163976.85599996038945392, 532034.00200003676582128 163998.58600021994789131, 531874.5990000827005133 163991.20199979151948355, 531881.81400009919889271 163951.02000005132867955, 531827.99899995001032948 163947.58299996011191979, 531812.07900002459064126 163976.00599988878821023, 531813.41600014793220907 164020.10500022050109692, 531866.69099979766178876 164029.45600000119884498, 531869.93899981561116874 164208.44099984163767658, 531806.67800009879283607 164238.36499975578044541, 531728.59800010966137052 164257.66299978186725639, 531679.85000011138617992 164316.54300006496487185, 531634.57199997536372393 164285.62799990369239822, 531654.66800014150794595 164321.3419999830366578, 531600.80600010312628001 164331.27600011861068197, 531627.21199974964838475 164368.41000000698841177, 531676.85500019951723516 164318.69599997278419323, 531713.53899984096642584 164348.90699977256008424, 531725.89900015934836119 164436.12499977412517183, 531698.38000025076325983 164491.57199999978183769, 531781.43000007921364158 164498.74600017760531045, 531811.38100022135768086 164457.42299993877531961, 531808.0000000954605639 164331.11199974885676056, 531871.7240001690806821 164364.71799979280331172, 531842.91500002634711564 164428.28300004647462629, 531884.62699999695178121 164507.59199975454248488, 531852.72500012989621609 164604.71300013750442304, 531875.30199992819689214 164656.70600012838258408, 531837.54999989690259099 164680.04399975421256386, 531869.99999982316512614 164849.00000017962884158, 531825.00000000442378223 164866.99999990410287865, 531836.99999982072040439 164896.99999995247344486, 531794.00000014062970877 164916, 531880.54400003398768604 164905.0319997618207708, 531976.00000006181653589 164902.99899985216325149, 531997.26899998146109283 164861.45999981969362125, 532017.0000001109438017 164716.99900016142055392, 531963.79800006246659905 164682.51099977566627786, 532020.84100006055086851 164526.75400015496416017, 531998.25100015266798437 164511.30900017987005413, 532066.36600025207735598 164471.04400024635833688)))</t>
  </si>
  <si>
    <t>E01001171</t>
  </si>
  <si>
    <t>Croydon 028C</t>
  </si>
  <si>
    <t>E02000221</t>
  </si>
  <si>
    <t>Croydon 028</t>
  </si>
  <si>
    <t>MultiPolygon (((539925.0000001322478056 166053.00000003990135156, 539930.99900019727647305 166010.99999998629209585, 540063.73899990599602461 165989.12999989453237504, 540098.0000002138549462 165959.00000019808067009, 540120.18299991567619145 165889.71599995772703551, 540179.53800013056024909 165891.31700017617549747, 540141.00000015110708773 165829.00000005358015187, 540316 165837.00000002101296559, 540132.47100014239549637 165487.98200002108933404, 539998.00000017182901502 165305.99900013898150064, 539818.99999988998752087 165316.00000000873114914, 539674.00000014354009181 165404.99999998323619366, 539581.00000018533319235 165392.00000014848774299, 539566.0919999850448221 165426.47500016813864931, 539529.5630000903038308 165415.27600016916403547, 539417.40599999995902181 165664.86799995868932456, 539458.88700001558754593 165762.25500007436494343, 539447.07400017161853611 165825.88999991686432622, 539455.74699986889027059 165874.04600013274466619, 539568.46700010169297457 166065.64300016014021821, 539601.85800011991523206 166030.2689999759895727, 539638.18299985688645393 166092.21899993150145747, 539743.53400001779664308 166108.60799986103666015, 539757.16199979209341109 166064.46500003756955266, 539925.0000001322478056 166053.00000003990135156)))</t>
  </si>
  <si>
    <t>E01000768</t>
  </si>
  <si>
    <t>Bromley 034E</t>
  </si>
  <si>
    <t>E02000160</t>
  </si>
  <si>
    <t>Bromley 034</t>
  </si>
  <si>
    <t>MultiPolygon (((539417.40600022207945585 165664.8680001710599754, 539529.56299974489957094 165415.2760002905561123, 539566.09200033277738839 165426.47500034733093344, 539581.00000019907020032 165392.00000031283707358, 539603.38400009088218212 165351.56799991754814982, 539574.75799983413890004 165305.01900031708646566, 539483.99999987427145243 165272.50900034888763912, 539443.00500029895920306 165273.27900034745107405, 539387.70699998503550887 165186.0910002505115699, 539309.93800024630036205 165107.89600032434100285, 539335.22999986808281392 165052.02800000211573206, 539537.66899970383383334 164884.05100009744637646, 539535.30399965692777187 164731.57800027419580147, 539423.93799974792636931 164734.8129999561351724, 539379.62899975199252367 164473.90200016816379502, 539431.10300027986522764 164431.20500007984810509, 539410.99999982200097293 164391, 539256.00000015343539417 164463.00000010061194189, 539207.45499968831427395 164558.36399983035516925, 539153.75700001430232078 164474.16499972139718011, 539059.81600006856024265 164513.29199994669761509, 539008.93500011833384633 164492.40299974937806837, 538977.07599969883449376 164610.4099998856545426, 538852.94099977321457118 164568.76799980003852397, 538844.95099990908056498 164817.74500008698669262, 539073.74699983524624258 164899.67500002958695404, 539036.99999999685678631 165011.00000010919757187, 538914.3200000545475632 165142.26100025651976466, 539156.93899988173507154 165392.26700033937231638, 539179.91400011442601681 165417.61899988655932248, 539294.26699977472890168 165601.91500017401995137, 539447.07399966067168862 165825.89000000001396984, 539458.88699991011526436 165762.25499965573544614, 539417.40600022207945585 165664.8680001710599754)))</t>
  </si>
  <si>
    <t>E01000760</t>
  </si>
  <si>
    <t>Bromley 034B</t>
  </si>
  <si>
    <t>MultiPolygon (((540293.93300002394244075 165355.38799985623336397, 540438.26800003659445792 165213.37500034130061977, 540383.2680000311229378 165132.91299991292180493, 540264.00000022735912353 165184.00000015992554836, 540142.3619998866925016 165234.02799977414542809, 540176.00099969294387847 165106.99999985322938301, 539851.10600026964675635 165112.85800000335439108, 539895.36600027477834374 165076.64600035100011155, 539854.91299997246824205 165036.05199969955720007, 539909.00000005657784641 164996.99999984243186191, 539884.06400021980516613 164925.0709997741796542, 539875.13800023926887661 164926.39400024907081388, 539848.08399988478049636 164800.84200022704317234, 539730.30599964852444828 164818.18399986435542814, 539725.29300017422065139 164635.70600022422149777, 539670.56300029635895044 164596.94999998604180291, 539963.86200022953562438 164169.16399999620625749, 539860.18399975134525448 164026.92000033898511901, 539719.73099964309949428 163992.21100000001024455, 539629.00000030105002224 164260.00000021880259737, 539411.00000017089769244 164390.99999983733869158, 539431.10300011967774481 164431.20499981212196872, 539379.62899978971108794 164473.90199989391840063, 539423.93799975712317973 164734.81300006285891868, 539535.30399991956073791 164731.5779996439232491, 539537.6690000940579921 164884.05099980253726244, 539335.23000002920161933 165052.02799993305234239, 539309.93799996341113001 165107.89600033705937676, 539387.70700007362756878 165186.09099976744619198, 539443.00500029162503779 165273.27899999666260555, 539483.99999994679819793 165272.50900027033640072, 539574.75800019910093397 165305.01900035250582732, 539603.38399978319648653 165351.56799965977552347, 539580.99999991559889168 165392.00000008515780792, 539674.00000010151416063 165405.00000012724194676, 539818.99999970779754221 165315.99999972415389493, 539997.99999971175566316 165305.99900034419260919, 540132.47100025392137468 165487.98199999995995313, 540165.09100008336827159 165416.32599982790998183, 540293.93300002394244075 165355.38799985623336397)))</t>
  </si>
  <si>
    <t>E01000761</t>
  </si>
  <si>
    <t>Bromley 034C</t>
  </si>
  <si>
    <t>MultiPolygon (((542044.94299955479800701 165709.09399936540285125, 542042.69000003451947123 165615.78500044893007725, 541990.51600039191544056 165622.09200004747253843, 541986.76700072444509715 165529.99799949920270592, 542042.08200022310484201 165574.0830003377632238, 542038.99899968330282718 165334.00100033872877248, 542059.70599970477633178 165356.69600018698838539, 542120.13999983132816851 165367.0170006453699898, 542109.42300021566916257 165319.31899988013901748, 542150.99999939685221761 165310.0000003780296538, 542184.00000061560422182 165458.99999984016176313, 542226.98400070867501199 165513.66899982036557049, 542268.00000058405566961 165439.99999936550739221, 542267.56600022071506828 165238.78300027662771754, 542203.37999966077040881 165264.04299984421231784, 542156.77099957584869117 165194.27700039456249215, 542186.65600058040581644 165196.01499986019916832, 542180.13299980631563812 165154.93399938129005022, 542097.42099985247477889 165103.99999949199263938, 542033.0629993558395654 165101.98899929012986831, 542035.17500035709235817 165067.65500030462862924, 542095.74400046898517758 165066.07900022171088494, 542098.7080001113936305 165039.63199994020396844, 542097.50199954386334866 164992.16100066012586467, 542041.6040001199580729 164989.6400006806361489, 542047.77200071082916111 164905.70400006129057147, 542103.78999928873963654 164921.08799984349752776, 542135.07900043949484825 164871.82899982645176351, 542112.7079993566730991 164811.44200020542484708, 542046.2809993417467922 164838.96400009174249135, 542059.7309995909454301 164368.72699940716847777, 542173.05699927045498043 164406.21900009003002197, 542303.38500054262112826 164405.03500014188466594, 542472.49199975864030421 164374.22199958309647627, 542652.26500056113582104 164273.27499957050895318, 542682.72000017098616809 164226.55100060842232779, 542675.80700027232524008 164115.11299971194239333, 542586.18800045247189701 163887.73399964417330921, 542605.81299958191812038 163760.43699962811660953, 542435.37400061148218811 163650.42200023028999567, 542478.37499954795930535 163550.35900003215647303, 542553.00099996465723962 163474.97999926476040855, 542464.56299932720139623 163383.28099961701082066, 542333.56300039368215948 163222.06200035940855742, 542150.6880006967112422 163114.39100072727887891, 542040.06200072169303894 163216.90599977999227121, 541942.19999926129821688 162970.70000042888568714, 541952.99999957846011966 162927.73400043381843716, 541913.67400040640495718 162927.72700064553646371, 541756.12500063620973378 162926.82800000000861473, 541743.43799979274626821 163057.67199958351557143, 541545.00000058847945184 163056.28099925830611028, 541311.62499986670445651 163127.92200066786608659, 541245.12499970442149788 163109.17200055447756313, 540996.62500035995617509 163314.37499985119211487, 540775.68899963167496026 163444.48400068090995774, 540862.37300021678674966 163767.31899960787268355, 540823.24999940150883049 163770.70300003699958324, 540786.99999948206823319 163728.9839995834918227, 540700.62499982898589224 163792.57799941982375458, 540771.74999992945231497 163975.12499982994631864, 540739.43799995654262602 164050.4529995703487657, 540899.68699943134561181 164160.38400000994442962, 540899.75000052363611758 164194.64099982546758838, 541078.74999986740294844 164370.83200062019750476, 541178.56299970427062362 164416.65600068005733192, 541243.93399996787775308 164529.22200022067409009, 541320.43700035696383566 164754.73399937135400251, 541416.31300000287592411 164879.43699926041881554, 541509.96500053617637604 165092.07400004196097143, 541654.49999993166420609 165135.29700018657604232, 541637.77100057422649115 165255.17700055899331346, 541758.32599937391933054 165924.59599999999045394, 541864.12700032093562186 165883.34100007306551561, 542004.68199954135343432 165713.21100053592817858, 542044.94299955479800701 165709.09399936540285125)))</t>
  </si>
  <si>
    <t>E01000666</t>
  </si>
  <si>
    <t>Bromley 033B</t>
  </si>
  <si>
    <t>MultiPolygon (((542461.52100037108175457 165814.15399981898372062, 542476.89600036863703281 165726.61599967046640813, 542539.43499994662124664 165745.69399960915325209, 542606.09799992176704109 165699.43500013303128071, 542834.35499992885161191 165638.22500011840020306, 542801.75000018696300685 165594.67199992047972046, 542820.06299992627464235 165579.04699980514124036, 542778.68799975607544184 165562.98300038470188156, 542683.50000002898741513 165426.90600000793347135, 542704.96900006360374391 165387.93300003549666144, 542848.3130003537517041 165129.73399989871541038, 543129.09999982861336321 164922.84699981519952416, 543188.62499969347845763 164865.32799970384803601, 543124.9380002508405596 164723.3440002154384274, 543159.25000034610275179 164694.57799977026297711, 543053.12500026484485716 164588.46900027614901774, 542792.12800029118079692 164563.94799973760382272, 542761.81299985700752586 164285.89099961670581251, 542702.75000024191103876 164304.14100016362499446, 542682.71999998355749995 164226.55100000000675209, 542652.26499964436516166 164273.2750003392866347, 542472.49200016167014837 164374.22199978458229452, 542303.38499984284862876 164405.03499977715546265, 542173.05699982366058975 164406.21899975527776405, 542059.73099963460117579 164368.72700009413529187, 542046.28099973883945495 164838.96400026147603057, 542112.70800031127873808 164811.44199998371186666, 542135.07899983692914248 164871.82900028687436134, 542103.78999968443531543 164921.08800037126638927, 542047.7720002158312127 164905.70400014403276145, 542041.60400007956195623 164989.64000033459160477, 542097.50199997460003942 164992.16100016972632147, 542098.70800015632994473 165039.63200024905381724, 542095.74399966164492071 165066.07900002037058584, 542035.17499972367659211 165067.65499989333329722, 542033.06300030660349876 165101.98900019217398949, 542097.42100032290909439 165103.99999962601577863, 542180.13299987243954092 165154.93399969441816211, 542186.65599985397420824 165196.01500014471821487, 542156.77100010530557483 165194.27700016321614385, 542203.37999974633567035 165264.04299979677307419, 542267.56600029359105974 165238.78299981178133748, 542267.99999991827644408 165440.00000012243981473, 542226.98400014278013259 165513.66899979134905152, 542183.99999979417771101 165459.00000021758023649, 542151.00000034924596548 165310.00000006455229595, 542109.42300021275877953 165319.31900001075700857, 542120.14000014134217054 165367.01700006821192801, 542059.70599962281994522 165356.69599977874895558, 542221.00000031851232052 165737.00099989346927032, 542378.00000021501909941 165686.0000000833242666, 542412.99999979708809406 165782.00000022517633624, 542387.21399962867144495 165836.75399999998626299, 542461.52100037108175457 165814.15399981898372062)))</t>
  </si>
  <si>
    <t>E01000667</t>
  </si>
  <si>
    <t>Bromley 033C</t>
  </si>
  <si>
    <t>MultiPolygon (((537942.21500025864224881 166741.77100000000791624, 538267.99999980465508997 166394.99999992805533111, 538278.72899985569529235 166408.41199996130308136, 538386.36000006506219506 166312.37700022666831501, 538384.42300003825221211 166241.76500010691233911, 538339.63399980659596622 166161.45500000970787369, 538310.58199983893427998 166168.96700005058664829, 538301.55799995712004602 166132.31100025205523707, 538340.22899995546322316 166117.30200011786655523, 538333.28500004636589438 166024.03700017288792878, 538296.46500004117842764 165945.61700015538372099, 538154.99999975261744112 165970.49999998620478436, 538109.27199979440774769 165931.94999989919597283, 538058.95500005292706192 165958.5129999865021091, 537998.00000027660280466 165649.99999979656422511, 537989.12399976619053632 165627.81699999998090789, 537949.01999987359158695 165654.53399977201479487, 537966.77500021550804377 165744.91799998097121716, 537970.34900020353961736 165915.44599997604382224, 537926.52299983752891421 165968.09400026139337569, 537842.92199976602569222 165945.96499994196346961, 537836.38500021712388843 165877.32199984861654229, 537731.956000070204027 165891.04899989516707137, 537747.25300020060967654 166048.43700013190391473, 537654.1410001665353775 166059.45400017910287715, 537652.48500004899688065 166063.56399974235682748, 537713.00000024877954274 166109.00099982623942196, 537622.00000018707942218 166127.99999994298559614, 537619.99999993480741978 166156.00000013332464732, 537715.48200004221871495 166207.96000014920718968, 537962.00000019103754312 166331.000000209081918, 538037.95999989262782037 166356.53500010099378414, 538013.48599996941629797 166421.77600027367589064, 537910.64300018467474729 166499.8409998607239686, 537931.10700019518844783 166603.68400005012517795, 537880.19899995671585202 166642.92499972775112838, 537942.21500025864224881 166741.77100000000791624)))</t>
  </si>
  <si>
    <t>E01000835</t>
  </si>
  <si>
    <t>Bromley 030B</t>
  </si>
  <si>
    <t>E02000156</t>
  </si>
  <si>
    <t>Bromley 030</t>
  </si>
  <si>
    <t>MultiPolygon (((539480.33899976150132716 166519.27399983201758005, 539275.45599992701318115 166313.92200017967843451, 539243.4999996836995706 166329.95300010641221888, 539234.98800031770952046 166262.76200027047889307, 539135.89399972045794129 166141.5999998573679477, 539238.34200023871380836 166112.09100023054634221, 539480.71999974444042891 166080.12699994348804466, 539568.46700017643161118 166065.64300023586838506, 539455.74699971603695303 165874.04599969784612767, 539447.07400027744006366 165825.89000005784328096, 539294.26700019068084657 165601.91499987727729604, 539179.91400001035071909 165417.61899967727367766, 539156.9390002436703071 165392.26699999999254942, 539129.75500024296343327 165507.7460001977160573, 539152.01200028450693935 165507.41900018689921126, 539082.12599976849742234 165556.79199985720333643, 539016.53500028001144528 165537.57200010379892774, 538958.95699985243845731 165499.84700014430563897, 538879.41799970937427133 165588.12600025389110669, 538800.63499982259236276 165676.08199972819420509, 538827.41900022118352354 165714.38599978390266187, 538700.5349998640595004 165793.95600025804014876, 538715.37299989175517112 165861.11800009693251923, 538635.75899982335977256 165898.83400016880477779, 538673.39100008213426918 165983.71100009483052418, 538729.24900015245657414 165966.91800020221853629, 538769.82799988414626569 166076.06000016295001842, 538691.45400013332255185 166109.57199986666091718, 538658.60799987055361271 166186.59399997990112752, 538726.94899985520169139 166271.82299989185412414, 538839.9999997018603608 166246.99999971422948875, 538990.4950000720564276 166314.45899972305051051, 538957.19900025683455169 166354.38099990139016882, 539138.62700028507970273 166463.62299976262147538, 539158.16299982753116637 166418.71099976534605958, 539358.99999983469024301 166541.00000003978493623, 539495.90700022643432021 166684.89000000001396984, 539453.62500006891787052 166547.67199968502973206, 539480.33899976150132716 166519.27399983201758005)))</t>
  </si>
  <si>
    <t>E01000838</t>
  </si>
  <si>
    <t>Bromley 030E</t>
  </si>
  <si>
    <t>MultiPolygon (((538523.93499996687751263 165988.70100005902349949, 538503.10799991246312857 165942.24100002853083424, 538586.06999985047150403 165912.6780000822909642, 538635.55800014664418995 166013.31000012348522432, 538673.39100012299604714 165983.71099976086406969, 538635.75900017260573804 165898.83399995070067234, 538715.37299981107935309 165861.11799984972458333, 538700.53499978652689606 165793.95600017055403441, 538827.41899995715357363 165714.38600000095902942, 538800.6350000238744542 165676.08199983148369938, 538656.95399999513756484 165546.58200011018197984, 538505.3889999125385657 165633.08599990964285098, 538445.4819999635219574 165591.93199994601309299, 538401.99600006663240492 165561.65800015069544315, 538369.51599982497282326 165659.23500010659336112, 538296.31499975640326738 165611.9679997734783683, 538261.14100021135527641 165625.17500003610621206, 538259.98000008368398994 165673.72899998381035402, 538190.65200014703441411 165497.99200023873709142, 538214.96400022471789271 165457.66700006587780081, 538162.15499994135461748 165377.26399984027375467, 538164.50899985525757074 165285.362999851902714, 538123.93800012127030641 165250.25900002173148096, 538049.52100021939259022 165271.13900014190585352, 538018.97899989690631628 165249.16499990265583619, 537998.87299986183643341 165191.46800017249188386, 538022.54300023161340505 165121.26200015208451077, 537972.79299980611540377 165038.75, 537930.00000004284083843 165106.00000009493669495, 538003.99999988358467817 165353.99999978754203767, 537964.51300009828992188 165365.32399983666255139, 537960.66600021230988204 165433.44399997766595334, 537996.06499989668373019 165465.28300008515361696, 538042.55800014466512948 165637.70799994707340375, 537998.00000010954681784 165650.00000013579847291, 538058.95500008354429156 165958.51300005422672257, 538109.27200017042923719 165931.94999999500578269, 538154.99999994470272213 165970.50000021827872843, 538296.46499984932597727 165945.61700021405704319, 538333.28500015090685338 166024.03700000001117587, 538455.04399993969127536 166023.6690002319519408, 538523.93499996687751263 165988.70100005902349949)))</t>
  </si>
  <si>
    <t>E01000841</t>
  </si>
  <si>
    <t>Bromley 030H</t>
  </si>
  <si>
    <t>MultiPolygon (((532061.39700011862441897 165543.01500010839663446, 532141.93800014641601592 165518.76599978987360373, 532225.13500019023194909 165541.6329999876616057, 532305.99999993445817381 165349.00000007555354387, 532264.40700013504829258 165330.16499981551896781, 532198.99999981862492859 165235.00000020780134946, 532228.00000002491287887 165213.9999999922583811, 532232.000000020256266 165194.9999997743871063, 532254.87900013651233166 165131.72699990414548665, 532331.42300002847332507 165115.10199989346438088, 532273.00000021269079298 165092.00000013376120478, 532253.126000099000521 165039.86299988595419563, 532186.66999991692136973 164977.99400006688665599, 532319.59199981309939176 164982.29200003552250564, 532325.99999991129152477 164962.00100023779668845, 532225.98299986298661679 164923.33900006432668306, 532276.82600019138772041 164892.29400004635681398, 532247.90500012785196304 164843.99199983608559705, 532289.80499995918944478 164794.66400012362282723, 532269.04400007810909301 164776.10300000000279397, 532137.19000011833850294 164955.20699996498296969, 532077.43499976175371557 164999.34099988258094527, 532010.51999994134530425 165071.9590001558244694, 531967.09899977454915643 165137.28200008365092799, 531906.77400017448235303 165244.49800017039524391, 531860.28699998010415584 165385.79700017321738414, 531859.55899997137021273 165398.69699979838333093, 531880.68799990962725133 165625.49999987476621754, 531860.1879998134681955 165731.32800012148800306, 531865.16600011719856411 165735.75099999998928979, 531891.31199997407384217 165735.4840000158874318, 531900.93700023274868727 165673.23099992857896723, 531930.68799985165242106 165608.54699985485058278, 532061.39700011862441897 165543.01500010839663446)))</t>
  </si>
  <si>
    <t>E01001042</t>
  </si>
  <si>
    <t>Croydon 024B</t>
  </si>
  <si>
    <t>MultiPolygon (((533602.98699993046466261 166215.66600008949171752, 533622.50000009289942682 166151.73499989669653587, 533650.89000011631287634 166205.3799999916809611, 533675.9999999376013875 166198.0000000110885594, 533766.91199991689063609 166165.98400011521880515, 533784.55200008442625403 166178.00700009078718722, 533815.91700006136670709 166160.88500000658677891, 533793.38299997558351606 166132.21100004549953155, 533816.9250000505708158 166099.84900000516790897, 533862.27699992281850427 166160.16800005867844447, 533875.416000064346008 166125.31400010417564772, 533933.83199991588480771 166119.45400010736193508, 533938.44900000002235174 166010.72099988831905648, 533923.75600008247420192 165820.20399994819308631, 533866.81900008185766637 165812.29800000283285044, 533856.15799988433718681 165761.00000004578032531, 533772.08499993581790477 165758.97399991922429763, 533761.60200000309851021 165810.58399999144603498, 533711.58300001767929643 165825.38600010037771426, 533669.5850000208010897 165826.71200005660648458, 533665.74200001719873399 165785.63900000543799251, 533612.2950000090058893 165820.61500010677264072, 533617.82000002427957952 165848.7189999257971067, 533567.58499992254655808 165848.7189999257971067, 533568.84200004243757576 165901.08999988622963428, 533518.26899991475511342 165895.77300010583712719, 533507.16800007747951895 165851.35899989766767249, 533464.39599999994970858 165871.43600011334638111, 533496.17299991322215647 165887.62799994079978205, 533478.01599991403054446 166020.6930000783468131, 533479.00899991835467517 166185.30099998344667256, 533497.57200000190641731 166162.06399991994840093, 533576.43400008010212332 166195.72299996126093902, 533576.91999992681667209 166223.43100008080364205, 533602.98699993046466261 166215.66600008949171752)))</t>
  </si>
  <si>
    <t>E01000978</t>
  </si>
  <si>
    <t>Croydon 022D</t>
  </si>
  <si>
    <t>E02000215</t>
  </si>
  <si>
    <t>Croydon 022</t>
  </si>
  <si>
    <t>MultiPolygon (((534372.8219999757129699 166415.86899978839210235, 534409.984000148717314 166299.39199984443257563, 534448.65699986298568547 166298.85999999442719854, 534528.22500006447080523 166322.304000124335289, 534537.09299998311325908 166289.55899995134677738, 534544.06299985130317509 166247.93200014290050603, 534505.18100015050731599 166237.56399994509411044, 534552.21899980155285448 166008.41899986480711959, 534596.14699990663211793 165999.3160001217329409, 534601.99899995443411171 165971.99999997296254151, 534627.65899994783103466 165937.87999993312405422, 534758.09899986023083329 166014.89299982177908532, 534823.66900016448926181 165885.17199994839029387, 534776.47699980845209211 165854.74000019312370569, 534794.994999896036461 165807.0169999971985817, 534473.91100000438746065 165676.69299998186761513, 534226.81300001952331513 165666.09399999998277053, 534097.56599983538035303 165730.91199993231566623, 534169.09299997356720269 165919.10000017320271581, 534173.24099980609025806 165943.24900020088534802, 534188.09499985119327903 166283.47300008923048154, 534188.22099984914530069 166298.36100005294429138, 534190.16899997973814607 166367.72199998327414505, 534200.11700018425472081 166499.18200000061187893, 534292.21899994241539389 166414.25600006687454879, 534334.47700017539318651 166435.41400005147443153, 534418.99999986286275089 166514.99900000001071021, 534443.38500014948658645 166486.05900001872214489, 534372.8219999757129699 166415.86899978839210235)))</t>
  </si>
  <si>
    <t>E01000986</t>
  </si>
  <si>
    <t>Croydon 021B</t>
  </si>
  <si>
    <t>E02000214</t>
  </si>
  <si>
    <t>Croydon 021</t>
  </si>
  <si>
    <t>MultiPolygon (((531884.62699979799799621 164507.59199976798845455, 531842.91500005149282515 164428.2830001559923403, 531871.72400021355133504 164364.71799978500348516, 531808.00000000151339918 164331.11199992449837737, 531811.3810001170495525 164457.42299998700036667, 531781.43000009807292372 164498.7460001225117594, 531698.38000023108907044 164491.5719998040003702, 531725.89900018449407071 164436.12499980648863129, 531713.53900005703326315 164348.90700011150329374, 531676.85499977809377015 164318.69599985299282707, 531627.21199997048825026 164368.410000089003006, 531600.80599990300834179 164331.2759997604880482, 531654.66799998702481389 164321.34200020399293862, 531634.57200010307133198 164285.62799995401292108, 531679.849999780068174 164316.54300000800867565, 531728.59799998300150037 164257.6629999470023904, 531806.67799982498399913 164238.36499976451159455, 531869.93900000059511513 164208.44100021800841205, 531866.69099975202698261 164029.45599988251342438, 531813.41600008006207645 164020.10500024250359274, 531812.07899991853628308 163976.0059998859942425, 531714.63399996107909828 163910.63499982250505127, 531721.99900008854456246 163868, 531646.55600010708440095 163932.51099992450326681, 531522.99999978707637638 163868.99999999901046976, 531512.26600003149360418 163880.38300010451348498, 531454.99999985506292433 164183.00000018448918127, 531444.999999865074642 164187.00100017950171605, 531472.98799984902143478 164227.63400000598630868, 531431.67900019907392561 164281.55900002698763274, 531435.60599976859521121 164353.59299992100568488, 531449.89699996309354901 164380.11999986748560332, 531481.99999982805456966 164364.00000000349245965, 531488.8609999599866569 164414.19499975850339979, 531421.68600020208396018 164403.27600018799421377, 531422.32400006358511746 164460.16300024400698021, 531465.87299997103400528 164456.86100004951003939, 531479.19500013557262719 164455.69400021751062013, 531664.88799975707661361 164526.86199997848598287, 531776.58899994404055178 164630.6850000515114516, 531824.9999999845167622 164867, 531869.99999993958044797 164849.00000001798616722, 531837.5499999220483005 164680.04400014301063493, 531875.30200013204012066 164656.70600000448757783, 531852.72500023152679205 164604.71300004949443974, 531884.62699979799799621 164507.59199976798845455)))</t>
  </si>
  <si>
    <t>E01001169</t>
  </si>
  <si>
    <t>Croydon 028B</t>
  </si>
  <si>
    <t>MultiPolygon (((532471.99999991268850863 161811.7099999999627471, 532700.0000005642650649 161698.60000053537078202, 532720.91899941326119006 161734.33199989100103267, 532766.75200003525242209 161403.47599983055260964, 532787.22199993545655161 161359.71300058381166309, 532741.48900047806091607 161090.5359993880847469, 532762.79100040975026786 161001.61499999568331987, 532894.8290005928138271 160781.08599990551010706, 532979.62100030400324613 160779.509999993868405, 532915.00000008021015674 160923.80900014215148985, 532943.68599965004250407 160890.19499979249667376, 533171.6530000843340531 160927.84499967785086483, 533193.45200044859666377 160830.21699940541293472, 533034.923999865190126 160794.20700012566521764, 533034.00399968214333057 160742.10100033375783823, 533448.0000004037283361 160842.00100019847741351, 533619.40200047544203699 160791.25399955047760159, 533781.56700030155479908 160710.86899944467586465, 533769.000000188825652 160648.99999952301732264, 533814.00000026670750231 160614.00000031865783967, 533910.99999974970705807 160396.00000054060365073, 534019.0000001935986802 160460.99999979691347107, 534019.08500009181443602 160494.34299995721084997, 534127.00099986558780074 160168.21199937837081961, 533793.51800063776317984 159755.52099966342211701, 533787.27000015368685126 159716.15000003998284228, 533971.12400047574192286 159569.05699989679851569, 533977.12500022805761546 159422.39100026997039095, 533882.81300035316962749 159384.50000015934347175, 533806.38500039139762521 159267.31700017582625151, 533748.06299982022028416 159280.39000019658124074, 533645.87499986868351698 159243, 533620.24999971722718328 159372.03100018622353673, 533415.0999999699415639 159693.2029995086195413, 533248.12499947962351143 159964.57799961455748416, 532945.41199938219506294 160209.04499956362997182, 532740.65499942132737488 160343.55800063716014847, 532680.47700055805034935 160382.46399953283253126, 532535.16100059961900115 160476.79800040888949297, 532396.00199943617917597 160637.82600056851515546, 532321.25599977292586118 160773.29900049293064512, 532348.87499959242995828 160849.23399950357270427, 532254.00000013457611203 161048.92199962394079193, 532329.12500011478550732 161018.50000033399555832, 532378.792999999364838 161062.189999411260942, 532415.0269997816067189 161067.89099952270044014, 532462.00000032340176404 161077.90600037827971391, 532411.01900046924129128 161485.2000003885186743, 532471.99999991268850863 161811.7099999999627471)))</t>
  </si>
  <si>
    <t>E01001104</t>
  </si>
  <si>
    <t>Croydon 023A</t>
  </si>
  <si>
    <t>MultiPolygon (((538082.29200011095963418 166974.23599985733744688, 537897.31400019046850502 166788.72700041133794002, 537942.21499967249110341 166741.77099971965071745, 537880.19899984274525195 166642.92499971683719195, 537931.10700008668936789 166603.68400039579137228, 537910.64300004404503852 166499.84099964451161213, 538013.48600013088434935 166421.77599964235560037, 538037.95999958436004817 166356.53500035227625631, 537962.0000001328298822 166331.00000039802398533, 537715.48200002743396908 166207.9600000201317016, 537619.9999996084952727 166156.00000007404014468, 537622.00000007206108421 166127.9999996414699126, 537712.99999996356200427 166109.00100027795997448, 537652.48499968089163303 166063.56399986523319967, 537654.14100038667675108 166059.45400004184921272, 537593.00599979585967958 165942.71099971863441169, 537624.71000017668120563 165902.2859999431821052, 537594.677999806124717 165886.40299969413899817, 537685.43000009364914149 165820.55200031027197838, 537655.85399980458896607 165802.72700032152351923, 537716.73699966724961996 165736.01100013797986321, 537745.53299968026112765 165575.37700034613953903, 537648.59800022374838591 165556.3159999999916181, 537488.94399980246089399 165967.96700001016142778, 537488.05099978717043996 166027.05799988663056865, 537449.63700010534375906 166174.44400008989032358, 537419.49999964772723615 166327.51599997299490497, 537484.42399984516669065 166569.62099990481510758, 537523.81600006599910557 166564.79599990058341064, 537575.71099991700612009 166800.7369999457441736, 537573.37500021315645427 166894.95300022963783704, 537645.58799974678549916 167055.6310002722311765, 537668.62500033259857446 167178.25000002080923878, 537838.8140002602012828 166972.89100001935730688, 538010.43800022394862026 167014.46900019052554853, 537967.31299969297833741 167286.90599999995902181, 538100.02699990139808506 167280.52599998362711631, 538159.27400035224854946 167160.09799985980498604, 538082.29200011095963418 166974.23599985733744688)))</t>
  </si>
  <si>
    <t>E01000837</t>
  </si>
  <si>
    <t>Bromley 030D</t>
  </si>
  <si>
    <t>MultiPolygon (((531431.8150000924943015 162217.27100000000791624, 531273.30599998543038964 161919.85599980968981981, 531344.0889999462524429 161871.75800024758791551, 531373.51299969758838415 161846.91900001460453495, 531464.51100029901135713 161914.47399988371762447, 531545.33600019232835621 161889.19800017290981486, 531573.00000018114224076 161912.00000015101977624, 531646.99999998218845576 161840.99999995995312929, 531619.85599990864284337 161811.23700010936590843, 531638.8629998565884307 161772.24300000254879706, 531682.12099991086870432 161738.26199991276371293, 531675.76800003822427243 161706.03700025336002, 531721.63400026049930602 161670.72200026977225207, 531791.4099998603342101 161686.42699995273142122, 531909.00000018044374883 161670.99999979202402756, 531875.13199969544075429 161593.02600013214396313, 531890.4859999978216365 161636.92000000871485099, 531848.79400029359385371 161645.72200009389780462, 531819.13299979630392045 161573.69900028576375917, 531640.37899988132994622 161505.51500022882828489, 531568.61399972229264677 161374.24600022908998653, 531606.92299999622628093 161317.68900001316796988, 531568.11699998239055276 161277.78200023432145827, 531609.00399997225031257 161201.5210003137763124, 531636.05799997388385236 161229.41199982698890381, 531613.30399969150312245 161193.17400023475056514, 531656.43900020443834364 161211.57199986802879721, 531769.52399985655210912 161123.49099972401745617, 531793.47600025264546275 161139.19299974726163782, 531819.31200026755686849 161051.28199981030775234, 531707.24000029591843486 161124.33799981453921646, 531697.6189999426715076 161091.77499972839723341, 531647.23700008564628661 161104.10800023272167891, 531683.39999983215238899 161037.19500014779623598, 531533.02999983809422702 160932.34500000003026798, 531466.82600007625296712 161003.05500010243849829, 531379.6039999466156587 161103.55700019281357527, 531362.06700031517539173 161139.17099988675909117, 531341.37499980779830366 161257.15599995100637898, 531376.12499984027817845 161409.03099971837946214, 531219.43799974513240159 161224.20299976781825535, 531123.0419999617151916 161285.04300013204920106, 531074.25000030267983675 161315.93700019986135885, 531169.1519999218871817 161466.51500016005593352, 531228.69600015145260841 161562.52200016137794591, 531240.87499970477074385 161585.12499979507992975, 531156.27000000746920705 161645.54399993759579957, 531216.41800026211421937 161780.25099998241057619, 531197.00000002898741513 161936.00000024272594601, 531156.57599999464582652 161932.78400007498566993, 531040.93899981956928968 162070.64199973599170335, 531146.90899993304628879 162134.4349996869568713, 531195.62500007392372936 162042.86300015513552353, 531249.87000017240643501 162053.16200006430153735, 531360.10200024617370218 162204.61800023971591145, 531431.8150000924943015 162217.27100000000791624)))</t>
  </si>
  <si>
    <t>E01001097</t>
  </si>
  <si>
    <t>Croydon 037E</t>
  </si>
  <si>
    <t>E02000230</t>
  </si>
  <si>
    <t>Croydon 037</t>
  </si>
  <si>
    <t>MultiPolygon (((531769.36000005551613867 161002.93000016652513295, 531853.50300015974789858 160964.59799985407153144, 531889.56500008958391845 160982.19699991922243498, 531913.88499997963663191 160897.76100010969094001, 531958.17499997117556632 160886.84599994492600672, 531989.74700016516726464 160944.99299980065552518, 532044.49200000078417361 160960.75199987695668824, 532093.34499982430133969 160879.41700020033749752, 532064.16500009037554264 160845.80700015331967734, 532125.28700012620538473 160806.64799996570218354, 532168.34799983853008598 160832.828999836667208, 532190.12299994204659015 160913.57600016501965001, 532132.96899996092543006 161025.49299985167453997, 532188.9040002137189731 161034.41900014504790306, 532321.2559999511577189 160773.29900019077467732, 532396.0020000000949949 160637.82600008137524128, 532190.37200015701819211 160516.90400019256048836, 532192.31799985957331955 160766.52700001516495831, 531916.2149997849483043 160696.74800013995263726, 531909.83999995375052094 160670.38100003046565689, 531877.91200007800944149 160698.93400012247730047, 531874.95799988997168839 160696.93700006915605627, 531804.56299981405027211 160643.45299994616652839, 531821.01800018444191664 160621.42399999938788824, 531823.18799980310723186 160573.17200019734445959, 531753.96999990264885128 160527.10500019328901544, 531664.57899997662752867 160708.52000010700430721, 531647.86099982808809727 160747.40900008752942085, 531533.03000000002793968 160932.34499997680541128, 531683.39999989222269505 161037.19499984494177625, 531647.23699987691361457 161104.10799980742740445, 531697.619000113918446 161091.77499986559269018, 531769.36000005551613867 161002.93000016652513295)))</t>
  </si>
  <si>
    <t>E01001099</t>
  </si>
  <si>
    <t>Croydon 040D</t>
  </si>
  <si>
    <t>E02000233</t>
  </si>
  <si>
    <t>Croydon 040</t>
  </si>
  <si>
    <t>MultiPolygon (((532192.31800004851538688 160766.52700000000186265, 532190.37200015562120825 160516.90399982573580928, 532396.00199973094277084 160637.82599981120438315, 532535.16100000555161387 160476.79800019512185827, 532680.47700017434544861 160382.46399989238125272, 532740.65500002761837095 160343.5580000456830021, 532676.62400019576307386 160135.94499985678703524, 532643.55800021544564515 160118.54700014856643975, 532499.99999990919604897 160207.99999976751860231, 532485.21100011898670346 160180.22999978819279931, 532412.26500025158748031 160214.66700018939445727, 532372.00000000942964107 160195.99999972528894432, 532341.99899980996269733 160130.99999977191328071, 532473.99999981769360602 160049.999999762250809, 532461.29099983652122319 160004.68100021436112002, 532413.2070000406820327 160022.36699998084804974, 532385.860000129789114 159998.66499979226500727, 532384.28999974706675857 159943.63900018626009114, 532281.3420001370832324 159765.4729999431874603, 532244.53500023146625608 159788.53700025123544037, 532248.00000012386590242 159832.00000009659561329, 532185.99999990570358932 159806.00000000512227416, 532064.19199988234322518 159665.10200000001350418, 532031.61600020388141274 159731.01099994804826565, 532165.74600021610967815 159905.93400021741399541, 532231.7169999280013144 159943.67199998069554567, 532163.08700000867247581 159970.59900010490673594, 532202.98200020275544375 160063.27199974068207666, 532170.35199985944200307 160084.10599992246716283, 532179.06599974527489394 160135.48600026295753196, 532087.14500023110304028 160185.09899989591212943, 532106.92000010097399354 160257.7299999232054688, 532074.99999979045242071 160271.00000026455381885, 532111.8569999854080379 160341.46899994224077091, 532053.66100010112859309 160398.7569999257393647, 532008.48699985025450587 160400.23999984917463735, 532014.24499972676858306 160348.95799989948864095, 531975.00399981415830553 160307.40900024643633515, 532027.98000022524502128 160283.45000015691039152, 531999.97099983238149434 160199.01800004925462417, 531733.95899997244123369 160418.54299972715671174, 531781.19999991310760379 160480.10000020178267732, 531753.9699999742442742 160527.10500001060427167, 531823.18800003558862954 160573.17199985519982874, 531821.01800003612879664 160621.42400000625639223, 531804.56300021091010422 160643.45300005321041681, 531874.95800009928643703 160696.93700025352882221, 531877.91199992084875703 160698.93399997887900099, 531909.83999988122377545 160670.38100027132895775, 531916.2149998692329973 160696.74800012921332382, 532192.31800004851538688 160766.52700000000186265)))</t>
  </si>
  <si>
    <t>E01001075</t>
  </si>
  <si>
    <t>Croydon 040C</t>
  </si>
  <si>
    <t>MultiPolygon (((532945.41199987905565649 160209.0450002214347478, 533248.12499980279244483 159964.57799996482208371, 533415.09999980591237545 159693.20299978120601736, 533304.68799967376980931 159610.30799976279377006, 533165.64500029792543501 159746.35499986205832101, 533210.56800011859741062 159693.44300018079229631, 533185.38800018560141325 159614.25599968526512384, 533167.58999967307318002 159586.89699987281346694, 533102.70400030817836523 159645.03000009167590179, 533087.88400004152208567 159625.61900009063538164, 532972.73600019293371588 159738.71700010265340097, 533021.21600031445268542 159710.36000022848020308, 533105.61700026842299849 159801.08499993282021023, 533018.99999987927731127 159874.99999979767017066, 532948.72500028682406992 159927.31200011805049144, 532893.66699982294812799 159844.72600027828593738, 532907.26000020070932806 159759.71299986229860224, 532867.98900005989708006 159704.30700022767996415, 532949.99999999348074198 159655.0000000097497832, 532918.72900028573349118 159611.91699975790106691, 533045.99999994854442775 159422.0000000914442353, 533011.99999990989454091 159356.00000028611975722, 532842.16499978629872203 159333.47399969914113171, 532770.00100027862936258 159336.00000018626451492, 532635.99999986728653312 159415.00000012200325727, 532529.69999985420145094 159421.3170001036778558, 532517.370999920880422 159334.13099970365874469, 532584.00099987420253456 159361.3639997486025095, 532627.18600031221285462 159266.42200011893874034, 532633.73299999430309981 159293.89599978158366866, 532763.07099996157921851 159292.14199980441480875, 532661.6160002751275897 159203.93799990997649729, 532653.13200020475778729 159033.10800000000745058, 532486.20099987077992409 159079.55900024611037225, 532425.00000032095704228 159178.00000031475792639, 532381.88500019058119506 159166.87400003368384205, 532363.54699992563109845 159209.3299997576395981, 532274.79400010814424604 159249.47499993938254192, 532235.99200019403360784 159473.74600002099759877, 532300.6579999023815617 159718.24000013415934518, 532281.34200031880754977 159765.47300027895835228, 532384.29000027687288821 159943.63900019359425642, 532385.85999996960163116 159998.66500012381584384, 532413.20699999132193625 160022.36699985121958889, 532461.29099981393665075 160004.68100022408179939, 532474.00000010686926544 160049.99999968850170262, 532341.9989999677054584 160130.99999989633215591, 532371.99999999080318958 160195.99999989321804605, 532412.26500004471745342 160214.66699976948439144, 532485.21100010629743338 160180.23000003793276846, 532499.99999971257057041 160208.00000021522282623, 532643.557999930344522 160118.54699994219117798, 532676.62400031962897629 160135.94500000716652721, 532740.65499985811766237 160343.55799999996088445, 532945.41199987905565649 160209.0450002214347478)))</t>
  </si>
  <si>
    <t>E01001068</t>
  </si>
  <si>
    <t>Croydon 042A</t>
  </si>
  <si>
    <t>E02000235</t>
  </si>
  <si>
    <t>Croydon 042</t>
  </si>
  <si>
    <t>MultiPolygon (((533105.61699996842071414 159801.08500036128680222, 533021.21600029803812504 159710.36000009518465959, 532972.73600014694966376 159738.71699966827873141, 533087.88400014967191964 159625.61900003260234371, 533102.70399962121155113 159645.02999985497444868, 533167.59000002790708095 159586.89700006536440924, 533185.38799996278248727 159614.25600041923462413, 533210.56799989112187177 159693.44299954292364419, 533165.64500020619016141 159746.35500036212033592, 533304.68800042010843754 159610.30800001381430775, 533415.10000002779997885 159693.20299975865054876, 533620.25000042316969484 159372.03100026259198785, 533645.87500035855919123 159242.9999996553233359, 533652.12500020663719624 159211.79700019815936685, 533600.3480000535491854 159190.91000007433467545, 533570.62499973131343722 159160.70300041965674609, 533745.48700037028174847 158895.70000038522994146, 533752.92600002186372876 158880.10900015290826559, 533806.62499972654040903 158742.99999971251236275, 533782.49999960581772029 158583.49900032664299943, 533675.10200019634794444 158509.525999888923252, 533649.72099980898201466 158493.10700016829650849, 533458.99999987636692822 158371.70300020661670715, 533314.97500030288938433 158174.84599974192678928, 533255.46399954217486084 158066.52400000000488944, 533119.37400010472629219 158520.80899957419023849, 533246.99999970709905028 158568.99999981059227139, 533206.36100012552924454 158808.19300036662025377, 533194.00000036263372749 158903.99999966990435496, 533324.4869996610796079 158970.32499953909427859, 533153.84700046048965305 158989.43000021800980903, 533084.55199965566862375 159195.52899970213184133, 533012.00000020849984139 159355.99999996059341356, 533046.00000034971162677 159422.00000018006539904, 532918.72900002123787999 159611.91700013756053522, 532950.00000011513475329 159654.99999961562571116, 532867.98900027351919562 159704.30700001187506132, 532907.25999968906398863 159759.71300010118284263, 532893.66700010315980762 159844.72599991926108487, 532948.72500027262140065 159927.3120000000053551, 533018.99999996391125023 159875.00000003704917617, 533105.61699996842071414 159801.08500036128680222)))</t>
  </si>
  <si>
    <t>E01001071</t>
  </si>
  <si>
    <t>Croydon 042B</t>
  </si>
  <si>
    <t>MultiPolygon (((531341.37500001443549991 161257.15599983095307834, 531362.06700006627943367 161139.1710001706960611, 531379.60399977664928883 161103.55700002462253906, 531466.82599997171200812 161003.0549998587812297, 531533.02999996184371412 160932.34499995646183379, 531647.86100014264229685 160747.40899978822562844, 531664.5789998434484005 160708.51999998860992491, 531609.67000017850659788 160683.85699978334014304, 531656.27999988791998476 160583.04200016218237579, 531553.43099993863143027 160541.06300016577006318, 531437.78899995726533234 160751.2510000363108702, 531346.36299985402729362 160798.22500017459969968, 531289.36600012285634875 160765.71899997879518196, 531260.7120001973817125 160693.18700002969126217, 531311.90499979956075549 160529.43999987418646924, 531225.71700009296182543 160453.55400000000372529, 531192.71600022737402469 160511.85599977252422832, 531175.03099999623373151 160630.59299996183835901, 531129.84799993119668216 160659.7110000612156, 531157.44500008120667189 160713.65199976690928452, 531159.05999985779635608 160744.1729998393857386, 531090.85999981546774507 160741.33300019963644445, 531024.86099980433937162 160714.46300004521617666, 531012.8649999238550663 160827.31500002049142495, 531032.99200015002861619 160888.78499987698160112, 530987.44199993612710387 160919.13199994395836256, 531056.78899995447136462 161018.97400007239775732, 530996.54899997217580676 161024.47399990630219691, 531069.27400006470270455 161127.8830001478199847, 531030.74500011175405234 161149.23799995717126876, 530965.3490002021426335 161057.78999999599182047, 530907.09600015659816563 161078.14699977921554819, 531074.25000006868503988 161315.9369998108886648, 531123.04200014926027507 161285.04300014942418784, 531219.4379998609656468 161224.20299978571711108, 531376.12500005075708032 161409.03099999995902181, 531341.37500001443549991 161257.15599983095307834)))</t>
  </si>
  <si>
    <t>E01001073</t>
  </si>
  <si>
    <t>Croydon 037A</t>
  </si>
  <si>
    <t>MultiPolygon (((531069.27400009566918015 161127.88299988559447229, 530996.54899997939355671 161024.47400011130957864, 531056.78900014678947628 161018.97399986628443003, 530987.44199998315889388 160919.1320002788270358, 531032.99200024758465588 160888.78499995786114596, 531012.86499997903592885 160827.3149997875734698, 531024.86099998338613659 160714.46299986523808911, 531090.8600001655286178 160741.3329999124398455, 531159.05999998818151653 160744.17299994803033769, 531157.44499986106529832 160713.65200027148239315, 531129.84800025809090585 160659.71100019256118685, 531175.03100002347491682 160630.59300009370781481, 531192.71599991153925657 160511.8559998020355124, 531007.187999845482409 160414.81299971413682215, 531009.97800012782681733 160348.84400009849923663, 531045.58800026774406433 160304.37300020109978504, 531266.11400011216755956 160408.8629999037948437, 531307.61700005794409662 160385.48300025673233904, 531323.85999998927582055 160316.97099978273035958, 531271.91600022430066019 160272.7069997449289076, 531189.61900026316288859 160249.7629997561161872, 531137.80900028941687196 160218.70200000572367571, 531143.57499995990656316 160133.34099970938405022, 531088.3149997458094731 160098.06000006548129022, 531028.90499976905994117 160203.97900019408552907, 530989.64100006222724915 160186.24499973797355779, 530897.58099986531306058 160289.45600006080348976, 530868.64900006307289004 160418.83899987442418933, 530799.73599999630823731 160415.77500013462849893, 530803.60400026955176145 160350.90599985342123546, 530760.9390002948930487 160353.64299984954413958, 530731.05099994735792279 160287.22400007309624925, 530588.15700010419823229 159958.31400000001303852, 530641.84099997486919165 160098.69099983311025426, 530542.57199977431446314 160144.7290002612862736, 530466.95399993169121444 160069.34399993560509756, 530507.24399971927050501 160152.33299998249276541, 530488.68399998161476105 160167.32300019121612422, 530431.34200023044832051 160206.26899996696738526, 530355.31300001067575067 160257.92100005369866267, 530405.42200025799684227 160306.00000007849303074, 530597.97099987405817956 160551.02299993994529359, 530717.93300007411744446 160802.03299983404576778, 530734.18300025665666908 160833.88899970974307507, 530902.22899998049251735 161071.31800003882381134, 530907.09599970560520887 161078.14700001242454164, 530965.34899974789004773 161057.79000016461941414, 531030.7449999765958637 161149.23800000001210719, 531069.27400009566918015 161127.88299988559447229)))</t>
  </si>
  <si>
    <t>E01001074</t>
  </si>
  <si>
    <t>Croydon 041E</t>
  </si>
  <si>
    <t>E02000234</t>
  </si>
  <si>
    <t>Croydon 041</t>
  </si>
  <si>
    <t>MultiPolygon (((529405.85800026135984808 159392.05299963956349529, 529472.39899959997273982 159203.95200007542734966, 529433.30099988030269742 159086.75899956453940831, 529432.94900000828783959 158912.18599976936820894, 529312.20500040915794671 158862.76999959305976517, 529332.00099951424635947 158814.00000040259328671, 529376.99999983003363013 158794.99999951405334286, 529489.9989996129879728 158819.0000000175787136, 529564.18900045473128557 158875.77000008849427104, 529751.14399971289094537 158823.89399958000285551, 529616.42500051646493375 158630.68099951845942996, 529415.20599981350824237 158232.47599995907512493, 529351.67500027304049581 158065.2470004569622688, 529068.12499972421210259 157309.625, 528887.69899955845903605 157428.27200030401581898, 528829.50000030174851418 157458.48400023684371263, 528690.74200008111074567 157418.77299981989199296, 528635.95000030507799238 157556.09900043986272067, 528518.69599955214653164 157774.99000042505213059, 528702.12500032945536077 157913.00000051691313274, 528736.12500006298068911 157986.96900000871391967, 528559.90500014706049114 158008.87400006855023094, 528736.87500011210795492 158410.14099949222872965, 528708.23499954689759761 158414.76399969676276669, 528592.06200008618179709 158424.00099992996547371, 528457.06300028704572469 158484.79699993974645622, 528529.56300004897639155 158757.35900000232504681, 528465.84100010117981583 158890.52000034227967262, 528643.48199952149298042 158997.56500003722612746, 528656.70199980330653489 158949.89299985833349638, 528609.65800025849603117 158906.06500045576831326, 528735.35400031600147486 158838.64799967443104833, 528723.40900001081172377 158788.4089996850816533, 528810.01100018923170865 158740.36999969734461047, 528917.87299993634223938 159012.74199984726146795, 528914.06600035808514804 159101.92199993232497945, 528871.00000052666291595 159117.99999965456663631, 528905.99999996938277036 159212.00000011242809705, 528958.26200006413273513 159361.08499989661504515, 529108.83399993006605655 159427.6589995238755364, 529151.000000344007276 159440.99999979510903358, 529163.76599947293289006 159401.72100033855531365, 529264.89000043750274926 159412.82299948963918723, 529336.15099985734559596 159386.11499998305225745, 529346.02499983157031238 159426.55000041608582251, 529286.17600003920961171 159447.4340000000083819, 529436.99999948556069285 159420.89999997464474291, 529405.85800026135984808 159392.05299963956349529)))</t>
  </si>
  <si>
    <t>E01001027</t>
  </si>
  <si>
    <t>Croydon 043E</t>
  </si>
  <si>
    <t>E02000236</t>
  </si>
  <si>
    <t>Croydon 043</t>
  </si>
  <si>
    <t>MultiPolygon (((530071.30999984557274729 159149.91999971665791236, 530108.8469999834196642 159032.21100004264735617, 530229.74599996232427657 159037.72099998968769796, 530270.52400023408699781 158958.20399991670274176, 530329.62299976276699454 158942.5009998029563576, 530388.84500017436221242 159036.74600015627220273, 530469.18700010643806309 158951.75699995207833126, 530521.22200002311728895 159108.33899987570475787, 530522.53500020049978048 159157.20399990913574584, 530573.99999998288694769 159177.0000002661254257, 530526.9220002080546692 159290.9390001593856141, 530561.86200010986067355 159320.16000025800894946, 530573.32599974260665476 159277.8140000841813162, 530636.9430002145236358 159267.87199990547378547, 530775.43299999996088445 158781.8770000446238555, 530648.99999991594813764 158741.00000020698644221, 530662.85899975756183267 158834.87699987369705923, 530646.26399985037278384 158855.94600014452589676, 530600.67299980600364506 158837.63700009748572484, 530587.2910001379204914 158905.43599987798370421, 530541.96799983142409474 158893.99099986339570023, 530511.55899972724728286 158796.09200020402204245, 530479.70500002440530807 158795.63999983310350217, 530593.62200020730961114 158723.8979997837159317, 530622.50800005416385829 158649.65899986738804728, 530604.00000007194466889 158624.21699982616701163, 530524.052000273601152 158603.40299985947785899, 530567.25199984561186284 158553.11199984562699683, 530547.86000012268777937 158499.80700010730652139, 530524.1119997997302562 158467.15299976855749264, 530446.1459998789941892 158487.58900028662174009, 530201.68999993510078639 158651.9010000097041484, 530194.13499991246499121 158583.76399988515186124, 529980.76700027356855571 158523.77400020742788911, 530000.99999996100086719 158819.99999984289752319, 529999.99999974551610649 159034.00000016964622773, 529894.00000008731149137 158964.99999979077256285, 529681.43800010986160487 158630.87200000247685239, 529665.00000000582076609 158604.00000024423934519, 529616.42500000004656613 158630.681000120122917, 529751.143999780761078 158823.8940001510491129, 530034.11900010437238961 159425.98800023144576699, 530070.64799997408408672 159422.53599979367572814, 530026.00000013178214431 159158.99999986495822668, 530071.30999984557274729 159149.91999971665791236)))</t>
  </si>
  <si>
    <t>E01001015</t>
  </si>
  <si>
    <t>Croydon 041A</t>
  </si>
  <si>
    <t>MultiPolygon (((530534.03900028124917299 159673.25000024097971618, 530709.12499980244319886 159665.26599990981048904, 530811.23000000067986548 159747.93200017043272965, 531016.62500015669502318 159818.10899983762647025, 531066.7729998470749706 159970.79500021666171961, 531127.56299970869440585 159892.82799972532666288, 531164.45800015702843666 159768.82299964461708441, 531326.6409998454619199 159390.70299977058311924, 531310.50000022014137357 159230.51599998379242606, 531355.07600018638186157 159109.88700016649090685, 531200.00000011525116861 158828.92399965145159513, 530892.63200017984490842 158718.55999999999767169, 530775.43299964489415288 158781.87699965373030864, 530636.94299979344941676 159267.87199971624067985, 530573.3259997145505622 159277.81400034439866431, 530561.86199966806452721 159320.15999983108486049, 530526.92199985287152231 159290.93899992664228193, 530573.99999975692480803 159177.00000009924406186, 530522.53499988815747201 159157.20400032945326529, 530521.22199974453542382 159108.3389997985213995, 530469.18700000992976129 158951.75699972311849706, 530388.84500031860079616 159036.74600018217461184, 530329.62300027371384203 158942.50099996555945836, 530270.52400020754430443 158958.20400014379993081, 530229.74599981331266463 159037.72100029603461735, 530108.84699983079917729 159032.21099966010660864, 530071.31000034161843359 159149.92000026573077776, 530025.99999981350265443 159158.99999994775862433, 530070.64799967897124588 159422.53599984108586796, 530034.11900022730696946 159425.9880000383418519, 530102.05899971653707325 159559.54500026706955396, 530145.21899973356630653 159637.98599979293067008, 530488.68399972550105304 160167.32300000003306195, 530507.2439996562898159 160152.33299983965116553, 530466.95399986661504954 160069.34400004131020978, 530522.2499999551801011 159885.57799995609093457, 530559.62500021443702281 159874.17199968747445382, 530551.5730000187177211 159824.95899976449436508, 530534.03900028124917299 159673.25000024097971618)))</t>
  </si>
  <si>
    <t>E01001016</t>
  </si>
  <si>
    <t>Croydon 041B</t>
  </si>
  <si>
    <t>MultiPolygon (((530001.00000053690746427 158819.99999970034696162, 529980.76699994201771915 158523.77399947345838882, 529997.31999950052704662 158099.30800048459786922, 530295.35000048344954848 158162.83400027599418536, 530287.43700006708968431 157901.03800021015922539, 530339.63300043775234371 157910.21600027312524617, 530386.00100008735898882 157613.99999976990511641, 530326.00000020884908736 157604.99999976236722432, 530314.10000031895469874 157363.80599961048574187, 530368.69899981573689729 157248.23899949071346782, 530521.71700009552296251 157070.45299957945826463, 530331.9860004564980045 156871.42999999999301508, 530157.50000018754508346 157125.50000032124808058, 530030.37499981059227139 157103.59399989200755954, 530018.89000034763012081 157154.24599989122361876, 529946.18799978925380856 157388.48399956632056274, 529699.68800006306264549 157244.76599965480272658, 529568.12499948288314044 157288.20300006246543489, 529513.93699965858832002 157429.28100047638872638, 529455.68999975500628352 157347.80099961507949047, 529424.90199995029252023 157366.32199950687936507, 529372.68800050963182002 157267.41599985401262529, 529199.04699959862045944 157349.05300005344906822, 529174.37499969324562699 157358.7499996158585418, 529101.56300001183990389 157356.6090001703123562, 529068.12499990442302078 157309.62500002517481335, 529351.67499984195455909 158065.24699964266619645, 529415.20599949522875249 158232.47599996675853617, 529616.42500024428591132 158630.68099992236238904, 529664.99999989464413375 158603.99999951914651319, 529681.43800046818796545 158630.87200026735081337, 529893.99999984644819051 158965.0000003025343176, 530000.00000005553010851 159034, 530001.00000053690746427 158819.99999970034696162)))</t>
  </si>
  <si>
    <t>E01001017</t>
  </si>
  <si>
    <t>Croydon 043A</t>
  </si>
  <si>
    <t>MultiPolygon (((530488.68399985216092318 160167.3230003803037107, 530145.21899968653451651 159637.98600033196271397, 530102.05899982701521367 159559.54499964884598739, 530034.11899980599991977 159425.98800010193372145, 529751.14400030660908669 158823.89399990695528686, 529564.18900025438051671 158875.77000008078175597, 529489.99900005117524415 158818.99999962141737342, 529376.99999988626223058 158795, 529332.00100031693000346 158814.00000024569453672, 529312.2050001478055492 158862.77000031791976653, 529432.94899999024346471 158912.18600003200117499, 529433.30100028135348111 159086.75899969501188025, 529472.39900012349244207 159203.95200037152972072, 529584.15799996291752905 159353.31300035561434925, 529667.15499961946625262 159384.57099980293423869, 529693.62200034514535218 159459.62300017662346363, 529668.55600013956427574 159499.08999989519361407, 529656.00000000896397978 159520.00000033824471757, 529661.99999972176738083 159648.9999999396095518, 529747.60400028352160007 159688.82199978557764553, 529733.32200017769355327 159650.73800002969801426, 529810.99700006982311606 159672.67799994218512438, 529858.76999964111018926 159762.10799980105366558, 529921.9390003620646894 159779.87400016354513355, 529932.80600029439665377 159835.00000027808710001, 529926.73799993027932942 159871.95199997266172431, 529882.56699982087593526 159881.70800023726769723, 529908.80599990300834179 159959.05100002969265915, 530042.5260000484995544 160124.16999962538830005, 530163.60199999064207077 160131.14399981137830764, 530304.68299998587463051 160299.71600032941205427, 530360.56400020874571055 160334.95699999999487773, 530405.42199977522250265 160305.99999968218617141, 530355.31300016166642308 160257.92099987526307814, 530431.3420000746846199 160206.26900030669639818, 530488.68399985216092318 160167.3230003803037107)))</t>
  </si>
  <si>
    <t>E01001023</t>
  </si>
  <si>
    <t>Croydon 041C</t>
  </si>
  <si>
    <t>MultiPolygon (((534487.11599995265714824 186895.26499985074042343, 534543.70700011891312897 186841.2019999228650704, 534578.54799997131340206 186856.5339998908166308, 534654.06800002639647573 186753.72700007274397649, 534697.68799999984912574 186690.35899995462386869, 534605.70399995916523039 186645.44399985717609525, 534583.54200012306682765 186636.09799987467704341, 534548.86900011263787746 186626.43700010949396528, 534488.2679998615058139 186634.33499996547470801, 534337.13300003251060843 186656.99799992801854387, 534246.99999986332841218 186672.28100002100109123, 534166.68799985002260655 186616.33699991149478592, 534104.06499985442496836 186597.77300000647665001, 534066.16899999999441206 186596.60999998397892341, 534149.72100003296509385 186740.993000119458884, 534192.83999988005962223 186723.97300007028388791, 534263.64899986679665744 186882.83199985115788877, 534383.15999994101002812 186859.93600000627338886, 534417.40899998939130455 186849.12300001658149995, 534428.53600006725173444 186899.74100001604529098, 534487.11599995265714824 186895.26499985074042343)))</t>
  </si>
  <si>
    <t>E01001722</t>
  </si>
  <si>
    <t>Hackney 029A</t>
  </si>
  <si>
    <t>E02006921</t>
  </si>
  <si>
    <t>Hackney 029</t>
  </si>
  <si>
    <t>MultiPolygon (((534265.31300010532140732 187375.21900003295741044, 534254.24200002511497587 187337.08700004979618825, 534281.93900003435555845 187363.51599988847738132, 534315.47099991154391319 187323.37499992633820511, 534347.37399990565609187 187342.6720000924251508, 534388.45799997251015157 187295.88100004082662053, 534424.249999969615601 187317.56199992389883846, 534456.93799999135080725 187254.2190001122362446, 534420.15800008689984679 187221.7800000884453766, 534421.79399998276494443 187219.44900001419591717, 534442.73999999847728759 187182.57900001635425724, 534252.04900006134994328 187082.74099994488642551, 534274.1380000909557566 187023.15300006791949272, 534227.90099989250302315 187018.85800006135832518, 534226.14700009662192315 186986.02400008897529915, 534205.28600006049964577 186912.19399999995948747, 534094.5360000574728474 186920.74400008009979501, 534087.00000003632158041 187053.99999992686207406, 534044.6590000978903845 187043.62299995345529169, 534044.16100010205991566 187071.58199991440051235, 534081.81599988345988095 187194.15199989036773331, 534044.07100000872742385 187208.27599995833588764, 534065.14899994980078191 187229.57200012012617663, 534176.52900011814199388 187337.12699998277821578, 534223.22300006367731839 187382.43199988722335547, 534241.56300009973347187 187400.39100000000325963, 534265.31300010532140732 187375.21900003295741044)))</t>
  </si>
  <si>
    <t>E01001727</t>
  </si>
  <si>
    <t>Hackney 006C</t>
  </si>
  <si>
    <t>MultiPolygon (((534551.50600008445326239 186971.94500011214404367, 534578.54799997282680124 186856.53400001427507959, 534543.70699998363852501 186841.2019999093899969, 534487.11599998420570046 186895.26499992699245922, 534428.53599996282719076 186899.74100005015498027, 534417.40900008415337652 186849.12300001489347778, 534383.15999996243044734 186859.93599991942755878, 534263.64900004642549902 186882.83200007860432379, 534192.83999994245823473 186723.97299999999813735, 534149.72100002702791244 186740.99300004754331894, 534160.75800004962366074 186775.33099992710049264, 534205.28599991602823138 186912.19400002021575347, 534226.14699991175439209 186986.0239999242767226, 534227.90099988703150302 187018.85799996636342257, 534274.13799991609994322 187023.15300004871096462, 534252.049000010243617 187082.7410000249510631, 534442.7400000742636621 187182.5790000730776228, 534492.09399988816585392 187184.95400000002700835, 534495.14799993520136923 187179.22800010940409265, 534519.85200007550884038 187131.93399991965270601, 534543.09100006241351366 187036.87300007403246127, 534548.46299996611196548 186997.17599995492491871, 534551.50600008445326239 186971.94500011214404367)))</t>
  </si>
  <si>
    <t>E01001728</t>
  </si>
  <si>
    <t>Hackney 029B</t>
  </si>
  <si>
    <t>MultiPolygon (((535732.05700001190416515 185426.82300000000395812, 535783.00000012444797903 185296.99999987590126693, 535760.90900007029995322 185285.04299986155820079, 535695.00000007450580597 185255.00000002488377504, 535714.83200002578087151 185202.11499999699299224, 535713.87500005285255611 185075.32799990350031294, 535737.1430000412510708 185083.65000010759104043, 535813.99999993410892785 185110.00000001612352207, 535929.27800008817575872 185133.88499998592305928, 535948.42299999354872853 185066.73000008068629541, 535953.49300000013317913 185048.94299996268819086, 535986.81300001707859337 184940.12499992965604179, 535895.08799999346956611 184942.29199997190153226, 535878.31499987677671015 184942.83599990204675123, 535864.78499999758787453 184943.27300011983606964, 535869.66799989610444754 184863.55100000000675209, 535760.86599988583475351 184890.85499989480013028, 535803.68500004126690328 184926.44700005082995631, 535775.00899995188228786 184949.14699993410613388, 535601.63100003206636757 184952.98199988852138631, 535584.00000006589107215 185044.99999992482480593, 535516.00000006565824151 185044.99999992482480593, 535506.03700011107139289 185076.75600003701401874, 535587.06199988711159676 185090.79899989019031636, 535557.9809999072458595 185200.99299991223961115, 535517.88900002860464156 185186.92599988402798772, 535484.65999998291954398 185297.11500002216780558, 535522.49300004018004984 185311.71700002049328759, 535521.14699991792440414 185394.73099997238023207, 535547.19500013545621186 185404.20199985962244682, 535662.75199989497195929 185369.93199993250891566, 535732.05700001190416515 185426.82300000000395812)))</t>
  </si>
  <si>
    <t>E01001729</t>
  </si>
  <si>
    <t>Hackney 019A</t>
  </si>
  <si>
    <t>E02000363</t>
  </si>
  <si>
    <t>Hackney 019</t>
  </si>
  <si>
    <t>MultiPolygon (((535506.03700003598351032 185076.75599998733378015, 535516.00000002060551196 185044.99999998768907972, 535583.99999996065162122 185044.99999998768907972, 535601.63100011553615332 184952.9820001408807002, 535775.00899990613106638 184949.14699999039294198, 535803.68500010599382222 184926.44699986712657847, 535760.8660000478848815 184890.8550000878458377, 535869.66800008283462375 184863.55100000224774703, 535885.96100001933518797 184773.46499994254554622, 535890.93000013963319361 184745.99400013682316057, 535851.31699997477699071 184733.56699990527704358, 535779.3949998680036515 184714.40399993731989525, 535729.19799998437520117 184707.63099996338132769, 535606.21400001377332956 184702.21300001034978777, 535593.46300012327264994 184701.0750000698317308, 535538.37000009266193956 184619.3060000000114087, 535504.31899998779408634 184633.02500006026821211, 535526.8569999907631427 184675.07000012515345588, 535505.11899993568658829 184705.94199992052745074, 535540.54300007491838187 184732.65799995712586679, 535526.40600002731662244 184788.47300007168087177, 535468.9350001368438825 184792.34200011816574261, 535436.30000011436641216 184864.36700012368964963, 535494.45499993127305061 184901.37599990531452931, 535458.64699999149888754 184958.17399986137752421, 535353.93599997414276004 184959.58900002384325489, 535352.99999986053444445 185029.95700004260288551, 535422.06500005850102752 185033.09699998382711783, 535370.47299986565485597 185065.04500002914573997, 535398.86699995305389166 185098.18299992437823676, 535439.99600004847161472 185115.51399995331303217, 535423.99999989639036357 185155.00000010462827049, 535475.00000006949994713 185173.00000009732320905, 535490.86199989588931203 185178.07700000709155574, 535517.88900005049072206 185186.92599987509311177, 535557.98099997325334698 185200.99299999998765998, 535587.06200003786943853 185090.7989999974379316, 535506.03700003598351032 185076.75599998733378015)))</t>
  </si>
  <si>
    <t>E01001730</t>
  </si>
  <si>
    <t>Hackney 019B</t>
  </si>
  <si>
    <t>MultiPolygon (((535911.42800000624265522 185565.8660000775125809, 535948.53900000441353768 185414.07400009632692672, 535955.51300009503029287 185369.03900005415198393, 536006.14299986395053566 185177.51099994772812352, 536013.43800012767314911 185151.15599986302549951, 535929.27800004475284368 185133.88500005690730177, 535814.00000013364478946 185109.99999996880069375, 535737.14299998269416392 185083.64999989783973433, 535713.87499987764749676 185075.32800000000861473, 535714.83199990913271904 185202.11500006285496056, 535694.99999997473787516 185255.00000012281816453, 535760.90899992128834128 185285.0429999494808726, 535782.9999999807914719 185297.00000009223003872, 535732.05700000165961683 185426.82300011272309348, 535662.75199999415781349 185369.93200008693384007, 535547.19500008411705494 185404.2020000729826279, 535520.19200004916638136 185493.30399991886224598, 535520.06299987225793302 185526.15599990569171496, 535584.06300006411038339 185539.98400005241273902, 535594.56299998285248876 185506.45299985355813988, 535658.62500010908115655 185520.73400000503170304, 535649.17300005885772407 185555.42300007940502837, 535714.08100003004074097 185576.34800000576069579, 535703.75000010337680578 185608.29699993238318712, 535876.00600004324223846 185664.70900000000256114, 535911.42800000624265522 185565.8660000775125809)))</t>
  </si>
  <si>
    <t>E01001733</t>
  </si>
  <si>
    <t>Hackney 015A</t>
  </si>
  <si>
    <t>E02000359</t>
  </si>
  <si>
    <t>Hackney 015</t>
  </si>
  <si>
    <t>MultiPolygon (((535368.46400007663760334 185567.93900004628812894, 535387.62499992828816175 185468.65600011302740313, 535520.1919999704696238 185493.30400000972440466, 535547.19499999994877726 185404.20199996966402978, 535521.14699998940341175 185394.73100001670536585, 535444.03099984675645828 185440.7720001075649634, 535360.00000007310882211 185430.00000004377216101, 535376.77799998421687633 185362.47599996961071156, 535331.19699989724904299 185336.99799985438585281, 535306.80899998813401908 185336.55199992217239924, 535313.82899998838547617 185294.74099999072495848, 535273.60499995271675289 185326.99800004804274067, 535193.98399991681799293 185307.72899997961940244, 535155.98700003034900874 185337.29800004660501145, 535166.87000015855301172 185285.03099998980178498, 535059.14099997817538679 185258.07399986003292724, 535112.95599989907350391 185190.87699994837748818, 535069.52399989787954837 185055.53099995368393138, 534990.24600010621361434 185216.44499985274160281, 534986.44400012260302901 185213.14399991490063258, 534956.87500005564652383 185215.71900016625295393, 534931.89799998619128019 185298.97899985540425405, 534916.67300013254862279 185348.93099998406250961, 534894.42700010561384261 185420.40900014821090735, 534875.93799999996554106 185490.28100015153177083, 535054.10900007910095155 185552.63200010877335444, 535086.50000015064142644 185564.32799986508325674, 535104.95300007215701044 185526.65200011048000306, 535139.50000009755603969 185473.04699992135283537, 535302.75900007830932736 185550.15399985018302687, 535368.46400007663760334 185567.93900004628812894)))</t>
  </si>
  <si>
    <t>E01001734</t>
  </si>
  <si>
    <t>Hackney 017B</t>
  </si>
  <si>
    <t>E02000361</t>
  </si>
  <si>
    <t>Hackney 017</t>
  </si>
  <si>
    <t>MultiPolygon (((535484.66000011516734958 185297.11499995461781509, 535517.88899993081577122 185186.92599988263100386, 535490.86199993884656578 185178.07699998587486334, 535474.99999987636692822 185172.99999989176285453, 535423.99999999790452421 185155.00000011568772607, 535439.99599991180002689 185115.51400008381460793, 535398.86700010893400759 185098.18300008404185064, 535370.47299999371170998 185065.0449999014090281, 535422.06499991938471794 185033.09700002876343206, 535352.99999994097743183 185029.95699999944190495, 535353.93599993956740946 184959.58899997224216349, 535237.00499989686068147 184927.95499999995809048, 535247.30099988158326596 184952.80100006010616198, 535218.04800000961404294 184958.37200010364176705, 535178.52999994053971022 185034.894000026921276, 535083.93799995142035186 185018.03099989821203053, 535069.5239999700570479 185055.53099994454532862, 535112.95599989464972168 185190.87699999759206548, 535059.1410000683972612 185258.07399995138985105, 535166.87000006844755262 185285.03099991005728953, 535155.98700000217650086 185337.29800008379970677, 535193.98399997735396028 185307.7290000687353313, 535273.60499995434656739 185326.99800012644845992, 535313.82900005904957652 185294.74100006275693886, 535306.80899994121864438 185336.55200006571249105, 535331.19700006186030805 185336.99800008750753477, 535376.77799988107290119 185362.4759999210073147, 535359.99999993934761733 185429.99999994251993485, 535444.03099996410310268 185440.77199999999720603, 535521.14699992106761783 185394.73099999836995266, 535522.49299993168096989 185311.71699993021320552, 535484.66000011516734958 185297.11499995461781509)))</t>
  </si>
  <si>
    <t>E01001735</t>
  </si>
  <si>
    <t>Hackney 019D</t>
  </si>
  <si>
    <t>MultiPolygon (((534816.1680000756168738 186348.02600012451875955, 534778.71100005065090954 186339.138999921240611, 534615.44500001601409167 186320.97400005889357999, 534563.76399989833589643 186323.15300003706943244, 534595.05900005053263158 186231.88299994703265838, 534484.48300001048482955 186216.68699994229245931, 534417.27999997197184712 186243.4320000393781811, 534353.31399993423838168 186182.0059999999939464, 534320.2469999244203791 186187.91700007067993283, 534325.57400000188499689 186237.51099990264629014, 534389.72200007236097008 186293.04299995818291791, 534373.5599999917903915 186312.09599999128840864, 534381.81000008061528206 186344.46599999870522879, 534428.7769998733419925 186339.90300008645863272, 534473.77299994323402643 186380.04399999327142723, 534446.88499989302363247 186417.43900001552538015, 534645.84400004625786096 186581.07599988218862563, 534583.54200001712888479 186636.09799987400765531, 534605.70400006987620145 186645.44399988045915961, 534697.6879999948432669 186690.35899999999674037, 534733.89099992299452424 186630.09699997148709372, 534736.64899998856708407 186625.14899993140716106, 534816.1680000756168738 186348.02600012451875955)))</t>
  </si>
  <si>
    <t>E01001767</t>
  </si>
  <si>
    <t>Hackney 010D</t>
  </si>
  <si>
    <t>E02000354</t>
  </si>
  <si>
    <t>Hackney 010</t>
  </si>
  <si>
    <t>MultiPolygon (((534822.00200011115521193 186328.02900010929442942, 534860.66399992443621159 186225.22099997245823033, 534867.72100013133604079 186143.71300004539079964, 534870.06399994087405503 186072.2899999642977491, 534893.88000000012107193 185966.47099990793503821, 534833.67200001247692853 185931.10800006476347335, 534818.20599997660610825 185927.98100008728215471, 534677.17800003278534859 185908.76599996828008443, 534645.99999999650754035 185943.99999995203688741, 534621.9999999200226739 186080.999999915715307, 534618.11800005938857794 186115.55299998805276118, 534587.56700009398628026 186112.52299998447415419, 534456.93199990771245211 186113.32300009514437988, 534440.28200005402322859 186063.14299997169291601, 534384.35299997625406832 186078.33699989970773458, 534444.30699989281129092 186172.59000008803559467, 534353.31400000001303852 186182.00600004722946323, 534417.27999995404388756 186243.43200010259170085, 534484.48299993120599538 186216.68699993187328801, 534595.05899997765664011 186231.88299995407578535, 534563.76400010660290718 186323.15299991995561868, 534615.44500011298805475 186320.97399999661138281, 534778.71100011991802603 186339.13900012240628712, 534816.16799993719905615 186348.02600003173574805, 534822.00200011115521193 186328.02900010929442942)))</t>
  </si>
  <si>
    <t>E01001770</t>
  </si>
  <si>
    <t>Hackney 010E</t>
  </si>
  <si>
    <t>MultiPolygon (((536051.0890000854851678 185465.16199994599446654, 536108.0000000111758709 185438.99999991268850863, 536124.90700000792276114 185441.48500008924747817, 536165.9999999888241291 185449.00000010948861018, 536232.91600000823382288 185457.5149998827255331, 536225.82399990002159029 185501.08999995654448867, 536263.38699990906752646 185500.80000011544325389, 536300.58499992603901774 185493.17699999388423748, 536304.94000010611489415 185436.29200006567407399, 536271.54699996882118285 185426.33300004203920253, 536296.85299989941995591 185290.66199989407323301, 536326.16100010985974222 185298.88299995716079138, 536332.8969999918481335 185270.40899996348889545, 536228.10000006901100278 185225.87300001163384877, 536198.44499988318420947 185215.02399990722187795, 536166.13699992885813117 185203.20000001939479262, 536151.80499995057471097 185197.94800004819990136, 536013.43800004769582301 185151.15599999998812564, 536006.14300009910948575 185177.51100007968489081, 535955.51299997873138636 185369.03900010720826685, 535948.53900000813882798 185414.0739999076758977, 535976.71399990981444716 185417.95199988270178437, 535979.49400006688665599 185455.03899995706160553, 536015.00899995933286846 185452.8459999197802972, 535988.19399990595411509 185626.78999998880317435, 536023.16100003849714994 185636.01800000001094304, 536051.0890000854851678 185465.16199994599446654)))</t>
  </si>
  <si>
    <t>E01001785</t>
  </si>
  <si>
    <t>Hackney 015B</t>
  </si>
  <si>
    <t>MultiPolygon (((535252.55999991612043232 186198.25699996406910941, 535265.90399993432220072 186174.53400009113829583, 535122.3290001304121688 186111.5360000673099421, 535089.99999996600672603 186174.9999999153369572, 534870.06399999803397804 186072.2900000000372529, 534867.72100011829752475 186143.71300009154947475, 534860.6639999175677076 186225.22099999798228964, 534822.00199988961685449 186328.02899992658058181, 534875.09900000400375575 186368.21300012114807032, 534885.71400001039728522 186412.98800002245116048, 534851.35100008791778237 186435.7000000769039616, 534808.42799991997890174 186493.4180000614724122, 535100.17499999236315489 186587.05599986112792976, 535085.00500008487142622 186616.55299988022306934, 535118.15900000266265124 186630.0590000000083819, 535264.45799997705034912 186545.95599990079062991, 535262.94900001131463796 186538.86900009436067194, 535248.72099999280180782 186436.23500010967836715, 535271.73199992848094553 186404.93200012436136603, 535196.00000004889443517 186349.9999999601568561, 535219.84100013703573495 186324.45600003926665522, 535288.70100007997825742 186226.59800002549309283, 535252.55999991612043232 186198.25699996406910941)))</t>
  </si>
  <si>
    <t>E01001792</t>
  </si>
  <si>
    <t>Hackney 011A</t>
  </si>
  <si>
    <t>E02000355</t>
  </si>
  <si>
    <t>Hackney 011</t>
  </si>
  <si>
    <t>MultiPolygon (((535089.99999992025550455 186175, 535122.32900000200606883 186111.5360000207729172, 535265.90399990417063236 186174.53399995734798722, 535282.07700006582308561 186070.55599990012706257, 535313.00000005308538675 185993.99999993300298229, 535266.23100004426669329 185958.71399995507090352, 535148.46199993521440774 185877.07200003348407336, 535191.27699992142152041 185877.31999990696203895, 535262.18699999991804361 185804.58700002639670856, 535233.88300001341849566 185772.2650000574067235, 535089.5080000429879874 185720.52100000000791624, 535052.1679999491898343 185735.24699992581736296, 535054.60600005241576582 185781.01900003547780216, 534983.37299993075430393 185772.24099993036361411, 534918.10799988708458841 185913.31099998063291423, 534897.59800002386327833 185958.3930000739346724, 534893.88000003865454346 185966.47100003401283175, 534870.06399994692765176 186072.28999998859944753, 535089.99999992025550455 186175)))</t>
  </si>
  <si>
    <t>E01001794</t>
  </si>
  <si>
    <t>Hackney 011C</t>
  </si>
  <si>
    <t>MultiPolygon (((535492.87799997930414975 185894.10900009205215611, 535438.73699989262968302 185774.46399987794575281, 535488.00000001338776201 185731.00000003768946044, 535459.24799994251225144 185687.65800002962350845, 535386.68699999561067671 185683.10799988664803095, 535353.05000005278270692 185632.85700002004159614, 535365.00299992726650089 185601.40099994061165489, 535486.55000003846362233 185620.95399987860582769, 535497.84499999997206032 185591.60599994435324334, 535368.46399995300453156 185567.93899996372056194, 535302.75899998820386827 185550.1540000312961638, 535139.49999996297992766 185473.04699996125418693, 535104.95299988868646324 185526.65199996705632657, 535086.49999999371357262 185564.32799996715039015, 534983.3729999999050051 185772.24100006386288442, 535054.6060000613797456 185781.01900004208437167, 535052.16800008341670036 185735.24700009560910985, 535089.50799996370915323 185720.52099999968777411, 535233.88299988966900855 185772.26499992544995621, 535262.18700005812570453 185804.58699991853791289, 535348.46599999873433262 185776.85900002895505168, 535373.6050000631948933 185847.74999994089012034, 535454.52999999688472599 185922.7060000387718901, 535492.87799997930414975 185894.10900009205215611)))</t>
  </si>
  <si>
    <t>E01001795</t>
  </si>
  <si>
    <t>Hackney 011D</t>
  </si>
  <si>
    <t>MultiPolygon (((534879.34400003356859088 186822.39999999999417923, 534881.62499989557545632 186796.51600002974737436, 534959.4750000883359462 186798.96300003337091766, 534962.60000000894069672 186799.06400002865120769, 535006.00000005005858839 186800.00000005852780305, 535038.05099991441238672 186733.6440000455477275, 535070.73599993530660868 186720.34999999849242158, 535026.04699993703979999 186711.27499988483032212, 535072.98600001656450331 186653.95500004605855793, 535112.0000001173466444 186667.00000000436557457, 535118.15900009998586029 186630.05900008854223415, 535085.00499995169229805 186616.5529999143036548, 535100.17500001424923539 186587.05599998249090277, 534808.42800002719741315 186493.417999888129998, 534851.35100002924446017 186435.70000000181607902, 534885.71400003076996654 186412.98800005039083771, 534875.09899989329278469 186368.21300001454073936, 534822.00199994374997914 186328.02900000000954606, 534816.16799995093606412 186348.02599994561751373, 534736.64900004875380546 186625.14900001112255268, 534733.89099990052636713 186630.09699991546222009, 534697.68799997970927507 186690.35900009211036377, 534654.06799989996943623 186753.72700002876808867, 534712.51199991395696998 186803.03899994157836773, 534739.4379999777302146 186816.80400009397999384, 534879.34400003356859088 186822.39999999999417923)))</t>
  </si>
  <si>
    <t>E01001798</t>
  </si>
  <si>
    <t>Hackney 028A</t>
  </si>
  <si>
    <t>E02006918</t>
  </si>
  <si>
    <t>Hackney 028</t>
  </si>
  <si>
    <t>MultiPolygon (((534705.9809999909484759 187026.9070000974170398, 534740.17999991378746927 187022.43399993993807584, 534811.47699995350558311 187031.69300004167598672, 534838.48499996296595782 187034.82299997328664176, 534888.10700008051935583 187041.55699992840527557, 534911.83799998753238469 187044.48800004573422484, 534913.61699997039977461 186958.2759999638365116, 534955.91599999996833503 186959.7869999427057337, 534932.06899998348671943 186892.358999931224389, 534899.29299999179784209 186910.25200001054327004, 534893.40500003867782652 186882.22700004046782851, 534879.34399992774706334 186822.39999998096027412, 534739.43800002429634333 186816.80400002605165355, 534712.51200006389990449 186803.03899998118868098, 534654.06800008297432214 186753.72700006395461969, 534578.54800010053440928 186856.53399998843087815, 534551.50600003055296838 186971.9450000319047831, 534548.46300007787067443 186997.17599998918012716, 534543.09100000001490116 187036.87299995950888842, 534714.9810000864090398 187078.82199993604444899, 534705.9809999909484759 187026.9070000974170398)))</t>
  </si>
  <si>
    <t>E01001822</t>
  </si>
  <si>
    <t>Hackney 029C</t>
  </si>
  <si>
    <t>MultiPolygon (((534263.14599988737609237 187835.21100002163439058, 534429.94299982476513833 187657.06099985950277187, 534637.59099989733658731 187819.43799996582674794, 534650.31200015789363533 187747.60900010386831127, 534759.76899999985471368 187631.09799997520167381, 534670.72099990083370358 187580.43899996753316373, 534653.83700001961551607 187504.0249998711515218, 534649.87499983061570674 187487.75100007030414417, 534643.62600016559008509 187428.43600001456798054, 534499.02699985797517002 187296.23399982808041386, 534520.97700010053813457 187260.50400007027201355, 534420.15800008177757263 187221.77999997840379365, 534456.93800004781223834 187254.21899995548301376, 534424.24999992083758116 187317.56200007724692114, 534388.45800013851840049 187295.88099995808443055, 534347.37399997445754707 187342.672000043123262, 534315.47100014030002058 187323.37500017762067728, 534281.93899985193274915 187363.5160000094329007, 534254.24200009671039879 187337.08700006720027886, 534265.31299987761303782 187375.21899994820705615, 534241.56299988715909421 187400.39099993856507353, 534223.22300001559779048 187382.4319999709550757, 534254.21600016672164202 187420.34200003941077739, 534136.99199993419460952 187499.3619998466456309, 534121.77000009024050087 187542.64699999152799137, 534157.81900008290540427 187592.142999958305154, 534111.69400014623533934 187628.58099991548806429, 534049 187676.00100000243401155, 534074.48300016473513097 187701.46300014172447845, 534109.99999986705370247 187732.00000004403409548, 534153.19499995349906385 187695.80499992487602867, 534263.14599988737609237 187835.21100002163439058)))</t>
  </si>
  <si>
    <t>E01001824</t>
  </si>
  <si>
    <t>Hackney 004D</t>
  </si>
  <si>
    <t>MultiPolygon (((534255.69599994085729122 187936.06399992806836963, 534137.28400003490969539 187792.04099987293011509, 534156.91599984921049327 187769.32800000134739093, 534109.99999995424877852 187732.00000015486148186, 534074.48300005251076072 187701.46300014553708024, 534049.00000014214310795 187676.00099991777096875, 534111.6939998809248209 187628.581000137666706, 534157.8189999561291188 187592.14299990973086096, 534121.76999986288137734 187542.64700006673228927, 534136.99200005677994341 187499.36200001440010965, 534254.21599987614899874 187420.34199997590621933, 534223.22300014935899526 187382.43200012802844867, 534176.5289999358355999 187337.12700000000768341, 534062.31300010101404041 187441.60899995363433845, 534084.24999997077975422 187460.42199995458940975, 533956.43199997488409281 187457.92599998737568967, 533876.9299998675705865 187467.34899985010270029, 533876.09000005898997188 187496.56200002710102126, 533904.29700010793749243 187541.60999985638773069, 533888.96999993792269379 187732.5049998611502815, 533922.68799993710126728 187730.10900013911304995, 533931.75100010517053306 187799.21899988988297991, 533962.37499987136106938 187809.48400014138314873, 533941.01600009319372475 187876.35999995455495082, 534018.00000010430812836 187893.99999999947613105, 534029.93999992951285094 187857.24499988844036125, 534075.63399987947195768 187892.06100012865499593, 534125.28900004364550114 187866.22200012076064013, 534159.50399992952588946 187864.90100006444845349, 534199.12300014717038721 187962.40599999998812564, 534233.54900011897552758 187961.41399986873148009, 534255.69599994085729122 187936.06399992806836963)))</t>
  </si>
  <si>
    <t>E01001826</t>
  </si>
  <si>
    <t>Hackney 004E</t>
  </si>
  <si>
    <t>MultiPolygon (((534918.70200007304083556 187190.52100001889630221, 534857.84300005726981908 187143.14900004089577124, 534785.926999949850142 187141.86700001070857979, 534787.13399987167213112 187099.62699988196254708, 534714.98099995648954064 187078.82200012420071289, 534543.09099986241199076 187036.87300000002142042, 534519.85200013301800936 187131.93399997832602821, 534495.14799987140577286 187179.22799990305793472, 534492.09400009328965098 187184.95400013527250849, 534442.74000006401911378 187182.57899987261043862, 534421.79399992420803756 187219.44899996661115438, 534420.15799985791090876 187221.77999994784477167, 534520.97699997597374022 187260.50399986858246848, 534499.02699995029252023 187296.23400009798933752, 534643.62599994649644941 187428.43600004693144001, 534649.87499988463241607 187487.75099999061785638, 534653.83700012310873717 187504.0249999554362148, 534670.72099997894838452 187580.43899986761971377, 534759.76900004327762872 187631.09799999999813735, 534812.37399999669287354 187545.51599997244193219, 534821.20700012310408056 187540.42499986549955793, 534933.50000010372605175 187507.34400001738686115, 534992.01700014213565737 187384.98099994519725442, 534957.99999995168764144 187350.99999998504063115, 534889.62900001485832036 187251.1989999910001643, 534891.000000094412826 187244.00000006661866792, 534918.70200007304083556 187190.52100001889630221)))</t>
  </si>
  <si>
    <t>E01001827</t>
  </si>
  <si>
    <t>Hackney 029D</t>
  </si>
  <si>
    <t>MultiPolygon (((536360.39000010932795703 185088.41900000115856528, 536441.80300013080704957 184986.86700007392209955, 536372.92100005131214857 184969.05600010979105718, 536267.73799988999962807 184923.2579998659202829, 536302.56799988308921456 184825.44099987766821869, 536428.725000070175156 184778.20399999999790452, 536297.16700010187923908 184779.18700010929023847, 536191.66100000462029129 184828.49699993600370362, 536199.86800007603596896 184884.62199996475828812, 536155.00000012596137822 184895.92399988160468638, 536154.36900010902900249 184937.41300011018756777, 536154.99600000085774809 184951.36800010356819257, 536171.93300005793571472 184983.34500004205619916, 536195.76099996501579881 184984.69700002501485869, 536182.9700000787852332 185027.47000002028653398, 536163.85300006938632578 185012.02999990986427292, 536074.74400006094947457 185037.83800006392993964, 536140.01900011114776134 185078.82199998633586802, 536122.26500008767470717 185150.50500013169948943, 536157.08400007791351527 185121.29900000311317854, 536182.83800004422664642 185128.40400013246107846, 536197.13999990548472852 185072.35800005006603897, 536247.21999993431381881 185086.00499996257713065, 536151.80499988235533237 185197.94800003865384497, 536166.1369999994058162 185203.20000000394065864, 536198.44500012404751033 185215.02400000824127346, 536228.09999989927746356 185225.87299988055019639, 536332.89700013294350356 185270.40900009070173837, 536459.67400006111711264 185319.63000006767106242, 536468.26200010860338807 185323.8120000000053551, 536529.2039999389089644 185196.99700011138338596, 536360.39000010932795703 185088.41900000115856528)))</t>
  </si>
  <si>
    <t>E01001847</t>
  </si>
  <si>
    <t>Hackney 018B</t>
  </si>
  <si>
    <t>MultiPolygon (((536151.80500015954021364 185197.94800000000395812, 536247.22000015922822058 185086.00499987867078744, 536197.140000035520643 185072.35800011994433589, 536182.83800006296951324 185128.40400011232122779, 536157.08400006406009197 185121.29899987520184368, 536122.26500000106170774 185150.50500011257827282, 536140.01899986644275486 185078.82200014209956862, 536074.74399992299731821 185037.83800015386077575, 536163.85299998533446342 185012.02999986353097484, 536182.96999985387083143 185027.46999983434216119, 536195.76099998434074223 184984.69700007798383012, 536171.9330000129994005 184983.34499999979743734, 536154.99599985335953534 184951.36800003153621219, 536154.36899998271837831 184937.41299995439476334, 536154.99999995180405676 184895.92399998602923006, 536199.86800009105354548 184884.62199984764447436, 536191.66100004978943616 184828.49699998565483838, 536297.16700012190267444 184779.18700013952911831, 536428.72499991988297552 184778.20400015218183398, 536460.16599983663763851 184854.35300007427576929, 536500.74000010790769011 184762.44900003637303598, 536466.99999997427221388 184716.00000006129266694, 536489.70800004445482045 184694.09900014210143127, 536310.21199993381742388 184506.84599999999045394, 536252.17400001839268953 184532.47900013296748511, 536189.49199992034118623 184645.93999992293538526, 536180.00100009108427912 184642.99999983672751114, 536170.62099988188128918 184668.90400006921845488, 536158.99999984574969858 184702.19999999518040568, 536143.99999998416751623 184746.00000012989039533, 536065.27599996840581298 184745.22800014863605611, 536063.41000003425870091 184775.80499989484087564, 536130.7250000445637852 184787.02899984264513478, 536102.65500010189134628 184805.84699995975825004, 535941.10300003737211227 184810.21299987079692073, 535938.4780000961618498 184833.87599993075127713, 535939.00000014877878129 184860.9990000803663861, 535975.75999991735443473 184865.22700005295337178, 535983.90400013676844537 184896.38699996986542828, 535892.6659998920513317 184899.57800000926363282, 535895.08800002397038043 184942.29200004233280197, 535986.81300015165470541 184940.12499996199039742, 535953.49299998104106635 185048.94299993937602267, 535948.42300003336276859 185066.7299999253009446, 535929.27800016722176224 185133.88500014712917618, 536013.43800014781299978 185151.15599988237954676, 536151.80500015954021364 185197.94800000000395812)))</t>
  </si>
  <si>
    <t>E01001848</t>
  </si>
  <si>
    <t>Hackney 018C</t>
  </si>
  <si>
    <t>MultiPolygon (((534918.10799994121771306 185913.31099999998696148, 534983.37300002190750092 185772.24100010396796279, 535086.5000000698491931 185564.3280000843515154, 535054.10899992473423481 185552.63200001712539233, 534875.93799993873108178 185490.28099999995902181, 534872.0080000520683825 185509.43999993393663317, 534865.52599998691584915 185541.03800009744009003, 534860.25400003371760249 185576.80000003811437637, 534862.11700004094745964 185601.62199999729637057, 534823.61099993018433452 185609.32299992628395557, 534839.55100003548432142 185895.88299990724772215, 534885.8500000050989911 185894.65099990856833756, 534918.10799994121771306 185913.31099999998696148)))</t>
  </si>
  <si>
    <t>E01033703</t>
  </si>
  <si>
    <t>Hackney 010F</t>
  </si>
  <si>
    <t>MultiPolygon (((534918.10800000000745058 185913.31099985065520741, 534885.85000005690380931 185894.65099991040187888, 534839.55099997262004763 185895.88299991170060821, 534823.61100019433069974 185609.32300018801470287, 534862.11700008751358837 185601.62199997407151386, 534860.25399996060878038 185576.80000001061125658, 534739.93100011593196541 185545.84899990414851345, 534620.06100009812507778 185516.21400010422803462, 534441.77200007031206042 185471.98699991442845203, 534329.42299995082430542 185444.48700013922643848, 534234.0829998318804428 185575.87699982049525715, 534203.05699989013373852 185641.6469998914108146, 534160.24700005899649113 185752.20000004750909284, 534128.212000000057742 185839.11999988305615261, 534213.58599998138379306 185840.75500008417293429, 534232.38899992883671075 185870.85400019746157341, 534250.99999985564500093 185842.99999984100577421, 534303.28600008401554078 185937.30199999595060945, 534316.31300006643868983 185845.90299994856468402, 534369.90800014813430607 185921.87300013285130262, 534516.8620000280207023 185904.28600005331099965, 534645.99999989406205714 185944.00000014281249605, 534677.17799991811625659 185908.76599987855297513, 534818.20600016228854656 185927.9810001008445397, 534833.67199993890244514 185931.1080001009395346, 534893.8799998537870124 185966.47099986075772904, 534897.59800004109274596 185958.39300005865516141, 534918.10800000000745058 185913.31099985065520741)))</t>
  </si>
  <si>
    <t>E01033713</t>
  </si>
  <si>
    <t>Hackney 010G</t>
  </si>
  <si>
    <t>MultiPolygon (((531030.28199998615309596 165004.53599975639372133, 531076.37000013841316104 164771.52000006515299901, 531132.68500017886981368 164814.08000002460903488, 531092.39700028067454696 164829.29599975934252143, 531056.87699988437816501 164921.03999981618835591, 531180.99999984889291227 164944.00000005288165994, 531238.52100012334994972 164986.0859999893582426, 531225.55800001486204565 164967.56400027734343894, 531264.41800004139076918 164936.47600002496619709, 531296.55999993754085153 164911.78799995331792161, 531613.96700010495260358 164948.16300027404213324, 531793.99999984155874699 164916.00000020122388378, 531837.00000017101410776 164896.99999982715235092, 531824.99999990430660546 164867.00000002738670446, 531776.58899992238730192 164630.68500003247754648, 531664.88800003041978925 164526.86200009044841863, 531479.19499986839946359 164455.69400023040361702, 531465.87299990595784038 164456.86099972360534593, 531422.32399999618064612 164460.16300021763890982, 531421.68599977751728147 164403.27600010071182624, 531488.86099999281577766 164414.19500016627716832, 531481.99999984342139214 164364.00000007112976164, 531449.89700011000968516 164380.1199997570074629, 531435.60599992505740374 164353.59299974259920418, 531417.29299979633651674 164394.15000014152610675, 531378.70899994415231049 164393.44099984868080355, 531297.71899988641962409 164444.36199977414798923, 531266.11099977465346456 164475.96300021235947497, 531284.19599988486152142 164502.53600006314809434, 531241.99999971140641719 164528.0009997334855143, 531247.83299974771216512 164495.80700019811047241, 531186.9250001359032467 164481.83999976544873789, 531132.12200009555090219 164413.5820001853571739, 531099.0010001128539443 164435.62300009708269499, 531107.87200007436331362 164341.47200008216896094, 530942.65399986528791487 164127.33100015416857786, 530899.00000022840686142 164160.00000016123522073, 530885.92199995100963861 164117.95600000000558794, 530892.87499977322295308 164347.14099992267438211, 530912.1859998453874141 164366.5729999665345531, 530883.87499971769284457 164518.70300003420561552, 530815.37500019418075681 164500.03100005156011321, 530792.92199976253323257 164530.00899980391841382, 530690.43199982901569456 164590.21400008155615069, 530828.25000011303927749 164644.89100021822378039, 530809.19899997056927532 164801.86099973268574104, 530796.6649999194778502 164844.58700020739343017, 530721.99999990710057318 165167.98399977726512589, 530955.98300007928628474 165273.87599999998928979, 530950.77299988793674856 165235.67200017839786597, 530947.55900016147643328 165175.57800000856514089, 530913.69299991347361356 165151.26099997438723221, 530928.58300015435088426 165083.78800011530984193, 530968.02599999203812331 165010.7889998568862211, 531030.28199998615309596 165004.53599975639372133)))</t>
  </si>
  <si>
    <t>E01001167</t>
  </si>
  <si>
    <t>Croydon 028A</t>
  </si>
  <si>
    <t>MultiPolygon (((531665.48999972548335791 162595.61799983671517111, 531627.26100011251401156 162517.43600010755471885, 531721.86200005596037954 162575.87200010661035776, 531755.42700000002514571 162537.51200017047813162, 531672.09400019538588822 162500.02500015488476492, 531723.78399973246268928 162452.45299965608865023, 531740.51999967091251165 162422.18000001460313797, 531704.12899986293632537 162325.38999996546772309, 531659.26699971978086978 162340.34400001319590956, 531527.2410002943361178 162239.34799990837927908, 531439.06200036616064608 162263.31100009634974413, 531431.81500025209970772 162217.27100008048000745, 531360.10200025676749647 162204.61799996698391624, 531249.87000004504807293 162053.16199969919398427, 531195.62500001990702003 162042.86299985778168775, 531146.90900022489950061 162134.43500024819513783, 531040.93899998301640153 162070.64200017470284365, 531156.57600009103771299 161932.78400004029390402, 531196.99999969569034874 161935.99999983079032972, 531216.41800003265962005 161780.25100005947751924, 531156.27000003575813025 161645.54400033879210241, 530971.23399974207859486 161750.70999971643323079, 530879.16799968888517469 161705.35000023082830012, 530762.9999997653067112 161730.0000002050655894, 530492.99999996402766556 161908.00000016641570255, 530326.00000034214463085 161939.00000005669426173, 530289.00000000011641532 162022.99899967983947136, 530341.00000000523868948 162064.00000018195714802, 530621.00000031513627619 162241.07000020521809347, 530661.51499978057108819 162245.13499963880167343, 530670.95100000035017729 162355.95200010726694018, 531106.37500026484485716 162393.42199983462342061, 531124.1250000128056854 162425.70299996362882666, 531218.56299999624025077 162415.10899973582127132, 531227.66400010033976287 162346.99999998454586603, 531449.06300024478696287 162426.50000010526855476, 531438.76100009377114475 162667.98999966119299643, 531626.32699976162984967 162638.21899977498105727, 531665.48999972548335791 162595.61799983671517111)))</t>
  </si>
  <si>
    <t>E01001092</t>
  </si>
  <si>
    <t>Croydon 037B</t>
  </si>
  <si>
    <t>MultiPolygon (((531297.71900007606018335 164444.3620000145456288, 531378.70899972517509013 164393.44100019536563195, 531417.29300031438469887 164394.15000007385970093, 531435.60600031912326813 164353.59300034152693115, 531431.67899983422830701 164281.55899982768460177, 531472.98799977626185864 164227.63399982819100842, 531444.99999982200097293 164187.00099965921253897, 531454.99999964877497405 164182.99999977694824338, 531512.26600026059895754 163880.3829999636800494, 531523.00000017485581338 163869.000000104540959, 531578.3509998278459534 163645.78999965582625009, 531546.42900001187808812 163512.66700024995952845, 531317.96799988020211458 163237.25300007575424388, 531103.53499999560881406 163107.81699999998090789, 531071.75100016908254474 163241.89999976416584104, 530993.95599982619751245 163247.82799973984947428, 530897.50100024114362895 163747.88599991271621548, 530705.74999974179081619 163709.61000030831201002, 530665.68800017202738672 163864.68699999930686317, 530860.37500031152740121 163893.81199997401563451, 530830.54399988695513457 163923.49599999314523302, 530786.43800010369159281 163990.8279999326041434, 530859.35700034874025732 163991.681000077893259, 530851.18799972755368799 164102.53100030892528594, 530885.92200007813517004 164117.9560000523342751, 530899.00000019266735762 164159.99999989141360857, 530942.65400014445185661 164127.33100033371010795, 531107.87199979019351304 164341.47199973650276661, 531099.00100008747540414 164435.6230000237992499, 531132.12200018670409918 164413.58199997691554017, 531186.92499983042944223 164481.83999964952818118, 531247.83299982210155576 164495.80700015358161181, 531242.00000021466985345 164528.00099999998928979, 531284.1960002169944346 164502.53600023736362346, 531266.11100010212976485 164475.96299990147235803, 531297.71900007606018335 164444.3620000145456288)))</t>
  </si>
  <si>
    <t>E01001172</t>
  </si>
  <si>
    <t>Croydon 028D</t>
  </si>
  <si>
    <t>MultiPolygon (((532100.77099989051930606 163976.85599959292449057, 532127.10400020808447152 163930.42500036139972508, 532207.65099968714639544 163900.76299971609842032, 532344.19900034100282937 163934.19599978596670553, 532540.36700035422109067 163896.89200006239116192, 532541.09499964397400618 163876.95000005257315934, 532541.37499962490983307 163785.53099970985203981, 532392.37500010244548321 163769.65599967067828402, 532349.95499968936201185 163712.58300026759388857, 532314.19099986087530851 163650.67000001456472091, 532240.4799998925300315 163515.38000002998160198, 532185.29999964090529829 163389.49899960492621176, 532095.60599994740914553 163387.78900031128432602, 532068.57999992475379258 163306.94500025088200346, 532054.19299959542695433 163181.90799990989034995, 532024.40000010340008885 162992.02999994004494511, 531951.2500001322478056 162794.48399997351225466, 531912.43799999228212982 162714.81200002200785093, 531878.93800003314390779 162732.64099971571704373, 531920.25000012072268873 162808.03100036006071605, 531860.25199979625176638 162831.75600021833088249, 531622.56299974513240159 162899.0469996802858077, 531623.62500009743962437 162771.78099988045869395, 531461.81299972557462752 162771.67200015921844169, 531438.76099969167262316 162667.99000019187224098, 531449.06300024024676532 162426.49999965651659295, 531227.66400002303998917 162347, 531218.56299978191964328 162415.10900027918978594, 531245.74999971105717123 162424.04699971745139919, 531238.18800015549641103 162524.40999971036217175, 531212.06299975293222815 162522.09399965580087155, 531131.92699992738198489 162950.26300029637059197, 531103.53500037523917854 163107.81699973149807192, 531317.96799979289062321 163237.25300020928261802, 531546.42900007159914821 163512.66699999067350291, 531578.35099961922969669 163645.79000022905529477, 531522.99999993364326656 163869.00000000433647074, 531646.5559999862452969 163932.51099972380325198, 531721.99900002533104271 163868.00000019042636268, 531714.63399999623652548 163910.63499994011363015, 531812.07900014077313244 163976.00600012269569561, 531827.99900011788122356 163947.5830003013543319, 531881.81400004960596561 163951.02000031495117582, 531874.59900036419276148 163991.20200012557324953, 532034.00199987390078604 163998.58600000001024455, 532100.77099989051930606 163976.85599959292449057)))</t>
  </si>
  <si>
    <t>E01001173</t>
  </si>
  <si>
    <t>Croydon 028E</t>
  </si>
  <si>
    <t>MultiPolygon (((531711.96100000001024455 165528.07000011048512533, 531563.70400002668611705 165338.69699981587473303, 531611.99999992153607309 165337.70100003402330913, 531603.3889999856473878 165292.33800001698546112, 531569.59900006046518683 165246.74699989118380472, 531522.66499983845278621 165160.39599983103107661, 531469.44900005450472236 165086.94100015246658586, 531433.90800006967037916 165106.90200002305209637, 531378.71699983906000853 165158.15899984407587908, 531331.78200018557254225 165153.04500007606111467, 531320.69099989999085665 165156.5439999052323401, 531177.14099996082950383 165099.58799998988979496, 531142.01200006040744483 165103.36199995200149715, 531158.00000013830140233 165161.00000013315002434, 531118.77300005813594908 165164.75500011947588064, 531116.64099985349457711 165135.67399988989927806, 530999.60500015714205801 165131.36499991593882442, 530928.58300000580493361 165083.78800000867340714, 530913.693000000086613 165151.26100001635495573, 530947.55899982841219753 165175.57799988507758826, 530950.77300002053380013 165235.67200008939835243, 530955.98299989744555205 165273.87600016995565966, 531132.56099987088236958 165323.07500002812594175, 531097.31300016399472952 165446.20299992751097307, 531165.49999980849679559 165470.87499995334655978, 531196.06199991656467319 165378.0939998475369066, 531240.63799988548271358 165382.09599991841241717, 531385.9009999327827245 165435.99100007698871195, 531377.0000000090803951 165526.93699997794465162, 531532.40600001579150558 165477.88799986569210887, 531545.17099982895888388 165478.86700013137306087, 531705.11199985782150179 165552.49299999128561467, 531711.96100000001024455 165528.07000011048512533)))</t>
  </si>
  <si>
    <t>E01001165</t>
  </si>
  <si>
    <t>Croydon 024C</t>
  </si>
  <si>
    <t>MultiPolygon (((531101.95199996221344918 167946.14499976203660481, 531136.46400011656805873 167848.1459997929923702, 531170.25299989024642855 167866.36000012865406461, 531213.33399997232481837 167879.768999878608156, 531227.93200001516379416 167826.93099989919574, 531186.79900016624014825 167766.88300016580615193, 531225.82999975909478962 167764.93299976919661276, 531244.89799982635304332 167727.78099984375876375, 531293.99999985285103321 167767.99999988943454809, 531306.99999975843820721 167716.86699985287850723, 531268.9130000047152862 167710.19200009369524196, 531278.5129998754709959 167658.20700000575743616, 531323.81599987368099391 167632.7330001785303466, 531279.55700015625916421 167604.84399988240329549, 531297.71600010409019887 167574.50100003732950427, 531335.11300000001210719 167483.86100016135605983, 531214.04300017503555864 167424.80199983759666793, 531247.56899995671119541 167347.74100007573724724, 531191.44899992248974741 167316.66199999570380896, 531122.98799996438901871 167408.05499980476452038, 531018.00799987057689577 167470.81199987500440329, 530961.77100017969496548 167415.71599993648123927, 530872.37599985813722014 167332.29199982169666328, 530838.52700001269113272 167334.37600005621789023, 530838.00000018847640604 167317.00000007735798135, 530733.42899993900209665 167418.52999991553951986, 530710.83099984272848815 167358.86499983427347615, 530740.59700012614484876 167344.87800019924179651, 530680.00000022002495825 167247.29000023796106689, 530588.5240001508500427 167282.19700005868799053, 530511.4290000261971727 167264.22000000617117621, 530376.47800004843156785 167362.57699975857394747, 530368.61699999996926636 167406.66799975858884864, 530434.81399999174755067 167528.68600023284670897, 530448.35499989939853549 167625.06300003605429083, 530613.83899978804402053 167514.93899991805665195, 530667.66300013998989016 167575.35300008868216537, 530787.64799995743669569 167484.33900008807540871, 530843.73799995589070022 167537.65499999420717359, 530815.00499977904837579 167568.26099983131280169, 530877.7009999374859035 167659.92600012640468776, 530906.24199988495092839 167682.59299982184893452, 530938.49799976032227278 167659.27999999898020178, 530961.30699994752649218 167694.09500003195716999, 531072.2749999463558197 167607.53500019776402041, 531134.99999981722794473 167624.99999996079714037, 531106.43000015732832253 167655.25100001815008, 531126.86599992588162422 167670.98299996595596895, 531158.34799984307028353 167687.09800004918361083, 531062.47699983895290643 167940.79900014083250426, 531101.95199996221344918 167946.14499976203660481)))</t>
  </si>
  <si>
    <t>E01001176</t>
  </si>
  <si>
    <t>Croydon 011C</t>
  </si>
  <si>
    <t>E02000204</t>
  </si>
  <si>
    <t>Croydon 011</t>
  </si>
  <si>
    <t>MultiPolygon (((531122.98799999372567981 167408.0549999647482764, 531191.44900003017392009 167316.66200009718886577, 531239.50299989141058177 167249.40099998348159716, 531214.68299994105473161 167227.74499993849894963, 531233.09200006548780948 167203.06499990107840858, 531284.0400000000372529 167060.68699996583745815, 531253.24600010795984417 167038.29900010852725245, 531105.00000007590278983 167087.9999999935971573, 531055.97499990416690707 167069.03500008126138709, 530994.83099993318319321 167083.82099993899464607, 530991.5999999133637175 167115.84000007266877219, 530933.00400009704753757 167142.58199998721829616, 530943.96399997046682984 167242.1110000574553851, 530901.00000006554182619 167270.00000008376082405, 530871.13099993264768273 167241.85200001782504842, 530876.8629999803379178 167107.22100010351277888, 530843.06799992534797639 167105.0050000099290628, 530838 167317.00000006539630704, 530838.52700005134101957 167334.37600009629386477, 530872.37599993881303817 167332.29199996520765126, 530961.77099997864570469 167415.71599990534014069, 531018.0079999464796856 167470.81199989150627516, 531122.98799999372567981 167408.0549999647482764)))</t>
  </si>
  <si>
    <t>E01001179</t>
  </si>
  <si>
    <t>Croydon 016D</t>
  </si>
  <si>
    <t>E02000209</t>
  </si>
  <si>
    <t>Croydon 016</t>
  </si>
  <si>
    <t>MultiPolygon (((530837.99999987322371453 167317.00000015780096874, 530843.06799984036479145 167105.00499985337955877, 530876.86299992515705526 167107.22100015496835113, 530871.13100011274218559 167241.85199982978519984, 530901.00000000151339918 167270.00000011720112525, 530943.96400007628835738 167242.11099994368851185, 530933.00399986002594233 167142.58199997254996561, 530991.5999998664483428 167115.84000013826880604, 530994.8310001662466675 167083.82100011833244935, 531055.97500001138541847 167069.0349998825986404, 531104.99999986600596458 167088.0000001322478056, 531141.64500016043893993 167006.7459999255661387, 531090.67300009727478027 166992.22699994131107815, 531084.73999981814995408 166955.05000014250981621, 531168.99999983108136803 166956.99999992057564668, 531292.21300009335391223 167014.08499988639960065, 531260.96900018793530762 166940.50099983529071324, 531314.62400000018533319 166931.71100009398651309, 531319.49199999996926636 166913.85900017753010616, 531204.81300009158439934 166862.76599986598012038, 531066.73400014662183821 166849.71800000604707748, 531061.06199982296675444 166850.26200010234606452, 530927.98500006040558219 166852.55899996455991641, 530859.23099993425421417 166834.65300008389749564, 530819.62900000100489706 166840.88799996269517578, 530756.23199989320710301 166883.79299989083665423, 530578.90500012307893485 166989.45299988120677881, 530548.0969999999506399 167008.1709998375736177, 530567.36099989421200007 167040.37800000418792479, 530673.76099987945053726 166973.81200008396990597, 530686.73199986189138144 167003.26699999021366239, 530700.92899990256410092 167030.77500007356866263, 530780.26200015482027084 167021.34299990098224953, 530813.16499994555488229 167060.84200008818879724, 530805.29499982262495905 167164.45100001036189497, 530688.00000006367918104 167237.00000010509393178, 530679.99999982700683177 167247.29000018004444428, 530740.59700000623706728 167344.87799985290621407, 530710.83099986345041543 167358.8649999471672345, 530733.42900018917862326 167418.52999991606338881, 530837.99999987322371453 167317.00000015780096874)))</t>
  </si>
  <si>
    <t>E01001180</t>
  </si>
  <si>
    <t>Croydon 016E</t>
  </si>
  <si>
    <t>MultiPolygon (((530357.20699999225325882 166909.75500000000465661, 530633.67499991354998201 166741.68699995765928179, 530666.0000000128056854 166722.00000006350455806, 530756.23200005129911005 166883.79300016589695588, 530819.62900019239168614 166840.88800020108465105, 530859.23099997732788324 166834.65300010814098641, 530886.27400015480816364 166791.88400011954945512, 530863.11899983277544379 166758.75400015185005032, 530834.33300012745894492 166754.11099992651725188, 530862.99999980186112225 166502.00000013527460396, 530706.65299994556698948 166483.00900014373473823, 530698.84399985417257994 166408.54199983965372667, 530666.9999999109422788 166462.00000007310882211, 530640.00000017927959561 166442.99999994016252458, 530596.0000001109438017 166382.9999998469138518, 530648.00000019173603505 166280.99999989525531419, 530487.38400014815852046 166207.69200019459822215, 530512.73999983875546604 166161.11099993574316613, 530411.70300012326333672 166082.34600000001955777, 530359.93799991928972304 166274.21900004986673594, 530208.74999984516762197 166453.04699988968786784, 530319.56299989530816674 166488.0470000475179404, 530305.55600020021665841 166527.64100002858322114, 530250.7500001173466444 166810.71900000455207191, 530293.17899995855987072 166817.54199995816452429, 530302.56100012478418648 166845.52500005636829883, 530335.96499989239964634 166827.2209998260368593, 530357.20699999225325882 166909.75500000000465661)))</t>
  </si>
  <si>
    <t>E01001006</t>
  </si>
  <si>
    <t>Croydon 016A</t>
  </si>
  <si>
    <t>MultiPolygon (((531147.00200009788386524 166591.40900012414203957, 531180.71900012192782015 166564.06299992738058791, 531220.58199997979681939 166844.92199987743515521, 531248.80100007948931307 166836.89399982985923998, 531212.1819999908329919 166560.28199998385389335, 531240.57600016449578106 166551.7309998249693308, 531295.59699989855289459 166712.28199992142617702, 531324.96200005931314081 166708.61100001423619688, 531298.12900013255421072 166517.65300011271028779, 531292.16999996826052666 166500.22700001846533269, 531268.23200007469858974 166473.58200017333729193, 531307.84100011445116252 166440.13400008590542711, 531267.43099988449830562 166435.25100002443650737, 531265.6730001267278567 166389.79399991215905175, 531222.86999988043680787 166388.82199986962950788, 531050.62699986074585468 166535.46099998964928091, 531005.57099987124092877 166538.13300014031119645, 531078.79299987468402833 166393.130000146193197, 531107.17799990600906312 166382.60600007738685235, 531101.01400014397222549 166450.17300001057446934, 531223.60100011236499995 166345.60099998433724977, 531181.00000001059379429 166300.00000009022187442, 531226.25600003369618207 166297.15800014266278595, 531262.46200004743877798 166251.17099988763220608, 531239.53699997335206717 166139.50699999998323619, 531148.34299991559237242 166279.4529999140650034, 531037.02299984346609563 166306.09399989401572384, 530983.48800012085121125 166374.45399993046885356, 530884.99900000169873238 166340.00000005503534339, 530862.99999991606455296 166501.99999989467323758, 530834.33299994061235338 166754.11100001432350837, 530863.1190000947099179 166758.75399996401392855, 530886.27400008274707943 166791.8839998944895342, 530859.23099992459174246 166834.65300003878655843, 530927.98500005237292498 166852.5590000000083819, 531061.0619999875780195 166850.26199995705974288, 531159.47799998207483441 166617.67600005178246647, 531147.00200009788386524 166591.40900012414203957)))</t>
  </si>
  <si>
    <t>E01001008</t>
  </si>
  <si>
    <t>Croydon 019B</t>
  </si>
  <si>
    <t>E02000212</t>
  </si>
  <si>
    <t>Croydon 019</t>
  </si>
  <si>
    <t>MultiPolygon (((531050.62699994875583798 166535.46099971688818187, 531222.86999984993599355 166388.82199993755784817, 531265.67299974826164544 166389.79399984457995743, 531267.43099995341617614 166435.25100025066058151, 531307.84100028499960899 166440.13399991966434754, 531313.37399998074397445 166391.96500019964878447, 531384.75199972407426685 166318.96299999070470221, 531420.42199986090417951 166314.14200019135023467, 531473.99899993615690619 166265.0000002984306775, 531534.00000000954605639 166196.00000012104283087, 531515.0890002956148237 166178.66300020602648146, 531563.02699974027927965 166068.84299968020059168, 531589.45000029460061342 166137.36700023681623861, 531727.81999999994877726 165988.70500024137436412, 531721.99900015944149345 165944.99999977435800247, 531717.00000021990854293 165914.99999987063347362, 531555.00200007506646216 165898.31600011538830586, 531396.70700021553784609 165963.35100012982729822, 531340.29399975785054266 165860.30299974940135144, 531209.62199983722530305 165779.19599987196852453, 531259.07199987571220845 165691.21399971196660772, 531199.14399993827100843 165720.01299996513989754, 531089.99999970605131239 165863.99900016715400852, 530972.0000001733424142 165800.99999983762972988, 531034.00000006298068911 165620.99999975055106916, 530829.16099988552741706 165524.55700030620209873, 530579.98199987947009504 165532.66500010775052942, 530452.33800021628849208 165596.74599968417896889, 530398.56299999996554106 165622.89100009412504733, 530474.50000032957177609 165649.31200011659529991, 530462.87499985180329531 165705.20300002105068415, 530531.4980001465883106 165723.64999998168786988, 530411.70299987541511655 166082.34599970348062925, 530512.7399999073240906 166161.11100028219516389, 530487.38399992859922349 166207.69199980402481742, 530648.00000014947727323 166281.00000029138755053, 530596.00000000617001206 166382.99999983119778335, 530639.99999982072040439 166443.00000030329101719, 530667.00000026577617973 166461.99999975494574755, 530698.84399997943546623 166408.54200008339830674, 530706.65300003450829536 166483.00899968793964945, 530862.99999968113843352 166502.00000006970367394, 530884.99900031951256096 166340.00000005777110346, 530983.48800011374987662 166374.45399987872224301, 531037.02300032018683851 166306.09399972765822895, 531148.34300024295225739 166279.4529996961064171, 531239.53699973749462515 166139.50700032475288026, 531262.46200001507531852 166251.17099999589845538, 531226.25600025500170887 166297.15799975916161202, 531181.00000012305099517 166299.9999997430422809, 531223.60100014589261264 166345.60099988919682801, 531101.01399989286437631 166450.17300006642471999, 531107.17799988039769232 166382.60600008085020818, 531078.79300004302058369 166393.13000024753273465, 531005.570999825024046 166538.13299969380022958, 531050.62699994875583798 166535.46099971688818187)))</t>
  </si>
  <si>
    <t>E01001010</t>
  </si>
  <si>
    <t>Croydon 019D</t>
  </si>
  <si>
    <t>MultiPolygon (((531803.50000012421514839 166037.19499998388346285, 531829.64100016234442592 166007.09299982973607257, 531885.36099999886937439 166013.48700007199659012, 531861.72200001776218414 166036.48200040936353616, 531952.11800020141527057 166088.23100035352399573, 532033.27399980195332319 166051.7400002789509017, 532038.69500021485146135 166013.7070003543922212, 532110.9280000333674252 165970.19600033812457696, 532147.60799995623528957 165942.43500011321157217, 532184.09900003077927977 165956.87700019721523859, 532253.75299969350453466 165756.30900007556192577, 532315 165566.53099968758760951, 532225.13500034005846828 165541.63300037747831084, 532141.93800017016474158 165518.76600012555718422, 532061.39700025494676083 165543.01500033758929931, 531930.68799998029135168 165608.54699975642142817, 531900.93700004008132964 165673.23099958515376784, 531891.31199983018450439 165735.48399976341170259, 531865.16600033768918365 165735.75099994841730222, 531860.18800033570732921 165731.32800010687788017, 531705.11200040730182081 165552.49300027990830131, 531545.17099959671031684 165478.86699961958220229, 531532.40600024582818151 165477.88800009794067591, 531376.99999989382922649 165526.93699973085313104, 531385.9009996474487707 165435.99099970865063369, 531240.63800040679052472 165382.0960002432402689, 531196.06200036418158561 165378.09399991686223075, 531165.50000009266659617 165470.87500008635106497, 531097.3129997894866392 165446.20299988338956609, 531132.56100000347942114 165323.07500027047353797, 530955.98300007684156299 165273.87599965636036359, 530722.00000028021167964 165167.98400024391594343, 530721.87200019473675638 165179.71300039431662299, 530724.80700001900549978 165238.38499976135790348, 530625.06299958669114858 165427.24999984487658367, 530619.312999855610542 165511.0469996020256076, 530579.98199999984353781 165532.66500030117458664, 530829.16099966550245881 165524.55700006696861237, 531033.99999990675132722 165621.00000036298297346, 530972.00000005320180207 165800.99999971376382746, 531090.00000041804742068 165863.99900037641054951, 531199.14399958844296634 165720.01300040903151967, 531259.07200017350260168 165691.2139996403711848, 531209.62199971033260226 165779.19599987997207791, 531340.29399985866621137 165860.30299996965914033, 531396.70699971716385335 165963.35100038442760706, 531555.00200022873468697 165898.31600034172879532, 531717.00000020966399461 165915.00000022794120014, 531721.99900000204797834 165945.00000040890881792, 531727.82000013964716345 165988.70499972783727571, 531752.7070003030821681 165981.31999971190816723, 531757.54900005157105625 166044.46800025037373416, 531815.53100011020433158 166124.68999975608312525, 531856.47900030657183379 166081.88100016774842516, 531803.50000012421514839 166037.19499998388346285)))</t>
  </si>
  <si>
    <t>E01001014</t>
  </si>
  <si>
    <t>Croydon 024A</t>
  </si>
  <si>
    <t>MultiPolygon (((535211.83900003496091813 177311.4119999541726429, 535327.1879999153316021 177247.62499998751445673, 535328.65400000882800668 177094.00000005395850167, 535329.55600004107691348 177032.65299991559004411, 535330.76099991600494832 176978.1979999388277065, 535331.25199999997857958 176956.00099991573370062, 535297.51700001966673881 176956.00099991573370062, 535272.0300000807037577 177008.81299993238644674, 535253.54800001729745418 176951.41100006055785343, 535124.57100008893758059 176949.23300006348290481, 535128.99900000635534525 176989.00000001798616722, 535094.07300002593547106 177002.68299995217239484, 535077.05700005602557212 176957.71700007398612797, 535023.62600009189918637 176970.48099993885261938, 534971.83300003805197775 176940.86300004189251922, 534930.50999997556209564 177144.29900004417868331, 534923.57400008151307702 177168.5720000626752153, 534889.72699999983888119 177250.61799994399189018, 535037.0389999826438725 177273.46600010120891966, 535121.37499996251426637 177269.85799997227150016, 535155.18799996993038803 177343.31199995815404691, 535211.83900003496091813 177311.4119999541726429)))</t>
  </si>
  <si>
    <t>E01004003</t>
  </si>
  <si>
    <t>Southwark 023B</t>
  </si>
  <si>
    <t>E02000829</t>
  </si>
  <si>
    <t>Southwark 023</t>
  </si>
  <si>
    <t>MultiPolygon (((535272.02999980608001351 177008.81300000002374873, 535297.51700018742121756 176956.00099985601264052, 535331.25200002605561167 176956.00099985601264052, 535331.61000007041729987 176939.82400010776473209, 535335.95600007427856326 176756.19099997455487028, 535336.8039999328320846 176729.96100008135545067, 535348.08600002899765968 176639.6650001514935866, 535373.31899993226397783 176527.13000013126293197, 535375.54299997771158814 176517.20900017241365276, 535299.5700000012293458 176548.44000001225504093, 535274.90599995094817132 176517.98300014744745567, 535304.33299988345243037 176387.56100014373078011, 535338.66899998614098877 176272.63899984504678287, 535320.99999986216425896 176208.99999999735155143, 535325.40600006422027946 176186.08700012345798314, 535273.93499985267408192 176176.21700000000419095, 535223.48799988673999906 176374.61900011624675244, 535183.22800014750100672 176400.21399985515745357, 535133.82000006025191396 176377.11400016854167916, 535097.00000016367994249 176359.9999997959821485, 535107.93699995311908424 176323.49299979518400505, 535078.83400017477106303 176316.32899994903709739, 535017.65400017716456205 176423.12800009315833449, 534999.38500015332829207 176536.86499980886583216, 535018.00000001536682248 176600.99999999013380148, 534947.72399986942764372 176546.95799994716071524, 534905.92700002226047218 176587.14700006254133768, 534963.73900016502011567 176661.83500009725685231, 535028.55999991972930729 176685.59000014295452274, 535014.41000009363051504 176726.80599993097712286, 535117.57500011520460248 176713.37799988043843769, 535127.62699989613611251 176746.78399982594419271, 535095.75399985106196254 176728.38399998005479574, 535024.02399984351359308 176813.01099986652843654, 535077.05700010678265244 176957.71700019430136308, 535094.07300018344540149 177002.68299987737555057, 535128.99899987550452352 176988.99999981734436005, 535124.57099998940248042 176949.2330001519585494, 535253.54800007794983685 176951.41100010101217777, 535272.02999980608001351 177008.81300000002374873)))</t>
  </si>
  <si>
    <t>E01004004</t>
  </si>
  <si>
    <t>Southwark 023C</t>
  </si>
  <si>
    <t>MultiPolygon (((535592.00000007823109627 176800.00000005151377991, 535490.42799988831393421 176757.21400005364557728, 535435.07599994505289942 176724.16200000001117587, 535441.21399988152552396 176782.48600012375391088, 535335.95599990501068532 176756.19099997699959204, 535331.60999990860000253 176939.82400007691467181, 535331.25199989869724959 176956.0010001240298152, 535330.76099998014979064 176978.1980000312323682, 535329.55599993199575692 177032.65300005921744741, 535328.65399989823345095 177094.00000005488982424, 535327.18799988960381597 177247.625, 535488.67800000193528831 177153.3289999330881983, 535510.89299996965564787 177139.82200012827524915, 535593.00699998484924436 177086.93500001516076736, 535738.1459999019280076 176960.03400013074860908, 535741.82700009341351688 176951.00000003632158041, 535801.99400011042598635 176851.0000000654545147, 535654.69699989643413574 176809.53900008244090714, 535592.00000007823109627 176800.00000005151377991)))</t>
  </si>
  <si>
    <t>E01003338</t>
  </si>
  <si>
    <t>Lewisham 006A</t>
  </si>
  <si>
    <t>E02000658</t>
  </si>
  <si>
    <t>Lewisham 006</t>
  </si>
  <si>
    <t>MultiPolygon (((535818.15599991730414331 176798.46400009011267684, 535873.05700000002980232 176589.51399991608923301, 535754.99999996577389538 176559.99999999516876414, 535698.07999989553354681 176545.43399999834946357, 535689.87899989262223244 176577.1230000865762122, 535606.73099993262439966 176524.74999986711191013, 535599.48199990449938923 176413.14900004354421981, 535593.13299988082144409 176399.79400006012292579, 535519.34399988455697894 176344.00000001036096364, 535481.0719999058637768 176348.63200012259767391, 535464.84900008735712618 176398.88500012279837392, 535511.40100010670721531 176432.36900007809163071, 535400.80399995984043926 176473.45800000353483483, 535424.57400009129196405 176515.29899987298995256, 535373.3190000414615497 176527.1299999384500552, 535348.08599989535287023 176639.66499987104907632, 535336.80400003399699926 176729.9609998959931545, 535335.95600000000558794 176756.19099994999123737, 535441.21400002366863191 176782.48599996702978387, 535435.07600012794137001 176724.16199988994048908, 535490.42799989203922451 176757.21400011167861521, 535592.00000009161885828 176799.99999991862569004, 535654.69699997385032475 176809.53899988334160298, 535801.99400000227615237 176850.99999998963903636, 535804.90100008365698159 176848.79600012802984565, 535818.15599991730414331 176798.46400009011267684)))</t>
  </si>
  <si>
    <t>E01003339</t>
  </si>
  <si>
    <t>Lewisham 006B</t>
  </si>
  <si>
    <t>MultiPolygon (((536199.31400005950126797 176925.10599999997066334, 536277.73900007538031787 176695.61600005303625949, 536291.70400013134349138 176655.13299991638632491, 536342.12499988230410963 176482.29799992268090136, 536236.29999995755497366 176480.39899990576668642, 536190.34099999046884477 176403.79599989898269996, 536140.0000001018634066 176435.99999998832936399, 536082.70399985974654555 176350.2559999999939464, 536030.2909999965922907 176385.86299999358016066, 536113.93700011947657913 176505.36899993047700264, 535954.06500012869946659 176482.60500000230967999, 535936.23399988282471895 176525.82899990896112286, 535892.00000002316664904 176515.99999990247306414, 535873.05699987732805312 176589.51400003308663145, 535818.1560000644531101 176798.46400013903621584, 535804.90100011776667088 176848.795999888505321, 535842.44500001263804734 176848.08899992139777169, 536009.08599987917114049 176857.39800010289764032, 536175.72399989084806293 176915.6449999934702646, 536199.31400005950126797 176925.10599999997066334)))</t>
  </si>
  <si>
    <t>E01003340</t>
  </si>
  <si>
    <t>Lewisham 006C</t>
  </si>
  <si>
    <t>MultiPolygon (((535749.4699999128933996 177534.50999991892604157, 535740.48899998655542731 177480.72099999914644286, 535775.03400009917095304 177468.85999994951998815, 535773.00000003655441105 177432.99999990966171026, 535770.21400011028163135 177410.2139999971841462, 535764.99999999324791133 177286.00000005989568308, 535809.00000010954681784 177193.00000007508788258, 535813.63600001996383071 177171.02499997039558366, 535730.89500008954200894 177207.28500000017811544, 535669.93599990382790565 177178.34299992214073427, 535593.00699991779401898 177086.93499999999767169, 535510.8929999612737447 177139.82200009041116573, 535488.67800000938586891 177153.32899993605678901, 535451.83099998021498322 177236.45400006216368638, 535469.00000009941868484 177288.00000000960426405, 535479.50699989823624492 177335.62899993755854666, 535487.1729998973896727 177370.80599999029072933, 535520.13000001816544682 177510.00000005224137567, 535512.99999997124541551 177512.00000000194995664, 535534.62000002677086741 177546.36399996691034175, 535628.45900007057934999 177519.93099992419593036, 535637.25000005681067705 177566.81299995467998087, 535665.9999999146675691 177576.00099999998928979, 535749.4699999128933996 177534.50999991892604157)))</t>
  </si>
  <si>
    <t>E01003305</t>
  </si>
  <si>
    <t>Lewisham 003E</t>
  </si>
  <si>
    <t>E02000655</t>
  </si>
  <si>
    <t>Lewisham 003</t>
  </si>
  <si>
    <t>MultiPolygon (((535973.10599998699035496 177174.67400001242640428, 536060.90900009870529175 177126.52500013599637896, 536146.08899986231699586 177016.72900002732058056, 536175.72400000016205013 176915.64499987423187122, 536009.08600012992974371 176857.39800008240854368, 535842.44500014127697796 176848.08899985911557451, 535804.9010000986745581 176848.79599990628776141, 535801.99400009214878082 176850.99999992648372427, 535741.82699993858113885 176950.99999990628566593, 535738.14599995827302337 176960.03399995257495902, 535593.00699999998323619 177086.93500000008498318, 535669.93600004655309021 177178.34300010156584904, 535730.89500001072883606 177207.28499996804748662, 535813.63599989423528314 177171.02499993616947904, 535808.99999988195486367 177193.00000009627547115, 535828.85000013094395399 177248.02800008858321235, 535905.60199988877866417 177278.05699995553004555, 535880.84100003307685256 177318.62999996665166691, 535907.73700009763706475 177335.02400008882978, 535933.45700004615355283 177354.38700014090863988, 535973.10599998699035496 177174.67400001242640428)))</t>
  </si>
  <si>
    <t>E01003299</t>
  </si>
  <si>
    <t>Lewisham 003B</t>
  </si>
  <si>
    <t>MultiPolygon (((536008.58500007202383131 177668.47000006001326256, 536017.59799994202330709 177462.64300006601843052, 536064.00000003399327397 177526.00000002401066013, 536048.99999991396907717 177617.00000012200325727, 536086.18699995998758823 177627.50100001602550037, 536102.24100015999283642 177588.38200001200311817, 536127.78699994005728513 177496.06400009800563566, 536170.0920001600170508 177496.16000000201165676, 536151.29600005596876144 177467.31400012000813149, 536185.39599997596815228 177382.80500014600693248, 536226.99999995203688741 177338.00000015800469555, 536188.00000001804437488 177287.00000012799864635, 536203.00000013795215636 177267.99999984999885783, 536229.29599992395378649 177277.29800000201794319, 536297.68700013996567577 177186.84899992001010105, 536354.95200014195870608 177198.2400000580237247, 536383.98199984000530094 177134.50900009600445628, 536413.34199996397364885 177138.91400003799935803, 536422 177079.93200005200924352, 536248.99999987601768225 177039.00000016001285985, 536239.88399991998448968 177080.42599993600742891, 536146.08900015999097377 177016.72899994000908919, 536060.90899991197511554 177126.52500014202087186, 535973.10599982994608581 177174.67400018800981343, 535933.45699997805058956 177354.38699983601691201, 535907.73699999402742833 177335.02400011001736857, 535880.84100005205255002 177318.62999987200601026, 535905.6020000500138849 177278.05700018801144324, 535828.85000006796326488 177248.02800016599940136, 535808.99999988405033946 177193.0000000060244929, 535765.00000003597233444 177285.99999999400461093, 535770.21400011400692165 177410.21400014200480655, 535772.99999997403938323 177433.00000003600143827, 535775.03399983001872897 177468.86000008601695299, 535740.48900016595143825 177480.7210001320054289, 535749.47000006795860827 177534.50999983001383953, 535666 177576.00100010802270845, 535672.86199994198977947 177613.72199999800068326, 535743.31899998197332025 177628.34699992599780671, 535789.46200014394707978 177610.82199987402418628, 535916.99999999196734279 177656.99999981201835908, 536008.58500007202383131 177668.47000006001326256)))</t>
  </si>
  <si>
    <t>E01003301</t>
  </si>
  <si>
    <t>Lewisham 003C</t>
  </si>
  <si>
    <t>MultiPolygon (((536899.45999995211604983 177424.18399997110827826, 536895.16300000250339508 177244.21100014954572544, 536824.04100005445070565 177261.85100015485659242, 536799.09500010637566447 177239.784000205778284, 536846.74400014046113938 177199.53999999648658559, 536890.47600007033906877 177205.66599985418724827, 536875.72700004966463894 177130.76399993701488711, 536927.57300000335089862 177094.14999987569171935, 537041.07600000000093132 176986.53199987488915212, 536996.8469999167136848 176997.47999995134887286, 536751.0140001397812739 177048.05800022315816022, 536731.26000011852011085 177050.13899983090232126, 536620.97700001276098192 177040.10799985469202511, 536466.39899990241974592 177019.32599986554123461, 536199.31399995076935738 176925.10600000407430343, 536175.72400017629843205 176915.64499979594256729, 536146.08900000003632158 177016.72899997787317261, 536239.88400006981100887 177080.42599982660613023, 536248.99999979417771101 177039.00000013128737919, 536422.00000017101410776 177079.93200011714361608, 536413.34200019901618361 177138.91399991791695356, 536383.98199999332427979 177134.50900009708129801, 536354.95199984172359109 177198.24000005444395356, 536317.08299978473223746 177258.47799999886774458, 536357.11000010347925127 177266.21700002218130976, 536346.74399978085421026 177307.39299986633704975, 536378.37600011238828301 177317.94499996735248715, 536388.29800006933510303 177268.19999989590723999, 536620.89399981335736811 177321.03499986400129274, 536566.90500002761837095 177412.46799991512671113, 536576.58699982310645282 177418.36700019257841632, 536821.64600007515400648 177568.52300020400434732, 536864.16000011446885765 177544.32000011607306078, 536893.48600021156016737 177486.04400007042568177, 536861.93799977982416749 177470.13799978815950453, 536866.70400021446403116 177428.72199978257413022, 536899.45999995211604983 177424.18399997110827826)))</t>
  </si>
  <si>
    <t>E01003303</t>
  </si>
  <si>
    <t>Lewisham 039C</t>
  </si>
  <si>
    <t>MultiPolygon (((530481.25000002700835466 169076.89999999097199179, 530494.11899990774691105 169044.11399996277759783, 530546.3100000717677176 169044.8839999005140271, 530507.12399989785626531 169007.98999983200337738, 530530.29899993329308927 168944.91500000536325388, 530580.78200011164881289 168947.63899990779464133, 530537.81299991824198514 168924.08900014308164828, 530553.00000014423858374 168882.00000018239370547, 530814.41199997742660344 168973.57799995300592855, 530788.18400017824023962 168944.06799994618631899, 530846.43600017437711358 168904.07299990020692348, 530836.03099992428906262 168853.4189999440277461, 530907.37699997902382165 168847.51600019534816965, 530909.19900010037235916 168881.98700006239232607, 530957.66699998010881245 168893.91700014780508354, 530959.90399993793107569 168844.79100012002163567, 531061.62000017869286239 168880.59900008401018567, 531074.21299999987240881 168846.96999983713612892, 530978.41800006676930934 168806.59599979579797946, 531004.22100000258069485 168677.78699998892261647, 530967.31300006667152047 168664.21900010562967509, 530879.77599981625098735 168610.28900012810481712, 530782.73799986811354756 168551.53599989446229301, 530497.87600011297035962 168298.92500000898144208, 530469.98399985034484416 168386.13400014562648721, 530395.9459998938255012 168498.17899983687675558, 530358.68900004320312291 168554.42999982734909281, 530296.48900001042056829 168649.85800013781408779, 530223.00199999997857958 168723.59399979482986964, 530261.81999995256774127 168688.80100000023958273, 530330.31900011550169438 168728.67999999041785486, 530306.69600006984546781 168784.26000013851444237, 530277.18600006308406591 168783.64500019099796191, 530303.28300019167363644 168888.10199986910447478, 530271.21300012653227895 168985.50800003838958219, 530266.6979999307077378 169025.49800007097655907, 530481.25000002700835466 169076.89999999097199179)))</t>
  </si>
  <si>
    <t>E01001091</t>
  </si>
  <si>
    <t>Croydon 004E</t>
  </si>
  <si>
    <t>E02000197</t>
  </si>
  <si>
    <t>Croydon 004</t>
  </si>
  <si>
    <t>MultiPolygon (((530909.00000013178214431 170124.99999997793929651, 530909.64800000004470348 170086.12099994189338759, 530860.79599987878464162 170071.27600010405876674, 530906.69199983193539083 170011.02399986624368466, 530734.21299996424932033 169959.34300005115801468, 530669.23099998710677028 169988.85899987275479361, 530663.60000002535525709 169931.51900007535004988, 530613.1839998479699716 169936.35599990875925869, 530619.54799990821629763 169859.08199982784572057, 530589.66599990823306143 169816.73399986998992972, 530649.8809998903889209 169763.37600017446675338, 530535.03500008175615221 169761.49000009428709745, 530520.28100020438432693 169731.49999983189627528, 530586.99999992339871824 169575.99999982133158483, 530627.35500013339333236 169589.14500017307000235, 530644.61900018539745361 169540.03399996747612022, 530646.93200004717800766 169498.51699996716342866, 530569.39000007335562259 169467.66099982807645574, 530498.08599985367618501 169545.00799982572789304, 530487.96899984509218484 169513.52999992883997038, 530391.67200010642409325 169503.39400013472186401, 530301.39700002362951636 169530.67699990977416746, 530223.3590001716511324 169507.75500004377681762, 530225.79400009289383888 169459.81100004340987653, 530148.82799981255084276 169457.31099984576576389, 530056.62600000016391277 169455.27700002206256613, 530066.4989998898236081 169487.74700010177912191, 530190.1249998944113031 169498.68700000108219683, 530296.32400013809092343 169742.49899985088268295, 530304.97900019632652402 169779.79099979865713976, 530298.43800020357593894 169806.42199988520587794, 530309.64400008565280586 169814.79900007357355207, 530313.08600015519186854 169817.37200018792646006, 530357.91000011016149074 169851.56500021246029064, 530403.39600015711039305 169877.16100013017421588, 530439.00000007927883416 169851.85899978940142319, 530488.50000006891787052 169919.09400019340682775, 530526.12500018603168428 169923.40599995970842429, 530544.93799990217667073 170071.85900012252386659, 530620.57000002183485776 170116.99000013625482097, 530625.38699990138411522 170116.76999979131505825, 530653.95800019940361381 170117.61800005080294795, 530909.00000013178214431 170124.99999997793929651)))</t>
  </si>
  <si>
    <t>E01001085</t>
  </si>
  <si>
    <t>Croydon 004A</t>
  </si>
  <si>
    <t>MultiPolygon (((530902.99999994621612132 169388, 531110.80399996950291097 169275.54599997782497667, 531135.2799999222625047 169325.69999987527262419, 531163.99000001419335604 169315.67000009276671335, 531134.99999986751936376 169252.99999994633253664, 531296.14400008891243488 169093.43000005336944014, 531376.00000002898741513 169161.00000009391806088, 531518.97200003045145422 169017.74999999749707058, 531301.44100017240270972 168784.90699997209594585, 531004.22099985904060304 168677.78700000001117587, 530978.4179999406915158 168806.59599982562940568, 531074.21299987670499831 168846.96999988806783222, 531061.62000010977499187 168880.59899984736694023, 530959.90399984642863274 168844.79099999915342778, 530957.66700005775783211 168893.91699995912495069, 530960.73199989693239331 168896.91200013970956206, 530942.77499997254926711 168989.89300016395282, 531053.63800000795163214 169056.94200002128491178, 531038.44699989468790591 169089.39800011616898701, 530978.3689998600166291 169166.03600009580259211, 530884.49100010667461902 169201.87699999104370363, 530828.55299996945541352 169315.46699991097557358, 530853.03099988214671612 169354.92499991582008079, 530902.99999994621612132 169388)))</t>
  </si>
  <si>
    <t>E01001086</t>
  </si>
  <si>
    <t>Croydon 003B</t>
  </si>
  <si>
    <t>E02000196</t>
  </si>
  <si>
    <t>Croydon 003</t>
  </si>
  <si>
    <t>MultiPolygon (((530906.69200021319556981 170011.02400008737458847, 531025.67600010440219194 169885.92899997890344821, 531091.6630001018056646 169883.26900024194037542, 531070.80100020754616708 169853.74399981379974633, 531134.87700013525318354 169810.14699995928094722, 531074.23500020382925868 169738.79300010832957923, 531167.21300004632212222 169604.92000020580599084, 531193.09400019072927535 169570.53600015881238505, 531155.31299988285172731 169539.12500025299959816, 531206.00000017927959561 169492.24999996097176336, 531166.44899992202408612 169437.54800023097777739, 531162.35799997206777334 169431.79300023429095745, 531314.97100016206968576 169306.95400001548114233, 531555.56600000010803342 169063.22199986031046137, 531518.97200017736759037 169017.74999991260119714, 531375.99999996856786311 169160.9999997986597009, 531296.14399997377768159 169093.43000008360831998, 531135.00000001268927008 169253.00000019391882233, 531163.99000009638257325 169315.6699999914271757, 531135.28000022622290999 169325.69999987460323609, 531110.80399994389154017 169275.54599989551934414, 530902.999999790918082 169387.99999977188417688, 530853.03100001660641283 169354.92499981928267516, 530828.55300021660514176 169315.46700005306047387, 530884.49099981982726604 169201.87700012512505054, 530802.81899976416025311 169162.99799976919894107, 530738.40000004600733519 169202.94499976831139065, 530695.43100000836420804 169346.02899996069027111, 530670.58699985267594457 169378.0379997878044378, 530562.99899994430597872 169335.08900002008886077, 530536.96299999998882413 169357.84200022334698588, 530684.5909998893039301 169410.90000017642159946, 530657.51399990229401737 169460.33099982049316168, 530698.99899977573659271 169464.99999993108212948, 530693.00000005133915693 169500.00000014234683476, 530643.00000011327210814 169653.00000020730658434, 530692.08999999391380697 169644.3089998047798872, 530732.41900005517527461 169711.73100006906315684, 530649.88100002659484744 169763.37600005214335397, 530589.66600000066682696 169816.73399997936212458, 530619.54799989890307188 169859.08200003992533311, 530613.18400008708704263 169936.35599982240819372, 530663.60000003688037395 169931.51899999112356454, 530669.2309998880373314 169988.85900017980020493, 530734.21299981919582933 169959.34300012775929645, 530906.69200021319556981 170011.02400008737458847)))</t>
  </si>
  <si>
    <t>E01001087</t>
  </si>
  <si>
    <t>Croydon 003C</t>
  </si>
  <si>
    <t>MultiPolygon (((530732.41899991454556584 169711.73099991132039577, 530692.08999983489047736 169644.30900009267497808, 530643.00000014493707567 169653.00000011760857888, 530692.99999990675132722 169499.99999997243867256, 530698.99900011532008648 169465.00000007086782716, 530657.51400007482152432 169460.33099983612191863, 530684.59099987940862775 169410.90000011280062608, 530536.96300001360941678 169357.84199994217487983, 530562.99899983452633023 169335.08900009951321408, 530486.57700016803573817 169310.37700006351224147, 530496.87500012060627341 169282.87699992139823735, 530418.53599987539928406 169265.72000012375065126, 530449.33900017000269145 169183.62000010788324289, 530521.0419998491415754 169203.47499991077347659, 530532.06800006411504 169182.09700009226799011, 530513.24400015769060701 169173.9440000407921616, 530315.86700012104120106 169109.5830000425921753, 530297.99999994481913745 169103.99999983768793754, 530256.03599996666889638 169127.66800013711326756, 530207.0250001453096047 169080.68300000001909211, 530177.1909999584313482 169189.98600002986495383, 530174.1049999202368781 169201.60500001441687346, 530257.99999986216425896 169224.00000008541974239, 530229.74499997368548065 169390.7509999348258134, 530155.39200009277556092 169383.35600006551248953, 530148.82800008542835712 169457.3110001677996479, 530225.79399991419631988 169459.81100008764769882, 530223.35899987758602947 169507.75499990396201611, 530301.3970000963890925 169530.6770000574470032, 530391.6719999456545338 169503.39400002962793224, 530487.96899993054103106 169513.5300000054994598, 530498.08599987754132599 169545.00800003259791993, 530569.38999997416976839 169467.66100016358541325, 530646.93199983425438404 169498.5169999637582805, 530644.61900010879617184 169540.03399987315060571, 530627.35500013059936464 169589.1449998825264629, 530587.0000000293366611 169576.00000012933742255, 530520.28099991392809898 169731.49999985296744853, 530535.03499988536350429 169761.49000016917125322, 530649.88100011320784688 169763.37599999998928979, 530732.41899991454556584 169711.73099991132039577)))</t>
  </si>
  <si>
    <t>E01001089</t>
  </si>
  <si>
    <t>Croydon 004C</t>
  </si>
  <si>
    <t>MultiPolygon (((530695.43100003618746996 169346.02899982433882542, 530738.40000002935994416 169202.9450000551296398, 530802.8189998185262084 169162.99800008593592793, 530884.49099983158521354 169201.87700017332099378, 530978.36900014139246196 169166.03600014967378229, 531038.44700000155717134 169089.39800017004017718, 531053.63800000003539026 169056.94200010228087194, 530942.7749999463558197 168989.8930001545813866, 530960.73200007167179137 168896.91199990201857872, 530957.66700017161201686 168893.91700008322368376, 530909.19900005229283124 168881.98699991768808104, 530907.37700005283113569 168847.51600006362423301, 530836.03100010100752115 168853.41899990043020807, 530846.43599994317628443 168904.07299999953829683, 530788.18399990780744702 168944.06800008777645417, 530814.41199983994010836 168973.57800013551604934, 530552.99999990349169821 168882.00000018047285266, 530537.81300009950064123 168924.08899983594892547, 530580.78200009267311543 168947.63899985939497128, 530530.29899981815833598 168944.91499992876197211, 530507.12399994081351906 169007.99000007382710464, 530546.30999982112552971 169044.88399998820386827, 530494.11899992218241096 169044.11399983096634969, 530481.24999987194314599 169076.90000007150229067, 530471.75100015546195209 169117.2720000340777915, 530332.90600015432573855 169082.22900005267001688, 530315.86699999985285103 169109.58300010274979286, 530513.24399999296292663 169173.9440000246395357, 530532.06799982441589236 169182.09699999997974373, 530521.04200005624443293 169203.47499998612329364, 530449.33900009514763951 169183.61999985729926266, 530418.53599993046373129 169265.72000000957632437, 530496.87499993212986737 169282.87699999555479735, 530486.57700012484565377 169310.37700013103312813, 530562.99899993767030537 169335.08900017716223374, 530670.58699984708800912 169378.03799993637949228, 530695.43100003618746996 169346.02899982433882542)))</t>
  </si>
  <si>
    <t>E01001090</t>
  </si>
  <si>
    <t>Croydon 004D</t>
  </si>
  <si>
    <t>MultiPolygon (((531036.42400010651908815 168485.94000011321622878, 531092.44699987606145442 168355.74900013170554303, 531132.91399999998975545 168269.87200008617946878, 531049.54800013860221952 168314.10100002738181502, 531005.66599988250527531 168291.59599993034498766, 531073.83599988545756787 168158.4550000547314994, 531040.70299992244690657 168151.80500000790925696, 531021.61199999961536378 168187.67400010314304382, 530997.27699995832517743 168253.28799986754893325, 530939.13500006811227649 168225.04400002569309436, 530910.80300003348384053 168259.23399999210960232, 530881.84400008339434862 168293.59200003196019679, 530794.00000001443549991 168397.00000005858601071, 530746.73800010036211461 168359.26599986889050342, 530618.91399986983742565 168252.90400011607562192, 530571.96500009659212083 168216.25600000796839595, 530508.74700016144197434 168253.06600011751288548, 530485.06299999996554106 168258.87499983896850608, 530497.87600013124756515 168298.92499997714185156, 530782.73799987882375717 168551.53599998541176319, 530879.77600008901208639 168610.28900013901875354, 530967.31300008925609291 168664.21899999206652865, 531006.33400002040434629 168554.12999992436380126, 531028.54099999484606087 168504.11900010000681505, 531036.42400010651908815 168485.94000011321622878)))</t>
  </si>
  <si>
    <t>E01001182</t>
  </si>
  <si>
    <t>Croydon 011D</t>
  </si>
  <si>
    <t>MultiPolygon (((531132.91399989707861096 168269.87199984260951169, 531218.57700005837250501 168037.9849998484714888, 531238.43300011870451272 168051.57399985211668536, 531246.78499988268595189 168057.29000009232549928, 531359.64700015378184617 168133.74199985203449614, 531432.68999997701030225 167986.36000011314172298, 531492.24499999720137566 168002.55999990800046362, 531499.3260000825393945 168003.83700005392893218, 531500.00000010966323316 167947.00000015224213712, 531313.82200004637707025 167793.00400007530697621, 531336.48900014359969646 167735.00199989270186052, 531359.59399994392879307 167709.17299984721466899, 531357.12499996938277036 167664.10400002094684169, 531323.81599993619602174 167632.73300000000745058, 531278.51299994182772934 167658.20700016315095127, 531268.91300007596146315 167710.19199999992270023, 531306.99999986181501299 167716.86700014883535914, 531293.99999990861397237 167768.00000006353366189, 531244.89799992460757494 167727.78100014640949667, 531225.82999991218093783 167764.93299984856275842, 531186.79899985273368657 167766.8830001140886452, 531227.93200009176507592 167826.93099986246670596, 531213.33400003286078572 167879.76899986955686472, 531170.25300002482254058 167866.3599999166035559, 531116.61400014976970851 168036.59700008574873209, 531046.78300008084625006 168011.03600013090181164, 531048.07700001762714237 167965.48300008499063551, 530960.01300006755627692 167995.32900006423005834, 530985.28200010664295405 168027.98300001700408757, 530902.50099989050067961 168090.56399995481478982, 531021.61199983838014305 168187.67399989103432745, 531040.70300010906066746 168151.80500012071570382, 531073.83600006240885705 168158.45499985563219525, 531005.66600006585940719 168291.5959999144251924, 531049.54799994197674096 168314.10100000002421439, 531132.91399989707861096 168269.87199984260951169)))</t>
  </si>
  <si>
    <t>E01001183</t>
  </si>
  <si>
    <t>Croydon 011E</t>
  </si>
  <si>
    <t>MultiPolygon (((529831.29399995214771479 171486.02299999998649582, 529845.01700009603518993 171457.0499999680032488, 529873.1399999134009704 171485.11300001764902845, 529923.19700011739041656 171433.86599996787845157, 529956.99999992456287146 171408.99999992360244505, 529998.65599995816592127 171424.94299999935901724, 529970.77600008109584451 171391.80199992217239924, 529990.73899994138628244 171364.61899997093132697, 530012.9999998863786459 171408.99999992360244505, 530031.75800010107923299 171325.88900012962403707, 529929.84300011896993965 171243.46699993262882344, 529789.56200006103608757 171113.85599996737437323, 529802.64900005247909576 171132.9050001070718281, 529756.19599986029788852 171169.25899999515968375, 529603.6149999569170177 170959.00999988007242791, 529602.44299992779269814 170923.85299987698090263, 529528.61600013531278819 170917.83799999998882413, 529510.91000012995209545 170996.72700001456541941, 529489.71399989898782223 171291.62199999685981311, 529572.0469998816261068 171348.29900005672243424, 529583.06299992313142866 171388.38200008845888078, 529678.64199993526563048 171434.15999990972341038, 529710.61400000017601997 171483.25700013546156697, 529771.56600013631395996 171442.19600002470542677, 529831.29399995214771479 171486.02299999998649582)))</t>
  </si>
  <si>
    <t>E01003113</t>
  </si>
  <si>
    <t>Lambeth 032A</t>
  </si>
  <si>
    <t>E02000649</t>
  </si>
  <si>
    <t>Lambeth 032</t>
  </si>
  <si>
    <t>MultiPolygon (((530033.09000004711560905 171322.28199982832302339, 530116.32999980228487402 171034.27799985028104857, 530054.33200002170633525 171007.44299991056323051, 530067.84900020319037139 170968.23300003336044028, 529921.23699990962632 170855.48900013635284267, 529696.94100021233316511 170674.22199980908771977, 529715.03099988040048629 170633.18300020284368657, 529688.00000005366746336 170608.99999980913707986, 529779.32999991124961525 170473.8919999921345152, 529737.61599983705673367 170431.9409999999916181, 529686.601999920909293 170525.149999886052683, 529575.25399994803592563 170765.81900003246846609, 529528.61600019771140069 170917.83800010665436275, 529602.4430001670261845 170923.85299984653829597, 529603.61499996506609023 170959.00999995542224497, 529756.19600011629518121 171169.25900005071889609, 529802.64900000987108797 171132.90499999406165443, 529789.56199999072123319 171113.85600017703836784, 529929.84300020686350763 171243.46700021062861197, 530031.75800009514205158 171325.88899999996647239, 530033.09000004711560905 171322.28199982832302339)))</t>
  </si>
  <si>
    <t>E01003114</t>
  </si>
  <si>
    <t>Lambeth 032B</t>
  </si>
  <si>
    <t>MultiPolygon (((529901.26199991884641349 170573.78300009234226309, 529779.32999994489364326 170473.89199999999254942, 529687.99999996297992766 170608.99999986658804119, 529715.03100013127550483 170633.18299986122292466, 529696.94100006157532334 170674.22199997294228524, 529921.23700007714796811 170855.48899998320848681, 530067.84899994463194162 170968.23299992227111943, 530054.33200012752786279 171007.44299987869453616, 530116.33000010729301721 171034.27799999999115244, 530133.43799992452841252 170996.93699999115779065, 530179.08500003698281944 170855.87900005950359628, 530085.37900012033060193 170775.19000003463588655, 529994.61200005887076259 170651.3530000759055838, 529922.714999939664267 170593.58300010868697427, 529901.26199991884641349 170573.78300009234226309)))</t>
  </si>
  <si>
    <t>E01003115</t>
  </si>
  <si>
    <t>Lambeth 034A</t>
  </si>
  <si>
    <t>E02000651</t>
  </si>
  <si>
    <t>Lambeth 034</t>
  </si>
  <si>
    <t>MultiPolygon (((530012.22799996216781437 171845.38000008856761269, 530100.58500009553972632 171801.31100012981914915, 530123.33900007558986545 171841.60299988649785519, 530253.25299990107305348 171777.18699986496358179, 530281.75000001478474587 171713.7989999589335639, 530491.31200000003445894 171616.44700009701773524, 530372.89600008295383304 171527.37000013218494132, 530186.13000010361429304 171425.03199997727642767, 530148.08300012408290058 171405.28300002380274236, 530093.70800012047402561 171372.28299991352832876, 530031.75799998466391116 171325.88899991140351631, 530013.0000001376029104 171409.00000002625165507, 529990.73899991740472615 171364.61899999808520079, 529970.77600004966370761 171391.80199995645671152, 529998.65599993383511901 171424.94299990907893516, 529967.4479999738978222 171479.61599987858789973, 529972.93700006022118032 171562.59099988287198357, 530025.35700011195149273 171553.88799987229867838, 530023.00000007601920515 171692.99999993073288351, 529983.41099992324598134 171670.43400012026540935, 529921.54200000001583248 171733.15300002266303636, 530001.71200007328297943 171799.29300013920874335, 530012.22799996216781437 171845.38000008856761269)))</t>
  </si>
  <si>
    <t>E01003120</t>
  </si>
  <si>
    <t>Lambeth 032D</t>
  </si>
  <si>
    <t>MultiPolygon (((530798.72799990570638329 170428.90400006878189743, 530779.93800009205006063 170341.01599986472865567, 530653.95800010813400149 170117.61800010659499094, 530625.38699984084814787 170116.77000008992035873, 530620.57000014220830053 170116.98999993555480614, 530544.93800011416897178 170071.85899999077082612, 530526.12499996239785105 169923.40599986427696422, 530488.50000004679895937 169919.09400000629830174, 530439.00000010768417269 169851.85899987997254357, 530403.39599994278978556 169877.16100006763008423, 530357.90999997407197952 169851.56500017055077478, 530133.62100000004284084 169984.99999997130362317, 530186.16800008399877697 170045.62799995407112874, 530144.94499985000584275 170084.19999983400339261, 530165.39500015287194401 170108.75399999725050293, 530245.9919999506091699 170045.11300001115887426, 530396.61399989866185933 170209.89200003244332038, 530395.21899988665245473 170241.08899988327175379, 530368.11999997217208147 170233.0529999294958543, 530409.01000013237353414 170268.67599991097813472, 530428.99999985296744853 170286.9999999049177859, 530393.85499988251831383 170335.90899994820938446, 530432.96799983375240117 170350.69200010335771367, 530535.30099989648442715 170214.01299996359739453, 530661.99999998603016138 170378.99999998247949407, 530597.96100012003444135 170384.95000003618770279, 530540.45300010137725621 170455.78000000398606062, 530618.14599994558375329 170503.65399993865867145, 530718.36200010031461716 170386.90499993611592799, 530779.67400000267662108 170523.48599982942687348, 530820.22900000005029142 170521.35100014944327995, 530798.72799990570638329 170428.90400006878189743)))</t>
  </si>
  <si>
    <t>E01003141</t>
  </si>
  <si>
    <t>Lambeth 034B</t>
  </si>
  <si>
    <t>MultiPolygon (((531317 171046.890999876515707, 531135.99099986406508833 170776.00600009170011617, 531102.39100027340464294 170734.6530000968487002, 530824.48799977952148765 170532.83200016367482021, 530820.22899985674303025 170521.35100019368110225, 530779.67399997054599226 170523.48599987177294679, 530718.36199982149992138 170386.90499973541591316, 530618.1460001296363771 170503.65400006272830069, 530540.45300007041078061 170455.78000012194388546, 530597.96099999523721635 170384.94999971694778651, 530661.99999978125561029 170378.99999978946289048, 530535.30100025155115873 170214.0129997625190299, 530432.96799990069121122 170350.6920000160462223, 530403.93499975570011884 170395.17400003198417835, 530414.41300016909372061 170406.64899993440485559, 530381.62899970624130219 170428.84599984146188945, 530423.547000243794173 170490.95899983699200675, 530562.57999997830484062 170593.81099981794250198, 530540.5759999759029597 170648.56100024981424212, 530624.36200029065366834 170688.42700016981689259, 530655.89499998243991286 170646.48800028351251967, 530640.97099980933126062 170697.22000005419249646, 530595.62799986300524324 170753.49799974038614891, 530524.77399977960158139 170741.07700003546779044, 530370.40600027423352003 170595.89800013913190924, 530269.90799977420829237 170573.30499991565011442, 530288.99999993050005287 170531.00000005072797649, 530249.55000015755649656 170507.02100019922363572, 530208.14400025631766766 170559.50799990625819191, 530156.921999899786897 170557.44599996518809348, 530144.74900022568181157 170583.16700009981286712, 530164.45999975723680109 170646.52699983498314396, 530252.99999994644895196 170659.99999974688398652, 530186.65199970663525164 170727.58900025056209415, 530222.45999989588744938 170750.83700025468715467, 530179.08500021311920136 170855.87900003988761455, 530133.43800000008195639 170996.93699979200027883, 530267.83099996019154787 171046.18900025702896528, 530359.26099994499236345 171054.48799970783875324, 530530.62100022402592003 171042.23799985711229965, 530725.0630000188248232 171015.53100025866297074, 530829.01600026537198573 171031.96899992309045047, 531021.30600028927437961 171076.93300023747724481, 531184.68800029356498271 171069.96900013633421622, 531300.48299993923865259 171048.27499987656483427, 531317 171046.890999876515707)))</t>
  </si>
  <si>
    <t>E01003144</t>
  </si>
  <si>
    <t>Lambeth 034C</t>
  </si>
  <si>
    <t>MultiPolygon (((530144.74899986491072923 170583.16700009416672401, 530156.92199986742343754 170557.44600008535780944, 530208.14400012162514031 170559.50800002127652988, 530249.55000011110678315 170507.02100016802432947, 530289.00000000931322575 170531.00000005538458936, 530326.00000005285255611 170458.99999994257814251, 530290.49800014588981867 170349.39999982898007147, 530214.20100000314414501 170338.53200014363392256, 530253.13099998491816223 170288.25100016026408412, 530218.42199985473416746 170271.64600005903048441, 530116.62800002680160105 170384.69800012017367408, 530088.99700008984655142 170415.00299988678307272, 529911.00000002747401595 170326.00000009752693586, 529946.67000008991453797 170282.16599984586355276, 529954.06000002380460501 170272.71299983604694717, 529976.28900006460025907 170247.78900016416446306, 529928.78399989323224872 170200.28399999270914122, 529948.26099999481812119 170158.1879999999946449, 529806.59500012302305549 170326.30999990689451806, 529737.61599994706921279 170431.94099987886147574, 529779.33000016352161765 170473.89200014641392045, 529901.26199987228028476 170573.78299998005968519, 529922.71500007528811693 170593.5829999674751889, 529994.6120000658556819 170651.35300014447420835, 530085.3789999180007726 170775.19000012770993635, 530179.08500008389819413 170855.87899999998626299, 530222.45999989204574376 170750.8369998401904013, 530186.6520000381860882 170727.58900011656805873, 530253.00000012735836208 170659.99999995229882188, 530164.45999994652811438 170646.52699998416937888, 530144.74899986491072923 170583.16700009416672401)))</t>
  </si>
  <si>
    <t>E01003145</t>
  </si>
  <si>
    <t>Lambeth 034D</t>
  </si>
  <si>
    <t>MultiPolygon (((530640.97099990956485271 170697.22000000232947059, 530655.89500013587530702 170646.48799992454587482, 530624.36200019042007625 170688.42699997016461566, 530540.5760000686859712 170648.56099984035245143, 530562.57999984128400683 170593.81100018933648244, 530423.54700011597014964 170490.95900004176655784, 530381.62900004675611854 170428.84599991905270144, 530414.4129998458083719 170406.64899994304869324, 530403.93499993660952896 170395.17399991248385049, 530432.96800019103102386 170350.69200002297293395, 530393.85500014631543308 170335.90899996715597808, 530428.9999998661223799 170287.00000010506482795, 530409.01000011246651411 170268.67599988388246857, 530368.11999983689747751 170233.05300017175613903, 530395.21899994579143822 170241.08900008673663251, 530396.61400018609128892 170209.89200014702510089, 530245.99199989996850491 170045.11299983193748631, 530165.39499980944674462 170108.75399991706945002, 530144.94499982357956469 170084.20000005234032869, 530186.16799988888669759 170045.6279999288963154, 530133.62100004381500185 169985, 530093.79800006689038128 170033.72800013914820738, 529981.28699985612183809 170122.96099996290286072, 529948.26100003684405237 170158.18799995636800304, 529928.78399997984524816 170200.28399991666083224, 529976.28900010581128299 170247.78900004262686707, 529954.05999987304676324 170272.71300018593319692, 529946.67000014544464648 170282.16600013343850151, 529910.99999986414331943 170325.99999981964356266, 530088.99700016784481704 170415.00300010369392112, 530116.62799993378575891 170384.69800001929979771, 530218.42200004705227911 170271.64599988728878088, 530253.13100011157803237 170288.25099995860364288, 530214.20100019010715187 170338.53200006860424764, 530290.49799998197704554 170349.40000003261957318, 530326.00000006821937859 170459.00000013690441847, 530288.99999987601768225 170530.99999984641908668, 530269.90800002578180283 170573.30500013852724805, 530370.40600011660717428 170595.89799983322154731, 530524.77400009927805513 170741.07700006515369751, 530595.62799983704462647 170753.49800000002142042, 530640.97099990956485271 170697.22000000232947059)))</t>
  </si>
  <si>
    <t>E01003147</t>
  </si>
  <si>
    <t>Lambeth 034E</t>
  </si>
  <si>
    <t>MultiPolygon (((530233.00000011816155165 171346.99999986900365911, 530549.54099985456559807 171282.90799992682877928, 530552.48600002971943468 171335.31799991184379905, 530489.98399987223092467 171337.14700001408345997, 530512.31300012720748782 171382.69899998427717946, 530550.99999987322371453 171382.99999992386437953, 530657 171366.00000007162452675, 530569.34799990651663393 171094.68299991532694548, 530567.7039998461259529 171090.6240001289115753, 530530.62099999107886106 171042.23800013362779282, 530359.26100008003413677 171054.48799993519787677, 530267.83099989872425795 171046.18899999363929965, 530133.43799994513392448 170996.93700012550107203, 530116.32999985385686159 171034.27800015205866657, 530033.08999992569442838 171322.2819999513158109, 530031.75799999991431832 171325.88900010372162797, 530093.70799994328990579 171372.28300003262120299, 530148.08299985679332167 171405.28299987447098829, 530222.99400010693352669 171389.81800008172285743, 530233.00000011816155165 171346.99999986900365911)))</t>
  </si>
  <si>
    <t>E01003150</t>
  </si>
  <si>
    <t>Lambeth 032F</t>
  </si>
  <si>
    <t>MultiPolygon (((531302.60300000663846731 168638.16400002237060107, 531409.7400000833440572 168382.55600002902792767, 531378.08500018436461687 168368.99499996993108653, 531346.46000003407243639 168425.30799991509411484, 531300.90899995714426041 168359.82200009722146206, 531295.24500005354639143 168296.07299988146405667, 531197.95899999537505209 168242.0249998205981683, 531220.59699990984518081 168163.88600015448173508, 531246.78499983577057719 168057.29000016383361071, 531238.43299981974996626 168051.57399992409045808, 531218.57700015150476247 168037.98499999998603016, 531132.91400010557845235 168269.87200015154667199, 531092.44700006069615483 168355.74900007282849401, 531036.42400005122181028 168485.94000013923505321, 531028.54099982825573534 168504.1190000761707779, 531006.33400005009025335 168554.12999988574301824, 530967.31299991649575531 168664.21900002934853546, 531004.22099991317372769 168677.78699986796709709, 531301.44100000662729144 168784.90700000000651926, 531333.32799985411111265 168745.25500016083242372, 531264.9799999623792246 168712.77199987877975218, 531297.6139998632716015 168667.65900009105098434, 531292.00000003876630217 168664.99999997214763425, 531302.60300000663846731 168638.16400002237060107)))</t>
  </si>
  <si>
    <t>E01000995</t>
  </si>
  <si>
    <t>Croydon 009B</t>
  </si>
  <si>
    <t>E02000202</t>
  </si>
  <si>
    <t>Croydon 009</t>
  </si>
  <si>
    <t>MultiPolygon (((531016.59500003990251571 173227.86499998241197318, 531142.74800005543511361 173114.62599989451700822, 531207.21100012632086873 173061.25200001563644037, 531250.14500000001862645 173035.90100005286512896, 531223.08599988592322916 172996.53600012775859796, 531203.04900008661206812 173020.5359999341017101, 531197.74799994542263448 172981.49699995096307248, 531141.99199999345000833 172977.37299997633090243, 531175.84800003736745566 172927.27199984743492678, 531146.86100001120939851 172885.09500003734137863, 531127.35799989383667707 172855.08200010310974903, 531065.54900005355011672 172832.15999998577171937, 530871.15399996715132147 172983.56500010259333067, 530849.97300005774013698 172952.85099989245645702, 530787.00000007322523743 172988.0009999952162616, 530692.00000009522773325 173058.99999985707108863, 530634.00100000016391277 173071.9999999318679329, 530679.64499989233445376 173220.28999995303456672, 530718.74599998164921999 173156.09400003118207678, 530786.2179999666986987 173207.99699985631741583, 530820.31700011854991317 173175.28499992247088812, 530822.33999988506548107 173310.48000001424225047, 531016.59500003990251571 173227.86499998241197318)))</t>
  </si>
  <si>
    <t>E01003132</t>
  </si>
  <si>
    <t>Lambeth 024A</t>
  </si>
  <si>
    <t>E02000641</t>
  </si>
  <si>
    <t>Lambeth 024</t>
  </si>
  <si>
    <t>MultiPolygon (((531369.09899995545856655 172999.27999996437574737, 531388.78199995297472924 172993.43000001891050488, 531543.37500007869675756 172965.56300014053704217, 531587.99700004933401942 172960.07800003286683932, 531677.48199985269457102 172949.94200001764693297, 531716.22300003201235086 172945.49199988439795561, 531729.55000001098960638 172825.47400013150763698, 531734.54200000001583248 172805.4000000910309609, 531693.90699996170587838 172758.46399993260274641, 531584.74999996274709702 172667.89100011266418733, 531380.07999997271690518 172589.63999991866876371, 531190.0229999681469053 172557.25900006291340105, 531177.99999988707713783 172657.68100008321925998, 531195.99999997008126229 172619.9999998590501491, 531313.99999988812487572 172644.00000006836489774, 531315.38799997034948319 172676.51900007872609422, 531283.19199985382147133 172678.27000014248187654, 531281.64099993254058063 172756.13300007782527246, 531229.04799988167360425 172790.9379999183001928, 531249.99999992258381099 172837.99999990873038769, 531146.86099994136020541 172885.09499989746836945, 531175.84799990651663393 172927.27199991140514612, 531141.99199999996926636 172977.37300012464402243, 531197.74799995310604572 172981.49699998716823757, 531203.04899995343293995 173020.53600007956265472, 531223.08599998685531318 172996.53599987021880224, 531250.14499987033195794 173035.90099993711919524, 531369.09899995545856655 172999.27999996437574737)))</t>
  </si>
  <si>
    <t>E01003133</t>
  </si>
  <si>
    <t>Lambeth 027C</t>
  </si>
  <si>
    <t>E02000644</t>
  </si>
  <si>
    <t>Lambeth 027</t>
  </si>
  <si>
    <t>MultiPolygon (((530222.08200002671219409 173602.27200007135979831, 530433.7490000540856272 173466.23999999641091563, 530444.81199990690220147 173459.81300002514035441, 530567.27199995191767812 173416.8470000053930562, 530673.54400007915683091 173363.73300002762698568, 530718.85499997530132532 173350.05099987945868634, 530822.33999999985098839 173310.47999993155826814, 530820.31699990958441049 173175.28500004080706276, 530786.21799999522045255 173207.99700011298409663, 530718.74599988933186978 173156.09399991264217533, 530679.64500013552606106 173220.29000004357658327, 530616.6149998891633004 173230.36799992638407275, 530582.57800010358914733 173304.70600013333023526, 530500.90100012719631195 173322.5819999368104618, 530474.13899991801008582 173280.64700012316461653, 530423.20699985919054598 173308.20999998017214239, 530413.52700003085192293 173235.11100014066323638, 530434.053999915253371 173198.31100009160581976, 530473.28099999111145735 173233.21099996485281736, 530462.19900014903396368 173257.89000001930980943, 530503.35099996102508157 173250.03500013067969121, 530501.19900007417891175 173193.68599994198302738, 530494.75200008146930486 173134.90499987659859471, 530432.99999990221112967 173137.99999993707751855, 530432.99999990221112967 173100.00000015355180949, 530358.24599999468773603 173061.27099992864532396, 530302.00000001001171768 173119.00000004531466402, 530344.95099985809065402 173194.93299994472181424, 530332.01899989391677082 173266.3420001452032011, 530329.02100015548057854 173312.74700009744265117, 530356.90199998102616519 173382.54600012279115617, 530294.10099994973279536 173511.61099995710537769, 530285.03600000473670661 173467.97300008605816402, 530248.75400013918988407 173475.22799995189416222, 530245.77700014342553914 173520.557000116299605, 530200.23600000003352761 173505.43000012580887415, 530222.08200002671219409 173602.27200007135979831)))</t>
  </si>
  <si>
    <t>E01003137</t>
  </si>
  <si>
    <t>Lambeth 022B</t>
  </si>
  <si>
    <t>E02000639</t>
  </si>
  <si>
    <t>Lambeth 022</t>
  </si>
  <si>
    <t>MultiPolygon (((530746.18099999357946217 173792.41899997746804729, 530836.10500011523254216 173600.05099991717725061, 530881.04099987598601729 173502.0859998598753009, 530913.12400006467942148 173467.06799989339197055, 530917.63499998510815203 173431.88799996089073829, 530822.34000014106277376 173310.48000000001047738, 530718.85500004480127245 173350.05099992058239877, 530673.54399992292746902 173363.73299999875598587, 530567.27199990814551711 173416.84699996130075306, 530444.81199991016183048 173459.81299997298629023, 530448.76400003093294799 173515.65399988778517582, 530445.00000003317836672 173584.99999992322409526, 530443.00000001490116119 173689.51400012683006935, 530494.96199999668169767 173650.38799995565204881, 530557.99999992176890373 173659.00000002753222361, 530569.00000002235174179 173796.99899997355532832, 530549.00000012561213225 173803.99999992255470715, 530547.26900007028598338 173807.1930000702268444, 530617.93199999362695962 173815.50799996595014818, 530703.07599994563497603 173882.82399999999324791, 530746.18099999357946217 173792.41899997746804729)))</t>
  </si>
  <si>
    <t>E01003025</t>
  </si>
  <si>
    <t>Lambeth 021E</t>
  </si>
  <si>
    <t>E02000638</t>
  </si>
  <si>
    <t>Lambeth 021</t>
  </si>
  <si>
    <t>MultiPolygon (((534680.01399981544818729 174039.24899991779238917, 534645.9379999793600291 173873.2810000978060998, 534702.73800005973316729 173846.40899989541503601, 534756.35099990991875529 173821.04300017695641145, 534659.71499984548427165 173471.94199999023112468, 534660.31500017887447029 173452.68500003637745976, 534655.81299986189696938 173281.39099989942042157, 534581.1999997905222699 173129.66699999995762482, 534494.91600019333418459 173245.93199980517965741, 534486.05799995525740087 173201.88199989314307459, 534331.55799996329005808 173234.56600023416103795, 534404.57199996174313128 173353.96000015153549612, 534395.33199988352134824 173365.22099987883120775, 534375.00000016717240214 173389.99999985785689205, 534353.99900008365511894 173346.0000002121378202, 534305.08299991954118013 173338.27199979108991101, 534251.8680000901222229 173432.75900019257096574, 534284.00000016263220459 173497.0000001672306098, 534360.8880001864163205 173473.92999989286181517, 534353.66700003272853792 173576.70799994538538158, 534416.10499989753589034 173577.10299990253406577, 534524.58199991611763835 173602.11900014206185006, 534487.25699980580247939 173661.64599991086288355, 534375.10999979893676937 173689.80900016758823767, 534428.37199983082246035 173738.0359998582280241, 534553.86100001074373722 173927.91400013316888362, 534526.3490002159960568 173889.58700021967524663, 534453.26300012017600238 173952.99899992923019454, 534469.58899987151380628 173974.65700012492015958, 534497.50000002642627805 174003.1090001558768563, 534522.31300009111873806 173985.4059997966978699, 534630.43799995235167444 174083.73399999999674037, 534673.68799989682156593 174074.07700013363501057, 534680.01399981544818729 174039.24899991779238917)))</t>
  </si>
  <si>
    <t>E01003949</t>
  </si>
  <si>
    <t>Southwark 032A</t>
  </si>
  <si>
    <t>E02000838</t>
  </si>
  <si>
    <t>Southwark 032</t>
  </si>
  <si>
    <t>MultiPolygon (((534453.26300007733516395 173952.99900005760719068, 534526.34900010272394866 173889.58699999208329245, 534553.86099982331506908 173927.91399997507687658, 534428.37199997040443122 173738.03600016614655033, 534375.1099998492281884 173689.80899988522287458, 534487.25700011418666691 173661.64599987122346647, 534524.5819998566294089 173602.11899981685564853, 534416.10500001825857908 173577.10300010087667033, 534353.66700014378875494 173576.70800013720872812, 534360.88799993053544313 173473.92999984388006851, 534283.9999998570419848 173496.99999997628037818, 534251.86800011165905744 173432.75900003686547279, 534305.08300008869264275 173338.27199995206319727, 534353.99899999622721225 173345.99999990020296536, 534375.0000000218860805 173390.00000017756246962, 534395.33199984475504607 173365.22099984035594389, 534404.57199989433865994 173353.9600000134378206, 534331.55799993500113487 173234.56599985467619263, 534146.60099982609972358 173220.28599989466601983, 533944.94699983112514019 173105.78600000002188608, 533826.73900017677806318 173297.94299985838006251, 533982.87499996577389538 173374.79700005531776696, 534081.50499990582466125 173375.57499990027281456, 534084.24999979964923114 173535.79700011658133008, 534132.08600000152364373 173609.59700011860695668, 534064.85700010613072664 173736.85200003223144449, 534251.5659998229239136 173851.73200010872096755, 534322.2489999468671158 173924.60599982086569071, 534343.75000012177042663 173962.10899999999674037, 534453.26300007733516395 173952.99900005760719068)))</t>
  </si>
  <si>
    <t>E01003950</t>
  </si>
  <si>
    <t>Southwark 032B</t>
  </si>
  <si>
    <t>MultiPolygon (((533944.94700027594808489 173105.78600026859203354, 533933.91800037282519042 173032.78499991999706253, 534217.30699956277385354 172841.63300023408373818, 534264.14599981135688722 172723.04100027401000261, 534395.23699999996460974 172595.50499997907900251, 534336.99999995238613337 172414.99999957348336466, 534163.000000313622877 172426.00000014423858374, 534007.99999983049929142 172358.00000035582343116, 533915.00000041595194489 172422.99999990902142599, 533933.99999957159161568 172627.99999964438029565, 533654.99999957741238177 172731.9999996297119651, 533543.60700007202103734 172678.7810000829922501, 533606.96400026429910213 172606.561000045388937, 533626.35099971643649042 172464.45799989433726296, 533557.57999983953777701 172430.0739997704513371, 533572.99999985832255334 172381.99999961181310937, 533533.39300036116037518 172370.60599990180344321, 533485.2689999652793631 172354.97099991294089705, 533411.12900009215809405 172385.32200000999728218, 533543.99999962677247822 172457.00000024086330086, 533486.53799975663423538 172555.93299994789413176, 533299.01899994944687933 172478.5060000178636983, 533253.56900041201151907 172540.50600021108402871, 533197.27999994775746018 172444.95499961150926538, 533144.00000035658013076 172346.00000029019429348, 533140.98999989882577211 172147.40299992717336863, 533153.43400021630804986 172077.17899966560071334, 533081.60299964435398579 172042.61900000175228342, 533064.07599956775084138 172230.41199977905489504, 532998.79100023733917624 172236.58599974500248209, 533011.99999963457230479 172081.00000022663152777, 532916.78899959847331047 172054.22500005282927305, 532874.34500042977742851 172264.28199984398088418, 532865.31900002085603774 172310.22199978158459999, 532826.37600041949190199 172518.10100012319162488, 532789.68199965928215533 172652.38700007210718468, 532788.75400001602247357 172655.5269999215088319, 532776.93000036559533328 172692.45200013258727267, 532738.18200028932187706 172783.14799991965992376, 532731.31999989366158843 172796.66799967267434113, 532644.65099999983794987 173066.65999965849914588, 532794.35699996748007834 173079.13999990181764588, 532952.00000018160790205 173054.98700030473992229, 533241.50000012398231775 173173.51600017584860325, 533579.16099997260607779 173235.20000033965334296, 533826.73900010786019266 173297.94299999828217551, 533944.94700027594808489 173105.78600026859203354)))</t>
  </si>
  <si>
    <t>E01003951</t>
  </si>
  <si>
    <t>Southwark 033E</t>
  </si>
  <si>
    <t>E02000839</t>
  </si>
  <si>
    <t>Southwark 033</t>
  </si>
  <si>
    <t>MultiPolygon (((533123.99999991967342794 174149.00000016269041225, 533081.16599977295845747 174038.90000001777661964, 533045.42999971017707139 174069.12799976556561887, 533038.78000013064593077 174024.82899989912402816, 532905.75700002105440944 173950.94100004952633753, 533072.53700006508734077 173847.50300016006804071, 533113.61500022164545953 173924.31699968603788875, 533100.70900025870651007 173957.28100031075882725, 533144.0939998357789591 173956.28000014781719074, 533113.99899966362863779 173786.00000010617077351, 533138.81600011105183512 173759.8349997689074371, 533351.57499965978786349 173765.93699991382891312, 533638.52800000016577542 173609.63299989778897725, 533579.16100030846428126 173235.1999998175597284, 533241.49999994074460119 173173.51600025780498981, 532951.99999983550515026 173054.98700034548528492, 532794.3569999166065827 173079.13999990912270732, 532644.65099978691432625 173066.66000002040527761, 532532.28999992355238646 173305.4059997028671205, 532484.49900027888361365 173493.95900022724526934, 532411.25600018526893109 173678.12799972761422396, 532251.88800000003539026 173860.31600025817169808, 532312.30399978498462588 173940.64000022949767299, 532457.85199971776455641 173908.95900005119619891, 532633.07600020070094615 173912.20899995000218041, 532661.50500025192741305 174003.60899977057124488, 532713.21200021414551884 173988.72299991195905022, 532755.36100020084995776 174163.27799998049158603, 532889.27600016945507377 174203.97299976929207332, 532914.83299977262504399 174371.48599990349612199, 532982.54400027962401509 174412.36599965451750904, 533070.00000005448237062 174224.00000001394073479, 533123.99999991967342794 174149.00000016269041225)))</t>
  </si>
  <si>
    <t>E01004069</t>
  </si>
  <si>
    <t>Southwark 031A</t>
  </si>
  <si>
    <t>E02000837</t>
  </si>
  <si>
    <t>Southwark 031</t>
  </si>
  <si>
    <t>MultiPolygon (((533414.52299994952045381 174316.25600013136863708, 533366.60700011532753706 174214.19599972752621397, 533539.00000015436671674 174181.00000029744114727, 533533.99799976288340986 174122.12099997836048715, 533474.3360000274842605 174131.817000261915382, 533422.4960000169230625 174054.70000010443618521, 533462.1770001114346087 174023.33900029174401425, 533529.06999974220525473 174007.44500018548569642, 533624.82099976704921573 174160.66299980037729256, 533859.99999970267526805 173985.00000022756285034, 533909.70799976738635451 173996.0000002846645657, 533927.24499990430194885 173972.32799991159117781, 534064.85699971276335418 173736.85200026087113656, 534132.08599999989382923 173609.59700003810576163, 534084.24999973806552589 173535.79699969958164729, 534081.5050002335337922 173375.5749998188985046, 533982.87499973434023559 173374.79700014585978352, 533826.73899993021041155 173297.94299973204033449, 533579.16100013547111303 173235.19999983569141477, 533638.52800029830541462 173609.63300015224376693, 533351.57500015269033611 173765.93700028449529782, 533138.81600023212376982 173759.83499994856538251, 533113.99899977201130241 173786.00000025358167477, 533144.09400006791111082 173956.27999986219219863, 533100.70900015404913574 173957.28100010589696467, 533113.61499998543877155 173924.31700004870072007, 533072.53700023144483566 173847.50300003422307782, 532905.75699999998323619 173950.9409999693161808, 533038.78000004484783858 174024.82899983739480376, 533045.43000021029729396 174069.12799992359941825, 533081.16599985759239644 174038.8999999555235263, 533123.99999972805380821 174149.00000029854709283, 533070.00000022805761546 174223.999999740277417, 533125.59099973004776984 174279.59099985545617528, 533169.62100025801919401 174236.7750000421074219, 533187.00000016659032553 174216.99999975968967192, 533247.11799991689622402 174269.22599969935254194, 533272.03799974976573139 174306.2110001040273346, 533391.57500030461233109 174341.58300016436260194, 533414.52299994952045381 174316.25600013136863708)))</t>
  </si>
  <si>
    <t>E01004075</t>
  </si>
  <si>
    <t>Southwark 031E</t>
  </si>
  <si>
    <t>MultiPolygon (((535022.98299997765570879 173310.66500000000814907, 535033.48499998892657459 173258.8719999501190614, 535069.74000004353001714 173305.29899998274049722, 535127.48600010445807129 173297.21600008432869799, 535102.00000002270098776 173247.99999990145443007, 535128.8839999835472554 173235.46999994752695784, 535130.24999992491211742 173275.74200001425924711, 535169.45600008056499064 173278.29199994404916652, 535344.33600003598257899 173189.15499986070790328, 535344.95199990167748183 173185.85400005159317516, 535461.63900014385581017 173156.38400002644630149, 535432.6639998413156718 173053.33400011155754328, 535415.0999998381594196 172961.70999984300578944, 535408.82799992593936622 172919.05799986360943876, 535398.23000010126270354 172825.00099993890034966, 535396.71699988329783082 172796.6910000306670554, 535349.36599988839589059 172779.83799990275292657, 535357.06700014101807028 172690.56699993685469963, 535322.87899990216828883 172656.12899999998626299, 535292.94499996106605977 172662.72000014071818441, 535288.5259999738773331 172738.58600006450433284, 535284.27000006847083569 172795.43099990364862606, 535245.01599984255153686 172828.54900003471993841, 535270.1269998864736408 172888.78800008510006592, 535196.22899989923462272 172933.42699987202649936, 535171.00299984368029982 172882.06199993073823862, 535083.93099996855016798 172721.180999946402153, 534981.13199988263659179 172762.04100013789138757, 534992.00000006181653589 172841.0000001116131898, 535054.04000009736046195 172919.64400005360948853, 535039.58300001453608274 173009.14099984592758119, 535004.86500004946719855 173043.05599999189144, 535008.00000003818422556 173071.00000005960464478, 535064.57599998114164919 173192.88699984416598454, 534945.80399985611438751 173229.62199994712136686, 534967.26200012082699686 173292.25500010789255612, 535022.98299997765570879 173310.66500000000814907)))</t>
  </si>
  <si>
    <t>E01003255</t>
  </si>
  <si>
    <t>Lewisham 021B</t>
  </si>
  <si>
    <t>E02000673</t>
  </si>
  <si>
    <t>Lewisham 021</t>
  </si>
  <si>
    <t>MultiPolygon (((534898.86899991717655212 173059.04500002757413313, 534965.46799992909654975 172983.20900000739493407, 535004.86499997624196112 173043.05600004456937313, 535039.58300005516503006 173009.14100006761145778, 535054.04000007011927664 172919.64400015011779033, 534991.9999998442362994 172841.00000001938315108, 534981.13199999055359513 172762.0409998943505343, 535083.93100006133317947 172721.18099997524404898, 535021.86999988276511431 172665.42100013411254622, 535002.58600013249088079 172590.13200003810925409, 535043.10600006335880607 172550.36800016416236758, 535014.28500002494547516 172509.21300010493723676, 534967.36099983786698431 172514.62499998070416041, 534991.15899987833108753 172428.51399997764383443, 534931.38300013414118439 172396.87599999998928979, 534847.50600012671202421 172512.83200004763784818, 534756.65299994498491287 172483.18200016731861979, 534715.06400015973486006 172455.66400010991492309, 534595.56899993866682053 172555.05300001832074486, 534625.06100012501701713 172644.32600008865119889, 534699.08100006263703108 172736.37000015162630007, 534680.82399990898557007 172774.25200014220899902, 534647.30299994954839349 173094.75699997888295911, 534664.90199982526246458 173101.66699999995762482, 534898.86899991717655212 173059.04500002757413313)))</t>
  </si>
  <si>
    <t>E01003257</t>
  </si>
  <si>
    <t>Lewisham 028B</t>
  </si>
  <si>
    <t>E02000680</t>
  </si>
  <si>
    <t>Lewisham 028</t>
  </si>
  <si>
    <t>MultiPolygon (((534975.11200010345783085 173708.25699992384761572, 535003.59000013291370124 173685.66899987630313262, 535036.00100010854657739 173765.6480001101444941, 535090.38500001048669219 173740.01999983668792993, 535133.85799998475704342 173663.92299995149369352, 535193.1049999431706965 173688.87300002013216726, 535167.07299990335013717 173621.18899982701987028, 535192.14799991995096207 173612.04000008475850336, 535274.13800001563504338 173624.12000018075923435, 535231.000000124797225 173468.9999998657440301, 535264.15399996924679726 173453.00099988965666853, 535241.21700020111165941 173389.91700001017306931, 535406.19499996618833393 173415.11499996512429789, 535439.38899999996647239 173367.977000025450252, 535398.10499987180810422 173337.29699987397179939, 535359.73200000263750553 173217.16000012040603906, 535344.33600009104702622 173189.15499996941071004, 535169.45599980931729078 173278.29200020263670012, 535130.25000007462222129 173275.74200015002861619, 535128.88400004676077515 173235.47000009083421901, 535101.99999983690213412 173248.00000017086858861, 535127.48599986755289137 173297.21600007498636842, 535069.73999993223696947 173305.29899992179707624, 535033.48499978776089847 173258.87200012855464593, 535022.9829998646164313 173310.66499999846564606, 534967.26199985749553889 173292.2549999839393422, 534945.80400000826921314 173229.62199987866915762, 535064.57599995320197195 173192.88700003729900345, 535007.99999997648410499 173071.0000001550943125, 535004.86499994457699358 173043.05600007818429731, 534965.46799994970206171 172983.20899985506548546, 534898.86899995652493089 173059.04500000696862116, 534664.90200004447251558 173101.6670000305166468, 534647.30299979145638645 173094.75699994183378294, 534597.82800016354303807 173115.50099984501139261, 534581.19999999995343387 173129.66699994332157075, 534655.81300015712622553 173281.39100006411899813, 534660.31500000692903996 173452.68500011062133126, 534735.37000011024065316 173451.20600019168341532, 534746.6410000252071768 173590.6660002039570827, 534807.94300005375407636 173571.68499984731897712, 534792.99999992572702467 173485.00000006111804396, 534831.99999997287523001 173436.99999990410287865, 534827.31899991957470775 173509.01399999132263474, 534927.9299999555805698 173762.52700014453148469, 534971.00100017304066569 173773.0000001449661795, 534975.11200010345783085 173708.25699992384761572)))</t>
  </si>
  <si>
    <t>E01003254</t>
  </si>
  <si>
    <t>Lewisham 021A</t>
  </si>
  <si>
    <t>MultiPolygon (((536120.99899993150029331 173647.99999999583815224, 536121.99999984167516232 173547.9999999129504431, 536123.00000012421514839 173514.00000012377859093, 536182.08299997507128865 173523.62399996095336974, 536173.54900020256172866 173468.0880000319739338, 536272.70800013025291264 173457.40799984862678684, 536278.79799990030005574 173399.93599985411856323, 536330.00000013364478946 173405.99999991472577676, 536343.66200018383096904 173321.55500016539008357, 536350.59100000001490116 173279.48300016828579828, 536139.02999987709335983 173292.30199995418661274, 535839.9189998380606994 173287.88899979533744045, 535800.00700016098562628 173286.87500003044260666, 535652.35499993001576513 173287.68599983147578314, 535618.89099989621900022 173288.0440001315146219, 535496.93800000008195639 173254.82799995265668258, 535607.0089999478077516 173496.75299978849943727, 535645.84399984171614051 173580.92600008242879994, 535757.15900013584177941 173582.6200001931283623, 535793.09399993612896651 173605.15199997069430538, 535797.82800008612684906 173562.46599980950122699, 535836.21100010676309466 173568.4369999245100189, 535952.32100003340747207 173571.12299988183076493, 536007.8840001531643793 173591.77700019330950454, 536004.47299995901994407 173636.92799979395931587, 536009.0369998092064634 173674.94499993225326762, 536086.31500000541564077 173678.16299985378282145, 536077.28999994182959199 173770.84100004733772948, 536123.99999997997656465 173769.0000000364088919, 536120.24400019412860274 173691.10200020286720246, 536120.99899993150029331 173647.99999999583815224)))</t>
  </si>
  <si>
    <t>E01003229</t>
  </si>
  <si>
    <t>Lewisham 019D</t>
  </si>
  <si>
    <t>E02000671</t>
  </si>
  <si>
    <t>Lewisham 019</t>
  </si>
  <si>
    <t>MultiPolygon (((536720.51400012732483447 173670.8730000315408688, 536770.72999999998137355 173535.90499989464296959, 536702.3929999383399263 173511.14599987879046239, 536742.18800003721844405 173376.18700014054775238, 536730.5629999905359 173305.65600013337098062, 536576.14300004683900625 173314.66400001384317875, 536396.55499994556885213 173285.34900013662991114, 536350.59099989559035748 173279.48299996330752037, 536343.66199984785635024 173321.55499989434611052, 536329.99999987985938787 173405.99999998707789928, 536278.79800007841549814 173399.93600013910327107, 536272.70799994503613561 173457.40799992581014521, 536173.54899995564483106 173468.08800001893541776, 536182.08299995539709926 173523.6239999184908811, 536122.99999995087273419 173514.0000001477310434, 536121.99999994342215359 173548.00000007799826562, 536120.99899999983608723 173647.99999985375325195, 536158.73200015269685537 173654.4419998780649621, 536187.37200001685414463 173592.48300003784243017, 536315.40399990417063236 173571.68099987981258892, 536310.15600014280062169 173630.11700002852012403, 536401.3860000770073384 173654.19900015919120051, 536444.3779999369289726 173657.1860000389860943, 536487.40299995930399746 173616.43500004085944965, 536499.83000001381151378 173768.08299999104929157, 536556.95999991951975971 173839.4960000847640913, 536628.18900009244680405 173862.13900003666640259, 536768.15400013397447765 173787.02099987780093215, 536720.51400012732483447 173670.8730000315408688)))</t>
  </si>
  <si>
    <t>E01003230</t>
  </si>
  <si>
    <t>Lewisham 019E</t>
  </si>
  <si>
    <t>MultiPolygon (((531573.125 173087.95299997864640318, 531543.37499986588954926 172965.56299990514526144, 531388.78199990792199969 172993.42999998456798494, 531369.09899998619221151 172999.27999986268696375, 531250.14499999326653779 173035.90100007367436774, 531207.21100005775224417 173061.25200009375112131, 531142.74799992970656604 173114.62600000447127968, 531016.59499999997206032 173227.86500010572490282, 531112.71899989771191031 173332.5859999610693194, 531119.06799987843260169 173406.39800007865414955, 531224.51900013478007168 173418.43400009188917466, 531243.99999997986014932 173423.99999992837547325, 531338.12299987999722362 173452.7680000948603265, 531406.12000001280102879 173332.6309998638171237, 531471.27100005757529289 173214.64699993873364292, 531474.55599991418421268 173209.06499986475682817, 531503.80500005523208529 173163.68000006940565072, 531573.125 173087.95299997864640318)))</t>
  </si>
  <si>
    <t>E01003174</t>
  </si>
  <si>
    <t>Lambeth 024C</t>
  </si>
  <si>
    <t>MultiPolygon (((531173.45800000836607069 173760.96400000003632158, 531180.64500003214925528 173731.46599998089368455, 531219.00000012968666852 173736.00000004560570233, 531227.00000011792872101 173699.00000006658956409, 531252.5999999736668542 173630.40000004068133421, 531204.10399993672035635 173605.40899995464133099, 531162.03100002009887248 173583.72800009799539112, 531230.61299995833542198 173450.0290000514651183, 531243.99999999301508069 173423.99999997048871592, 531224.51900001987814903 173418.43399994008359499, 531119.06800011917948723 173406.39799991549807601, 531112.71900000399909914 173332.58599998531281017, 531016.59499998483806849 173227.86499999999068677, 530822.34000002627726644 173310.48000001185573637, 530917.63499991421122104 173431.88800012363935821, 530913.12399987271055579 173467.06800011664745398, 530930.6740001185098663 173516.06600002385675907, 530903.21099997824057937 173595.03500003446242772, 530988.45700001961085945 173637.69099994943826459, 531070.08300009765662253 173674.05300010618520901, 531022.60800006159115583 173732.10299997599213384, 531173.45800000836607069 173760.96400000003632158)))</t>
  </si>
  <si>
    <t>E01003175</t>
  </si>
  <si>
    <t>Lambeth 024D</t>
  </si>
  <si>
    <t>MultiPolygon (((531836.31900012004189193 173407.12199994278489612, 531897.86999991710763425 173168.47099987021647394, 531890.40000002062879503 173038.58299984055338427, 532065.60999994853045791 173121.67700017709285021, 532074.59299998381175101 173094.22099987970432267, 532160.93499987560790032 173096.02099984145024791, 532212.84199999994598329 173016.0989998993172776, 532154.60299992572981864 172970.3410000356961973, 532170.26499986799899489 172921.40900013005011715, 532141.76300002634525299 172892.35100005497224629, 532150.15199987858068198 172864.7120000684808474, 532029.29199989244807512 172899.80599982573767193, 532031.49499991186894476 172897.57399993226863444, 531991.49900001636706293 172863.49899986191303469, 531949.40199984959326684 172891.98799996363231912, 531941.44699994591064751 172842.24199987552128732, 531909.93099992757197469 172861.4329998840985354, 531862.63500008475966752 172833.64600013289600611, 531878.56000001798383892 172883.35999995263409801, 531845.99900009471457452 172896.000000020256266, 531738.00000018405262381 172792.00000005718902685, 531734.54199997487012297 172805.39999985435861163, 531729.54999982018489391 172825.47399988578399643, 531716.22299989697057754 172945.4919998238037806, 531677.48199982207734138 172949.94199986249441281, 531587.99700014817062765 172960.07799997023539618, 531543.37499984528403729 172965.56299983005737886, 531573.12499981792643666 173087.9530000974482391, 531503.80499983124900609 173163.67999992467230186, 531474.55600000009872019 173209.06499998224899173, 531560.28599992697127163 173171.39700004714541137, 531571.00000008358620107 173240.99999982328154147, 531679.36100007721688598 173080.56200012515182607, 531696.63999992294702679 173125.55299983138684183, 531581.52100009797140956 173330.69700016771093942, 531629.45500012370757759 173311.24999985779868439, 531701.10600009583868086 173179.65699992488953285, 531728.48100008303299546 173207.93800012781866826, 531762.57399993517901748 173189.14700015177368186, 531796.96000002988148481 173401.51899983160546981, 531836.31900012004189193 173407.12199994278489612)))</t>
  </si>
  <si>
    <t>E01003164</t>
  </si>
  <si>
    <t>Lambeth 025A</t>
  </si>
  <si>
    <t>E02000642</t>
  </si>
  <si>
    <t>Lambeth 025</t>
  </si>
  <si>
    <t>MultiPolygon (((532789.6819998559076339 172652.38700007891748101, 532826.37600006943102926 172518.10100008177687414, 532684.86099994566757232 172483.83099984985892661, 532566.84600013366434723 172441.97999996895669028, 532483.68999988539144397 172382.96199999999953434, 532426.81899999524466693 172559.15600012213690206, 532382.63999987801071256 172532.80400009485310875, 532370.10699988633859903 172476.89899984365911223, 532335.65499993052799255 172525.03499990460113622, 532366.00000001979060471 172532.99999990270589478, 532357.81800008798018098 172563.17700001018238254, 532490.22000016702804714 172629.12300001020776108, 532477.56999996211379766 172676.02800011288491078, 532449.13399989192839712 172726.96100014561670832, 532396.48899989819619805 172884.20399998221546412, 532436.36599990737158805 172956.6790000137698371, 532427.00000015262048692 172985.99999996976112016, 532644.65100003965198994 173066.65999999997438863, 532731.31999991345219314 172796.6679999397310894, 532738.18199984182137996 172783.14799984125420451, 532776.93000011367257684 172692.45199994568247348, 532788.75400015176273882 172655.52700005625956692, 532789.6819998559076339 172652.38700007891748101)))</t>
  </si>
  <si>
    <t>E01003165</t>
  </si>
  <si>
    <t>Lambeth 025B</t>
  </si>
  <si>
    <t>MultiPolygon (((532316.63799992168787867 173003.69600009528221563, 532362.99999998905695975 172939.99999997194390744, 532354.48799991677515209 172981.48499995851307176, 532426.99999993736855686 172986.00000020672450773, 532436.36599989153910428 172956.67899990754085593, 532396.48899988434277475 172884.20399979883222841, 532449.13399999984540045 172726.96099989872891456, 532401.44599987543188035 172691.64999983919551596, 532344.91999995079822838 172861.27799991960637271, 532315.14700017892755568 172827.36100006895139813, 532280.638000080245547 172852.43600006180349737, 532157.69299993000458926 172721.07200014431145974, 532168.43699986243154854 172685.44700011558597907, 532015.13899986539036036 172535.26899993632105179, 531912.61300012026913464 172506.85799991199746728, 531943.71300017088651657 172481.95099985512206331, 531916.91700001969002187 172455.52199981568264775, 531932.37000009685289115 172375.80199987714877352, 531962.97200001159217209 172426.55000019745784812, 531998.08300008811056614 172375.32699986573425122, 531948.04300003091339022 172293.66900016230647452, 531950.34300004260148853 172228.69100020173937082, 531921.19099990103859454 172221.31299990467960015, 531832.88900012406520545 172533.47700020458432846, 531716.59999980614520609 172444.62600017801742069, 531658.07499985862523317 172405.42499997251434252, 531620.44999999995343387 172579.91999998947721906, 531693.90700017847120762 172758.46400016584084369, 531734.54199992655776441 172805.39999980732682161, 531738.00000005948822945 172792.00000011723022908, 531845.99900019099004567 172895.99999998154817149, 531878.55999996629543602 172883.36000006113317795, 531862.63500012818258256 172833.64600014605093747, 531909.93099998764228076 172861.43299987533828244, 531941.44699982064776123 172842.24200018632109277, 531949.40199994237627834 172891.98800014841253869, 531991.49900005094241351 172863.49899982823990285, 532031.49499990919139236 172897.57399988509132527, 532029.29199984576553106 172899.8060001595003996, 532150.15199997625313699 172864.71200012086774223, 532141.76299981272313744 172892.35100020249956287, 532170.26500011316966265 172921.40899981759139337, 532316.63799992168787867 173003.69600009528221563)))</t>
  </si>
  <si>
    <t>E01003166</t>
  </si>
  <si>
    <t>Lambeth 028D</t>
  </si>
  <si>
    <t>E02000645</t>
  </si>
  <si>
    <t>Lambeth 028</t>
  </si>
  <si>
    <t>MultiPolygon (((536771.18999992543831468 173235.60899993023485877, 536812.22500014072284102 172953.96700000038254075, 536809.29499995871447027 172948.59000013672630303, 536762.21600015368312597 172752.71699991027708165, 536757.2530000185361132 172734.03800007150857709, 536701.01500012958422303 172749.41599997857701965, 536680.99999997322447598 172661, 536636.00000009103678167 172674.00000001679291017, 536650.00000013422686607 172713.00000006714253686, 536618.01300001179333776 172725.21699983705184422, 536659.22000014269724488 172854.19700014789123088, 536758.30699988163542002 172904.73600005742628127, 536739.12200004782062024 172938.64299993001623079, 536688.36499992595054209 172970.06699990300694481, 536649.23500015982426703 172969.70700001117074862, 536637.10200013592839241 172941.97700008875108324, 536512.58700015873182565 172906.81000010442221537, 536474.20599997963290662 172980.92700007240637206, 536430.8170001283288002 172982.96499990142183378, 536426.34900013054721057 173012.17999990883981809, 536395.45599985914304852 173242.25700009026331827, 536396.55499991308897734 173285.3489998591830954, 536576.14299992471933365 173314.66399999998975545, 536730.5630001105600968 173305.65599989524343982, 536764.84299994457978755 173292.06200004054699093, 536771.18999992543831468 173235.60899993023485877)))</t>
  </si>
  <si>
    <t>E01003308</t>
  </si>
  <si>
    <t>Lewisham 024B</t>
  </si>
  <si>
    <t>E02000676</t>
  </si>
  <si>
    <t>Lewisham 024</t>
  </si>
  <si>
    <t>MultiPolygon (((535773.58099995786324143 173105.45199999114265665, 535755.34000012022443116 173084.17200006349594332, 535705.21999983571004122 173102.66099988171481527, 535700.41400004969909787 173048.75499991385731846, 535644.51999992586206645 173014.16799990329309367, 535627.86700009310152382 172844.52699988300446421, 535713.00000006554182619 172803.0000000597210601, 535820.62500002118758857 172750.23899984708987176, 535906.72700004128273576 172749.3450000562297646, 535911.11800009023863822 172692.71199996324139647, 535871.87600013706833124 172680.70000014928518794, 535898.43499993719160557 172537.99199988928739913, 535877.40399998473003507 172483.76600000003236346, 535848.99999991559889168 172490.9999998755811248, 535833.9099998913006857 172558.45499993965495378, 535679.95000000472646207 172654.04999984681489877, 535606.00000003434251994 172627.99999993725214154, 535603.99999994365498424 172607.00000014863326214, 535540.99999991280492395 172649.00000005832407624, 535515.41400013864040375 172599.1140001630410552, 535401.47799994051456451 172527.59399993874831125, 535396.71699990972410887 172796.69100013884599321, 535398.22999999008607119 172825.00100005450076424, 535408.82799984992016107 172919.05800001724855974, 535415.09999997215345502 172961.71000003698281944, 535432.66399983572773635 173053.33399993748753332, 535538.22600004333071411 173016.70900004293071106, 535761.47399999585468322 173148.65599999998812564, 535773.58099995786324143 173105.45199999114265665)))</t>
  </si>
  <si>
    <t>E01003310</t>
  </si>
  <si>
    <t>Lewisham 027B</t>
  </si>
  <si>
    <t>E02000679</t>
  </si>
  <si>
    <t>Lewisham 027</t>
  </si>
  <si>
    <t>MultiPolygon (((536395.45600010384805501 173242.25700000001234002, 536426.34899991028942168 173012.18000008523813449, 536430.81699999794363976 172982.96499992781900801, 536474.20600003376603127 172980.92699987787636928, 536512.58700010180473328 172906.81000001507345587, 536637.1020001171855256 172941.97700006971717812, 536649.23499993025325239 172969.70700012394809164, 536688.36500008311122656 172970.06699994788505137, 536739.1220000545727089 172938.64300001889932901, 536758.30699991621077061 172904.7360000693006441, 536659.21999999566469342 172854.19700006017228588, 536618.01299988164100796 172725.21699997244286351, 536584.5029999454272911 172701.19300014292821288, 536513.73499992175493389 172753.54599992043222301, 536479.54099994502030313 172732.81399992667138577, 536449.99800012749619782 172769.27599997710785829, 536415.10300002316944301 172746.21599989090464078, 536319.49000000488013029 172665.22000000000116415, 536267.12099985696841031 172693.18100008310284466, 536216.92699988349340856 172922.50399988738354295, 536206.35099996521603316 172972.6370001255418174, 536204.853000083938241 173011.4249999696330633, 536257.04499990260228515 173015.14699998777359724, 536226.92300000519026071 173231.07399985851952806, 536272.46600010793190449 173227.71699997843825258, 536395.45600010384805501 173242.25700000001234002)))</t>
  </si>
  <si>
    <t>E01003314</t>
  </si>
  <si>
    <t>Lewisham 024C</t>
  </si>
  <si>
    <t>MultiPolygon (((535652.35499998321756721 173287.68599988345522434, 535800.0069998869439587 173286.87499989283969626, 535839.9190000012749806 173287.88900002764421515, 535863.16399991314392537 173233.68099990877090022, 535877.17500010726507753 172988.47100010071881115, 535862.62599995883647352 172839.78300007304642349, 535817.84500002453569323 172840.9170000996964518, 535820.62500011827796698 172750.23900000000139698, 535712.99999997881241143 172803.00000000235741027, 535627.86699987854808569 172844.52700002805795521, 535644.51999994134530425 173014.168000097211916, 535700.41399991197977215 173048.75500010349787772, 535705.21999990975018591 173102.66100012706010602, 535755.34000009193550795 173084.1719999443157576, 535773.58100010373163968 173105.45199994652648456, 535761.47400009375996888 173148.65599992629722692, 535538.22599995112977922 173016.70899991792975925, 535432.66399989288765937 173053.33399987107259221, 535461.63899988390039653 173156.38399989879690111, 535496.93799992965068668 173254.82799992777290754, 535618.89100000902544707 173288.04399999999441206, 535652.35499998321756721 173287.68599988345522434)))</t>
  </si>
  <si>
    <t>E01003315</t>
  </si>
  <si>
    <t>Lewisham 024D</t>
  </si>
  <si>
    <t>MultiPolygon (((536139.03000001260079443 173292.3019999245298095, 536350.59099994471762329 173279.48299986819620244, 536396.55499999993480742 173285.34900008849217556, 536395.45599986868910491 173242.2569999348197598, 536272.4660001372685656 173227.71699992992216721, 536226.9230000312672928 173231.07400011821300723, 536257.04500008921604604 173015.14700011484092101, 536204.85299994051456451 173011.42500006378395483, 536206.35100009641610086 172972.63699991547036916, 536162.62199989857617766 172967.65999998926417902, 536112.12500006577465683 172959.17600011039758101, 536039.42800003115553409 173015.94199989605112933, 536028.50199989066459239 172783.67599992817849852, 535995.06200006743893027 172766.49200007546460256, 535931.40499995497521013 172783.06900005953502841, 535927.18899992643855512 172949.64199993235524744, 535877.17500010889489204 172988.47099994021118619, 535863.16399996157269925 173233.6810000927944202, 535839.91899999999441206 173287.8890000143146608, 536139.03000001260079443 173292.3019999245298095)))</t>
  </si>
  <si>
    <t>E01003316</t>
  </si>
  <si>
    <t>Lewisham 024E</t>
  </si>
  <si>
    <t>MultiPolygon (((537442.7269999609561637 174052.36199990645400248, 537433.99999977787956595 174013.99899976374581456, 537492.99999989778734744 174021.99999975398532115, 537475.99999992502853274 173894.00000017456477508, 537446.92500013823155314 173897.63399977094377391, 537432.84700025664642453 173836.7059998772747349, 537437.16000008443370461 173609.93500024589593522, 537409.47399993613362312 173610.96000026035471819, 537404.87200025643687695 173570.95399999932851642, 537355.00799980701413006 173621.56199996112263761, 537339.5710001956904307 173625.57099998256308027, 537341.5250002034008503 173572.35399991730810143, 537235.72700001776684076 173454.60600005916785449, 537177.77399994980078191 173373, 537144.39000001014210284 173389.64299991013831459, 537129.7310000165598467 173418.01800025950069539, 537115.80899997381493449 173467.71200018245144747, 537007.11400014266837388 173485.70300006426987238, 536989.27799978980328888 173520.00000025445478968, 536891.44600022223312408 173524.14300007731071673, 536869.46099975192919374 173567.79599979092017747, 536826.94300024001859128 173552.40800023940391839, 536770.73000009986571968 173535.90499990383978002, 536720.51400009426288307 173670.87300010918988846, 536768.1539997918298468 173787.02100013557355851, 536866.68799993814900517 173950.34400022949557751, 536966.28600018902216107 173990.03400009480537847, 537013.18800014746375382 173994.10900022860732861, 537004.34299990569707006 174039.56599988421658054, 537081.43799979996401817 174045.4690000957052689, 537123.34900000900961459 174015.92099976440658793, 537292.25000025890767574 174135.82800005038734525, 537274.18900006823241711 174178.29700002408935688, 537458.68400007823947817 174399.69100024463841692, 537534.22199990577064455 174416.07600000000093132, 537475.67100019473582506 174180.72900003957329318, 537442.7269999609561637 174052.36199990645400248)))</t>
  </si>
  <si>
    <t>E01003317</t>
  </si>
  <si>
    <t>Lewisham 020A</t>
  </si>
  <si>
    <t>MultiPolygon (((536990.99999987951014191 173104.00000001289299689, 536812.22499987331684679 172953.96700000000419095, 536771.18999995430931449 173235.60899993320344947, 536764.84300011454615742 173292.06200014782370999, 536730.5629998950753361 173305.65599989704787731, 536742.18800010462291539 173376.18700003752019256, 536702.39300013845786452 173511.14599996147444472, 536770.72999987786170095 173535.90500015066936612, 536826.94300001242663711 173552.40799998297006823, 536869.46100005344487727 173567.79600000003119931, 536891.44599987845867872 173524.14300006040139124, 536989.27799991180654615 173519.9999998961284291, 537007.11400000797584653 173485.70299998938571662, 537115.80899998941458762 173467.71200009097810835, 537129.73099987860769033 173418.01799989948631264, 537144.39000000187661499 173389.64299997861962765, 537177.77399986144155264 173372.99999986949842423, 537047.61900001892354339 173136.14499984710710123, 536990.99999987951014191 173104.00000001289299689)))</t>
  </si>
  <si>
    <t>E01003321</t>
  </si>
  <si>
    <t>Lewisham 020C</t>
  </si>
  <si>
    <t>MultiPolygon (((530582.5779999663354829 173304.70599996385863051, 530616.61500004783738405 173230.36799994067405351, 530679.64499988534953445 173220.28999995914637111, 530634.00099996267817914 173072.00000012878444977, 530692.0000001136213541 173059.0000001038715709, 530786.99999996181577444 172988.00099992795730941, 530764.6819999311119318 172875.2490001310070511, 530773.95399992319289595 172836.82400008355034515, 530762.52499990887008607 172774.54099987188237719, 530755.36399992520455271 172743.94000000000232831, 530584.56799985689576715 172765.61099986880435608, 530591.00000003143213689 172804.99899994631414302, 530389.97399988130200654 172841.71600012469571084, 530374.95499987551011145 172780.23099988748435862, 530339.00000003818422556 172787.00000000550062396, 530384.0000000576255843 172967.9999999294814188, 530397.00000008253846318 172997.99999994246172719, 530444.00000008358620107 173097.99999988928902894, 530433.00000004016328603 173099.99999987086630426, 530433.00000004016328603 173138.00000009944778867, 530494.75199987296946347 173134.90499998547602445, 530501.19899989478290081 173193.68600008095381781, 530503.35099987138528377 173250.03499996507889591, 530462.19900010933633894 173257.89000001785461791, 530473.28100008913315833 173233.21100001703598537, 530434.05399991502054036 173198.31099994794931263, 530413.52699987252708524 173235.11099995614495128, 530423.20700004952959716 173308.20999986678361893, 530474.13900003116577864 173280.64700011070817709, 530500.90100013266783208 173322.58199999999487773, 530582.5779999663354829 173304.70599996385863051)))</t>
  </si>
  <si>
    <t>E01003130</t>
  </si>
  <si>
    <t>Lambeth 026A</t>
  </si>
  <si>
    <t>E02000643</t>
  </si>
  <si>
    <t>Lambeth 026</t>
  </si>
  <si>
    <t>MultiPolygon (((530238.57099988439586014 173116.66299998661270365, 530271.00000006973277777 173114.99900002757203765, 530302.00000013899989426 173119.00000007354537956, 530358.24599989596754313 173061.27099995434400626, 530433.0000000970903784 173100.00000004124012776, 530444 173098.00000008745701052, 530396.99999998626299202 172997.9999998843704816, 530384.00000012957025319 172967.99999994912650436, 530339.00000006949994713 172786.99999988946365193, 530291.24499989184550941 172699.80999995756428689, 530286.71200006362050772 172684.19700015286798589, 530005.20699998456984758 172759.23599988938076422, 529986.86999995319638401 172764.18799988680984825, 529949.48000009590759873 172774.35400000476511195, 529961.36999999242834747 172840.60999997201724909, 529872.00000001979060471 172863.00000001868465915, 529832.00000000139698386 172976.00000007849303074, 529815.57499999995343387 173023.65600006701424718, 529859.48700000206008554 173039.80600003164727241, 529916.59699992521200329 173074.66100005185580812, 529923.9989999367389828 173091.99999991187360138, 530030.00000013958197087 173121.99999984711757861, 530231.99999987112823874 173117.0000001197331585, 530238.57099988439586014 173116.66299998661270365)))</t>
  </si>
  <si>
    <t>E01003131</t>
  </si>
  <si>
    <t>Lambeth 026B</t>
  </si>
  <si>
    <t>MultiPolygon (((530591.000000094412826 172804.99900001718197018, 530584.56799987924750894 172765.6110000430198852, 530574.49299984856043011 172712.45299996319226921, 530744.01300008164253086 172679.5669999081583228, 530847.96999995061196387 172661.48199999885400757, 530941.17700005799997598 172640.23399993646307848, 530944.83899999991990626 172609.81100003319443204, 530940.29399994679260999 172573.02699997180025093, 530919.25099986360874027 172548.46800015660119243, 530865.61799991223961115 172496.38200011261506006, 530820.7499998431885615 172454.60899988250457682, 530790.80699993134476244 172482.5419999738514889, 530766.67200008127838373 172464.39699994219699875, 530691.25400002556852996 172534.73099985491717234, 530683.74299993575550616 172541.15499987822840922, 530631.2530000772094354 172598.60599989231559448, 530473.28200000640936196 172629.97400007708347403, 530400.01999998104292899 172649.90200008056126535, 530286.712000000057742 172684.19700002495665103, 530291.24500009452458471 172699.80999989577685483, 530338.99999995133839548 172786.99999986638431437, 530374.95499987993389368 172780.2310001268342603, 530389.97399998758919537 172841.71600011744885705, 530591.000000094412826 172804.99900001718197018)))</t>
  </si>
  <si>
    <t>E01003135</t>
  </si>
  <si>
    <t>Lambeth 026C</t>
  </si>
  <si>
    <t>MultiPolygon (((530278.5170001236256212 172656.00000006539630704, 530223.59099989663809538 172465.41600012037088163, 530205.92100002977531403 172352.57100013431045227, 530201.90499984379857779 172210.79600003486848436, 530202.0960000631166622 172168.35200000001350418, 530166.07500000181607902 172181.8970000084664207, 530149.50400005211122334 172241.55499989725649357, 529832.99999984819442034 172246.99899997358443215, 529844.00100000121165067 172275.4870001133531332, 529850.00000005157198757 172304.00000000660656951, 530012.99999986018519849 172303.00000005052424967, 530013.45599987311288714 172343.79199988301843405, 530102.04499987815506756 172333.73100015099043958, 530103.29599990521091968 172376.6569999550411012, 530054.99999991583172232 172416.00000015486148186, 530030.00000006367918104 172428.99999990063952282, 529799.84399990958627313 172453.85799998763832264, 529832.29000007244758308 172500.4539999566914048, 529798.52099999715574086 172540.48999988444847986, 529900.8100001288112253 172556.82000010783667676, 529950.81999986118171364 172522.71600004241918214, 529996.99999992956873029 172535.99999995180405676, 529987.55000001203734428 172585.6110001478518825, 529928.3090000266674906 172583.52099998312769458, 529881.80299999355338514 172648.91700013988884166, 529833.22200015443377197 172615.15900009538745508, 529829.13500008592382073 172667.31500014959601685, 529815.59900010284036398 172728.95799990848172456, 529849.04199989675544202 172801.66600000002654269, 529949.47999990102835 172774.3539999935310334, 529986.87000000383704901 172764.18799996687448584, 530005.20699984242673963 172759.23600000445730984, 530286.71200000285170972 172684.19700002192985266, 530278.5170001236256212 172656.00000006539630704)))</t>
  </si>
  <si>
    <t>E01003117</t>
  </si>
  <si>
    <t>Lambeth 029B</t>
  </si>
  <si>
    <t>E02000646</t>
  </si>
  <si>
    <t>Lambeth 029</t>
  </si>
  <si>
    <t>MultiPolygon (((530141.30099989450536668 172004.81199991592438892, 530123.33900005603209138 171841.60299991551437415, 530100.58499991777352989 171801.31099998849094845, 530012.22799998335540295 171845.38000004037166946, 530001.71199988014996052 171799.29300004927790724, 529921.54200002283323556 171733.15299995150417089, 529885.00000001979060471 171766.00000003291643225, 529755.99999985948670655 171755.00000014025135897, 529742.51699987635947764 171769.4829999296925962, 529723.33499993302393705 171800.30100012922775932, 529677.20000003452878445 171992.36800006130943075, 529623.95799999998416752 172191.40400003411923535, 529677.48800005740486085 172209.72499986697221175, 529821.89699988381471485 172223.94800001321709715, 529832.99999997531995177 172246.99900004849769175, 530149.50399994070176035 172241.55499999417224899, 530166.07500004034955055 172181.89699990052031353, 530202.09600000001955777 172168.35200010918197222, 530199.68200010166037828 172157.26400009711505845, 530141.30099989450536668 172004.81199991592438892)))</t>
  </si>
  <si>
    <t>E01003118</t>
  </si>
  <si>
    <t>Lambeth 029C</t>
  </si>
  <si>
    <t>MultiPolygon (((530427.85699999274220318 172467.37600007475703023, 530496.54800005431752652 172378.28100009326590225, 530449.85400001495145261 172399.07400015933671966, 530364.63600016781128943 172398.47999990315292962, 530353.23199984105303884 172368.74799990202882327, 530384.08099982584826648 172358.2039999894623179, 530362.18900017370469868 172292.06300011803978123, 530285.1509998693363741 172320.9750000687490683, 530283.42800014419481158 172269.05400009255390614, 530345.88200004980899394 172236.21599983479245566, 530379.92600004805717617 172107.25699994404567406, 530285.87600003043189645 172114.95000016473932192, 530275.0000000613508746 172081.99999990200740285, 530406.76099986105691642 172048.18699993845075369, 530391.52000015357043594 172007.62699985897052102, 530434.56100006855558604 171995.4429998455743771, 530419.99900002579670399 171958.00000000582076609, 530361.05100011616013944 171968.99999985512113199, 530317.51500018255319446 171904.55400000000372529, 530153.42500019306316972 171931.99599983653752133, 530184.95599990885239094 171992.95000013484968804, 530141.30099994561169297 172004.81200018263189122, 530199.68199980573263019 172157.26400013436796144, 530202.09599985054228455 172168.3519998483825475, 530201.90500017965678126 172210.79599983073421754, 530205.9210001357132569 172352.57100018070195802, 530223.59099982946645468 172465.41600018239114434, 530278.51700004038866609 172656.00000011941301636, 530286.71199991449248046 172684.1969999999855645, 530400.01999987766612321 172649.90200017509050667, 530340.45300006913021207 172591.42500014367396943, 530403.83299989777151495 172498.74999996102997102, 530427.85699999274220318 172467.37600007475703023)))</t>
  </si>
  <si>
    <t>E01003153</t>
  </si>
  <si>
    <t>Lambeth 029D</t>
  </si>
  <si>
    <t>MultiPolygon (((530458.13099989073816687 172082.22099989457638003, 530562.5829999604029581 172028.21999990777112544, 530575.99999993853271008 172063.99999992665834725, 530655.99999988218769431 172034.0000001133303158, 530667.84700002218596637 172063.14299997809575871, 530785.62899999995715916 172100.04299994054599665, 530765.47399998037144542 172038.4579999384295661, 530670.40400005073752254 171866.10699987009866163, 530583.27999990293756127 171792.52000002554268576, 530646.66500014555640519 171771.44000009400770068, 530607.02900005597621202 171746.58900004613678902, 530523.16100000904407352 171768.70500002481276169, 530517.9999998799758032 171729.99999986353213899, 530539.50800008792430162 171719.08199986713589169, 530520.6659999277908355 171680.3109998581930995, 530527.16899993957486004 171677.83400015684310347, 530538.5760001017479226 171673.48799986249650829, 530525.62600000912789255 171635.6269998904899694, 530570.49500009161420166 171630.18799989129183814, 530557.85899996652733535 171587.12799990799976513, 530491.3120000985218212 171616.44700002882746048, 530281.74999994260724634 171713.79899995942832902, 530253.25300006184261292 171777.18700004459242336, 530123.33899999991990626 171841.6030000448517967, 530141.30099987331777811 172004.81199996106442995, 530184.95599986799061298 171992.9499999459949322, 530153.42500015662517399 171931.99600005280808546, 530317.51500008651055396 171904.55399999470682815, 530361.05100014514755458 171969.0000000762520358, 530419.99900012277066708 171957.99999996807309799, 530434.560999836307019 171995.44299991146544926, 530391.51999995962250978 172007.62700002623023465, 530406.7609999121632427 172048.18699996988289058, 530274.9999998687999323 172082.00000001332955435, 530285.8760000824695453 172114.95000009197974578, 530379.92599989799782634 172107.25700005731778219, 530458.13099989073816687 172082.22099989457638003)))</t>
  </si>
  <si>
    <t>E01003155</t>
  </si>
  <si>
    <t>Lambeth 029E</t>
  </si>
  <si>
    <t>MultiPolygon (((531290.92700008186511695 177506.74599997425684705, 531229.81999995827209204 177328.28500004703528248, 531226.46099999500438571 177317.37799998934497125, 531216.91900008253287524 177257.29599997779587284, 531201.64799999876413494 177189.75900010083569214, 531173.55399996333289891 177185.46899998903973028, 531159.74599999818019569 177183.36099989025387913, 531019.86599993391428143 177162.39099997712764889, 530966.1490000516641885 177154.77599998575169593, 530898.19599995436146855 177133.45000000004074536, 530865.96599991829134524 177151.74600002859369852, 530915.38399993453640491 177242.19800005204160698, 530895.00000012444797903 177253.99999990162905306, 530957.78800009924452752 177351.48600009377696551, 530969.57899992179591209 177427.44000006100395694, 531019.32099993189331144 177398.82300007771118544, 531043.56999987922608852 177421.24200007485342212, 531061.83300009451340884 177406.11000006541144103, 531172.10899988922756165 177579.23499998514307663, 531221.87499995832331479 177669.35699999998905696, 531235.44499987352173775 177659.04800007483572699, 531290.92700008186511695 177506.74599997425684705)))</t>
  </si>
  <si>
    <t>E01003100</t>
  </si>
  <si>
    <t>Lambeth 005C</t>
  </si>
  <si>
    <t>E02000622</t>
  </si>
  <si>
    <t>Lambeth 005</t>
  </si>
  <si>
    <t>MultiPolygon (((531193.49900002067442983 176296.78099993304931559, 531200.77200000011362135 176053.91699996523675509, 531195.2280000337632373 176028.76300007326062769, 531127.98299994866829365 176058.71300003511714749, 531074.933999934932217 176042.96699999133124948, 531066.48000002687331289 176054.78200004890095443, 531003.14400000241585076 176028.51000006240792572, 531005.23300005833152682 176063.85299993405351415, 530937.94100000627804548 176041.61600002320483327, 530923.03400002373382449 176097.71399991828366183, 530876.46900001098401845 176183.1289999310974963, 530854.037999999942258 176235.91000004787929356, 530900.95500003534834832 176256.65000001175212674, 530927.93799993314314634 176267.12500006397021934, 530929.30599992256611586 176264.58900007038027979, 531050.25200002198107541 176305.49700002637109719, 531190.87599995895288885 176329.51799993764143437, 531193.49900002067442983 176296.78099993304931559)))</t>
  </si>
  <si>
    <t>E01003059</t>
  </si>
  <si>
    <t>Lambeth 011D</t>
  </si>
  <si>
    <t>E02000628</t>
  </si>
  <si>
    <t>Lambeth 011</t>
  </si>
  <si>
    <t>MultiPolygon (((531038.28799997095484287 175945.10099999999511056, 531104.81100007705390453 175869.43800002898206003, 531027.41599995247088373 175877.12600003398256376, 531050.49000008136499673 175855.26999995671212673, 531036.58699993882328272 175800.11600004773936234, 531136.16800003871321678 175803.01000003976514563, 531097.37599994230549783 175667.49199993198271841, 531076.81000008049886674 175586.36099995402037166, 531069.55500006570946425 175558.86199999999371357, 530863.9999999402789399 175583.99999993288656697, 530821.01999993855133653 175594.51799993449822068, 530812.36099991551600397 175642.47300004184944555, 530799.74899996118620038 175671.37699997681193054, 530908.91599994839634746 175740.67300008665188216, 530871.84000005514826626 175818.48000000076717697, 530898.99999997008126229 175833.99999995215330273, 530862.99999993946403265 175896.00000000483123586, 530952.34999994782265276 175919.62200008245417848, 530971.9319999524159357 175927.22399991855490953, 531038.28799997095484287 175945.10099999999511056)))</t>
  </si>
  <si>
    <t>E01003061</t>
  </si>
  <si>
    <t>Lambeth 011F</t>
  </si>
  <si>
    <t>MultiPolygon (((531559.09800005482975394 176123.11000007798429579, 531511.22099991969298571 176057.55900009878678247, 531421.75999990559648722 176074.98999999929219484, 531444.17299995163921267 175990.03999992579338141, 531419.60099993948824704 175982.99099993359413929, 531399.6169999074190855 175993.80499991841497831, 531387.00000001210719347 175960.99999997700797394, 531178.75599996314849705 175945.0089999999909196, 531195.22799993329681456 176028.76299991327687167, 531200.77199998684227467 176053.91700000636046752, 531193.49900000647176057 176296.78099993139039725, 531229.70000004104804248 176301.41700000828132033, 531271.06700006208848208 176312.78100007577450015, 531425.88500002829823643 176342.86799999998765998, 531567.8580000369111076 176323.42799993892549537, 531511.28200005937833339 176283.75499998949817382, 531539.34799999778624624 176209.98799999931361526, 531559.09800005482975394 176123.11000007798429579)))</t>
  </si>
  <si>
    <t>E01003045</t>
  </si>
  <si>
    <t>Lambeth 011A</t>
  </si>
  <si>
    <t>MultiPolygon (((531417.966999905067496 175748.44300000549992546, 531438.14799988002050668 175716.11500012749456801, 531411.58100013202056289 175687.99899984599323943, 531377.32499987550545484 175719.46999989901087247, 531353.77999984810594469 175672.69399983549374156, 531465.00000015110708773 175546.99999984900932759, 531377.24600003659725189 175520.43199986449326389, 531355.00000016810372472 175512.99999990800279193, 531368.63199987902771682 175484.1979999674949795, 531301.65999998804181814 175459.82400008599506691, 531279.18300017400179058 175349.80099983650143258, 531233.96099997905548662 175311.79100003698840737, 531184.20099994458723813 175322.77099996100878343, 531120.16500012704636902 175308.52100004549720325, 531118.67100003804080188 175281.63100002499413677, 531165.15600000706035644 175294.16099997999845073, 531157.52499991352669895 175225.33399997800006531, 531087.63300003809854388 175232.8159999354975298, 531046.9999999200226739 175222, 531023.00000017904676497 175280.00000005151377991, 531002.06599984900094569 175272.49999990151263773, 531024.02000012551434338 175370.24299983150558546, 531054.78399998706299812 175497.66699992649955675, 531057.90199987206142396 175510.58299990399973467, 531069.55500007560476661 175558.8619999680086039, 531076.8099999250844121 175586.36099991199444048, 531097.37600005557760596 175667.49199999749544077, 531136.16800004802644253 175803.00999994401354343, 531178.755999909597449 175945.00899996099178679, 531387.00000006903428584 175961, 531338.99999984807800502 175829.99999996650149114, 531370.51900016807485372 175828.12799989950144663, 531366.31799984758254141 175763.68900010350625962, 531417.966999905067496 175748.44300000549992546)))</t>
  </si>
  <si>
    <t>E01003047</t>
  </si>
  <si>
    <t>Lambeth 011B</t>
  </si>
  <si>
    <t>MultiPolygon (((531054.78399988322053105 175497.66700006771134213, 531024.0199999037431553 175370.24300011844024993, 531002.06599988450761884 175272.50000000430736691, 530999.50100008293520659 175263.70200010662665591, 530993.18800005875527859 175261.87499999589635991, 530791.79299995629116893 175169.50200000224867836, 530733.82800011138897389 175144.41800004791002721, 530616.83699990343302488 175101.53700010632746853, 530569.32000000006519258 175264.2629999749478884, 530650.08199997979681939 175290.7410001055104658, 530608.35299993108492345 175436.12199989819782786, 530641.72999996214639395 175447.88400008782627992, 530689.17400009604170918 175473.35400009833392687, 530700.31700011529028416 175472.90300007004407234, 530875.05000010598450899 175551.24299989370047115, 531057.90200000000186265 175510.58299991636886261, 531054.78399988322053105 175497.66700006771134213)))</t>
  </si>
  <si>
    <t>E01003055</t>
  </si>
  <si>
    <t>Lambeth 016D</t>
  </si>
  <si>
    <t>E02000633</t>
  </si>
  <si>
    <t>Lambeth 016</t>
  </si>
  <si>
    <t>MultiPolygon (((530737.5890001276275143 174821.11299988214159384, 530757.57899986021220684 174753.52199986964114942, 530777.77299988188315183 174851.90500000445172191, 530844.51399986981414258 174827.81699999651755206, 530835.41299997572787106 174801.04099985529319383, 530766.72299987100996077 174593.37599989914451726, 530761.50800008466467261 174576.94400002073962241, 530735.72900004510302097 174504.88799991749692708, 530676.98900002811569721 174362.50700005909311585, 530601.24799999792594463 174374.92200012554530986, 530525.17199997429270297 174292.86100000000442378, 530492.47199988248758018 174294.42100001964718103, 530471.47900013951584697 174391.90199999584001489, 530564.25699994422029704 174446.52499987193732522, 530538.64800009422469884 174502.2009999229630921, 530547.61400003696326166 174530.96500005052075721, 530688.39200006681494415 174523.72799987040343694, 530697.91599984955973923 174560.74500014510704204, 530565.58399996114894748 174566.53300000555464067, 530325.81300013023428619 174624.56100005775806494, 530338.84400007966905832 174670.77100006109685637, 530365.50600010459311306 174673.57100003317464143, 530395.46399995940737426 174671.77800001078867353, 530385.29899990349076688 174791.63599995896220207, 530415.99200014362577349 174787.65000013815006241, 530410.46799996902700514 174847.92100015326286666, 530503.99600008514244109 174857.49999987057526596, 530508.23699988250155002 174785.80600012047216296, 530536.99999987136106938 174782.9999999315768946, 530541.99999999743886292 174855.10899999976390973, 530624.5589999504154548 174908.70999999999185093, 530680.12299985473509878 174887.14899995303130709, 530660.00000014051329345 174855.99999986353213899, 530737.5890001276275143 174821.11299988214159384)))</t>
  </si>
  <si>
    <t>E01003018</t>
  </si>
  <si>
    <t>Lambeth 020A</t>
  </si>
  <si>
    <t>E02000637</t>
  </si>
  <si>
    <t>Lambeth 020</t>
  </si>
  <si>
    <t>MultiPolygon (((530892.14299987186677754 174967.94899991890997626, 530857.45299987809266895 174865.88599996158154681, 530844.51400007260963321 174827.81699991325149313, 530777.77300000062678009 174851.90500013274140656, 530757.57900011201854795 174753.52199997604475357, 530737.58899999409914017 174821.11300008444231935, 530659.99999988079071045 174856.00000013175304048, 530680.12299995205830783 174887.14899985707597807, 530624.55900010303594172 174908.71000002254731953, 530541.99999993469100446 174855.10900005072471686, 530537.00000010686926544 174782.99999988902709447, 530508.23699999984819442 174785.80600008546025492, 530503.99600012495648116 174857.50000004877801985, 530486.06300007039681077 174909.92299994124914519, 530376.00000013795215636 174901.99999998862040229, 530372.13700003176927567 174960.8439999527472537, 530399.90100012393668294 174999.31400013845996, 530366.731000000028871 175034.04099993564886972, 530366.93100015597883612 175069.211999878694769, 530486.97800003236625344 175075.07400015331222676, 530616.83700013183988631 175101.53700003260746598, 530733.82799992989748716 175144.41799984985846095, 530791.79299991007428616 175169.50199998167227022, 530993.18799999996554106 175261.87500002395245247, 530894.93399986869189888 174976.79600014118477702, 530893.83500008902046829 174973.38800013923901133, 530892.14299987186677754 174967.94899991890997626)))</t>
  </si>
  <si>
    <t>E01003020</t>
  </si>
  <si>
    <t>Lambeth 016A</t>
  </si>
  <si>
    <t>MultiPolygon (((530676.98899998504202813 174362.50700014308677055, 530646.95000002952292562 174279.43000009545357898, 530630.09299995540641248 174235.36000001165666617, 530610.70399989280849695 174184.74900007847463712, 530587.36800015508197248 174118.56400016887346283, 530720.86799986485857517 174016.51399994918028824, 530684.00499997765291482 173922.54100006632506847, 530703.07599989406298846 173882.82399989225086756, 530617.93199998291675001 173815.50799987281789072, 530547.26899993524421006 173807.19299989819410257, 530549.00000005436595529 173803.99999993393430486, 530569.00000000139698386 173796.9989999687531963, 530557.99999983131419867 173658.99999986510374583, 530494.96199994685593992 173650.38800000000628643, 530442.99999986414331943 173689.51399996387772262, 530442.99999986414331943 173704.9999998519779183, 530389.59399989678058773 173707.18400000166730024, 530356.52800013532396406 173758.10599999580881558, 530415.09400011005345732 173867.58000015644938685, 530498.20500000240281224 173922.41299990494735539, 530466.84100016218144447 173978.0530001133447513, 530421.24099981924518943 173984.10200007827370428, 530413.49900009436532855 174019.05899988891906105, 530471.90699985285755247 174016.27800002522417344, 530472.7749999170191586 174046.44000013303593732, 530511.12500005727633834 174039.93999985139816999, 530518.19100014120340347 174077.66999994582147337, 530456.81200017197988927 174085.4809999416465871, 530415.67600015888456255 174147.32500003586756065, 530447.34899998386390507 174175.22600014312774874, 530493.19600012595765293 174150.77199988448410295, 530492.47200010751839727 174294.42100016606855206, 530525.17200006986968219 174292.86099985212786123, 530601.24800015229266137 174374.92199999999138527, 530676.98899998504202813 174362.50700014308677055)))</t>
  </si>
  <si>
    <t>E01003024</t>
  </si>
  <si>
    <t>Lambeth 021D</t>
  </si>
  <si>
    <t>MultiPolygon (((531523.00000005820766091 176584.99999989796197042, 531549.36899992951657623 176493.35200000207987614, 531624.61599989584647119 176515.88900004429160617, 531630.9110000777291134 176482.40000008427887224, 531585.00000003376044333 176472.00000007511698641, 531667.52899999998044223 176332.5540000245673582, 531602.82700008875690401 176359.03700005309656262, 531562.99199989449698478 176354.35000007154303603, 531567.85800010897219181 176323.42800008328049444, 531425.88499995763413608 176342.86799992306623608, 531271.06700009375344962 176312.78099992359057069, 531229.69999995618127286 176301.41700010205386207, 531253.11499992839526385 176345.19400011291145347, 531211.51099995046388358 176514.78699996945215389, 531211.07100000011269003 176543.2809998914017342, 531271.26200009253807366 176572.23900009712087922, 531274.77299994113855064 176526.28900005342438817, 531392.09899989422410727 176543.90999992832075804, 531523.00000005820766091 176584.99999989796197042)))</t>
  </si>
  <si>
    <t>E01003188</t>
  </si>
  <si>
    <t>Lambeth 009E</t>
  </si>
  <si>
    <t>E02000626</t>
  </si>
  <si>
    <t>Lambeth 009</t>
  </si>
  <si>
    <t>MultiPolygon (((531135.81300013919826597 174666.51599995835567825, 531153.71499998227227479 174603.22199987317435443, 531131.29799993243068457 174603.71100000766455196, 531087.0000000448198989 174608.99999996638507582, 531045.00000016507692635 174613.00000005619949661, 530966.13100008910987526 174620.00000003614695743, 530959.98100013704970479 174580.28399998304666951, 530869.28599991998635232 174573.41900015764986165, 530842.13100014056544751 174603.01600003903149627, 530794.40500013274140656 174581.95600003050640225, 530797.17499987769406289 174554.8500000000349246, 530761.50800001772586256 174576.94399993994738907, 530766.7230000807903707 174593.37599987222347409, 530835.41299991635605693 174801.0410000235424377, 530844.5140000096289441 174827.81700003068544902, 530857.45299986540339887 174865.88599982863524929, 530892.14300000097136945 174967.94899992243153974, 530893.83499995316378772 174973.38800005288794637, 530894.93399984086863697 174976.79599991388386115, 530993.18800001626368612 175261.87499989324714988, 530999.50100013124756515 175263.70199999999022111, 531019.76599993847776204 175125.10600016542593949, 531093.90200017241295427 174822.32999998706509359, 531100.34499984548892826 174792.99999984426540323, 531120.91899993561673909 174712.26599987791269086, 531135.81300013919826597 174666.51599995835567825)))</t>
  </si>
  <si>
    <t>E01003176</t>
  </si>
  <si>
    <t>Lambeth 016E</t>
  </si>
  <si>
    <t>MultiPolygon (((530869.28599994315300137 174573.41899988165823743, 530827.4460000314284116 174533.06100004486506805, 530858.00000005098991096 174507.00099990263697691, 530918.99999989883508533 174490.99999992150696926, 530967.65799997234717011 174514.27599997332436033, 531008.21900011866819113 174469.7990001235739328, 531083.90999994683079422 174352.69099990057293326, 531051.34999990381766111 174336.39999999655992724, 531050.07900012354366481 174331.31600009699468501, 531016.86499991605523974 174340.32399994498700835, 530934.84500003606081009 174083.82300000003306195, 530936.19599992921575904 174140.18300004323828034, 530840.43000012193806469 174234.80800002685282379, 530820.00100007746368647 174207.00000010235817172, 530733.3449999961303547 174271.32800008213962428, 530715.32599988381844014 174233.29300004479591735, 530646.95000005303882062 174279.43000009763636626, 530676.98900007538031787 174362.50700008511194028, 530735.72900004079565406 174504.88799991307314485, 530761.50799995160195976 174576.94400000956375152, 530797.17499991494696587 174554.84999993350356817, 530794.40500012342818081 174581.95600004107109271, 530842.13099995779339224 174603.01600000000325963, 530869.28599994315300137 174573.41899988165823743)))</t>
  </si>
  <si>
    <t>E01003178</t>
  </si>
  <si>
    <t>Lambeth 020E</t>
  </si>
  <si>
    <t>MultiPolygon (((531311.07699997536838055 177131.29700009370571934, 531326.9360001013847068 177074.48200002082739957, 531298.43599989730864763 177065.93100005842279643, 531255.77900000975932926 177050.61399994094972499, 531260.17499991389922798 177019.09099999695899896, 531258.10300000186543912 176956.3759999492613133, 531180.00000000675208867 176935.99999998541898094, 531143.60300007124897093 176937.77600008156150579, 531128.47799995762761682 177111.71700002092984505, 531115.16000011970754713 177071.51600005311775021, 531054.33199988899286836 177071.52800006838515401, 531046.52699995425064117 177020.6929999919666443, 531014.00000001490116119 177018.00100009239395149, 530913.32699994870927185 177028.89099988591624424, 530911.67999995651189238 177067.36699988244799897, 530871.97600000002421439 177084.96099995236727409, 530898.19599994760937989 177133.45000004864414223, 530966.14900004921946675 177154.77600005932617933, 531019.86599998653400689 177162.39100003274506889, 531159.74599999783094972 177183.36099991106311791, 531173.5539999381871894 177185.46900010906392708, 531201.64799990633036941 177189.75899991852929816, 531216.91900000534951687 177257.29600005174870603, 531226.4609999266685918 177317.37800001460709609, 531335.51499993924517184 177311.50599991524359211, 531352.40899999998509884 177248.9580000598798506, 531311.07699997536838055 177131.29700009370571934)))</t>
  </si>
  <si>
    <t>E01003181</t>
  </si>
  <si>
    <t>Lambeth 007A</t>
  </si>
  <si>
    <t>E02000624</t>
  </si>
  <si>
    <t>Lambeth 007</t>
  </si>
  <si>
    <t>MultiPolygon (((531752.00000005587935448 177170.00099997749202885, 531761.9999999072169885 177135.99999987659975886, 531713.03400011907797307 177087.39400000419118442, 531755.99999999639112502 177016.99999995520920493, 531624.46300008555408567 177042.9409998602932319, 531608.99999992770608515 177076.99999990846845321, 531576.83599986264016479 177071.88200000263168477, 531603.00000001699663699 176961.99999992758966982, 531537.94600008020643145 176967.7340000024123583, 531525.28099996421951801 177003.38199989392887801, 531378.73499989102128893 176943.03199988949927501, 531375.66500003810506314 177054.1920000176760368, 531388.91199999442324042 177093.07400002118083648, 531352.11800006590783596 177146.30500010668765754, 531311.07700004708021879 177131.2969999871274922, 531352.40900012687779963 177248.95800006148056127, 531335.5150001278379932 177311.50600006026797928, 531226.46099999989382923 177317.37800012627849355, 531229.82000011007767171 177328.28499992573051713, 531290.92700012132991105 177506.74600011055008508, 531452.95500003860797733 177404.64900000992929563, 531456.00400011963211 177402.73199993019807152, 531653.81299998739268631 177278.01500009835581295, 531790.18299999996088445 177191.95599997794488445, 531752.00000005587935448 177170.00099997749202885)))</t>
  </si>
  <si>
    <t>E01003183</t>
  </si>
  <si>
    <t>Lambeth 005E</t>
  </si>
  <si>
    <t>MultiPolygon (((531294.85299992910586298 176878.55299995574750938, 531291.49800000875256956 176791.51400011320947669, 531326.84100012865383178 176794.56499992168392055, 531319.8650000486522913 176693.68299997787107714, 531359.10299997497349977 176670.60200002900091931, 531390.50899986352305859 176604.34500006746384315, 531353.12000010022893548 176580.45600000000558794, 531318.75500009441748261 176591.47899994225008413, 531327.00000001967418939 176632.99999998998828232, 531215.7859999374486506 176667.89000007350114174, 531228.30699994694441557 176812.32599989356822334, 531175.33000013639684767 176836.53700001249671914, 531180.00000003050081432 176936.00000004845787771, 531258.10299986111931503 176956.37599987688008696, 531260.17499998316634446 177019.0910001210286282, 531255.77900001860689372 177050.61400004153256305, 531298.4359999333973974 177065.93100000763661228, 531326.93599995144177228 177074.48200003799865954, 531311.07700010610278696 177131.296999987505842, 531352.11800006660632789 177146.30499999999301508, 531388.91199998697265983 177093.07399990985868499, 531375.66499986674170941 177054.19199992105131969, 531378.73500003584194928 176943.03199994057649747, 531371.01800003694370389 176940.94199987890897319, 531332.99999997881241143 176932.99999992741504684, 531304.65900013467762619 176916.73900001603760757, 531322.21100010036025196 176879.25900013360660523, 531294.85299992910586298 176878.55299995574750938)))</t>
  </si>
  <si>
    <t>E01003184</t>
  </si>
  <si>
    <t>Lambeth 007B</t>
  </si>
  <si>
    <t>MultiPolygon (((531128.47800001397263259 177111.71700000000419095, 531143.60299996321555227 176937.77600009564775974, 531180.0000000266591087 176935.99999994807876647, 531175.33000002161134034 176836.53699992422480136, 531228.30699988978449255 176812.32599994313204661, 531215.78600003686733544 176667.889999930979684, 531105.37299996509682387 176662.14400000002933666, 531105.73199996538460255 176710.29999998133280315, 531068.00099992204923183 176713.99999993288656697, 531071.20499991939868778 176823.32299992605112493, 531033.02899993257597089 176823.75399994148756377, 531025.68099989055190235 176753.25999999715713784, 530945.91200009954627603 176711.15199993518763222, 530911.99999995774123818 176698.99999993489473127, 530892.00000011024530977 176813.00000000951695256, 530939.27099990600254387 176809.1410000246251002, 530950.07099992258008569 176898.96899990158271976, 530902.73600003845058382 176924.75399991296580993, 530913.3270000860793516 177028.89100001766928472, 531013.99999998894054443 177018.00099998226505704, 531046.52699991536792368 177020.69299994723405689, 531054.33199990342836827 177071.52800004067830741, 531115.16000006895046681 177071.51600003815838136, 531128.47800001397263259 177111.71700000000419095)))</t>
  </si>
  <si>
    <t>E01003185</t>
  </si>
  <si>
    <t>Lambeth 007C</t>
  </si>
  <si>
    <t>MultiPolygon (((530950.07100015413016081 176898.96900020251632668, 530939.2710000736406073 176809.14100009220419452, 530892.00000009511131793 176813.00000003661261871, 530912.00000003154855222 176698.99999982459121384, 530945.91200001374818385 176711.15200003341306001, 531025.6809998219832778 176753.25999990486889146, 531033.02900004340335727 176823.75399980819202028, 531071.20499998843297362 176823.32300015017972328, 531068.00099981552921236 176714.00000018713762984, 531105.7320000440813601 176710.29999982152367011, 531105.37299992446787655 176662.14400016749277711, 531215.78599986108019948 176667.89000009736628272, 531211.07099998102057725 176543.28100004442967474, 531211.51099994033575058 176514.78700008968007751, 531253.11500017170328647 176345.19399989483645186, 531229.69999997375998646 176301.41699995059752837, 531193.49900008807890117 176296.78099984326399863, 531190.87600008130539209 176329.51799987835693173, 531050.25200015143491328 176305.49699990809313022, 530929.30600004619918764 176264.58900000003632158, 530927.93800020276103169 176267.12499996635597199, 530894.02200008672662079 176446.00400002408423461, 530888.74599988956470042 176562.1350001840328332, 530706.33899989037308842 176712.60000009313807823, 530659.56799982825759798 176748.79200008773477748, 530684.99300002644304186 176792.85699982629739679, 530731.38799981004558504 176870.19399986733333208, 530791.91099989542271942 176962.05900006109732203, 530871.97600017581135035 177084.96100000001024455, 530911.67999998666346073 177067.36700019112322479, 530913.32700014358852059 177028.89100005020736717, 530902.73600008466746658 176924.7540001435263548, 530950.07100015413016081 176898.96900020251632668)))</t>
  </si>
  <si>
    <t>E01003186</t>
  </si>
  <si>
    <t>Lambeth 007D</t>
  </si>
  <si>
    <t>MultiPolygon (((531035.44399988674558699 174107.70499988266965374, 531025.09499995619989932 174074.09899994870647788, 531081.00899999984540045 173985.42099996923934668, 531079.39300003845710307 173956.7249999949708581, 531048.10199991788249463 173956.7249999949708581, 531020.84199988492764533 173921.43799992094864137, 531070.24900000286288559 173859.53400004355353303, 531021.09300004318356514 173862.7339999353280291, 531017.46300008962862194 173903.11699994871742092, 530941.00000004377216101 173870.99999996880069375, 530913.71500005596317351 173928.4420000737591181, 530879.18899990944191813 173933.78499995163292624, 530716.03099996200762689 174094.42599996711942367, 530750.99999995925463736 174031.99999990791548043, 530720.86800004378892481 174016.51399994429084472, 530587.36800000001676381 174118.56400007594493218, 530610.70400008757133037 174184.74900008263648488, 530630.09300001477822661 174235.35999997874023393, 530646.9499999878462404 174279.42999993151170202, 530715.32599990372546017 174233.29299997372436337, 530733.34499993815552443 174271.32800002608564682, 530820.00099997932557017 174206.99999995977850631, 530840.43000005034264177 174234.80799999923328869, 530936.19600010965950787 174140.18300001951865852, 530934.84499996539670974 174083.82300002189003862, 531016.86499992676544935 174340.32399995645391755, 531050.07900003623217344 174331.3159999908239115, 531005.60599996300879866 174142.24000009195879102, 531035.44399988674558699 174107.70499988266965374)))</t>
  </si>
  <si>
    <t>E01003171</t>
  </si>
  <si>
    <t>Lambeth 020B</t>
  </si>
  <si>
    <t>MultiPolygon (((533081.84800005308352411 176920.20900000003166497, 533103.7790000238455832 176882.01500008892617188, 533168.59400012576952577 176825.03600011684466153, 533226.41100008529610932 176836.78799995130975731, 533281.05199998966418207 176816.63699996296782047, 533268.70000007178168744 176761.27099996840115637, 533214.0000001210719347 176717.99999996420228854, 533224.15800000168383121 176639.05399994968320243, 533196.21099990606307983 176643.54500004427973181, 533203.0059999719960615 176579.51600005416548811, 533143.76799998991191387 176565.11399987258482724, 533119.0569999833824113 176620.32799993496155366, 533087.83699999586679041 176607.43899993083323352, 533079.26799987396225333 176630.46700004852027632, 533000.97000012407079339 176636.89200003311270848, 533096.2729999526636675 176427.62900002830429003, 533052.99999997299164534 176407, 533021.13599992846138775 176479.13099993721698411, 532969.45299992978107184 176510.8739999259414617, 532973.94400002446491271 176546.79499999870313331, 532921.01199994655326009 176536.58100003507570364, 532906.132999969413504 176598.41300002465141006, 532942.47200004814658314 176624.60200012469431385, 532946.01499996474012733 176682.00000009045470506, 532902.00000010337680578 176686.00000004790490493, 532902.00000010337680578 176720.2480001091316808, 532862.03300012403633446 176735.39499987894669175, 532846.79699990607332438 176834.21999988163588569, 532836.99999996065162122 176878.05499989751842804, 532836.43100001034326851 176905.41500000684754923, 532882.36399995780084282 176894.46099988048081286, 533081.84800005308352411 176920.20900000003166497)))</t>
  </si>
  <si>
    <t>E01003911</t>
  </si>
  <si>
    <t>Southwark 020A</t>
  </si>
  <si>
    <t>E02000826</t>
  </si>
  <si>
    <t>Southwark 020</t>
  </si>
  <si>
    <t>MultiPolygon (((533286.99999998905695975 177103.99999995750840753, 533310.98600003332830966 177037.7400001002533827, 533366.85599999979604036 177050.59499994138604961, 533350.18700002890545875 177070.59000005014240742, 533402.36400008038617671 177099.63600002849125303, 533478.12800005474127829 177031.72299995701177977, 533533.45700004044920206 176983.45699999175849371, 533544.11300001235213131 176968.03199995539034717, 533620.75 176784.68699997113435529, 533561.99999999196734279 176774.01500002937973477, 533522.43899996601976454 176766.2590000108757522, 533480.79100006225053221 176811.99100006726803258, 533268.69999999017454684 176761.27100004249950871, 533281.05200000677723438 176816.63700004713609815, 533226.41099993989337236 176836.78799991274718195, 533216 176899.99999994350946508, 533253.66500005428679287 176942.03499994074809365, 533291.99999998533166945 176919.00000009161885828, 533284.00000007217749953 176959.99999989999923855, 533314.00000005040783435 176965.00000009874929674, 533286.99999998905695975 177103.99999995750840753)))</t>
  </si>
  <si>
    <t>E01003912</t>
  </si>
  <si>
    <t>Southwark 019A</t>
  </si>
  <si>
    <t>E02000825</t>
  </si>
  <si>
    <t>Southwark 019</t>
  </si>
  <si>
    <t>MultiPolygon (((532906.13300005428027362 176598.41300016827881336, 532921.01199999451637268 176536.58100009072222747, 532973.94400005822535604 176546.7950000629061833, 532969.45300003385636955 176510.87400002632057294, 532991.23899987491313368 176431.51300012256251648, 532960.08400009607430547 176412.91100009399815463, 533063.45600015379022807 176216.80599993647774681, 533003.67900006473064423 176239.55299991194624454, 532957.99999997939448804 176194.99999993594246916, 532970.77199992898385972 176165.52599984488915652, 532893.73999992979224771 176125.56399986566975713, 532687.74999984528403729 176021.45300000003771856, 532603.04200010432396084 176189.01900019979802892, 532555.87399979960173368 176357.11999981850385666, 532544.91600008262321353 176502.35900009167380631, 532544.56299984606448561 176507.39100020163459703, 532670.191999890957959 176584.1529999042104464, 532747.99999988998752087 176651.85099993535550311, 532714.79000012262258679 176770.82000008944305591, 532773.12100002577062696 176773.48100016618263908, 532821.90300020587164909 176779.49500006233574823, 532818.27299993101041764 176846.45699999999487773, 532846.79700007848441601 176834.21999988189782016, 532862.0329998746747151 176735.39499988270108588, 532902.00000020302832127 176720.24799986806465313, 532902.00000020302832127 176685.99999986795592122, 532946.01499980804510415 176682.00000014909892343, 532942.47199991752859205 176624.60200015711598098, 532906.13300005428027362 176598.41300016827881336)))</t>
  </si>
  <si>
    <t>E01003913</t>
  </si>
  <si>
    <t>Southwark 024A</t>
  </si>
  <si>
    <t>E02000830</t>
  </si>
  <si>
    <t>Southwark 024</t>
  </si>
  <si>
    <t>MultiPolygon (((533568.80500009830575436 176416.50900013759383, 533598.28699986101128161 176321.79100001812912524, 533536.31300007784739137 176318.04599996062461287, 533559.18700011551845819 176239.09700000000884756, 533486.91099986026529223 176254.92000000146799721, 533397.28199995600152761 176263.0900000871042721, 533365.58000013744458556 176263.05300001456635073, 533241.989000040339306 176253.51900004170602188, 533231.79099988040979952 176309.2789999277156312, 533274.23399996350053698 176367.11800005767145194, 533327.89900010835845023 176334.45999999053310603, 533224.15799998049624264 176639.05400007372372784, 533214.00000013899989426 176718.00000007494236343, 533268.70000003708992153 176761.27100013243034482, 533480.79100012429989874 176811.99099999997997656, 533522.43900007323827595 176766.25899999475223012, 533515.73499992769211531 176764.23299989342922345, 533469.68799988552927971 176746.21900001680478454, 533568.80500009830575436 176416.50900013759383)))</t>
  </si>
  <si>
    <t>E01003914</t>
  </si>
  <si>
    <t>Southwark 024B</t>
  </si>
  <si>
    <t>MultiPolygon (((532140.30000001308508217 177384.16200000001117587, 532168.1909999045310542 177264.99000017004436813, 532177.90800008969381452 177224.05500001861946657, 532120.66199997358489782 177151.04399987697252072, 532136.6310000866651535 177116.78400013025384396, 532112.56399989291094244 177102.67600005326676182, 532078.60500017693266273 177074.82999981209286489, 532132.90500018489547074 177077.21099984995089471, 532116.35999994759913534 177034.80400012453901581, 532184.50399999308865517 176987.09799989615567029, 532201.99999994970858097 177014.99999984158785082, 532227.7309998981654644 176998.96199984650593251, 532305.00100012111943215 176998.00000007322523743, 532303.99999981455039233 176947.9999999673163984, 532326.19100008870009333 176951.01799993414897472, 532365.71700017666444182 176954.69600020884536207, 532441.03799993207212538 176831.35700014032772742, 532543.99999998835846782 176743.99999981955625117, 532324.00000010780058801 176860.00000018236460164, 532311.71600007556844503 176834.89699981460580602, 532213.64100009948015213 176651.21899982774630189, 532105.63099982019048184 176547.81500000000232831, 532101.62500014272518456 176563.62500009403447621, 532017.4209999943850562 176732.48900019293068908, 532018.98799980583135039 176902.00099985653650947, 532019.24700016307178885 176905.12099986715475097, 532032.65400011138990521 177043.82799984002485871, 531939.85100001166574657 177104.61300019576447085, 531964.00100011809263378 177121.99999988422496244, 531945.21800012572202832 177150.69999990152427927, 532081.58700000529643148 177194.27400017695617862, 532128.99999986204784364 177213.9999998114653863, 532123.00000006670597941 177266.0009998413734138, 532083.99999993399251252 177259.00000015768455341, 532074.61999991815537214 177299.17599993420299143, 532111.75800016196444631 177357.79400012255064212, 532140.30000001308508217 177384.16200000001117587)))</t>
  </si>
  <si>
    <t>E01003919</t>
  </si>
  <si>
    <t>Southwark 021A</t>
  </si>
  <si>
    <t>E02000827</t>
  </si>
  <si>
    <t>Southwark 021</t>
  </si>
  <si>
    <t>MultiPolygon (((532525.16499988141003996 176960.95699995735776611, 532583.0000000661239028 176898.99999995433609001, 532713.99899992113932967 176930.00000008300412446, 532720.99999988032504916 176881.00000007968628779, 532664.53699987765867263 176856.47300012267078273, 532625.91599996294826269 176827.40599996640230529, 532641.16700012318324298 176787.18999999907100573, 532663.43400010280311108 176804.57300007063895464, 532710.87099987617693841 176822.94599996987381019, 532714.79000006837304682 176770.8200000234937761, 532747.99999995075631887 176651.8510000639653299, 532670.19199994683731347 176584.15299999999115244, 532531.99999990442302078 176601.99999995526741259, 532531.00000008370261639 176675.23199999175267294, 532476.2079998740227893 176656.9030000101774931, 532425.0280000960920006 176615.86700009682681412, 532377.13100012601353228 176688.62199997433344834, 532408.23399995046202093 176719.54199990024790168, 532403.80799987853970379 176752.19300009429571219, 532365.42000008595641702 176733.98899989647907205, 532311.71600004925858229 176834.89700010133674368, 532323.99999997473787516 176859.99999996749102138, 532544.00000007927883416 176744.00000008623464964, 532441.03800006385426968 176831.35699998124619015, 532365.71700011182110757 176954.69599999990896322, 532326.19099992257542908 176951.0180000792897772, 532341.98800001281779259 177052.28500011176220141, 532435.57799998810514808 177101.04199999995762482, 532508.99999989231582731 177093.99999988844501786, 532508.82699998689349741 177008.80099993839394301, 532549.92100001499056816 177001.03300002214382403, 532525.16499988141003996 176960.95699995735776611)))</t>
  </si>
  <si>
    <t>E01003921</t>
  </si>
  <si>
    <t>Southwark 021C</t>
  </si>
  <si>
    <t>MultiPolygon (((535024.024000124190934 176813.0109999545966275, 535095.75399989960715175 176728.38400009222095832, 535127.62700009951367974 176746.78400004535797052, 535117.57500003871973604 176713.37800002098083496, 535014.41000016976613551 176726.80600000431877561, 535028.56000010494608432 176685.58999984647380188, 534963.73900006350595504 176661.83499993645818904, 534938.2989998203702271 176700.96099994546966627, 534875.55999982415232807 176699.98399983922718093, 534858.71600013028364629 176620.05100008752197027, 534797.27900011499878019 176524.79000001808162779, 534793.64299992762971669 176481.96199997080839239, 534750.52599992440082133 176454.63499997236067429, 534809.75500017893500626 176303.99799995415378362, 534802.72599998582154512 176256.26100015989504755, 534764.92599990358576179 176240.3779999999969732, 534577.69400012481492013 176357.73500007440452464, 534571.35999994445592165 176382.81400015903636813, 534547.34099990036338568 176473.090999920736067, 534561.37899984500836581 176635.97199991825618781, 534562.93800009752158076 176782.71899983583716676, 534698.06299997004680336 176785.83000011328840628, 534785.92599994933698326 176780.21100002230377868, 534860.96300016797613353 176763.59900004803785123, 534898.34099998616147786 176747.98900000189314596, 534978.68900013947859406 176725.98400003486312926, 534984.76200017891824245 176809.18499995287857018, 534971.83300004247575998 176940.86299994145520031, 535023.62600017094518989 176970.48099999999976717, 535077.05699988687410951 176957.71699985611485317, 535024.024000124190934 176813.0109999545966275)))</t>
  </si>
  <si>
    <t>E01004005</t>
  </si>
  <si>
    <t>Southwark 023D</t>
  </si>
  <si>
    <t>MultiPolygon (((534357.50199989485554397 177156.30299992914660834, 534363.64400001417379826 177133.12200004790793173, 534470.0589999962830916 177140.86099998574354686, 534449.32500007504131645 177002.02599994989577681, 534496.7240000304300338 176967.77799993907683529, 534426.6540001257089898 176952.45500000525498763, 534424.27800001087598503 176775.72900004117400385, 534378.44600005785468966 176775.50500003807246685, 534344.72800011129584163 176775.01700002219877206, 534281.38900000299327075 176768.24799999999231659, 534305.0690001129405573 176842.57800004110322334, 534277.74800012423656881 176918.80500010054674931, 534208.00000008079223335 176889.99999993204255588, 534166.72599991562310606 177012.89200001183780842, 534162.56799996946938336 177043.86799989538849331, 534201.99999990651849657 177063.99999988792114891, 534174.00000002782326192 177130.0000000205473043, 534204.07999989902600646 177146.08000007970258594, 534230.14400002383626997 177241.72200001595774665, 534317.85799993202090263 177266.6650001059169881, 534357.07500004023313522 177277.8120000000053551, 534379.27800010575447232 177182.82499999890569597, 534447.79800008225720376 177167.12399988470133394, 534357.50199989485554397 177156.30299992914660834)))</t>
  </si>
  <si>
    <t>E01004008</t>
  </si>
  <si>
    <t>Southwark 022B</t>
  </si>
  <si>
    <t>E02000828</t>
  </si>
  <si>
    <t>Southwark 022</t>
  </si>
  <si>
    <t>MultiPolygon (((534166.72600011725444347 177012.89200002551660873, 534208.00000002991873771 176890.00000010113581084, 534277.74800009338650852 176918.80500003191991709, 534305.06899987778160721 176842.57800004942691885, 534281.38900012755766511 176768.24799995694775134, 534104.56299996108282357 176696.28100000001722947, 533945.70199992530979216 176726.97699996980372816, 533839.58200012228917331 176768.72500011115334928, 533915.9089998941635713 176834.86800006465637125, 533948.80000008072238415 176783.39199996250681579, 533996.84199991717468947 176772.04800013339263387, 534034.82299988064914942 176809.51600001857150346, 533995.00000011583324522 176809.00000001472653821, 533962.0000000906875357 176925.00100006986758672, 533908.00000012398231775 177119.00000012657255866, 534059.24000005563721061 177155.4179999056214001, 534108.72100006509572268 177170.76899995235726237, 534164.84099992923438549 177206.4450000672659371, 534230.14400001603644341 177241.72200000000884756, 534204.08000010624527931 177146.08000007775262929, 534173.99999992968514562 177130.00000013495446183, 534202.00000012456439435 177064.00000008475035429, 534162.56800001324154437 177043.86799995091860183, 534166.72600011725444347 177012.89200002551660873)))</t>
  </si>
  <si>
    <t>E01004010</t>
  </si>
  <si>
    <t>Southwark 022D</t>
  </si>
  <si>
    <t>MultiPolygon (((533700.35600000724662095 177161.68200002660159953, 533754.99999992304947227 177078.99999999505234882, 533826.99900001753121614 177098.00000006897607818, 533887.98199989704880863 177083.32900010046432726, 533908.00000006973277777 177119.00000000552972779, 533962.00000012142118067 176925.00100001689861529, 533994.99999998603016138 176808.99999998693238012, 534034.82299999997485429 176809.51600010841502808, 533996.84200011938810349 176772.04799992454354651, 533948.79999997513368726 176783.39200004393933341, 533915.90900008718017489 176834.86800006497651339, 533839.58200011239387095 176768.72499997340491973, 533779.96599995100405067 176788.16099995368858799, 533620.74999996146652848 176784.68700009476742707, 533544.11300012457650155 176968.0319999078346882, 533533.45700000005308539 176983.45699994213646278, 533558.258999950485304 177007.28800009877886623, 533605.73499999556224793 177035.24400005047209561, 533645.4909999641822651 177029.05500002016196959, 533574.0660000154748559 176996.2089999868767336, 533608.37600004952400923 176944.72199999578879215, 533708.10999996832106262 176987.94400002743350342, 533663.88100005860906094 177161.49999990701326169, 533700.35600000724662095 177161.68200002660159953)))</t>
  </si>
  <si>
    <t>E01004013</t>
  </si>
  <si>
    <t>Southwark 019D</t>
  </si>
  <si>
    <t>MultiPolygon (((535061.00000019010622054 177401.00000007168273441, 535095.46700005314778537 177381.18200006114784628, 535122.67299991345498711 177435.59499980628606863, 535232.34000001719687134 177366.8509998386434745, 535211.83900000154972076 177311.41199984445120208, 535155.18800009822007269 177343.31200005812570453, 535121.37499993713572621 177269.85800016217399389, 535037.03899986145552248 177273.46600001992192119, 534889.72699996351730078 177250.61800003200187348, 534923.57400014158338308 177168.57200016468414105, 534930.50999993341974914 177144.29899994443985634, 534971.83300007751677185 176940.86299999800394289, 534984.76199981453828514 176809.18500001259963028, 534978.68899994948878884 176725.98399999999674037, 534898.34100006625521928 176747.98900014322134666, 534860.96299987647216767 176763.5989998753357213, 534785.92599995783530176 176780.21100008508074097, 534799.68700008746236563 176926.51500017603393644, 534772.10099989245645702 176933.59599984798114747, 534792.61699986760504544 176973.35500002693152055, 534752.80299997387919575 177034.51300019002519548, 534754.77500014321412891 177073.17700006128870882, 534754.42799980111885816 177082.25200003394274972, 534746.12199990078806877 177120.50099993799813092, 534709.67099998274352401 177179.75199989209068008, 534748.68399983621202409 177197.26600016851443797, 534723.36700015189126134 177235.86600010399706662, 534762.32599990617018193 177234.48400010971818119, 534805.15000010409858078 177266.83699999685632065, 534781.82699990237597376 177287.33299988976796158, 534832.65299989655613899 177305.46200013731140643, 534769.26999989454634488 177302.91799982587690465, 534760.55999988806433976 177370.74600020100479014, 534829.3909999473253265 177415.43299993625259958, 534810.99999980919528753 177544, 534926.00000000896397978 177476.99999991917866282, 535061.00000019010622054 177401.00000007168273441)))</t>
  </si>
  <si>
    <t>E01003984</t>
  </si>
  <si>
    <t>Southwark 023A</t>
  </si>
  <si>
    <t>MultiPolygon (((531824.22999992233235389 177733.77000011928612366, 531890.03700008685700595 177655.86700012828805484, 531902.32900011737365276 177680.17999998541199602, 531953.86899990297388285 177680.66400000907015055, 531984.82099999999627471 177645.07200011576060206, 531878.8640000963350758 177563.86900013172999024, 531896.42299999587703496 177539.55600001019774936, 531865.2479998852359131 177518.45299998766859062, 531898.37899994943290949 177489.02299999678507447, 531821.78699996625073254 177426.34199999485281296, 531811.89899990241974592 177417.95799989969236776, 531736.42599995923228562 177359.01899994630366564, 531697.76600002299528569 177324.0560001116245985, 531653.81299987237434834 177278.01499988074647263, 531456.00399999995715916 177402.73199993881280534, 531750.31800007447600365 177470.34900002906215377, 531720.98999989300500602 177517.8209999501996208, 531648.36599995079450309 177624.61300004605436698, 531638.00000008544884622 177647.00000000241561793, 531684.46299998403992504 177675.17099988315021619, 531729.42799987166654319 177645.80999993442674167, 531745.72499994665849954 177674.17000006858143024, 531755.86900005571078509 177716.67900009185541421, 531824.22999992233235389 177733.77000011928612366)))</t>
  </si>
  <si>
    <t>E01003993</t>
  </si>
  <si>
    <t>Southwark 017D</t>
  </si>
  <si>
    <t>E02000823</t>
  </si>
  <si>
    <t>Southwark 017</t>
  </si>
  <si>
    <t>MultiPolygon (((531964.99999999755527824 177435.99999993917299435, 532028.96799997426569462 177417.56100006712949835, 532136.26499996485654265 177455.6180000837193802, 532146.48899999994318932 177417.56100006712949835, 532140.29999990016222 177384.16200011945329607, 532111.7579999869922176 177357.79400006015202962, 532074.62000009103212506 177299.17600005233543925, 532084.00000007299240679 177259.00000006705522537, 532122.99999993620440364 177266.00099992845207453, 532128.99999991513323039 177213.99999997849226929, 532081.58699988899752498 177194.27400008164113387, 531945.21800008311402053 177150.69999992946395651, 531964.00099988689180464 177122.00000005471520126, 531939.85100008244626224 177104.6129999139229767, 531808.71300002350471914 177181.1430000422114972, 531790.18299993814434856 177191.95599990108166821, 531653.81299999996554106 177278.01500001395470463, 531697.76600003335624933 177324.05600010303896852, 531736.4260000012582168 177359.01900001274771057, 531811.89899998321197927 177417.95800011229584925, 531821.78699991304893047 177426.34199988780892454, 531898.37900011357851326 177489.02300008607562631, 531964.99999999755527824 177435.99999993917299435)))</t>
  </si>
  <si>
    <t>E01003926</t>
  </si>
  <si>
    <t>Southwark 021F</t>
  </si>
  <si>
    <t>MultiPolygon (((533920.49399995605926961 176683.53899995575193316, 533989.61999999999534339 176663.91500006674323231, 533985.25200005469378084 176628.38199995754985139, 533886.45800001977477223 176626.47100003022933379, 533871.97899997502099723 176666.18399995256913826, 533835.14300010039005429 176672.08899999925051816, 533812.15299995825625956 176659.47700011648703367, 533836.99999989022035152 176562.00000005590845831, 533848.00000000058207661 176438.00000004126923159, 533865.00000005285255611 176353.00000003963941708, 533828.1970000023720786 176345.04299996650661342, 533790.27000003552529961 176463.75500011924304999, 533723.05700009735301137 176499.77099989869748242, 533753.15799997805152088 176378.0580000756890513, 533643.88900012988597155 176314.22200007206993178, 533598.28700002830009907 176321.79100011030095629, 533568.80499999097082764 176416.50899999038665555, 533469.68799999996554106 176746.21900004835333675, 533515.73500002163928002 176764.23300008333171718, 533522.43900011002551764 176766.25899987024604343, 533561.99999999196734279 176774.01499995143967681, 533620.74999995483085513 176784.68699991967878304, 533779.96599987801164389 176788.16099992796080187, 533839.58199987991247326 176768.72499991115182638, 533945.70200011413544416 176726.97699991898844019, 533920.49399995605926961 176683.53899995575193316)))</t>
  </si>
  <si>
    <t>E01004066</t>
  </si>
  <si>
    <t>Southwark 025E</t>
  </si>
  <si>
    <t>E02000831</t>
  </si>
  <si>
    <t>Southwark 025</t>
  </si>
  <si>
    <t>MultiPolygon (((534562.93800009822007269 176782.7189999365946278, 534561.37899996619671583 176635.97200010172673501, 534547.34099982003681362 176473.09100015391595662, 534571.35999988939147443 176382.81400012821541168, 534577.69400000001769513 176357.73499983755755238, 534564.81200006487779319 176340.00000009950599633, 534440.24599989817943424 176375.8279998482321389, 534344.09899990353733301 176337.21200006338767707, 534301.21299997821915895 176368.52500014047836885, 534288.73900009505450726 176435.65299993180087768, 534205.31099989754147828 176414.03999991560704075, 534218.99999985389877111 176387.99999993128585629, 534178.52799988514743745 176370.81799983492237516, 534169.60999995574820787 176393.92999994166893885, 534134.31599988671950996 176382.0770000277843792, 534142.48999999149236828 176412.28999998353538103, 533993.98499993840232491 176457.67200002411846071, 533995.21100007009226829 176520.24000011276802979, 533942.04599999042693526 176519.54099993649288081, 533946.00000011699739844 176465.00000000430736691, 533848.00000009359791875 176438.00000012284726836, 533837.00000002852175385 176561.99999984772875905, 533812.1530000000493601 176659.47699986732914113, 533835.14300004811957479 176672.08899999890127219, 533871.97899988014250994 176666.18399987817974761, 533886.45799987146165222 176626.47100012717419304, 533985.25199988146778196 176628.38199983863160014, 533989.61999998753890395 176663.91499989407020621, 533920.49399981228634715 176683.53899999186978675, 533945.70199988572858274 176726.977000145096099, 534104.56300012080464512 176696.28100008558249101, 534281.38899999763816595 176768.24799984873970971, 534344.72800015914253891 176775.01699987688334659, 534378.44600011000875384 176775.50500011164695024, 534424.27800007851328701 176775.72900008765282109, 534506.43799988552927971 176777.67200017845607363, 534562.93800009822007269 176782.7189999365946278)))</t>
  </si>
  <si>
    <t>E01004067</t>
  </si>
  <si>
    <t>Southwark 022E</t>
  </si>
  <si>
    <t>MultiPolygon (((532032.65399989357683808 177043.8280000981176272, 532019.24699987424537539 176905.12099998712074012, 532018.98799997789319605 176902.001000034972094, 532017.42100010556168854 176732.48899995983811095, 531995.00100007967557758 176716.00000003498280421, 531892.99999998300336301 176691.99999991004006006, 531852.00000003655441105 176713.00000001935404725, 531816.00000011606607586 176658, 531762.00000010197982192 176708.99999999851570465, 531734.55600006261374801 176693.51499994329060428, 531690.81399989745113999 176718.14299986965488642, 531742.82400009606499225 176771.13400005022413097, 531647.26600009680259973 176869.63000003117485903, 531678.85299998114351183 176922.2740000948542729, 531697.87299993599299341 176911.87500008690403774, 531676.44900005089584738 176949.76399990956997499, 531667.44700007187202573 176966.79499988158931956, 531624.4630001065088436 177042.94100013328716159, 531756.00000007066410035 177017.00000000011641532, 531713.0340000290889293 177087.39400008946540765, 531762.00000010197982192 177136.00000008568167686, 531752.00000004982575774 177170.00100009527523071, 531790.18300005083438009 177191.95600000000558794, 531808.71300006448291242 177181.14299987722188234, 531939.85100007290020585 177104.61300009553087875, 532032.65399989357683808 177043.8280000981176272)))</t>
  </si>
  <si>
    <t>E01003180</t>
  </si>
  <si>
    <t>Lambeth 005D</t>
  </si>
  <si>
    <t>MultiPolygon (((534709.67100010276772082 177179.75200010710977949, 534746.12199991859961301 177120.50099997702636756, 534754.42800000519491732 177082.25200000946642831, 534754.77499985252507031 177073.1770000129181426, 534752.80300007748883218 177034.51299991991254501, 534792.61699991894420236 176973.35500002378830686, 534772.10100013297051191 176933.59599998503108509, 534799.68700014054775238 176926.51499986212002113, 534785.92600014572963119 176780.21100005210610107, 534698.06300003547221422 176785.82999996925354935, 534562.9379999969387427 176782.71900005114730448, 534506.43800005421508104 176777.67200003511970863, 534424.27799999562557787 176775.72899999999208376, 534426.65399999474175274 176952.45500013040145859, 534496.72399986954405904 176967.77800002592266537, 534449.32499998610001057 177002.02600006677675992, 534470.05899988859891891 177140.86099997829296626, 534363.64400013524573296 177133.12200013373512775, 534357.5019998773932457 177156.30299999038106762, 534447.79800006747245789 177167.12400001319474541, 534379.27799990505445749 177182.82500007006456144, 534357.07499985955655575 177277.81199991746689193, 534443.73300012282561511 177301.30299995341920294, 534475.52599998516961932 177309.892999860458076, 534603.88700001733377576 177367.78999999997904524, 534631.24699998006690294 177328.69499992509372532, 534709.67100010276772082 177179.75200010710977949)))</t>
  </si>
  <si>
    <t>E01032805</t>
  </si>
  <si>
    <t>Southwark 022F</t>
  </si>
  <si>
    <t>MultiPolygon (((533871.00000014237593859 181914.99999995611142367, 533874.98799984098877758 181857.13900016050320119, 533850.71999999496620148 181856.01000009491690435, 533844.54400014760904014 181886.18099985652952455, 533726.23800015891902149 181911.20199986215448007, 533731.11199998389929533 181854.52700011784327216, 533690.99999992502853274 181803.58899998277775012, 533725.08600009907968342 181760.73699991317698732, 533892.10200008423998952 181754.39800010662293062, 533908.35699984664097428 181712.89200004836311564, 533868.85599998268298805 181677.85800011121318676, 533810.99999983806628734 181667.99900014116428792, 533811.99999993585515767 181608.99999993439996615, 533753.16500003589317203 181602.01899994051200338, 533697.99999991408549249 181710.00000007569906302, 533669.7230000268900767 181673.14899989715195261, 533653.85400016803760082 181686.97599991864990443, 533588.42299983010161668 181620.34699988024658523, 533627.86900005559436977 181542.94200010108761489, 533591.99999997927807271 181526.9999999126594048, 533618.86999987054150552 181464.81000015581957996, 533638.37499986379407346 181435.68800013198051602, 533604.24400004872586578 181418.12899999998626299, 533499.06299990927800536 181582.40599997420213185, 533460.36099984566681087 181669.50300011300714687, 533443.01400000846479088 181755.48999983363319188, 533352.00000015320256352 181739.73399994653300382, 533410.68800008995458484 182037.859999849810265, 533425.93800010357517749 182076.51599992494448088, 533541.45100009487941861 182106.10399983229581267, 533567.18799992150161415 182113.39100009750109166, 533710.27699997532181442 182113.78099999998812564, 533877.95100014377385378 182104.3819999149418436, 533871.00000014237593859 181914.99999995611142367)))</t>
  </si>
  <si>
    <t>E01004307</t>
  </si>
  <si>
    <t>Tower Hamlets 015B</t>
  </si>
  <si>
    <t>E02000878</t>
  </si>
  <si>
    <t>Tower Hamlets 015</t>
  </si>
  <si>
    <t>MultiPolygon (((534493.58600008126813918 181481.48299988024518825, 534498.19800010079052299 181453.80900009084143676, 534422.1389999381499365 181469.50600005922024138, 534402.12800001155119389 181445.15099997707875445, 534452.57000013289507478 181347.74099992756964639, 534478.22700001066550612 181349.59900000941706821, 534485.0859999613603577 181421.82500000690924935, 534499.77899987553246319 181320.52600002114195377, 534468.00000007310882211 181318.99999986161128618, 534355.00000009767245501 181318.00000011100200936, 534324.99999990034848452 181318.00000011100200936, 534263.8719999585300684 181318.35700009108404629, 534220.22799987718462944 181324.02400011633289978, 534073.16000002017244697 181332.9999998897255864, 534043.51199998322408646 181267.2060001490463037, 533954.61700015235692263 181311.56199987872969359, 533928.00000004039611667 181295.00000008768984117, 533905.00000001711305231 181279.99999998902785592, 533881.84199999994598329 181348.47599996183998883, 534106.76700002700090408 181498.81199989467859268, 534290.77600001671817154 181621.96500011018360965, 534313.81999986013397574 181632.71800013663596474, 534497.61999990453477949 181718.35499985094065778, 534521.73699999996460974 181643.8260001513408497, 534509.6360000460408628 181592.72699999669566751, 534458.00000000733416528 181581.99999986393959261, 534493.58600008126813918 181481.48299988024518825)))</t>
  </si>
  <si>
    <t>E01004325</t>
  </si>
  <si>
    <t>Tower Hamlets 021D</t>
  </si>
  <si>
    <t>E02000884</t>
  </si>
  <si>
    <t>Tower Hamlets 021</t>
  </si>
  <si>
    <t>MultiPolygon (((534369.50399992661550641 181951.59299997237394564, 534446.53899982571601868 181893.03799999505281448, 534460.44000017666257918 181861.76300018251640722, 534481.16400000231806189 181801.06099985106266104, 534510.31300000008195639 181723.48400000427500345, 534497.62000015506055206 181718.35499991258257069, 534313.8200001452350989 181632.71800007560523227, 534290.77599993464536965 181621.9650000485999044, 534106.76700007251929492 181498.8120000607741531, 533881.8419998821336776 181348.47599982557585463, 533821.80600010906346142 181310.1720000276400242, 533775 181396.99999993399251252, 533808.27300001704134047 181413.15300002650474198, 533847.0000000154832378 181430.99999986981856637, 533859.4359998784493655 181409.67700010337284766, 533878.77200009068474174 181460.80799987842328846, 533926.06899994052946568 181480.39699996984563768, 533962.85800017253495753 181495.82699987853993662, 534018.66799988062120974 181489.66300004697404802, 533996.6359999222913757 181540.40100002416875213, 533973.99999989464413375 181584.00000013245153241, 534143.99999994144309312 181652.00000000407453626, 534112.92300006630830467 181687.347999996796716, 534045.33200003579258919 181812.00700005478574894, 534042.49399995186831802 181896.57900011679157615, 534054.62199999392032623 181908.36400017427513376, 534093.44899998686742038 181906.00000013009412214, 534096.94900015869643539 181939.50999998301267624, 534182.00000002107117325 181928.00000000203726813, 534183.72300014889333397 181920.40200011100387201, 534155.69799997063819319 181851.48499985318630934, 534155.37999989290256053 181794.32400001111091115, 534222.99200009508058429 181782.68900012905942276, 534261.03100007330067456 181772.18299982717144303, 534248.32100015936885029 181718.7019999997864943, 534291.99900009052362293 181750.99999997936538421, 534327.7859999593347311 181701.79600005602696911, 534360.35599993844516575 181725.31800004135584459, 534320.99999996414408088 181770.99999996324186213, 534359.79699992190580815 181798.42500017504789867, 534371.37000005017034709 181870.58200017802300863, 534331.6789999291067943 181912.24400017777225003, 534309.79700014612171799 181893.58600009675137699, 534310.15600017376709729 181931.30399992011371069, 534369.50399992661550641 181951.59299997237394564)))</t>
  </si>
  <si>
    <t>E01004309</t>
  </si>
  <si>
    <t>Tower Hamlets 015D</t>
  </si>
  <si>
    <t>MultiPolygon (((533697.99999991932418197 181710, 533753.16500009223818779 181602.01899992523249239, 533811.99999993154779077 181608.99999996557016857, 533811.00000000221189111 181667.9989999646495562, 533868.85600000526756048 181677.85800004322663881, 533942.7800000534625724 181629.63100008352193981, 533901.06700010714121163 181590.39199997889227234, 533962.85800004156772047 181495.82700003555510193, 533926.069000088959001 181480.39699990884400904, 533878.77200004772748798 181460.8079999060719274, 533859.43599990429356694 181409.67700003873324022, 533846.99999992351513356 181430.99999999377178028, 533808.27300007699523121 181413.15299998936825432, 533775.00000008102506399 181396.99999993108212948, 533821.80599995714146644 181310.17200000959564932, 533743.68800002743955702 181261.3279999999795109, 533610.97399992262944579 181410.96800010240986012, 533604.24400001054164022 181418.12899994605686516, 533638.37499995867256075 181435.68800008570542559, 533618.87000010348856449 181464.81000002726796083, 533592.00000001431908458 181526.99999993317760527, 533627.86900005000643432 181542.94200009366613813, 533588.42299995839130133 181620.34700009325752035, 533653.85400000319350511 181686.97599991827155463, 533669.72300010756589472 181673.14900008265976794, 533697.99999991932418197 181710)))</t>
  </si>
  <si>
    <t>E01004310</t>
  </si>
  <si>
    <t>Tower Hamlets 015E</t>
  </si>
  <si>
    <t>MultiPolygon (((533881.84199993393849581 181348.47600008128210902, 533905.00000004679895937 181280.00000010401709005, 533928.00000008032657206 181294.99999990311334841, 533971.99999988661147654 181207.00000002101296559, 533993.06700000690761954 181220.55199995270231739, 534019.68800013279542327 181125.78099993147770874, 534113.9379999537486583 181071.99999994141398929, 534187.30200004205107689 181060.37799999988055788, 534190.99999986588954926 181034.00000010876101442, 534229.99899994453880936 181059.00000013347016647, 534253.88500006822869182 181064.53800010020495392, 534283 180959.00000003457535058, 534240.00000005459878594 180976.00000009452924132, 534245.07100005284883082 180910.782000088627683, 534208.06999992695637047 180905.52599989497684874, 534125.32399993028957397 180894.15899988016462885, 534104.99999997497070581 180891.35900010823388584, 533955.05999990459531546 180872.75100006291177124, 533837.93800009053666145 180857.85899991868063807, 533803.17400007485412061 181053.43200012779561803, 533782.57700011553242803 181161.62299996320507489, 533743.68800000008195639 181261.32799990364583209, 533821.80600004352163523 181310.17200005147606134, 533881.84199993393849581 181348.47600008128210902)))</t>
  </si>
  <si>
    <t>E01032767</t>
  </si>
  <si>
    <t>Tower Hamlets 021F</t>
  </si>
  <si>
    <t>MultiPolygon (((534597.89900011278223246 178538.81300014845328405, 534645.44399999000597745 178536.27700002037454396, 534701.34199985908344388 178562.66100015112897381, 534725.40799989178776741 178519.3410000242292881, 534750.10200005257502198 178479.10499992143013515, 534652.82100001408252865 178436.51200012685148977, 534659.99999997881241143 178407.00000003637978807, 534657.63399995106738061 178355.802999919076683, 534613.28199993830639869 178362.71299992850981653, 534604.95299991138745099 178268.35200015423470177, 534674.62999985937494785 178256.6279998600948602, 534669.65500015951693058 178252.03099995601223782, 534546.55099986726418138 178129.85900004513678141, 534400.87500014842953533 177996.70300015341490507, 534367.33400002075359225 177896.40000000002328306, 534263.56200005766004324 177949.89099990137037821, 534212.6900001629255712 177981.09399996031424962, 534234.57399989839177579 178115.28800007823156193, 534177.77799994731321931 178175.88900004539755173, 534188.89600008109118789 178287.10399993590544909, 534227.6839998597279191 178324.40800014117849059, 534246.99999986309558153 178257.00000001379521564, 534270.99999999243300408 178299.99999991085496731, 534233.00000010780058801 178324.99999997281702235, 534262.99999983294401318 178387.99999991946970113, 534210.35300009266939014 178399.57100008844281547, 534234.08799991162959486 178512.66100002723396756, 534406.62700010742992163 178505.04100000974722207, 534512.348000010359101 178506.2629999665368814, 534538.56700003356672823 178506.8209998479578644, 534546.00599996687378734 178583.7470000074536074, 534597.65100012661423534 178594.72299999999813735, 534597.89900011278223246 178538.81300014845328405)))</t>
  </si>
  <si>
    <t>E01004038</t>
  </si>
  <si>
    <t>Southwark 010C</t>
  </si>
  <si>
    <t>E02000816</t>
  </si>
  <si>
    <t>Southwark 010</t>
  </si>
  <si>
    <t>MultiPolygon (((533780.66999987617600709 178296.12100010496214963, 533910.35999998496845365 178276.39100005704676732, 533947.73200003197416663 178338.24000010004965588, 534020.52299996803048998 178316.5629999800294172, 534044.21699990669731051 178331.4199998474214226, 534040.00000000663567334 178292.99999987549381331, 534101.00499990454409271 178284.69400002312613651, 534082.71900010935496539 178321.35100004356354475, 534149.58499988284893334 178309.6029999213933479, 534164.27300000004470348 178267.67599984802654944, 534134.12200013536494225 178179.67899991775630042, 534074.56000000622589141 178236.21399990620557219, 534036.14600011997390538 178223.75199992835405283, 534037.35000007913913578 178208.34099998351302929, 534125.05899997032247484 178150.29499988217139617, 534077.0700001276563853 178056.14400012235273607, 533988.94999985140748322 178102.95300003507873043, 533932.47799997904803604 178132.95700015054899268, 533853.67000013310462236 178178.12799986029858701, 533738.83600003400351852 178251.32800015306565911, 533660.95199990912806243 178316.95200005135848187, 533538.18800000008195639 178411.79700000764569268, 533654.61199993046466261 178576.5239998776523862, 533741.44600001676008105 178495.10899993509519845, 533749.99999996379483491 178449.99999985768226907, 533847.00000014214310795 178428.99999984810710885, 533831.97000015457160771 178410.85900008672615513, 533787.85899991483893245 178357.01500014105113223, 533825.52799997280817479 178324.63899999461136758, 533780.66999987617600709 178296.12100010496214963)))</t>
  </si>
  <si>
    <t>E01004040</t>
  </si>
  <si>
    <t>Southwark 013C</t>
  </si>
  <si>
    <t>E02000819</t>
  </si>
  <si>
    <t>Southwark 013</t>
  </si>
  <si>
    <t>MultiPolygon (((534234.08799997705500573 178512.66099986823974177, 534210.35299995355308056 178399.57100006760447286, 534263.00000004027970135 178387.9999999294814188, 534233.00000006053596735 178325.00000010925577953, 534270.99999994342215359 178299.99999989729258232, 534246.99999995960388333 178256.99999997203121893, 534227.68399998894892633 178324.40799988413346, 534188.89599990099668503 178287.10399995796615258, 534177.77799995604436845 178175.88899993296945468, 534234.57400005334056914 178115.28799992994754575, 534212.6900000151945278 177981.09400000004097819, 534077.06999994278885424 178056.14400008443044499, 534125.05899994936771691 178150.2949999023694545, 534037.35000008495990187 178208.3409999416617211, 534036.14600012986920774 178223.75200001129996963, 534074.55999989458359778 178236.21400001470465213, 534134.12199990742374212 178179.67899986679549329, 534164.2729999516159296 178267.67599995952332392, 534149.58500011754222214 178309.60299994010711089, 534082.71899988374207169 178321.35100007551955059, 534101.00499995716381818 178284.69399990513920784, 534039.99999996193218976 178292.99999994775862433, 534044.21699988131877035 178331.41999986601877026, 534020.52300003706477582 178316.56300005622324534, 533947.73199994117021561 178338.23999987883144058, 533981.04999995359685272 178394.69599988212576136, 533856.20100005646236241 178469.44000010154559277, 533876.05099995841737837 178501.93999996522325091, 533969.93899995880201459 178467.79899999653571285, 534106.37299989454913884 178437.1040001314249821, 534138.60500013316050172 178530.28200000000651926, 534234.08799997705500573 178512.66099986823974177)))</t>
  </si>
  <si>
    <t>E01004041</t>
  </si>
  <si>
    <t>Southwark 013D</t>
  </si>
  <si>
    <t>MultiPolygon (((533599.52399986167438328 179026.25299991868087091, 533686.12300013832282275 178983.336000138806412, 533695.32700000458862633 178945.65099987128633074, 533745.00000016076955944 178930.0000001001462806, 533722.18499998713377863 178902.47599995697964914, 533770.03400016319938004 178896.46499984469846822, 533805.29799999995157123 178880.97999992719269358, 533758.37000000092666596 178777.94600008422276005, 533707.59800000966060907 178671.75900005782023072, 533702.91500006138812751 178663.19800011505139992, 533688.71900010912213475 178637.24899983769864775, 533654.61200005246791989 178576.52399989252444357, 533538.18799991637933999 178411.79700008130748756, 533533.28099983592983335 178415.81900006550131366, 533315.93099999276455492 178615.0560000968107488, 533284.76300004683434963 178651.93999990040902048, 533221.47500009369105101 178726.82999991369433701, 533213.43800006678793579 178736.3370000155409798, 533137.71499999985098839 178825.95499987792572938, 533200.64599993010051548 178844.32899994222680107, 533305.9999999029096216 178835.00000016600824893, 533402.00000011746305972 178773.00000013870885596, 533506.83099987974856049 178868.19299998710630462, 533414.27800006396137178 178967.02400006985408254, 533429.23599994753021747 178994.70700012511224486, 533560.92000016325619072 179003.79300002314266749, 533588.48499991639982909 178998.23099988084868528, 533599.52399986167438328 179026.25299991868087091)))</t>
  </si>
  <si>
    <t>E01003980</t>
  </si>
  <si>
    <t>Southwark 013A</t>
  </si>
  <si>
    <t>MultiPolygon (((534331.77700007101520896 177667.62300014498759992, 534370.00099997199140489 177628.00099991497700103, 534379.69300010299775749 177649.58900014797109179, 534396.10100008104927838 177642.20499992198892869, 534383.22999990696553141 177562.46399992497754283, 534415.99900000495836139 177413.99999998798011802, 534547.99999999301508069 177453.00000010497751646, 534513.57900004601106048 177536.65099999398807995, 534600.53300004103220999 177551.14999998497660272, 534629.13999991095624864 177546.50100013098563068, 534699.00000013899989426 177645.00000006699701771, 534755 177582.99999988099443726, 534603.88699990801978856 177367.78999987698625773, 534475.52600006596185267 177309.8930000449763611, 534443.73299993900582194 177301.30300005298340693, 534357.07500013394746929 177277.81200014799833298, 534317.85800013702828437 177266.66499991898308508, 534230.14400015200953931 177241.72199991997331381, 534164.840999859967269 177206.44499985498259775, 534141 177272.99999987197224982, 534161.80200010596308857 177346.36699986399617046, 534187.49300007894635201 177335.45600005198502913, 534193.21700003603473306 177248.32399992199498229, 534219.99999993003439158 177332.00000004898174666, 534257.54100004595238715 177336.92700006897212006, 534284.00000012200325727 177416.99999999697320163, 534202.99999987904448062 177441.00000006897607818, 534175.66099996003322303 177530.84899993299040943, 534262.1779998840065673 177541.16799997899215668, 534230.2540000940207392 177613.61000006797257811, 534331.77700007101520896 177667.62300014498759992)))</t>
  </si>
  <si>
    <t>E01003983</t>
  </si>
  <si>
    <t>Southwark 018A</t>
  </si>
  <si>
    <t>E02000824</t>
  </si>
  <si>
    <t>Southwark 018</t>
  </si>
  <si>
    <t>MultiPolygon (((535284.60199994745198637 177976.50200015451991931, 535302.45799994503613561 177767.68500018908525817, 535274.06199990143068135 177556.8209999930113554, 535264.86399984767194837 177518.9039998330117669, 535270.20899990969337523 177501.20799994707340375, 535232.34000016713980585 177366.85100003110710531, 535122.67300011473707855 177435.5949999651638791, 535095.46699980809353292 177381.18200011632870883, 535061.00000016146805137 177401.00000005858601071, 534925.99999995960388333 177477.00000016903504729, 534811.00000005634501576 177543.9999998678395059, 534829.39100014709401876 177415.43299980429583229, 534760.5600001763086766 177370.74599990824935958, 534769.27000003901775926 177302.91800015451735817, 534832.65300019865389913 177305.46200009452877566, 534781.82699978805612773 177287.33300020251772366, 534805.15000000200234354 177266.83699985663406551, 534762.32599980290979147 177234.48399998337845318, 534723.36699980671983212 177235.86600011013797484, 534748.68399981700349599 177197.26599995634751394, 534709.6710001511964947 177179.75200000000768341, 534631.24700007773935795 177328.69500000574043952, 534603.88700019160751253 177367.79000011816970073, 534754.99999981769360602 177583.00000008731149137, 534699.00000000582076609 177645.00000003146124072, 534629.14000007195863873 177546.50099983383552171, 534600.53300008655060083 177551.15000002895249054, 534571.97800002002622932 177612.14899993347353302, 534563.59799998754169792 177586.44599981923238374, 534490.82599989953450859 177576.74399986185017042, 534472.91400005493778735 177608.62699986057123169, 534506.0970001604873687 177639.01700012708897702, 534486.2290000501088798 177671.15299995295936242, 534541.16400011908262968 177781.47900000371737406, 534509.99999989394564182 177803.99999990887590684, 534563.99999980395659804 177892.99999980806023814, 534674.99999990360811353 177888.99899991566780955, 534751.19999983359593898 177950.80000012897653505, 534948.88599981274455786 177939.4919998032564763, 535081.4010001877322793 177930.50000010116491467, 535078.50000015599653125 177969.20000016471021809, 535110.88200004142709076 177960.41200021025724709, 535222.60599993146024644 177954.80600003819563426, 535230.99999992572702467 178025.00000015710247681, 535272.48999998881481588 178033.07000000003608875, 535284.60199994745198637 177976.50200015451991931)))</t>
  </si>
  <si>
    <t>E01003988</t>
  </si>
  <si>
    <t>Southwark 018B</t>
  </si>
  <si>
    <t>MultiPolygon (((534685.01600016886368394 178139.48200015543261543, 534803.59499978111125529 178138.51500018878141418, 534814.37400020973291248 178181.83300001808675006, 534880.9970001601614058 178154.76299992951680906, 534917.00000009394716471 178145.0000001385633368, 534925.80900006915908307 178081.74399980009184219, 534873.48900017363484949 178045.69599999210913666, 534925.02399999764747918 178018.49299979256466031, 534948.88600000005681068 177939.49199992301873863, 534751.19999979960266501 177950.79999997621052898, 534674.99999986332841218 177888.99900015164166689, 534563.99999997019767761 177893.00000012927921489, 534510.0000001898733899 177804.00000001516309567, 534541.16399993689265102 177781.47899998805951327, 534486.22899991332087666 177671.15300000371644273, 534506.09699978050775826 177639.0169999590725638, 534472.91399979579728097 177608.62700008766842075, 534490.82599978137295693 177576.74400011409306899, 534563.59800014819484204 177586.44599994749296457, 534571.97800002212170511 177612.14900020242203027, 534600.53299994941335171 177551.15000006681657396, 534513.57899990875739604 177536.65099998834193684, 534547.999999969615601 177453.00000011309748515, 534415.99899998726323247 177413.999999779072823, 534383.22999999788589776 177562.46399998498964123, 534396.10099990817252547 177642.20500005187932402, 534379.69300022069364786 177649.58900016834377311, 534370.00100016221404076 177628.00099998616497032, 534331.77700010233093053 177667.6230000689974986, 534309.49699997284915298 177712.82100016000913456, 534156.21799992700107396 177650.69999999841093086, 534124.38600013602990657 177666.13499985431553796, 534122.00000017555430532 177668.00000001015723683, 534061.98800000001210719 177778.72199995146365836, 534062.00000017345882952 177849.65699997570482083, 534197.62500019220169634 177872.15600005447049625, 534263.56200006045401096 177949.89100003460771404, 534367.33399987395387143 177896.39999988552881405, 534400.87499978404957801 177996.70300016537657939, 534546.55100020754616708 178129.85899987450102344, 534669.65499997790902853 178252.0310002208861988, 534674.6059998613782227 178246.82299991292529739, 534652.23799993854481727 178180.44199983766884543, 534691.45399984600953758 178173.14300002553500235, 534685.01600016886368394 178139.48200015543261543)))</t>
  </si>
  <si>
    <t>E01003989</t>
  </si>
  <si>
    <t>Southwark 018C</t>
  </si>
  <si>
    <t>MultiPolygon (((533151.62900004058610648 178518.75200003338977695, 533199.27900022605899721 178423.30100018857046962, 533299.47500012768432498 178496.85099995482596569, 533328.00099996186327189 178470.99999993111123331, 533222.91400006506592035 178387.89799994078930467, 533266.0009997229790315 178335.99999990352080204, 533328.09400012774858624 178384.53300024394411594, 533309.18499976233579218 178346.28299972726381384, 533380.99999986123293638 178291.9999999423744157, 533417.71499974140897393 178284.71999998402316123, 533450.74199999251868576 178237.99099994558491744, 533514.94900007802061737 178329.12399998414912261, 533545.07600028766319156 178300.44199996633687988, 533539.34100003656931221 178198.17900012692552991, 533660.95199996395967901 178316.95200012350687757, 533738.83599981118459255 178251.32800018024863675, 533853.67000001482665539 178178.12800018617417663, 533932.47799973038490862 178132.95699982135556638, 533988.94999986013863236 178102.95299992593936622, 534077.06999978830572218 178056.14400027508963831, 534212.68999974778853357 177981.09400014317361638, 534263.56200000003445894 177949.89100009718094952, 534197.62499978241976351 177872.15599990967893973, 534062.00000028742942959 177849.6570002035878133, 534061.98800022818613797 177778.72199995137634687, 533907.1879998364020139 177734.76600001190672629, 533835.81100014026742429 177711.39600021013757214, 533832.00000019697472453 177681.06199985850253142, 533741.99300004611723125 177669.74700022005708888, 533707.93800019577611238 177696.71900000894675031, 533711.81300006387755275 177666.78099985246080905, 533650.45799978263676167 177658.63100029269116931, 533555.56200003786943853 177646.62399977940367535, 533439.75700022303499281 177631.93699992023175582, 533348.62500009161885828 177619.76599996665026993, 533334.87500006705522537 177747.311999763303902, 533435.3129997942596674 177756.39099990105023608, 533362.93800006003584713 177899.25100001273676753, 533336.93199975974857807 178038.54399982088943943, 533396.93199970677960664 178073.52099972529686056, 533287.84100018523167819 178221.89099985704524443, 533270.08699994871858507 178244.88200023263925686, 533206.68799994105938822 178197.23399986134609208, 533146.75500022724736482 178324.00900025214650668, 533143.81900000793393701 178331.60099999062367715, 533114.36699990415945649 178381.63300020244787447, 533089.27299999992828816 178415.84000002092216164, 533107.35100007592700422 178504.29099972514086403, 533151.62900004058610648 178518.75200003338977695)))</t>
  </si>
  <si>
    <t>E01003964</t>
  </si>
  <si>
    <t>Southwark 015A</t>
  </si>
  <si>
    <t>E02000821</t>
  </si>
  <si>
    <t>Southwark 015</t>
  </si>
  <si>
    <t>MultiPolygon (((533147.88599990925285965 178617.30200015203445219, 533185.86600010935217142 178551.36599983467021957, 533247.99999994202516973 178566.99999985075555742, 533287.76599992357660085 178594.11300012521678582, 533315.93099988379981369 178615.05599986287415959, 533533.2809999753953889 178415.81900010275421664, 533538.18800013326108456 178411.79699994152178988, 533660.95200000004842877 178316.95199999285978265, 533539.34099983901251107 178198.17899996697087772, 533545.07599997555371374 178300.4419999654055573, 533514.9489998915232718 178329.12400011727004312, 533450.74200000567361712 178237.99100013286806643, 533417.71500014781486243 178284.71999994514044374, 533380.99999984097667038 178292.00000010977964848, 533309.1849999570986256 178346.28300000863964669, 533328.09400002297479659 178384.53300010011298582, 533266.00100008596200496 178335.99999986795592122, 533222.91399987030308694 178387.89800000234390609, 533328.00100006407592446 178471.00000001402804628, 533299.47500010184012353 178496.85099983369582333, 533199.27899994375184178 178423.30099997340585105, 533151.628999859909527 178518.75200004203361459, 533107.35100014915224165 178504.29099988448433578, 533089.27299983450211585 178415.83999984568799846, 533031.21599999873433262 178478.37900001640082337, 533054.87500010873191059 178486.09200006502214819, 532993 178534.00099987277644686, 533037.99500009405892342 178586.99400010489625856, 533071.99999990733340383 178563.00000002453452908, 533105.99899984186049551 178587.55599988874746487, 533101.89499988930765539 178629.78100003299186938, 533133.49399986129719764 178628.09800011978950351, 533147.88599990925285965 178617.30200015203445219)))</t>
  </si>
  <si>
    <t>E01003966</t>
  </si>
  <si>
    <t>Southwark 015B</t>
  </si>
  <si>
    <t>MultiPolygon (((533035.9999999413266778 178784.99900010012788698, 533147.97900003660470247 178682.17599989837617613, 533213.43800003395881504 178736.33700002718251199, 533221.47500001243315637 178726.83000006587826647, 533284.76299985137302428 178651.94000009034061804, 533315.93099999998230487 178615.05599983246065676, 533287.7659999841125682 178594.11300014791777357, 533248.00000012724194676 178567.00000003998866305, 533185.86600014707073569 178551.36599995027063414, 533147.88600006164051592 178617.30200001399498433, 533133.49400000541936606 178628.09800014400389045, 533101.89499996555969119 178629.78100000461563468, 533105.99900006165262312 178587.55600008842884563, 533071.99999995389953256 178563.0000001504085958, 533037.9950000859098509 178586.99400006301584654, 532993.00000012200325727 178534.00099990464514121, 533054.87500004924368113 178486.09199994275695644, 533031.21599983726628125 178478.37900010432349518, 532936.8589999204268679 178443.33500014455057681, 532772.64499991352204233 178463.99999986425973475, 532752.00000006577465683 178519.0000000232248567, 532797.47400001611094922 178541.3850001382525079, 532732.73999990650918335 178620.56099998406716622, 532675.32499994325917214 178623.02399988356046379, 532645.04200000001583248 178710.70500013363198377, 532720.44100010546389967 178742.42599999631056562, 532766.49599999305792153 178651.04100010875845328, 532857.56400013191159815 178695.11799984370009042, 532823.00000011851079762 178742.99999987779301591, 532863.00099998072255403 178770.00000013882527128, 532892.9999998634448275 178725.00000003923196346, 532953.99999985680915415 178786.00000003259629011, 533018.9959998995764181 178825.26299985544756055, 533055.53000004962086678 178805.0069998993712943, 533035.9999999413266778 178784.99900010012788698)))</t>
  </si>
  <si>
    <t>E01003961</t>
  </si>
  <si>
    <t>Southwark 012B</t>
  </si>
  <si>
    <t>E02000818</t>
  </si>
  <si>
    <t>Southwark 012</t>
  </si>
  <si>
    <t>MultiPolygon (((535457.92799989192280918 177475.0650000087916851, 535497.65999998571351171 177466.36499994742916897, 535512.99999992630910128 177511.99999984810710885, 535520.12999989883974195 177510.00000012025702745, 535487.17299990600440651 177370.80600000210688449, 535479.50699997798074037 177335.6289999200089369, 535468.99999986542388797 177288.00000008786446415, 535451.8309999086195603 177236.45399994018953294, 535488.67799988808110356 177153.32899999999790452, 535327.18800000031478703 177247.62499993393430486, 535211.83899991947691888 177311.41200005426071584, 535232.33999994222540408 177366.85099990878370591, 535270.2090001063188538 177501.20799997891299427, 535264.86399986408650875 177518.90400001866510138, 535274.06200010317843407 177556.82099997697514482, 535302.45799993223045021 177767.6850000731064938, 535406.47399982425849885 177778.84299997432390228, 535485.87799991329666227 177817.04199996896204539, 535452.81899982399772853 177864.92199999999138527, 535535.22700008063111454 177863.28100000804988667, 535514.82500007818453014 177738.02899995306506753, 535498.75800008187070489 177693.14100014109862968, 535471.25600015616510063 177643.90100001048995182, 535451.86999983037821949 177618.97599997781799175, 535431.49799987731967121 177605.53799988873652183, 535469.16000012820586562 177546.29499997550738044, 535457.92799989192280918 177475.0650000087916851)))</t>
  </si>
  <si>
    <t>E01003302</t>
  </si>
  <si>
    <t>Lewisham 003D</t>
  </si>
  <si>
    <t>MultiPolygon (((534873.66200002457480878 179771.08900000000721775, 534898.0729998912429437 179670.78499984068912454, 534945.25100016198121011 179696.91600003532948904, 535028.53700004646088928 179686.11699990933993831, 535068.99999999813735485 179678.00000015291152522, 535054.99999986216425896 179585.00000010823714547, 535055.64099995885044336 179537.44000015224446543, 534951.78900001908186823 179439.72099993849406019, 534949.98700006678700447 179437.4960000010614749, 534936.48699992394540459 179369.51400012316298671, 534872.15100004361011088 179357.92299991424079053, 534889.53399994282517582 179280.47000001987908036, 534849.59299998672213405 179262.00299994801753201, 534872.00000005739275366 179139.46099988350761123, 534812.72599996824283153 179120.81700000001001172, 534795.90999986242968589 179141.18000009309616871, 534772.9429998513078317 179184.91800003306707367, 534746.33099996100645512 179297.23400014982325956, 534742.08200013672467321 179329.93099993848591112, 534728.95400012144818902 179421.83099986796150915, 534720.66499984462279826 179469.33899984808522277, 534714.05100009776651859 179517.82799984223674983, 534713.66199990920722485 179527.88699986116262153, 534718.43000002426560968 179599.84899991942802444, 534687.16999991319607943 179706.8059998887765687, 534683.50000000186264515 179733.71899995842250064, 534813.62500003282912076 179739.06199983815895393, 534808.92700007290113717 179759.60500009785755537, 534873.66200002457480878 179771.08900000000721775)))</t>
  </si>
  <si>
    <t>E01004034</t>
  </si>
  <si>
    <t>Southwark 007D</t>
  </si>
  <si>
    <t>E02000813</t>
  </si>
  <si>
    <t>Southwark 007</t>
  </si>
  <si>
    <t>MultiPolygon (((534399.99999989499337971 179647.00000008652568795, 534375.17199999501463026 179610.07399987586541101, 534345.62400014908052981 179566.52799993907683529, 534399.99999989499337971 179512.99999998335260898, 534418.81399987591430545 179525.3370000931317918, 534400.04199992364738137 179454.86300009689875878, 534443.71999988984316587 179463.42000017449026927, 534470.92499995639082044 179428.66200004832353443, 534403.26099993695970625 179414.99399981868918985, 534377.30099981022067368 179376.7859999462380074, 534476.61900020309258252 179400.43300001078750938, 534485.96599990990944207 179354.08300004070042633, 534540.91000010422430933 179364.83099991519702598, 534629.00000005238689482 179369.00000003090826795, 534639.05599993979558349 179313.55899992206832394, 534666.0249999666120857 179164.90400018950458616, 534625.89200005412567407 179158.05800018779700622, 534555.15099981497041881 178958.16499999997904524, 534458.87199985852930695 179020.70000003714812919, 534315.00000011478550732 179118.45299996846006252, 534204.28800013440195471 179194.57900018271175213, 534144.15600016014650464 179239.8809999834629707, 534078.29000003333203495 179289.16499989360454492, 534091.000000094412826 179344.99999996807309799, 534117.99999989964999259 179415.00000018675928004, 534148.57200014113914222 179406.9080001839029137, 534190.19300003803800792 179459.32900017267093062, 534120.07599986076820642 179495.24199981323909014, 534130.00000014342367649 179527.0000001969456207, 534236.57900009327568114 179518.73699989536544308, 534249.49099980690516531 179629.32800009645870887, 534191.57300019124522805 179611.29299991927109659, 534199.99999993748497218 179645.0000001166772563, 534136.65599995478987694 179654.09600013753515668, 534195.06600002758204937 179701.09800018867827021, 534278.48099981795530766 179714.18999990381416865, 534299.55800019088201225 179762.7359999775653705, 534314.1379998903721571 179807.47399999998742715, 534411.47900002577807754 179757.00100018823286518, 534367.99999995273537934 179669.9999999521241989, 534399.99999989499337971 179647.00000008652568795)))</t>
  </si>
  <si>
    <t>E01004022</t>
  </si>
  <si>
    <t>Southwark 004C</t>
  </si>
  <si>
    <t>E02000810</t>
  </si>
  <si>
    <t>Southwark 004</t>
  </si>
  <si>
    <t>MultiPolygon (((534419.28199995844624937 179761.72400009099510498, 534487.52800008293706924 179754.1240001097030472, 534490.24799989885650575 179742.07700010429834947, 534494.60100005019921809 179740.87499990794458427, 534808.92700004146900028 179759.60499990521930158, 534813.625 179739.06200007002917118, 534683.50000008568167686 179733.71899996337015182, 534687.17000004556030035 179706.80599990708287805, 534718.43000001227483153 179599.84899988697725348, 534713.66199997428338975 179527.88699998433003202, 534714.05100006540305912 179517.82799989878549241, 534720.66500009584706277 179469.33899988603661768, 534616.95099990128073841 179438.28400003531714901, 534628.99999990884680301 179368.99999990090145729, 534540.90999992482829839 179364.83099995879456401, 534485.9659999452996999 179354.08299990903469734, 534476.61899996711872518 179400.43299994728295133, 534377.30100008961744606 179376.78600009361980483, 534403.26100011565722525 179414.99400000247987919, 534470.92500004649627954 179428.66200009552994743, 534443.71999989228788763 179463.4200000606069807, 534400.04200008348561823 179454.8630000444536563, 534418.81399989442434162 179525.33699989362503402, 534400.0000000357395038 179513.00000002657179721, 534345.62399999983608723 179566.52800003439188004, 534375.17199989256914705 179610.07399992720456794, 534400.0000000357395038 179647.00000001676380634, 534367.99999992980156094 179669.99999995395774022, 534411.47900009737350047 179757.00099998712539673, 534415.72799989650957286 179756.77200007782084867, 534419.28199995844624937 179761.72400009099510498)))</t>
  </si>
  <si>
    <t>E01004023</t>
  </si>
  <si>
    <t>Southwark 004D</t>
  </si>
  <si>
    <t>MultiPolygon (((534278.481000000028871 179714.18999988146242686, 534195.06600004038773477 179701.09799993282649666, 534136.65599996829405427 179654.09599995304597542, 534200.00000011501833797 179644.99999994118115865, 534191.57299991801846772 179611.29299997183261439, 534249.49100008537061512 179629.32799987270846032, 534236.57900009537115693 179518.73700007749721408, 534129.99999995983671397 179527.00000003876630217, 534120.07599997788202018 179495.24199991684872657, 534190.19299987889826298 179459.32899997048662044, 534148.57199995557311922 179406.90800012421095744, 534117.99999995611142367 179415.00000000445288606, 534091.00000001478474587 179345.00000011673546396, 534078.29000007035210729 179289.16500008394359611, 533928.96400005370378494 179398.30900009756442159, 533868.52599993092007935 179447.12000007581082173, 533802.11300007556565106 179500.75599997697281651, 533743.56999999994877726 179548.03799992203130387, 533777.64800006372388452 179627.6869999069313053, 533852.91099997865967453 179634.84800002953852527, 533849.77399997657630593 179549.75600005884189159, 533918.68599998380523175 179560.26500010679592378, 533943.5710000772960484 179591.83799992207787, 533885.0000000853324309 179663.00000008041388355, 533996.00000005250331014 179715.99999989607022144, 534031.65699988533742726 179713.39699994053808041, 534066.34100008616223931 179762.98400012066122144, 534165.01100008096545935 179769.49399991604150273, 534278.481000000028871 179714.18999988146242686)))</t>
  </si>
  <si>
    <t>E01004028</t>
  </si>
  <si>
    <t>Southwark 004E</t>
  </si>
  <si>
    <t>MultiPolygon (((535599.54600006085820496 179818.60099986536079086, 535637.50099998759105802 179793.51900015771389008, 535679.13600003661122173 179808.55399987916462123, 535664.14600000530481339 179768.69600011489819735, 535714.57100014633033425 179765.9399998671724461, 535756.17299986188299954 179714.57100010616704822, 535702.36999999522231519 179637.65600016503594816, 535672.1469999939436093 179659.15700004986138083, 535664.38899994385428727 179603.64699988369829953, 535712.26499995356425643 179569.89800014812499285, 535739.36099985567852855 179515.50000005698530003, 535723.99799996335059404 179502.0029999999969732, 535648.99999992689117789 179560.99999988870695233, 535566.00000007206108421 179571.00000017520505935, 535575.44800016505178064 179642.97600009036250412, 535536.94300005433615297 179660.79200000417768024, 535533.42599983746185899 179706.41800008958671242, 535529.92100002861116081 179716.96900003918563016, 535566.53399982885457575 179760.43200009176507592, 535476.71399986569304019 179780.84099999748286791, 535444.99999989964999259 179883.99999996102997102, 535434.99999996356200427 179896.00000002447632141, 535353.13900013803504407 179995.41099989018402994, 535515.59999987564515322 180149.29999988013878465, 535498.2999999828170985 180170.29999999116989784, 535532.99999989755451679 180202.89999999999417923, 535577.85400013637263328 180161.56900000679888763, 535618.90199999918695539 180088.43100012734066695, 535612.24599997617769986 180080.46300012164283544, 535638.17799990437924862 179918.48900009068893269, 535599.54600006085820496 179818.60099986536079086)))</t>
  </si>
  <si>
    <t>E01004029</t>
  </si>
  <si>
    <t>Southwark 001A</t>
  </si>
  <si>
    <t>E02000807</t>
  </si>
  <si>
    <t>Southwark 001</t>
  </si>
  <si>
    <t>MultiPolygon (((535417.99999991897493601 179806.00000005017500371, 535345.99900013022124767 179740.99999993862002157, 535311.40800002624746412 179709.55200006061932072, 535361.7389998862054199 179659.93800003477372229, 535304.08600005565676838 179637.78299986384809017, 535279.99999997147824615 179681.00099992405739613, 535291.69899987813550979 179754.33700012735789642, 535179.00000011769589037 179652.00000009243376553, 535196.43799989065155387 179740.59000006676069461, 535121.13400002173148096 179734.82400012327707373, 535151.00000009988434613 179696.00000012046075426, 535114.00000000605359674 179656.99999988512718119, 535074.05499987793155015 179710.25000000675208867, 535028.53699987940490246 179686.11699993375805207, 534945.25099986966233701 179696.91599988893722184, 534898.07299991080071777 179670.78500000230269507, 534873.66200000001117587 179771.08899995728279464, 535039.46300003095529974 179817.88499986441456713, 535300.62100007419940084 179965.51299986272351816, 535353.13900000706780702 179995.41100013616960496, 535435 179895.99999996714177541, 535389.99999990116339177 179842.99999986321199685, 535417.99999991897493601 179806.00000005017500371)))</t>
  </si>
  <si>
    <t>E01004030</t>
  </si>
  <si>
    <t>Southwark 007A</t>
  </si>
  <si>
    <t>MultiPolygon (((535575.44799999997485429 179642.97599991550669074, 535565.99999990477226675 179570.99999993221717887, 535540.63799986965022981 179561.19600000020000152, 535493.99500008986797184 179467.97400001538335346, 535434.88599987246561795 179472.76300014267326333, 535381.55600013281218708 179434.58999993049656041, 535296.37199985748156905 179405.45699991288711317, 535307.68200000503566116 179483.22000004781875759, 535247.94899995799642056 179508.82099993230076507, 535226.50500007346272469 179462.07099991338327527, 535161.0129999810596928 179496.84299987720442005, 535126.98100010911002755 179580.32899996542255394, 535100.00000001967418939 179547.00000005590845831, 535190.96800002316012979 179401.72300005974830128, 535129.02299999841488898 179376.04400007962249219, 534951.78899999998975545 179439.72099999740021303, 535055.64100009005051106 179537.43999984738184139, 535054.99999993981327862 179585.00000006795744412, 535069.00000007555354387 179677.99999990049400367, 535028.53700010175816715 179686.11700005468446761, 535074.05500012112315744 179710.24999989019124769, 535114.00000015541445464 179657.00000000870204531, 535151.00000006868503988 179696.00000011955853552, 535121.13399990787729621 179734.82399991861893795, 535196.43799991812556982 179740.58999991262680851, 535179.0000000282889232 179652.00000013841781765, 535291.6989999923389405 179754.33699998998781666, 535280.00000002747401595 179681.00099992222385481, 535304.08599998522549868 179637.78300003646290861, 535361.73899997654370964 179659.93799986926023848, 535311.40799987234640867 179709.5520001137338113, 535345.99899996200110763 179740.99999988763011061, 535417.99999993992969394 179806.00000007235212252, 535389.99999998032581061 179842.99999998562270775, 535435.00000006018672138 179895.99999992037191987, 535445.00000011269003153 179883.99999998218845576, 535476.71400011680088937 179780.84100010618567467, 535566.5340001278091222 179760.43200006356346421, 535529.92099995748139918 179716.96900010525132529, 535533.4260000215144828 179706.41800013280590065, 535536.94299990846775472 179660.79200014882371761, 535575.44799999997485429 179642.97599991550669074)))</t>
  </si>
  <si>
    <t>E01004033</t>
  </si>
  <si>
    <t>Southwark 007C</t>
  </si>
  <si>
    <t>MultiPolygon (((534021.7570000576088205 179876.32400008183321916, 533957.138999919523485 179860.69200005327002145, 533998.20000001648440957 179905.69999998292769305, 534030.23899996327236295 179893.94599991539143957, 534021.7570000576088205 179876.32400008183321916)),((533967.77600007923319936 179969.15999998085317202, 533994.40000009723007679 179939.59999996607075445, 533937.18700008362066001 179884.67799993386142887, 533919.45899998291861266 179855.54800005949800834, 533843.71499994874466211 179752.45600003976142034, 533814.40000005031470209 179706.40000007403432392, 533879.84699992672540247 179772.99900004235678352, 533912.89500008407048881 179801.81899996084393933, 533929.67200005042832345 179750.42400009202538058, 533996.00000008381903172 179715.9999999932188075, 533885.00000009057112038 179663, 533787.0000000367872417 179708.99999990567448549, 533794.51199994818307459 179725.79200009044143371, 533826.91100005793850869 179776.5800000544404611, 533883.34000001184176654 179849.12300000982941128, 533885.95300004573073238 179865.88400004277355038, 533924.99999994912650436 179955.99999992563971318, 533831.10999996575992554 179936.05900008059688844, 533793.53200006869155914 179957.00499990864773281, 533823.3419999472098425 180000.50000006367918104, 533834.0199999485630542 180020.27200001341407187, 533837.28400004608556628 180053.58999999996740371, 533967.77600007923319936 179969.15999998085317202)))</t>
  </si>
  <si>
    <t>E01032834</t>
  </si>
  <si>
    <t>Southwark 003K</t>
  </si>
  <si>
    <t>E02000809</t>
  </si>
  <si>
    <t>Southwark 003</t>
  </si>
  <si>
    <t>MultiPolygon (((533710.46900003612972796 179959.35300007116165943, 533733.75300006289035082 179865.95099998963996768, 533740.33900005894247442 179876.10600003961008042, 533793.53200003039091825 179957.00500000626198016, 533831.10999993223231286 179936.0589999629301019, 533925 179956.00000004112371244, 533885.95299994642846286 179865.88400002242997289, 533883.34000000660307705 179849.12299996570800431, 533826.91100007516797632 179776.57999994963756762, 533794.51199994410853833 179725.79199992885696702, 533725.90999999770428985 179743.88999994509504177, 533697.08100002014543861 179765.67099993900046684, 533660.08099992421921343 179797.51199997030198574, 533684.40800004301127046 179842.86899996403371915, 533620.46299999998882413 179833.02199995657429099, 533638.89600000460632145 179867.74800004230928607, 533659.96199995966162533 179904.51900003891205415, 533710.46900003612972796 179959.35300007116165943)))</t>
  </si>
  <si>
    <t>E01032637</t>
  </si>
  <si>
    <t>Southwark 003F</t>
  </si>
  <si>
    <t>MultiPolygon (((534314.13800000003539026 179807.47400006363750435, 534299.55800000648014247 179762.73600000515580177, 534278.48099992948118597 179714.19000004520057701, 534165.01100003987085074 179769.49400003338814713, 534066.34100007568486035 179762.98400007796590216, 534031.6570000359788537 179713.39700003157486208, 533995.99999996542464942 179715.99999999583815224, 533929.67200002144090831 179750.42399998829932883, 533912.89500000001862645 179801.81899998956941999, 533929.63699999579694122 179828.19200000370619819, 533957.13899990858044475 179860.69200008810730651, 534021.75700008985586464 179876.3240000443183817, 534030.23900005151517689 179893.94599996841861866, 534135.52600004384294152 179863.68100003141444176, 534222.56599994061980397 179822.29199995071394369, 534242.98900000844150782 179815.3130000929813832, 534314.13800000003539026 179807.47400006363750435)))</t>
  </si>
  <si>
    <t>E01032638</t>
  </si>
  <si>
    <t>Southwark 003G</t>
  </si>
  <si>
    <t>MultiPolygon (((533823.34199996688403189 180000.50000001513399184, 533793.53200000990182161 179957.00500002189073712, 533740.33899998827837408 179876.10600002502906136, 533733.75299993844237179 179865.95099994778865948, 533710.46900005883071572 179959.3529999777674675, 533659.96200001030229032 179904.51899993393453769, 533638.89600000227801502 179867.74799995575449429, 533609.00000002724118531 179887.99999996402766556, 533620.99999997508712113 179929.00100001101964153, 533574.99999998300336301 179951.00000005029141903, 533549 179960.00099999626399949, 533622.26100002822931856 180139.49400005221832544, 533750.63799994147848338 180090.6949999661592301, 533837.28399999998509884 180053.59000005541020073, 533834.01999997615348548 180020.27199995631235652, 533823.34199996688403189 180000.50000001513399184)))</t>
  </si>
  <si>
    <t>E01032640</t>
  </si>
  <si>
    <t>Southwark 003H</t>
  </si>
  <si>
    <t>MultiPolygon (((533571.49300012516323477 179688.63300000003073364, 533620.40300012135412544 179648.67199988779611886, 533743.57000010390765965 179548.03800003006472252, 533715.00000006076879799 179538.00000010817893781, 533748.98199992999434471 179508.01700004326994531, 533705.23599997302517295 179479.4669999583857134, 533725.97099999058991671 179440.95700009373831563, 533676.99999989301431924 179409.99999987770570442, 533626.84899997315369546 179395.33199997010524385, 533642.23900010087527335 179369.11200010104221292, 533595.16800010076258332 179346.14599994046147913, 533557.99999992316588759 179388.00000008841743693, 533566.99999992945231497 179327.99999987706542015, 533535.99999987951014191 179317.99999992662924342, 533563.60600000491831452 179258.53899988558259793, 533504.8090000000083819 179271.00000000689760782, 533461.99999994097743183 179180, 533282.0000000698491931 179261.00000005646143109, 533297.36199995095375925 179309.32299993181368336, 533325.38500004389788955 179329.85499994139536284, 533387.39600009517744184 179389.01499987411079928, 533409.2240000405581668 179456.07700002289493568, 533440.11200012103654444 179582.6849999078840483, 533418.4820000670151785 179597.64199999973061495, 533360.0100000185193494 179629.85400000840309076, 533335.25899990170728415 179685.7090001103351824, 533478.71399999689310789 179654.48700006675790064, 533571.49300012516323477 179688.63300000003073364)))</t>
  </si>
  <si>
    <t>E01003976</t>
  </si>
  <si>
    <t>Southwark 003A</t>
  </si>
  <si>
    <t>MultiPolygon (((533506.83100008184555918 178868.19300008480786346, 533401.99999994353856891 178773.00000013198587112, 533306.00000006426125765 178835.00000002229353413, 533200.64600009704008698 178844.3290000082924962, 533137.71499985991977155 178825.95500013389391825, 533112.13900000625289977 178856.21299986910889857, 533016.625 178961.2190001115668565, 533083.03700001165270805 179080.02000010872143321, 533249.24699998251162469 179273.92899988708086312, 533297.36199999484233558 179309.32299986798898317, 533282.00000001827720553 179260.99999984845635481, 533461.99999990616925061 179179.99999988367198966, 533561.08699998899828643 179128.83700010704342276, 533626.06400000001303852 179093.62399985248339362, 533607.3450000595767051 179062.61999985444708727, 533536.00100006116554141 179055.24600003921659663, 533560.91999999061226845 179003.7929999333282467, 533429.23600010585505515 178994.70700003620004281, 533414.27799998479895294 178967.02400013545411639, 533506.83100008184555918 178868.19300008480786346)))</t>
  </si>
  <si>
    <t>E01003979</t>
  </si>
  <si>
    <t>Southwark 006E</t>
  </si>
  <si>
    <t>E02000812</t>
  </si>
  <si>
    <t>Southwark 006</t>
  </si>
  <si>
    <t>MultiPolygon (((533083.03700003423728049 179080.02000002248678356, 533016.62500009359791875 178961.21900000001187436, 532941.50700001511722803 178983.54999991465592757, 532934.6590000509750098 179095.29299991231528111, 532927.00000008998904377 179116.99999989816569723, 532986.40799988422077149 179142.1650000118825119, 532987.54600007843691856 179235.39100013248389587, 533025.39999994251411408 179251.30900003720307723, 533039.0470000256318599 179262.1250000478758011, 533042.75800007279030979 179303.87999988699448295, 533008.94000001333188266 179341.01900007162475958, 533070.00000000034924597 179420.24600001249928027, 533029.94800010591279715 179460.00300008218619041, 533044.35100008733570576 179494.8120000000053551, 533061.67100012535229325 179484.41000012421864085, 533169.60700002510566264 179435.17900004543480463, 533208.30100013187620789 179427.5140000980172772, 533275.19499996537342668 179411.63900005200412124, 533387.39599990996066481 179389.01499995228368789, 533325.38500006345566362 179329.85500004421919584, 533297.36200007156003267 179309.32300012480118312, 533249.24699988076463342 179273.92900005698902532, 533083.03700003423728049 179080.02000002248678356)))</t>
  </si>
  <si>
    <t>E01003941</t>
  </si>
  <si>
    <t>Southwark 006C</t>
  </si>
  <si>
    <t>MultiPolygon (((533309.68200007721316069 179902.91799991609877907, 533351.11800013273023069 179865.96699994316441007, 533563.52100004709791392 179695.14600013013114221, 533571.49300009047146887 179688.6330000028538052, 533478.71399989374913275 179654.48699988008593209, 533335.25899988994933665 179685.70899998233653605, 533360.01000007207039744 179629.85399988322751597, 533418.48200004617683589 179597.64200009522028267, 533440.11200008913874626 179582.68500001658685505, 533409.22400000772904605 179456.07699997120653279, 533387.3960001387167722 179389.01500000001396984, 533275.19500003790017217 179411.63899994679377414, 533208.30100006225984544 179427.51399995113024488, 533169.60699996270705014 179435.17900012678001076, 533199.56300004932563752 179492.65699991938890889, 533282.75500011222902685 179554.35099991597235203, 533280.22800000663846731 179562.82399999053450301, 533266.00099987862631679 179614.00000012130476534, 533216.65499996650032699 179614.64199999492848292, 533214.99999991676304489 179687.99999999508145265, 533137.13800011703278869 179681.38599998457357287, 533157.67200011014938354 179741.75999993734876625, 533102.8299999093869701 179723.68399996741209179, 533131.00900009844917804 179776.1110000595508609, 533124.99999995762482285 179882.00000009205541573, 533178.00000011874362826 179915.00000007703783922, 533229.99999990989454091 179895.99999999313149601, 533258.76000004867091775 179944.40799999999580905, 533309.68200007721316069 179902.91799991609877907)))</t>
  </si>
  <si>
    <t>E01032646</t>
  </si>
  <si>
    <t>Southwark 003I</t>
  </si>
  <si>
    <t>MultiPolygon (((533638.8960002155508846 179867.7480001472576987, 533620.46299978683236986 179833.02199994298280217, 533684.40800011530518532 179842.86900018076994456, 533660.08100006519816816 179797.51199986599385738, 533697.08100008498877287 179765.67099999179481529, 533725.91000001854263246 179743.88999992943718098, 533794.51199981546960771 179725.79199976261588745, 533787.00000003154855222 179708.99999995910911821, 533885.00000002048909664 179663.00000025279587135, 533943.57099999999627471 179591.83800018651527353, 533918.68599991290830076 179560.26499981505912729, 533849.77399976819287986 179549.75599980345577933, 533852.91099986806511879 179634.84799980590469204, 533777.64799974125344306 179627.68700001688557677, 533743.57000020693521947 179548.0379999847500585, 533620.40299975743982941 179648.67199996509589255, 533571.49299980700016022 179688.63300007733050734, 533563.5210001909872517 179695.1459997852507513, 533351.11799999128561467 179865.96700023888843134, 533309.68200023798272014 179902.91799986179103144, 533258.75999985402449965 179944.40800011259852909, 532765.69100000010803342 180305.27300026407465339, 532788.7559999831719324 180387.60100001521641389, 533276.40000022889580578 180296.10000004153698683, 533622.26100003719329834 180139.49399995783460326, 533549.00000014272518456 179960.00099993875483051, 533575.00000028405338526 179951.00000023213215172, 533620.99999999033752829 179929.00099990621674806, 533609.00000001571606845 179888.00000007101334631, 533638.8960002155508846 179867.7480001472576987)))</t>
  </si>
  <si>
    <t>E01004027</t>
  </si>
  <si>
    <t>Southwark 003E</t>
  </si>
  <si>
    <t>MultiPolygon (((533258.7599999075755477 179944.40799991996027529, 533229.9999998303828761 179895.99999987756018527, 533178.00000015972182155 179915.00000014380202629, 533125.00000003585591912 179881.99999998082057573, 533131.00900015374645591 179776.11100014336989261, 533102.82999983883928508 179723.6839999025396537, 533013.54699999967124313 179719.10499981450266205, 532994.57500006922055036 179710.35699989623390138, 532978.99999986647162586 179747.9999999396095518, 532939.25799984240438789 179745.21100013554678299, 532941.37699990044347942 179681.57200000682496466, 533009.22500001406297088 179685.92500009335344657, 532993.36000001733191311 179599.66299996920861304, 532967.35099993867333978 179546.70300000003771856, 532949.77200002770405263 179558.56299996620509773, 532868.87499988288618624 179616.5610001104651019, 532857.5610000176820904 179624.0069999628176447, 532755.18500005302485079 179688.33199997537303716, 532723.8200000487267971 179712.17799990184721537, 532732.10400014510378242 179740.04499999652034603, 532738.41600005025975406 179765.1460001295490656, 532799.43400011421181262 179874.1119999744114466, 532793.25000017310958356 179967.23400007450254634, 532858.18799984408542514 180104.89100009007961489, 532695.56700009247288108 180202.66999985920847394, 532765.6909999797353521 180305.27299999998649582, 533258.7599999075755477 179944.40799991996027529)))</t>
  </si>
  <si>
    <t>E01003981</t>
  </si>
  <si>
    <t>Southwark 006F</t>
  </si>
  <si>
    <t>MultiPolygon (((532010.00000024191103876 180349, 532011.00000020582228899 180293.99999976367689669, 532121.24500023073051125 180294.26799994509201497, 532157.9999998981365934 180183.999999846535502, 532204.9999998677521944 180042.9999999376013875, 532146.20099991199094802 180037.89299989643041044, 532190.34799983236007392 179965.30099999747471884, 532235.94999991694930941 179930.95999991634744219, 532268.90299987932667136 179885.3369999336428009, 532206.99999979557469487 179769.99999979478889145, 532175.99999980384018272 179779.99999998923158273, 532178.36600017827004194 179721.99300008034333587, 532241.06800008984282613 179716.60800009145168588, 532316.54100027249660343 179633.26100014193798415, 532283.13800027081742883 179604.10000011819647625, 532219.29599977831821889 179540.29499981648405083, 532192.84300013666506857 179514.1380000353383366, 532010.74900012707803398 179238.09999999997671694, 531967.0009999378817156 179293.99999975942773744, 531989.99999985296744853 179502.000000026950147, 531954.16199981141835451 179496.96500019205268472, 531928.84000023896805942 179625.45600004043080844, 531866.99999984970781952 179716.00000007785274647, 531893.00000002200249583 179739.99999976687831804, 531861.63599975896067917 179779.24399976769927889, 531932.07199993124231696 179810.19599999228375964, 531878.03599983348976821 179913.24300011934246868, 531867.99999981361906976 180010.00000001798616722, 531867.99999981361906976 180016.99999976527760737, 531854.9999997274717316 180132.00000005739275366, 531907.00000007206108421 180261.99999980797292665, 531915.99999974714592099 180315.00000011647352949, 531956.14999979746062309 180340.94000002433313057, 532010.00000024191103876 180349)))</t>
  </si>
  <si>
    <t>E01003927</t>
  </si>
  <si>
    <t>Southwark 002A</t>
  </si>
  <si>
    <t>MultiPolygon (((532627.10100008244626224 180407.49999997494160198, 532625.60000013653188944 180360.60000011013471521, 532641.79999990621581674 180405.39999991573859006, 532788.75599992100615054 180387.60100002543185838, 532765.69099983188789338 180305.27299979983945377, 532695.56699996022507548 180202.67000006960006431, 532569.95199996768496931 180032.55799999088048935, 532509.95399983238894492 179898.49199980450794101, 532494.71599992201663554 179862.77399997052270919, 532448.62899978482164443 179765.1100000970182009, 532447.02500020829029381 179762.41099992458475754, 532377.08899989572819322 179678.94399978284491226, 532321.08599989698268473 179636.59399997341097333, 532316.54100017168093473 179633.26099999999860302, 532241.06800004246179014 179716.60800008839578368, 532178.36599984171334654 179721.99300018709618598, 532176.00000005774199963 179779.99999994013342075, 532206.99999984912574291 179769.9999998664134182, 532268.90299984766170382 179885.3369999676651787, 532235.94999982207082212 179930.96000016096513718, 532190.34799979103263468 179965.30099984185653739, 532146.20100007893051952 180037.89299984878743999, 532204.99999983434099704 180043.00000012991949916, 532157.99999992502853274 180183.99999985768226907, 532185.06699991342611611 180177.7050000102026388, 532169.8309998728800565 180245.69700015810667537, 532275.26900009822566062 180220.34299986020778306, 532325.94599987159017473 180153.1740000999707263, 532265.5170000473735854 180163.00000014004763216, 532263.9999998320126906 180085.00000000232830644, 532342.99999997718259692 180052.00000019624712877, 532382.99999983480665833 180148.00000002951128408, 532449.99999989150092006 180142.99999999266583472, 532462.33299993118271232 180171.98299978356226347, 532423.23600005963817239 180192.01800005580298603, 532507.71199984126724303 180211.38899985802709125, 532517.99699993233662099 180242.62000012362841517, 532485.68400019116234034 180370.1539999418600928, 532364.49300015438348055 180392.48500018558115698, 532384.05499997595325112 180315.31500019819941372, 532310.35399984754621983 180345.89200021678698249, 532295.18900021014269441 180349.51399994711391628, 532306.28099998238030821 180425.82399998934124596, 532329.56300014606676996 180507.52100000000791624, 532627.10100008244626224 180407.49999997494160198)))</t>
  </si>
  <si>
    <t>E01003929</t>
  </si>
  <si>
    <t>Southwark 002B</t>
  </si>
  <si>
    <t>MultiPolygon (((532295.18900013796519488 180349.51399988256162032, 532310.35399989085271955 180345.89200010252534412, 532384.05500012286938727 180315.31500001379754394, 532364.49300007498823106 180392.48500009812414646, 532485.68399999395478517 180370.15400003761169501, 532517.99699999997392297 180242.62000003879074939, 532507.71199990028981119 180211.38899992883671075, 532423.23599987768102437 180192.01800004954566248, 532462.33300013490952551 180171.9830001151713077, 532450.00000001769512892 180143.00000013751559891, 532383.00000006530899554 180147.99999991594813764, 532342.99999987159390002 180051.99999990031938069, 532264.0000000576255843 180085.00000001103035174, 532265.51699988020118326 180163.00000009394716471, 532325.94599999277852476 180153.17400005823583342, 532275.26899989030789584 180220.34299993622698821, 532169.83100014016963542 180245.69700008205836639, 532185.06699993670918047 180177.70499997629667632, 532157.99999992339871824 180184.00000006225309335, 532121.24499989172909409 180294.26800013933097944, 532010.99999986437615007 180293.99999996309634298, 532010.00000013341195881 180349.0000000539876055, 531956.14999999990686774 180340.94000003699329682, 531997.02700009848922491 180440.86499998683575541, 531995.90500006719958037 180550.17200009970110841, 532264.50000006356276572 180540.10000013074022718, 532329.56299989635590464 180507.5210001239029225, 532306.28099990542978048 180425.82399986675591208, 532295.18900013796519488 180349.51399988256162032)))</t>
  </si>
  <si>
    <t>E01003935</t>
  </si>
  <si>
    <t>Southwark 002D</t>
  </si>
  <si>
    <t>MultiPolygon (((532534.45399991795420647 179519.59300002700183541, 532630.91799996595364064 179442.06600002199411392, 532685.99999996495898813 179473.00000009298673831, 532709.9639999340288341 179439.27300003299023956, 532764.21300010301638395 179362.75300000899005681, 532718.12100009701680392 179303.82299994499771856, 532658.17999995197169483 179288.86499992699827999, 532633.87200000195298344 179258.38599996000993997, 532601.99999990698415786 179230.9999999679857865, 532555.70799998403526843 179282.05600009299814701, 532535.97599995601922274 179303.82000009098555893, 532446.99999992095399648 179224, 532380.00000010093208402 179300.00000006300979294, 532371.84499998798128217 179309.51399989600759, 532423.36999990395270288 179358.65899998199893162, 532328.48999989696312696 179436.11700003000441939, 532378.12300002796109766 179542.70699996201437898, 532369.00000002502929419 179547.00000010200892575, 532491.00100002903491259 179666, 532560.00000009895302355 179538.00000008000642993, 532534.45399991795420647 179519.59300002700183541)))</t>
  </si>
  <si>
    <t>E01003936</t>
  </si>
  <si>
    <t>Southwark 009A</t>
  </si>
  <si>
    <t>E02000815</t>
  </si>
  <si>
    <t>Southwark 009</t>
  </si>
  <si>
    <t>MultiPolygon (((532792.14900002419017255 179360.14900001345085911, 532795.99999996984843165 179318, 532764.213000099058263 179362.7530000131810084, 532709.96400005090981722 179439.27299996904912405, 532686.00000008940696716 179472.99999991155345924, 532653.19199991330970079 179519.0789998886466492, 532611.99999988183844835 179576.00000004423782229, 532596.74799995531793684 179608.2579999330046121, 532584.46300008241087198 179633.26299987643142231, 532640.82399998651817441 179675.55999996169703081, 532669.76600001938641071 179727.79700004594633356, 532621.99999991664662957 179737.99999995503458194, 532620.99900004256051034 179818.99999991041840985, 532676.71900003659538925 179820.99100000003818423, 532675.12999991094693542 179815.21700007250183262, 532732.10399997676722705 179740.04499990091426298, 532723.82000001356936991 179712.1780000296421349, 532755.18499999225605279 179688.33199999626958743, 532857.56100005307234824 179624.00699998519849032, 532868.87499994412064552 179616.56099987821653485, 532949.77199991745874286 179558.56299992036656477, 532893.02700008521787822 179518.77399997849715874, 532900.22400003054644912 179477.65000005476758815, 532792.14900002419017255 179360.14900001345085911)))</t>
  </si>
  <si>
    <t>E01003938</t>
  </si>
  <si>
    <t>Southwark 006A</t>
  </si>
  <si>
    <t>MultiPolygon (((532799.43400010140612721 179874.11200002729310654, 532738.41599999740719795 179765.14599990146234632, 532732.10399992193561047 179740.04500001342967153, 532675.13000008184462786 179815.21700008996413089, 532676.7189999558031559 179820.9909998562943656, 532620.99899994407314807 179818.99999985177419148, 532622.000000064028427 179738.0000001673179213, 532669.76600009866524488 179727.79699988625361584, 532640.8239998301723972 179675.55999992490978912, 532584.46300003689248115 179633.26300011470448226, 532596.74800012598279864 179608.25799986053607427, 532612.00000004656612873 179576.00000003783497959, 532653.19200007012113929 179519.07899984502000734, 532685.99999987101182342 179473.00000008693314157, 532630.91799981880467385 179442.0659999999916181, 532534.45400010317098349 179519.59300005552358925, 532560.00000010838266462 179537.99999981964356266, 532491.00100010656751692 179665.99999981396831572, 532368.99999985238537192 179546.99999991134973243, 532321.08599997020792216 179636.59399992076214403, 532377.08899981365539134 179678.94400013890117407, 532447.02500005264300853 179762.41099988223868422, 532448.6290001783054322 179765.11000013383454643, 532494.7159999692812562 179862.77399983629584312, 532509.95399983238894492 179898.4920001853024587, 532569.95199992845300585 180032.5580000048794318, 532695.56699982052668929 180202.67000000004190952, 532858.18800002976786345 180104.8910000151663553, 532793.25000017159618437 179967.23400008177850395, 532799.43400010140612721 179874.11200002729310654)))</t>
  </si>
  <si>
    <t>E01003939</t>
  </si>
  <si>
    <t>Southwark 002E</t>
  </si>
  <si>
    <t>MultiPolygon (((533008.94000002869870514 179341.01899993416736834, 533042.75799995195120573 179303.88000004910281859, 533039.04700000688899308 179262.12500004304456525, 532996.24300007568672299 179286.63400000717956573, 532949.04400000825989991 179257.30499998934101313, 532956.00100003147963434 179305.99999996658880264, 532925.74999995855614543 179306.42100004458916374, 532930.38099995255470276 179248.27700002572964877, 532898.14900004165247083 179228.8900000020803418, 532866.3340000236639753 179212.89999999999417923, 532835.56899993389379233 179262.14699993751128204, 532796.00000004726462066 179318.00000003431341611, 532792.14900001953355968 179360.14900003580260091, 532900.22399999434128404 179477.64999998183338903, 532893.0269999282900244 179518.77399995882296935, 532949.77199998847208917 179558.5629999999946449, 532967.35100001201499254 179546.7030000148806721, 533044.35099998558871448 179494.81199993961490691, 533029.94799999892711639 179460.00299992310465313, 533069.99999998044222593 179420.24599997981567867, 533008.94000002869870514 179341.01899993416736834)))</t>
  </si>
  <si>
    <t>E01003940</t>
  </si>
  <si>
    <t>Southwark 006B</t>
  </si>
  <si>
    <t>MultiPolygon (((532835.56899988034274429 179262.14700006789644249, 532866.33400008431635797 179212.8999999086081516, 532898.14900003466755152 179228.890000126499217, 532930.3809999005170539 179248.27699998431489803, 532925.75000004156026989 179306.42100003059022129, 532956.00099993334151804 179306.00000004342291504, 532949.04400006250943989 179257.30499988814699464, 532996.24299996509216726 179286.63400006739539094, 533039.0470000000204891 179262.1250000974687282, 533025.39999988686759025 179251.30900007608579472, 532987.54599998937919736 179235.39100001857150346, 532986.4080000784015283 179142.1650000273657497, 532926.99999998195562512 179116.99999988457420841, 532934.65899986098520458 179095.29299998117494397, 532941.50699996820185333 178983.55000004314933904, 532762.43399993237107992 178983.22999995882855728, 532667.27000010223127902 178978.80099990559392609, 532645.4039999624947086 179104.61300003263750114, 532502.00099995592609048 179102.34999994904501364, 532473.386000000173226 179191.84200012317160144, 532555.70800008822698146 179282.05600009861518629, 532601.99999991082586348 179230.9999999399879016, 532633.87200010602828115 179258.38600011993548833, 532658.18000007607042789 179288.86499985971022397, 532718.12099990632850677 179303.82299994712229818, 532764.21300010057166219 179362.7530000944097992, 532796.00000011431984603 179318.00000009391806088, 532835.56899988034274429 179262.14700006789644249)))</t>
  </si>
  <si>
    <t>E01003942</t>
  </si>
  <si>
    <t>Southwark 006D</t>
  </si>
  <si>
    <t>MultiPolygon (((532979.00000006274785846 179748.0000000357395038, 532994.5750000758562237 179710.35700004920363426, 533013.54699993063695729 179719.10499993528355844, 533102.82999994582496583 179723.6839999184012413, 533157.67200000421144068 179741.760000042791944, 533137.13799992529675364 179681.3860000352433417, 533215.00000000337604433 179688.00000007703783922, 533216.65499997942242771 179614.64199998835101724, 533266.00099994812626392 179613.99999997339909896, 533280.22800008556805551 179562.82399998602340929, 533282.75500000000465661 179554.35100001966929995, 533199.56300008180551231 179492.65699995085014962, 533169.60699992126319557 179435.17899996426422149, 533061.67100004747044295 179484.41000005719251931, 533044.35100006591528654 179494.81199999948148616, 532967.3510000417008996 179546.70299998426344246, 532993.36000000580679625 179599.66300007421523333, 533009.22499993746168911 179685.92499996448168531, 532941.37700001732446253 179681.57200005403137766, 532939.25800000003073364 179745.21100001726881601, 532979.00000006274785846 179748.0000000357395038)))</t>
  </si>
  <si>
    <t>E01032803</t>
  </si>
  <si>
    <t>Southwark 003J</t>
  </si>
  <si>
    <t>MultiPolygon (((533016.62499999150168151 178961.21899992949329317, 533112.13900014176033437 178856.21300004050135612, 533137.71499984187539667 178825.95500001532491297, 533213.43799999996554106 178736.33699983972474001, 533147.97899993811734021 178682.17600015463540331, 533036.00000001862645149 178784.99899989445111714, 533055.5299999990966171 178805.00699988642008975, 533018.99600010307040066 178825.26300006397650577, 532954.00000007811468095 178785.99999984100577421, 532892.99999989639036357 178724.99999998442945071, 532863.00100005976855755 178769.99999993192614056, 532823.00000005029141903 178742.99999996341648512, 532857.56400015053804964 178695.11799988395068794, 532766.49600005429238081 178651.04099995049182326, 532720.44100005691871047 178742.42599998498917557, 532645.04199986858293414 178710.70499988782103173, 532625.99999999103602022 178740.99999989347998053, 532606.93700001912657171 178782.1809999571996741, 532602.21100000734440982 178788.06800007718265988, 532610.33100008312612772 178817.95900003230781294, 532619.6180000618332997 178921.7249999689811375, 532571.98299993120599538 178920.08300011447863653, 532563.08900000003632158 178973.37200015410780907, 532667.26999999023973942 178978.80100012020557187, 532762.43399986810982227 178983.2300000513496343, 532941.50699999765492976 178983.55000004952307791, 533016.62499999150168151 178961.21899992949329317)))</t>
  </si>
  <si>
    <t>E01003960</t>
  </si>
  <si>
    <t>Southwark 012A</t>
  </si>
  <si>
    <t>MultiPolygon (((531862.13199999358039349 179615.88000004453351721, 531844.14500009990297258 179606.83100004473817535, 531775.59900007990654558 179608.06700009942869656, 531829.22400003881193697 179539.72000005541485734, 531827.29199996881652623 179478.16999997719540261, 531799.9999999440042302 179474.00000002834713086, 531835.51099987840279937 179428.25699992178124376, 531815.46100004448089749 179413.91199995612259954, 531837.0000001264270395 179387.99999994313111529, 531740.00000000861473382 179346.99999994281097315, 531737.41499992355238646 179341.0210000486113131, 531657.00100012170150876 179170, 531591.70799989171791822 179203.32400006815441884, 531453.0000000064028427 179304.00000003355671652, 531512.99999994179233909 179329.99999991664662957, 531499.33200002857483923 179411.40000005130423233, 531531.36299988662358373 179417.30799990179366432, 531565.76099989097565413 179361.64400003995979205, 531647.99999992980156094 179433.9999999825085979, 531680.00000007322523743 179417.99999991082586348, 531662.00000009255018085 179475.99999993728124537, 531602.39599997270852327 179451.07900006481213495, 531552.87200005538761616 179495.53100009786430746, 531572.36900002975016832 179573.02899990018340759, 531578.81500004988629371 179612.24699993041576818, 531652.00000001443549991 179636.86499993191682734, 531652.00000001443549991 179703.51199999998789281, 531810.00000002211891115 179690.00000006254413165, 531862.13199999358039349 179615.88000004453351721)))</t>
  </si>
  <si>
    <t>E01003930</t>
  </si>
  <si>
    <t>Southwark 034A</t>
  </si>
  <si>
    <t>MultiPolygon (((531928.83999987260904163 179625.45600000000558794, 531954.16199999931268394 179496.96500010680756532, 531990.00000005890615284 179501.99999992537777871, 531967.00099985720589757 179293.99999984636087902, 532010.74899990682024509 179238.1000001632492058, 532007.15300012566149235 179226.94499990195618011, 531993.0330000682733953 179179.5150000772846397, 531988.60899991740006953 179120.63799990277038887, 531988.9800001053372398 179115.83399985413416289, 531930.99999988044146448 179117.00000003230525181, 531907.99899986339733005 179046.99999988780473359, 531827.9999998378334567 179093.00000010640360415, 531782.95300016878172755 179044.89900002267677337, 531777.46100016846321523 178918.86700012045912445, 531748.25999988208059222 178904.15200000000186265, 531709.84700008295476437 178927.07399991768761538, 531746.45299992081709206 179090.73499987536342815, 531720.84800013701897115 179094.68900014302926138, 531735.00000012503005564 179133.99999997980194166, 531657.00100009317975491 179169.99999986862530932, 531737.414999850676395 179341.02100010655703954, 531740.00000010954681784 179347.00000004336470738, 531837.0000001706648618 179387.99999991676304489, 531815.46100005111657083 179413.91200002716504969, 531835.51100006129126996 179428.2570000477717258, 531799.99999992433004081 179474.000000011845259, 531827.29199992946814746 179478.17000017207465135, 531829.22400007059331983 179539.7200000541342888, 531775.59900005592498928 179608.06700008400366642, 531844.14499992504715919 179606.83099987718742341, 531865.45199982600752264 179576.7729999152070377, 531928.83999987260904163 179625.45600000000558794)))</t>
  </si>
  <si>
    <t>E01003932</t>
  </si>
  <si>
    <t>Southwark 034B</t>
  </si>
  <si>
    <t>MultiPolygon (((532379.99999993201345205 179299.99999994962126948, 532341.3189999571768567 179244.84399990949896164, 532226.87699989147949964 179237.92999989568488672, 532202.55899988021701574 179261.26899996865540743, 532110.42500009783543646 179285.27600001957034692, 532062.00000002351589501 179205.9999998890561983, 532089.69399998022709042 179193.495000047783833, 532104.84300009091384709 179182.81899999003508128, 532102.03399993048515171 179124.10000000751460902, 531988.60899996245279908 179120.63800000000628643, 531993.03299993195105344 179179.51499989849980921, 532007.15300009830389172 179226.9449999809730798, 532010.74900007050018758 179238.09999991630320437, 532192.8429999389918521 179514.13800004497170448, 532219.29600008041597903 179540.29500009890762158, 532283.13799993670545518 179604.09999997651902959, 532316.54099989007227123 179633.26100008553476073, 532321.08600005484186113 179636.59400000001187436, 532368.99999988649506122 179547.00000000998261385, 532378.12299998791422695 179542.70699997895280831, 532328.49000012816395611 179436.11699993783258833, 532423.37000003759749234 179358.6589999248390086, 532371.84500010288320482 179309.5140000210958533, 532379.99999993201345205 179299.99999994962126948)))</t>
  </si>
  <si>
    <t>E01003937</t>
  </si>
  <si>
    <t>Southwark 009B</t>
  </si>
  <si>
    <t>MultiPolygon (((532555.70800000010058284 179282.05600010740454309, 532473.38599995721597224 179191.84199992564390413, 532459.94600010826252401 179166.29199996197712608, 532432.80499994812998921 179186.51799997861962765, 532417.38299995264969766 179196.93400006523006596, 532363.87599998700898141 179135.83399989324971102, 532419.57500003115274012 179110.56900003136252053, 532394.18799998541362584 179078.4000000870146323, 532341.99899993429426104 179030.99999997380655259, 532321.5230000102892518 179052.0609999377920758, 532279.24999998416751623 179055.12499992232187651, 532102.03399993339553475 179124.0999998920597136, 532104.84299998288042843 179182.81899992324179038, 532089.69400002248585224 179193.49499997278326191, 532062 179206.00000005960464478, 532110.42499988165218383 179285.27599997096695006, 532202.55900011234916747 179261.26899993725237437, 532226.87699989858083427 179237.92999991078977473, 532341.31900010723620653 179244.84400004876079038, 532379.99999993166420609 179300.00000003937748261, 532447.00000004074536264 179224.00000005573383532, 532535.97600001166574657 179303.82000002620043233, 532555.70800000010058284 179282.05600010740454309)))</t>
  </si>
  <si>
    <t>E01003943</t>
  </si>
  <si>
    <t>Southwark 009C</t>
  </si>
  <si>
    <t>MultiPolygon (((532432.80499994428828359 179186.51800012300373055, 532459.94600016402546316 179166.29199993616202846, 532473.38599995477125049 179191.84200007456820458, 532502.00099995720665902 179102.35000007468624972, 532645.40400012384634465 179104.61299982146010734, 532667.27000000001862645 178978.80100008723093197, 532563.08900017000269145 178973.37199989534565248, 532489.28600017970893532 178969.52699984080391005, 532436.67800013488158584 178966.85100015709758736, 532391.43300014012493193 178966.23699987330473959, 532363.60400017711799592 178920.38300006918143481, 532385.05399983166716993 178847.04600000331993215, 532262.00400001916568726 178760.37299993209308013, 532136.90700006939005107 178711.33000002120388672, 532108.7050000037997961 178770.835999926290242, 532093.81400009209755808 178804.03400014966609888, 532042.9999999450519681 178852.9370001002389472, 531971.18800017994362861 178865.42200002016033977, 531947 179015.78100014891242608, 532008.25000010000076145 179058.98400012074853294, 531997.99299984669778496 179079.99800017676898278, 531988.9799998786766082 179115.83400007919408381, 531988.60899996594525874 179120.6380000238714274, 532102.0340000765863806 179124.10000010722433217, 532279.25000012491364032 179055.12500017823185772, 532321.5230000774608925 179052.06100004891050048, 532341.99899985908996314 179030.99999985442264006, 532394.18800011777784675 179078.40000015139230527, 532419.57499991403892636 179110.56899996427819133, 532363.87600005883723497 179135.83400006775627844, 532417.3830000621965155 179196.93399997876258567, 532432.80499994428828359 179186.51800012300373055)))</t>
  </si>
  <si>
    <t>E01032720</t>
  </si>
  <si>
    <t>Southwark 009F</t>
  </si>
  <si>
    <t>MultiPolygon (((531515.69300013815518469 179650.75400008243741468, 531543.36799994041211903 179574.44599994775489904, 531578.81500011496245861 179612.24699989359942265, 531572.36900004034396261 179573.02899992279708385, 531552.87200004479382187 179495.53099986084271222, 531602.39599991112481803 179451.07900013832841069, 531661.99999999068677425 179476.0000001250882633, 531680.00000000873114914 179417.99999991012737155, 531648.00000013317912817 179433.99999998885323294, 531565.76100007595960051 179361.64400009970995598, 531531.36299991956911981 179417.30800012391409837, 531499.33200013998430222 179411.39999988468480296, 531512.9999999973224476 179330.0000000408035703, 531453.00000012491364032 179303.99999998332350515, 531344.18800001940689981 179323.11900004843482748, 531348.21799995086621493 179259.37900000181980431, 531315.50899999612011015 179245.36100000000442378, 531283.15699999139178544 179272.65799987188074738, 531323.20300011860672385 179409.2119999724382069, 531357.91299986408557743 179516.62899988482240587, 531371.30500013916753232 179554.25699988409178331, 531380.44299993943423033 179577.49400005381903611, 531415.92800010542850941 179660.10399995400803164, 531477.62900008785072714 179740.10200008112587966, 531550.11900008050724864 179809.1339999999909196, 531509.00000011862721294 179731.00000000582076609, 531568.99999999103602022 179715.99999989676871337, 531547.40299997455440462 179690.64700011030072346, 531606.38399988156743348 179662.70499995214049704, 531515.69300013815518469 179650.75400008243741468)))</t>
  </si>
  <si>
    <t>E01032584</t>
  </si>
  <si>
    <t>Southwark 034E</t>
  </si>
  <si>
    <t>MultiPolygon (((531461.13299991493113339 178773.85000000000582077, 531497.1290000609587878 178724.69400008345837705, 531555.9130001055309549 178728.00800013044499792, 531537.04999996547121555 178710.98599991970695555, 531588.32700000063050538 178690.44000005663838238, 531583.62100007082335651 178738.39399998885346577, 531597.49499989452306181 178702.48300007267971523, 531621.47099992888979614 178584.31999998382525519, 531689.87400004570372403 178559.08700010037864558, 531739.60300012328661978 178533.13400003704009578, 531735.97399999760091305 178526.20099998611840419, 531666.38400007912423462 178406.84899996384046972, 531605.60300003038719296 178309.08099999243859202, 531602.542000004905276 178303.8570000346226152, 531563.55999994149897248 178237.33400000000256114, 531472.99999988102354109 178309.00000002584420145, 531487.00600007746834308 178342.65299992635846138, 531531.5469998843036592 178414.81499987345887348, 531526.79800007492303848 178442.37299989064922556, 531481.51700011303182691 178445.10799991816747934, 531542.99199997156392783 178505.91199987131403759, 531530.44799997343216091 178523.88800010574050248, 531526.85100007627625018 178524.08899992346414365, 531472.11400004115421325 178554.13699993677437305, 531451.28900005482137203 178609.70700007863342762, 531369.63599987677298486 178657.6519999549491331, 531426.41800012462772429 178640.17100011243019253, 531463.37700008205138147 178682.96500000741798431, 531405.89300003438256681 178713.51000000778003596, 531461.13299991493113339 178773.85000000000582077)))</t>
  </si>
  <si>
    <t>E01003108</t>
  </si>
  <si>
    <t>Lambeth 002B</t>
  </si>
  <si>
    <t>MultiPolygon (((531683.50000007904600352 178805.62400008947588503, 531735.76600002194754779 178707.29300005832919851, 531790.375 178658.56199998565716669, 531780.06200000096578151 178648.0530000597354956, 531742.48500010278075933 178538.64000010665040463, 531739.60299991944339126 178533.13400006279698573, 531689.87400007888209075 178559.08700010133907199, 531621.47100007196422666 178584.32000012876233086, 531597.49500006507150829 178702.4830000345245935, 531583.62100006593391299 178738.39400013440172188, 531588.32700012845452875 178690.43999998175422661, 531537.05000002658925951 178710.98600000940496102, 531555.91300005267839879 178728.00799995317356661, 531497.12899988424032927 178724.69399993075057864, 531461.13299988582730293 178773.8500000546046067, 531405.89300007314886898 178713.50999990713899024, 531463.37699988787062466 178682.96499990328447893, 531426.41799989913124591 178640.17100006301188841, 531369.63599996245466173 178657.6519999056472443, 531324.93300006526988 178634.53300006836070679, 531311.4269999290117994 178602.92500011131050996, 531235.89699999324511737 178605.63799986883532256, 531237.98400012357160449 178734.54899996062158607, 531239.73900009831413627 178826.43199987986008637, 531241.33400013262871653 178904.83299993319087662, 531239.76400001917500049 178995.30000010057119653, 531239.26399992615915835 179016.27899989709840156, 531232.58699996932409704 179078.8940001048904378, 531231.75499999988824129 179086.65499993719276972, 531526.95799987553618848 178930.9960000331629999, 531550.6400001315632835 178919.26600007328670472, 531581.48699988320004195 178903.98700010869652033, 531660.26999993389472365 178875.9949999219388701, 531683.50000007904600352 178805.62400008947588503)))</t>
  </si>
  <si>
    <t>E01003110</t>
  </si>
  <si>
    <t>Lambeth 002C</t>
  </si>
  <si>
    <t>MultiPolygon (((531079.73000022221822292 178022.19700008942163549, 531099.00099981797393411 177953.99999999927240424, 531146.96800003759562969 177979.95899976734654047, 531160.08399997267406434 177951.88099998710094951, 531180.98099999665282667 177915.98799998522736132, 531120.19799977401271462 177885.8320001601241529, 531104.67700003192294389 177923.66199979383964092, 531048.46199999307282269 177879.11500020514358766, 531112.99999995133839548 177776.99999978314735927, 531088.03900000418070704 177671.59899977708118968, 531111.09200010215863585 177655.95600010949419811, 531186.5200001714983955 177795.51100001929444261, 531161.00099983543623239 177813.00000006525078788, 531223.54100019903853536 177859.60800010076491162, 531272.8799998271279037 177851.31399996409891173, 531311.59500008018221706 177891.15900019556283951, 531336.30699982610531151 177865.3969999847759027, 531433.31300021021161228 178017.98399994237115607, 531584.12000010232441127 177913.76800001933588646, 531530.3380001449258998 177774.91399992746300995, 531550.21899983682669699 177765.89000019020750187, 531635.80300004291348159 177703.1150002310751006, 531606.50000018870923668 177671.87499980826396495, 531648.36599993926938623 177624.61299978027818725, 531720.98999980022199452 177517.82099987828405574, 531750.318000000086613 177470.34900013203150593, 531456.00399996852502227 177402.7319999105820898, 531452.95499993267003447 177404.64900001528440043, 531290.92699979362078011 177506.74599992614821531, 531235.44500022113788873 177659.04800006534787826, 531221.87499977985862643 177669.356999862997327, 531172.10899994405917823 177579.23500016893376596, 531061.83299998752772808 177406.11000012955628335, 531043.56999997631646693 177421.24200017037219368, 531021.00000016705598682 177438.9999999446736183, 531069.9999998485436663 177509.00000002485467121, 530997.31699997745454311 177623.16199989794404246, 530942.95300019881688058 177602.42699979050667025, 530925.19200002704747021 177693.53799998670001514, 530885.48700023232959211 177716.83899984118761495, 530820.6750001956243068 177710.83599986511399038, 530813.57200000004377216 177761.01099986603367142, 530834.07499997271224856 177814.01200002353289165, 530862.87000012933276594 177859.51100005247280933, 530970.31500004744157195 177883.81200014898786321, 530994.7869998476235196 178004.92200013555702753, 531079.73000022221822292 178022.19700008942163549)))</t>
  </si>
  <si>
    <t>E01003099</t>
  </si>
  <si>
    <t>Lambeth 005B</t>
  </si>
  <si>
    <t>MultiPolygon (((531228.21899985894560814 178060.41699996026000008, 531238.56299997866153717 177971.90600010377238505, 531311.59500000835396349 177891.15900010388577357, 531272.88000013842247427 177851.31399999506538734, 531223.54100011067930609 177859.60799996633431874, 531161.001000109128654 177812.99999995599500835, 531186.52000004902947694 177795.51100002901512198, 531111.09199991845525801 177655.95600000000558794, 531088.03900008893106133 177671.59900011529680341, 531112.99999985017348081 177777.00000002386514097, 531048.46200003358535469 177879.11499988290597685, 531104.67699986638035625 177923.6620000094990246, 531120.19799993943888694 177885.83200004449463449, 531180.98100006394088268 177915.98800003624637611, 531160.08400004520080984 177951.88100005697924644, 531146.96799991105217487 177979.95900013690697961, 531099.00100000889506191 177953.99999996574479155, 531079.72999998682644218 178022.19699989951914176, 530994.78700011491309851 178004.92200009597581811, 530970.31499987014103681 177883.8119998570473399, 530862.87000010593328625 177859.5110001421708148, 530781.78599999169819057 177988.01699991303030401, 530816.86099997046403587 178034.90300006404868327, 530797.88600006571505219 178094.43999989973963238, 530853.06900003377813846 178109.13099994632648304, 530873.31999988784082234 178113.57400004932424054, 531006.6529998651240021 178131.99999991411459632, 531127.29299991158768535 178152.0729998986935243, 531211.42300008586607873 178257.24800000002142042, 531225.25799993926193565 178105.09499996714293957, 531228.21899985894560814 178060.41699996026000008)))</t>
  </si>
  <si>
    <t>E01003101</t>
  </si>
  <si>
    <t>Lambeth 003A</t>
  </si>
  <si>
    <t>MultiPolygon (((530816.86099993158131838 178034.90299988473998383, 530781.78599994035903364 177988.01700012217042968, 530862.86999999999534339 177859.51099992037052289, 530834.07500006072223186 177814.01200008959858678, 530813.57199990923982114 177761.01099988108035177, 530725.06700012658257037 177732.88199992734007537, 530749.99999997136183083 177638.99999992884113453, 530590.13399998284876347 177574.11300002774805762, 530602.74400012637488544 177759.98100011560018174, 530526.59500007657334208 177760.95599992040661164, 530512.49699993804097176 177683.45100000195088796, 530461.69900004146620631 177670.56200011813780293, 530411.12199997180141509 177694.30599994480144233, 530426.89199996390379965 177810.7080000277783256, 530319.00000009511131793 177821.99999997939448804, 530310.84999999997671694 177828.14899988917750306, 530347.9799998770467937 177983.26699995493981987, 530364.43800005980301648 178043.75100001282407902, 530537.48500001954380423 178033.33400006298325025, 530752.35600007860921323 178082.88799998071044683, 530797.88599997258279473 178094.43999997226637788, 530816.86099993158131838 178034.90299988473998383)))</t>
  </si>
  <si>
    <t>E01003102</t>
  </si>
  <si>
    <t>Lambeth 004A</t>
  </si>
  <si>
    <t>E02000621</t>
  </si>
  <si>
    <t>Lambeth 004</t>
  </si>
  <si>
    <t>MultiPolygon (((531451.28899987309705466 178609.70700003008823842, 531472.11400014918763191 178554.13699997428921051, 531526.85100014449562877 178524.08900014610844664, 531530.44800010579638183 178523.8880000427889172, 531542.99199998041149229 178505.9119999450922478, 531481.51700007065664977 178445.10800007247598842, 531526.79800013871863484 178442.37300012802006677, 531531.54699999082367867 178414.81500015372876078, 531487.0060001015663147 178342.65299985173624009, 531472.99999990616925061 178309.00000014874967746, 531563.56000014138408005 178237.33400004013674334, 531451.81200012180488557 178047.10999984969384968, 531446.88299990037921816 178039.34899999998742715, 531411.76199986436404288 178071.2339999909454491, 531501.77800011681392789 178229.80100003999541514, 531461.00000001431908458 178201.86700011856737547, 531386.00000007182825357 178261.99999995392863639, 531359.00000000593718141 178241.00000014313263819, 531290.31399993225932121 178233.44099988354719244, 531263.57800009893253446 178309.23800012189894915, 531321.23699990718159825 178348.7680001367116347, 531318.81899989186786115 178391.19800012538325973, 531350.25300009094644338 178368.44699991610832512, 531363.91699989361222833 178399.60299995692912489, 531327.75400008959695697 178401.44699992792448029, 531335.20299991732463241 178436.97200007157516666, 531274.61700007983017713 178419.82000001589767635, 531271.99999986228067428 178369.99999990829383023, 531209.98399997595697641 178352.81899989617522806, 531127.79600012279115617 178363.99099994389689527, 531152.31200003798585385 178374.12200001956080087, 531098.79099985864013433 178394.38000005960930139, 531104.63899990485515445 178420.33800004833028652, 531154.99999998905695975 178420.00000007610651664, 531142.97900005406700075 178463.9999999888241291, 531139.01499985484406352 178520.04599999086349271, 531177.64499987778253853 178537.60899996245279908, 531208.82000006060115993 178509.54900009161792696, 531233.70500011462718248 178529.97199985195766203, 531234.99999988649506122 178585.0000001352163963, 531235.89699987228959799 178605.63799992454005405, 531311.42699987185187638 178602.92500012827804312, 531324.9330000716727227 178634.53300006609060802, 531369.63599998422432691 178657.65200000000186265, 531451.28899987309705466 178609.70700003008823842)))</t>
  </si>
  <si>
    <t>E01003106</t>
  </si>
  <si>
    <t>Lambeth 003C</t>
  </si>
  <si>
    <t>MultiPolygon (((531363.91699993121437728 178399.60300001860014163, 531350.25300007872283459 178368.44699988808133639, 531318.81899987533688545 178391.19800009127357043, 531321.23700014560017735 178348.76799994910834357, 531263.57800003618467599 178309.23799988316022791, 531290.31400003179442137 178233.44100014024297707, 531359.00000007194466889 178241.00000009473296814, 531386.00000007613562047 178261.99999993084929883, 531460.99999992072116584 178201.86699989583576098, 531501.77799999993294477 178229.80099997608340345, 531411.7620001130271703 178071.23399991664336994, 531446.88299994415137917 178039.34899989914265461, 531433.31299992150161415 178017.98400004202267155, 531336.30700013507157564 177865.39700005881604739, 531311.59500010509509593 177891.15900009567849338, 531238.56299996899906546 177971.90599999984260648, 531228.21900001494213939 178060.41700004751328379, 531225.25800010992679745 178105.09499998023966327, 531211.42299992369953543 178257.24800007694284432, 531127.2929999822517857 178152.07299994232016616, 531006.65300000039860606 178131.9999999996216502, 531010.3740000850521028 178177.78700005967402831, 530964.70000009250361472 178176.90099990315502509, 530910.67900013807229698 178190.80699996408657171, 530900 178275.00000004432513379, 530908.92600006272550672 178289.87600004568230361, 530958.16599987971130759 178301.83500004321103916, 531016.87799985927995294 178288.13399987042066641, 531021.84600010316353291 178240.79000003318651579, 531088.78199993132147938 178170.57599989770096727, 531109.75399993977043778 178183.87799989338964224, 531068.20700009074062109 178251.94499994977377355, 530999.99999999336432666 178394.00000001842272468, 531023.50399989285506308 178381.7779998664627783, 531127.79600003513041884 178363.99099988880334422, 531209.98400008655153215 178352.81900004460476339, 531271.99999989115167409 178369.99999994778772816, 531274.61700002197176218 178419.82000002069980837, 531335.20299988030456007 178436.97199994119000621, 531327.75400012999307364 178401.44700006043422036, 531363.91699993121437728 178399.60300001860014163)))</t>
  </si>
  <si>
    <t>E01003107</t>
  </si>
  <si>
    <t>Lambeth 003D</t>
  </si>
  <si>
    <t>MultiPolygon (((532074.00000008917413652 178444.99999989732168615, 532098 178403.00000005323090591, 532077.8200000167125836 178392.79399991652462631, 531993.6050000978866592 178339.77699994595604949, 531945.43700000643730164 178380.23699994466733187, 531888.23400009912438691 178268.33199990523280576, 531829.40799994219560176 178227.82899994670879096, 531881.83200010063592345 178326.79600005425163545, 531834.63900005153845996 178331.10899997770320624, 531774.94600010267458856 178359.7720000319823157, 531725.92000006046146154 178308.56100009981309995, 531699.43399989348836243 178395.02099992777220905, 531666.3840000000782311 178406.84900004402152263, 531735.97399993264116347 178526.20100003865081817, 531739.60300006892066449 178533.13399993727216497, 531742.48500002000946552 178538.6400000806315802, 531829.19699992856476456 178473.69300006909179501, 531848.99999995320104063 178457.99999995698453858, 531871.0219999864930287 178440.1470000168774277, 531933.48199990356806666 178520.1229999280476477, 531911.52700005355291069 178568.60900001329719089, 531934.66500001237727702 178592.6750000532483682, 531986.59599995904136449 178578.62700008985120803, 531978.99999990221112967 178542.00000007677590474, 532047.57300010300241411 178489.55999991321004927, 532057.20099994679912925 178473.56200008114683442, 532074.00000008917413652 178444.99999989732168615)))</t>
  </si>
  <si>
    <t>E01003995</t>
  </si>
  <si>
    <t>Southwark 014B</t>
  </si>
  <si>
    <t>E02000820</t>
  </si>
  <si>
    <t>Southwark 014</t>
  </si>
  <si>
    <t>MultiPolygon (((531699.43399990408215672 178395.02100012259325013, 531725.9200000885175541 178308.56100011029047891, 531774.94600011606235057 178359.77199988014763221, 531834.63899990171194077 178331.10899995631189086, 531881.83200006512925029 178326.79599992133444175, 531829.4079999023815617 178227.82899996670312248, 531826.67599989066366106 178220.24700003553880379, 531855.51600007165689021 178186.2839998958806973, 531827.83799994678702205 178151.00500002325861715, 531796.87799998431000859 178126.1970000890432857, 531716.67899997776839882 178143.64400011172983795, 531609.31099997437559068 177994.04899990791454911, 531575.79100006492808461 178011.06700008673942648, 531636.83600010513328016 177923.72600006053107791, 531622.39900007180403918 177898.75099999998928979, 531584.12000008660834283 177913.76799999753711745, 531433.31299993488937616 178017.98400008527096361, 531446.88300008664373308 178039.34899993077851832, 531451.81200009933672845 178047.10999999279738404, 531563.55999997234903276 178237.3339999227609951, 531602.5420000315643847 178303.85700011873268522, 531605.60300010349601507 178309.08100005186861381, 531666.38400004443246871 178406.84899999998742715, 531699.43399990408215672 178395.02100012259325013)))</t>
  </si>
  <si>
    <t>E01003998</t>
  </si>
  <si>
    <t>Southwark 014D</t>
  </si>
  <si>
    <t>MultiPolygon (((531453.00000015401747078 179303.99999994933023117, 531591.70800003444310278 179203.32399988113320433, 531657.00099993124604225 179170.00000010457006283, 531734.99999992444645613 179134.0000000128056854, 531720.84800002130214125 179094.68900004884926602, 531746.45300020242575556 179090.73499992306460626, 531709.84699987794738263 178927.07399993343278766, 531748.2599999934900552 178904.15200001656194218, 531777.46100011991802603 178918.86700011705397628, 531782.95300013734959066 179044.89899997296743095, 531828.00000002596061677 179092.99999986312468536, 531907.99899979843758047 179047.0000000620202627, 531930.99999983690213412 179117.00000005977926776, 531988.98000002710614353 179115.83399984013522044, 531997.99300001352094114 179079.99800000584218651, 532008.25 179058.98400018975371495, 531947.0000001034932211 179015.78100011308561079, 531971.18799980217590928 178865.42199988666106947, 531967.82299980067182332 178861.31099985889159143, 531942.34399992146063596 178829.86400017657433636, 531871.67100000462960452 178742.1649999734654557, 531790.37500003736931831 178658.56199996545910835, 531735.7659998630406335 178707.29300014581531286, 531683.49999981571454555 178805.6239998112723697, 531660.27000010921619833 178875.99499995287624188, 531581.48700013430789113 178903.98699982441030443, 531550.63999985728878528 178919.26600005698855966, 531526.95800001616589725 178930.99600011802976951, 531231.75500011013355106 179086.65499990183161572, 531195.29499999992549419 179191.12599991806200705, 531273.99899985338561237 179230.10900017997482792, 531283.15700011944863945 179272.65799990892992355, 531315.50900000566616654 179245.36100014459225349, 531348.21800013771280646 179259.37899986212141812, 531344.18800010078120977 179323.11900003452319652, 531453.00000015401747078 179303.99999994933023117)))</t>
  </si>
  <si>
    <t>E01003933</t>
  </si>
  <si>
    <t>Southwark 034C</t>
  </si>
  <si>
    <t>MultiPolygon (((532108.70500001613982022 178770.83599998822319321, 531964.23999992781318724 178690.88200006063561887, 531937.00000004225876182 178677.0000000107975211, 531910.55900000489782542 178709.61999991050106473, 531849.53500002052169293 178615.99000002926914021, 531787.73899991367943585 178541.0100000366801396, 531848.4790000943467021 178497.90499993838602677, 531829.19699991447851062 178473.69299999999930151, 531742.48499998380430043 178538.64000002204556949, 531780.06199995498172939 178648.05300007213372737, 531790.37499998020939529 178658.56199993964401074, 531871.67100000171922147 178742.16499996345373802, 531942.34399996546562761 178829.86400008678901941, 531967.82299995515495539 178861.31100000950391404, 531971.18800005200318992 178865.42199999999138527, 532043.00000007008202374 178852.93699997087242082, 532093.81400007731281221 178804.03399994468782097, 532108.70500001613982022 178770.83599998822319321)))</t>
  </si>
  <si>
    <t>E01032719</t>
  </si>
  <si>
    <t>Southwark 014G</t>
  </si>
  <si>
    <t>MultiPolygon (((530398.77200001745950431 177040.25999992861761712, 530428.66399998473934829 177036.24800001268158667, 530463.8260000804439187 177040.03700004381244071, 530470.41099999623838812 177039.40299999402486719, 530581.94299995037727058 177032.08800002030329779, 530620.46099994226824492 177021.72399996049352922, 530628.96799999999348074 176960.5050000645860564, 530565.90199998894240707 176981.86100008321227506, 530548.00000007066410035 176866.99999992788070813, 530545.99999993562232703 176746.00000006353366189, 530510.34099999081809074 176742.89899990925914608, 530471.11900008423253894 176744.6430000951513648, 530417.0850001007784158 176765.93399997393134981, 530419.00000010326039046 176736.99999989301431924, 530360.88199992454610765 176637.65899990254547447, 530308.16900009766686708 176636.83100007742177695, 530191.91000000003259629 176733.50500003731576726, 530195.35999992699362338 176742.09100007673259825, 530282.00000003294553608 176734.99999997651320882, 530287.74000009696464986 176774.58399994598585181, 530307.65000005997717381 176746.80099997512297705, 530332.50099993427284062 176778.64999990753130987, 530332.45600000559352338 176849.8300000449817162, 530342.13199996994808316 176860.98800009544356726, 530356.77599997783545405 176914.80299993033986539, 530371.20699998782947659 176972.95099998870864511, 530339.95600007486063987 177051.42299992259358987, 530398.77200001745950431 177040.25999992861761712)))</t>
  </si>
  <si>
    <t>E01003124</t>
  </si>
  <si>
    <t>Lambeth 006D</t>
  </si>
  <si>
    <t>E02000623</t>
  </si>
  <si>
    <t>Lambeth 006</t>
  </si>
  <si>
    <t>MultiPolygon (((530791.91100005898624659 176962.05900000667315908, 530731.38800009817350656 176870.19400006637442857, 530684.99300006998237222 176792.85700002702651545, 530659.56800012476742268 176748.79200009212945588, 530564.38999991386663169 176747.59900000729248859, 530546.00000003061722964 176746, 530548.00000012491364032 176867.00000002115848474, 530565.90199995588045567 176981.86099993975949474, 530628.96800002094823867 176960.50500003364868462, 530708.22599987557623535 176949.09100003281491809, 530741.60300006007310003 176995.59799996131914668, 530786.43300007318612188 177036.44799988545128144, 530740.94999988202471286 177094.82099989010021091, 530593.58300005574710667 177187.66900000756140798, 530691.95700004417449236 177250.72800000000279397, 530721.75499997416045517 177233.68900000234134495, 530802.77199987391941249 177187.63899998471606523, 530865.96599996916484088 177151.74600012029986829, 530898.19599996937904507 177133.45000002268352546, 530871.97599992295727134 177084.96100011462112889, 530791.91100005898624659 176962.05900000667315908)))</t>
  </si>
  <si>
    <t>E01003125</t>
  </si>
  <si>
    <t>Lambeth 006E</t>
  </si>
  <si>
    <t>MultiPolygon (((530471.11900002288166434 176744.64300003051175736, 530510.34100000245962292 176742.89899988935212605, 530545.99999999243300408 176745.99999989269417711, 530564.39000001910608262 176747.59900013511651196, 530659.56800005456898361 176748.79199990534107201, 530706.3390000001527369 176712.6000001251231879, 530641.65700011036824435 176575.00199991595582105, 530668.46900007675867528 176544.9640001438674517, 530582.23299986834172159 176528.43499996425816789, 530543.47899987478740513 176550.66799987491685897, 530495.99999995052348822 176495.00000010087387636, 530453.14299998385831714 176524.23800009087426588, 530369.99399997305590659 176550.3630000778939575, 530357.68399985996074975 176486.19599997889599763, 530306.26000005472451448 176465.21700003044679761, 530232.44499995617661625 176525.2089998678129632, 530226.92500012274831533 176527.26899990256060846, 530125 176616.0000001325388439, 530191.90999991935677826 176733.50499997896258719, 530308.16899990034289658 176636.83099989168113098, 530360.88200005411636084 176637.65899986671865918, 530419.00000014179386199 176736.99999987351475284, 530417.08500000578351319 176765.93399996956577525, 530471.11900002288166434 176744.64300003051175736)))</t>
  </si>
  <si>
    <t>E01003126</t>
  </si>
  <si>
    <t>Lambeth 008D</t>
  </si>
  <si>
    <t>E02000625</t>
  </si>
  <si>
    <t>Lambeth 008</t>
  </si>
  <si>
    <t>MultiPolygon (((530888.74599998537451029 176562.13499997471808456, 530894.02199988800566643 176446.00399985531112179, 530927.93800011870916933 176267.12499996874248609, 530900.95500014186836779 176256.64999997112317942, 530854.03799987095408142 176235.90999998996267095, 530757.87300006183795631 176165.25499997416045517, 530719.98500007251277566 176119.81500000000232831, 530643.17899999651126564 176258.90299999536364339, 530636.03499999677296728 176271.01899989147204906, 530604.27600003790576011 176324.88299992310930975, 530544.98000013548880816 176426.98399993320344947, 530504.90599994303192943 176486.09399990778183565, 530495.99999988137278706 176494.99999996941187419, 530543.47900004882831126 176550.66800006575067528, 530582.23299994098488241 176528.43499992787837982, 530668.46900008560623974 176544.96399990856298245, 530641.6569999085040763 176575.00200007649254985, 530706.33899986196774989 176712.6000000000349246, 530888.74599998537451029 176562.13499997471808456)))</t>
  </si>
  <si>
    <t>E01003127</t>
  </si>
  <si>
    <t>Lambeth 010E</t>
  </si>
  <si>
    <t>E02000627</t>
  </si>
  <si>
    <t>Lambeth 010</t>
  </si>
  <si>
    <t>MultiPolygon (((530504.90599999995902181 176486.09399990341626108, 530440.72499994514510036 176402.46300002816133201, 530427.75799995439592749 176379.52700003740028478, 530346.43699996219947934 176259.63600004697218537, 530328.89699995215050876 176234.06799992930609733, 530292.64500010292977095 176190.71699993469519541, 530234.9289999840548262 176216.2459999211714603, 530221.62200007250066847 176225.36600001686019823, 530138.00100004184059799 176238.04699998488649726, 530096.10600010363850743 176293.3340000316966325, 530134.00000006787013263 176338.96899996639695019, 530071.299000000115484 176407.43400010786717758, 530116.13699991628527641 176419.07899999828077853, 530136.91500009060837328 176491.17700002080528066, 530226.92500002379529178 176527.26899997104192153, 530232.44499989924952388 176525.2090001063188538, 530306.25999995553866029 176465.21700009642518125, 530357.68400000908877701 176486.19600009647547267, 530369.99399997422005981 176550.36300006532110274, 530453.14299992343876511 176524.2380001028359402, 530495.99999991827644408 176494.9999999851861503, 530504.90599999995902181 176486.09399990341626108)))</t>
  </si>
  <si>
    <t>E01003128</t>
  </si>
  <si>
    <t>Lambeth 008E</t>
  </si>
  <si>
    <t>MultiPolygon (((530740.95000002067536116 177094.82099993890733458, 530786.43299999996088445 177036.44799995471839793, 530741.60300005949102342 176995.59800003748387098, 530708.22599991946481168 176949.09100003057392314, 530628.96800004853866994 176960.50499995952122845, 530620.46099996019620448 177021.72399990618578158, 530581.9429999734275043 177032.08799995735171251, 530470.41100003151223063 177039.40300003759330139, 530463.82600001315586269 177040.03700000050594099, 530428.66399998450651765 177036.24800006981240585, 530416.51100000855512917 177125.07399991012061946, 530400.81299999984912574 177237.70300005946774036, 530433.79400002071633935 177334.11500002653338015, 530521.50700008706189692 177334.56599996943259612, 530547.80299995432142168 177331.00799991542589851, 530612.54100008343812078 177296.62699992902344093, 530662.943999930517748 177267.50800001856987365, 530691.95700003695674241 177250.72800003498559818, 530593.58300002291798592 177187.66899999039014801, 530740.95000002067536116 177094.82099993890733458)))</t>
  </si>
  <si>
    <t>E01003129</t>
  </si>
  <si>
    <t>Lambeth 004E</t>
  </si>
  <si>
    <t>MultiPolygon (((530614.24200005736202002 176228.89199999716947787, 530670.05999998096376657 176140.57299998367670923, 530644.26599988376256078 176100.6070000252511818, 530615.36999991943594068 176049.95499998386367224, 530650.4880000144476071 176022.49199997013784014, 530623.99999994435347617 175993, 530600.79799998644739389 176007.91500006406567991, 530566.51300010434351861 176033.23000002055778168, 530524.43599988997448236 176125.41799997520865873, 530459.50200008484534919 176211.24500005220761523, 530468.99999988824129105 176183.00000004496541806, 530423.4120000300463289 176150.17599996307399124, 530346.43700001901015639 176259.63599990331567824, 530427.75800012261606753 176379.52700006263330579, 530440.72500004200264812 176402.46299996913876384, 530504.90599994454532862 176486.09400000004097819, 530544.98000006284564734 176426.98399999650428072, 530604.27600005420390517 176324.88300000070012175, 530636.03499993577133864 176271.0189999430149328, 530643.17900004819966853 176258.90299989329650998, 530614.24200005736202002 176228.89199999716947787)))</t>
  </si>
  <si>
    <t>E01003093</t>
  </si>
  <si>
    <t>Lambeth 010B</t>
  </si>
  <si>
    <t>MultiPolygon (((530346.43700010352768004 176259.63599999999860302, 530423.41200001048855484 176150.17600001129903831, 530468.99999993818346411 176183.00000008253846318, 530459.50199993757996708 176211.24500002965214662, 530524.43600004143081605 176125.41799995239125565, 530566.51299996953457594 176033.23000001750187948, 530600.79800002952106297 176007.91500008496223018, 530538.19399994751438498 175944.10299998032860458, 530478.82799991348292679 176011.93499995023012161, 530453.38999992003664374 175992.32999994119745679, 530502.31300010450650007 175922.59800006594741717, 530474.31600001978222281 175908.92499999061692506, 530492.7629999698838219 175884.77300000601098873, 530417.00099997443612665 175830, 530348.07799996121320873 175974.6750000158790499, 530290.62599995126947761 175935.55399995448533446, 530211.30399997043423355 176014.93100000265985727, 530273.87199999275617301 176100.55800001072930172, 530239.00000008102506399 176130.00000000989530236, 530309.49599995848257095 176177.36300004142685793, 530292.64500000618863851 176190.71699989790795371, 530328.89699998707510531 176234.06800010130973533, 530346.43700010352768004 176259.63599999999860302)))</t>
  </si>
  <si>
    <t>E01003094</t>
  </si>
  <si>
    <t>Lambeth 010C</t>
  </si>
  <si>
    <t>MultiPolygon (((530768.40000013739336282 176030.7680001734115649, 530812.9919998460682109 175964.99100007125525735, 530755.99199999205302447 175895.99599984652013518, 530686.96299988531973213 175837.00000000026193447, 530634.09800009056925774 175805.81800007849233225, 530581.6879999905359 175775.78099987315363251, 530671.31299987656529993 175587.82799992564832792, 530607.81299984583165497 175568.6089998482784722, 530612.86600008001551032 175530.81799993047025055, 530572.49700010311789811 175522.4270001222321298, 530525.37199984933249652 175511.61999999999534339, 530517.15099982440005988 175558.83500002918299288, 530410.00900003884453326 175528.64799994908389635, 530402.7870000614784658 175551.75499988842057064, 530473.70500007038936019 175580.45999990581185557, 530343.8910001318436116 175754.78899988639750518, 530315.32100015110336244 175738.88499988050898537, 530301.14800013450440019 175768.69500017081736587, 530376.00000013131648302 175798.99999997302074917, 530360.93199981597717851 175822.67799997358815745, 530323.75000004714820534 175878.52899990530568175, 530291.44800001452676952 175852.62099982402287424, 530273.61600015393923968 175870.001999822066864, 530289.9400001079775393 175893.76100006885826588, 530314.01300007756799459 175917.75900010109762661, 530290.62599992379546165 175935.55400011214078404, 530348.07799987855833024 175974.6750001149775926, 530417.00100013357587159 175829.99999986743205227, 530492.76299989363178611 175884.77299998197122477, 530474.31599994876887649 175908.92500009486684576, 530502.31300013884902 175922.59800015535438433, 530453.38999999663792551 175992.33000001873006113, 530478.82800017145927995 176011.93500016233883798, 530538.19400000770110637 175944.10299983326694928, 530600.79799987492151558 176007.91499985757400282, 530624.00000003387685865 175993.00000013178214431, 530650.48800007917452604 176022.49200011970242485, 530615.37000006646849215 176049.95500009815441445, 530644.26600001403130591 176100.60700012679444626, 530670.05999983195215464 176140.57300009657046758, 530614.24199991743080318 176228.89200001204153523, 530643.17899992049206048 176258.90299999999115244, 530719.98499998939223588 176119.8149998247390613, 530768.40000013739336282 176030.7680001734115649)))</t>
  </si>
  <si>
    <t>E01003096</t>
  </si>
  <si>
    <t>Lambeth 010D</t>
  </si>
  <si>
    <t>MultiPolygon (((530211.98700002394616604 177432.76799993572058156, 530259.45999993698205799 177395.35200005531078205, 530274.54200003284495324 177422.13099997647805139, 530330.96599993191193789 177404.46300002120551653, 530341.99999998067505658 177370.00000009348150343, 530364.53200006613042206 177318.35799996243440546, 530384.14300010178703815 177271.48300006700446829, 530349.39999997662380338 177237.47899989498546347, 530355.30999992799479514 177231.52499990255455486, 530371.69999995175749063 177178.07600009304587729, 530373.23400003719143569 177153.12400008065742441, 530320.53799999284092337 177156.89400006976211444, 530320.59700003196485341 177117.49700002066674642, 530416.5110000615241006 177125.07399990109843202, 530428.66400001535657793 177036.24799999999231659, 530398.77199992898385972 177040.26000009820563719, 530339.95599995972588658 177051.42299994442146271, 530254.71100002503953874 177061.3399999946996104, 530240.00000006856862456 177063.05199991798144765, 530173.68799992918502539 177070.76599992078263313, 530187.18499999260529876 177132.64100001557380892, 530146.17299991485197097 177145.39000008039874956, 530088.81600004050415009 177163.21899996872525662, 530024.42199998477008194 177183.23700009257299826, 530025.3370001019211486 177186.62999998964369297, 530047.84800000372342765 177247.71099990545189939, 530229.00000006204936653 177254.99999996196129359, 530231.00099999539088458 177282.99999991501681507, 530065.00000007078051567 177299.99899990827543661, 530086.72799997846595943 177365.58099990701884963, 530111.00000007683411241 177490.9999999322462827, 530185.00000003597233444 177501.8839999999909196, 530211.98700002394616604 177432.76799993572058156)))</t>
  </si>
  <si>
    <t>E01003097</t>
  </si>
  <si>
    <t>Lambeth 006A</t>
  </si>
  <si>
    <t>MultiPolygon (((531020.9999999136198312 177439.0000000310537871, 531043.57000007515307516 177421.24199999906704761, 531019.32100004400126636 177398.82300006577861495, 530969.57900007639545947 177427.4400000139430631, 530957.78800004103686661 177351.48599996115081012, 530894.99999992945231497 177253.99999997427221388, 530915.38400006492156535 177242.1979999593750108, 530865.9660000647418201 177151.74600000004284084, 530802.77200001617893577 177187.63899997345288284, 530721.75500003609340638 177233.68900000851135701, 530691.9569999024970457 177250.72799989153281786, 530662.94400001922622323 177267.50799993073451333, 530715.00000008009374142 177351.99999996193218976, 530736.87599998514633626 177387.0020000251242891, 530712.99999995226971805 177364.00000005649053492, 530620.50499992480035871 177408.36000001826323569, 530634.0009999240282923 177434.00000004770117812, 530648.19800002418924123 177460.92499996704282239, 530664.00000007054768503 177490.00000004065805115, 530761.91299997561145574 177443.63899997330736369, 530777.67899992607999593 177468.74899990943958983, 530926.48000009008683264 177431.81599997714511119, 530830.6619999932590872 177488.594999905442819, 530862.17500009248033166 177528.46599995138240047, 530773.98300008254591376 177570.18700009872554801, 530804.57099990686401725 177600.0659999999916181, 530849.68700009130407125 177563.46899999232846312, 531020.9999999136198312 177439.0000000310537871)))</t>
  </si>
  <si>
    <t>E01003098</t>
  </si>
  <si>
    <t>Lambeth 005A</t>
  </si>
  <si>
    <t>MultiPolygon (((530471.65400012163445354 177541.69300005078548566, 530648.19799987901933491 177460.92499988115741871, 530634.00100009050220251 177434.00000007729977369, 530620.50500009732786566 177408.36000001430511475, 530712.99999990756623447 177364.0000000384170562, 530736.87599999713711441 177387.00200010341359302, 530714.99999998975545168 177352.00000006123445928, 530662.94400005252100527 177267.50800003355834633, 530612.54099992080591619 177296.62699993679416366, 530547.80300010519567877 177331.00800006330246106, 530521.50700005039107054 177334.56599996503791772, 530433.79399989708326757 177334.11500005115522072, 530400.81299998273607343 177237.70299992588115856, 530416.51099990867078304 177125.07399996003368869, 530320.59699991007801145 177117.49699999997392297, 530320.5380000761942938 177156.89399999839952216, 530373.2340000809635967 177153.12400000341585837, 530371.70000001892913133 177178.07599996804492548, 530355.30999994918238372 177231.52500010214862414, 530349.40000008279457688 177237.47899995377520099, 530384.14300007675774395 177271.48300010655657388, 530364.53199988137930632 177318.35800003362237476, 530396.81499997014179826 177385.12299991646432318, 530363.92499999608844519 177387.00100002760882489, 530349.74899999552872032 177464.14199996119714342, 530319.35400000284425914 177458.96200002686236985, 530329.39300001959782094 177538.11099987587658688, 530366.99999987753108144 177633, 530486.00000012398231775 177574.99999993832898326, 530471.65400012163445354 177541.69300005078548566)))</t>
  </si>
  <si>
    <t>E01003104</t>
  </si>
  <si>
    <t>Lambeth 004C</t>
  </si>
  <si>
    <t>MultiPolygon (((530376.00000008754432201 175799.00000003064633347, 530301.14800011646002531 175768.69500004567089491, 530315.3210001194383949 175738.88499989965930581, 530343.89100003137718886 175754.78900002498994581, 530473.70500000100582838 175580.45999991719145328, 530402.78700003330595791 175551.7550000932533294, 530410.00900000124238431 175528.6479998869181145, 530517.15100010100286454 175558.8350001142534893, 530525.37199999997392297 175511.6200000379467383, 530414.44700009666848928 175487.16299998393515125, 530350.51200001197867095 175481.45599989089532755, 530268.99200003338046372 175485.49600004273816012, 530251.05200002959463745 175487.95600002945866436, 530042.0000000799773261 175563.64800007297890261, 530040 175594.99900001584319398, 530116.99999992398079485 175601.35399988043354824, 530111.01099991239607334 175711.84500004156143405, 530060.95799990172963589 175699.89799999995739199, 530088.42299997701775283 175741.86599988999660127, 530124.99400007526855916 175751.62400012047146447, 530214.99999995960388333 175779.99999999898136593, 530232.43300002987962216 175817.77199996294802986, 530294.58000008878298104 175792.88799995905719697, 530360.93200008396524936 175822.67800010912469588, 530376.00000008754432201 175799.00000003064633347)))</t>
  </si>
  <si>
    <t>E01003088</t>
  </si>
  <si>
    <t>Lambeth 010A</t>
  </si>
  <si>
    <t>MultiPolygon (((530120.00000007473863661 176229, 530163.36299994308501482 176184.66600006056251004, 530221.62199985759798437 176225.36600007428205572, 530234.92899993655737489 176216.24599991703871638, 530292.64500009571202099 176190.71699991132481955, 530309.49599993124138564 176177.36300003252108581, 530239.00000006170012057 176130.00000008346978575, 530273.87199993373360485 176100.558000093937153, 530211.30400015681516379 176014.93099984794389457, 530290.62600009725429118 175935.55399991504964419, 530314.01300013985019177 175917.75899999254033901, 530289.93999989598523825 175893.7609998895204626, 530273.61600009619724005 175870.00199988039094023, 530291.44799991080071777 175852.62099993677111343, 530323.74999983655288815 175878.52900007748394273, 530360.93200005369726568 175822.67799987152102403, 530294.58000006934162229 175792.88800016004825011, 530232.43300010706298053 175817.7719999527616892, 530214.99999991059303284 175779.99999984767055139, 530124.99400011438410729 175751.62399988577817567, 530088.4229999576928094 175741.86600001659826376, 530060.95799995423294604 175699.89800010604085401, 530111.01100007467903197 175711.84500007101451047, 530117.00000009743962437 175601.35399984807008877, 530040.00000012537930161 175594.9990000031539239, 530041.99999999930150807 175563.64799999998649582, 529953.01999993389472365 175624.80899986304575577, 529924.61499993968755007 175711.47599984391126782, 529969.30699984158854932 175714.12700007527018897, 529967.58399997756350785 175794.63099983980646357, 529996.81399985740426928 175804.45199989381944761, 530002.52000005845911801 175842.81199983877013437, 529910.95199994638096541 175873.89600007250555791, 529986.7339998937677592 176002.89099997447920032, 530024.61599998362362385 175979.94699994311667979, 530085.00000011769589037 176076.99999992991797626, 530051.16100014490075409 176112.5939998711401131, 530066.00000015052501112 176137.99999991207732819, 530109.99900001543574035 176131.99999995745019987, 530120.00000007473863661 176229)))</t>
  </si>
  <si>
    <t>E01003090</t>
  </si>
  <si>
    <t>Lambeth 012D</t>
  </si>
  <si>
    <t>E02000629</t>
  </si>
  <si>
    <t>Lambeth 012</t>
  </si>
  <si>
    <t>MultiPolygon (((530923.03400009288452566 176097.71399990550708026, 530937.94100002583581954 176041.61599991130060516, 531005.23300005670171231 176063.85300007570185699, 531003.14400006469804794 176028.51000009846757166, 531066.4799998989328742 176054.78200010338332504, 531074.93399996345397085 176042.96700003862497397, 531127.98300007614307106 176058.71299990435363725, 531195.22800000000279397 176028.76299998670583591, 531178.75599991774652153 175945.00899993683560751, 531136.16800000879447907 175803.01000005690730177, 531036.58699991379398853 175800.11599996691802517, 531050.49000005924608558 175855.27000007758033462, 531027.41600002232007682 175877.12600006748107262, 531104.8109999424777925 175869.43799999702605419, 531038.28800011484418064 175945.10100009059533477, 530971.93199996440671384 175927.22399991992278956, 530952.34999994770623744 175919.62200006036437117, 530863.00000002840533853 175895.99999993393430486, 530812.99200003198347986 175964.99100010556867346, 530768.39999995531979948 176030.76800006558187306, 530719.98499999998603016 176119.81500001822132617, 530757.87299990491010249 176165.25499994191341102, 530854.03799988958053291 176235.91000003309454769, 530876.46899994951672852 176183.12899990353616886, 530923.03400009288452566 176097.71399990550708026)))</t>
  </si>
  <si>
    <t>E01003060</t>
  </si>
  <si>
    <t>Lambeth 011E</t>
  </si>
  <si>
    <t>MultiPolygon (((531069.55500000005122274 175558.86200001236284152, 531057.90200014866422862 175510.58300001535099, 530875.05000006884802133 175551.2429999643645715, 530700.31700008118059486 175472.90299988407059573, 530689.17399984237272292 175473.35400014271726832, 530641.72999984712805599 175447.88399987143930048, 530608.35299996612593532 175436.12199987546773627, 530567.22299998870585114 175455.10899995276122354, 530554.97800000116694719 175427.42199989312211983, 530432.00000011059455574 175433.99999991862569004, 530414.44700000004377216 175487.16300005617085844, 530525.37199993850663304 175511.61999994842335582, 530572.49700000649318099 175522.4269998797099106, 530612.86599999922327697 175530.81800015835324302, 530607.81300001021008939 175568.60900015136576258, 530671.31300005060620606 175587.82799984826124273, 530581.68800015922170132 175775.78100000787526369, 530634.0980001634452492 175805.81799988201237284, 530686.9629998606396839 175837.00000013897079043, 530755.99200005270540714 175895.99600002000806853, 530812.99199984653387219 175964.99100010687834583, 530862.99999985611066222 175896.00000010945950635, 530899.00000008789356798 175833.99999987398041412, 530871.84000002115499228 175818.48000002300250344, 530908.91600007540546358 175740.67300006971345283, 530799.74900014291051775 175671.37700013053836301, 530812.36100014846306294 175642.4730000433337409, 530821.0199998690513894 175594.5180000854015816, 530863.99999994446989149 175584.00000006565824151, 531069.55500000005122274 175558.86200001236284152)))</t>
  </si>
  <si>
    <t>E01003053</t>
  </si>
  <si>
    <t>Lambeth 015B</t>
  </si>
  <si>
    <t>E02000632</t>
  </si>
  <si>
    <t>Lambeth 015</t>
  </si>
  <si>
    <t>MultiPolygon (((530268.99199999996926636 175485.4959999697166495, 530268.22700002102646977 175446.48399987776065245, 530086.15399987890850753 175453.90199998556636274, 530043.99999986751936376 175456.9999999699939508, 530047.75799997372087091 175374.35800007835496217, 530006.1789998731110245 175386.4439999696041923, 530008.7309999413555488 175429.2610000359127298, 529961.15700006112456322 175459.8419999837060459, 529944.58200005942489952 175385.25900001294212416, 529939.30399995553307235 175348.86400000544381328, 529967.00000011536758393 175310.00000009377254173, 530018.18300003523472697 175333.51999994227662683, 530029.10099995718337595 175305.44099998701130971, 529933.51700011780485511 175259.10000009220675565, 529907.36099987616762519 175283.39600004060775973, 529881.25099989084992558 175244.14299991831649095, 529758.2699999111937359 175337.65400009119184688, 529720.20700000005308539 175452.34000009988085367, 529813.91000001376960427 175520.76800010350416414, 529837.24099995463620871 175538.11899993073893711, 529923.78799997200258076 175603.86899992765393108, 529934.55099996097851545 175615.70700003590900451, 529945.62499997660052031 175630.64100008166860789, 529953.01999995624646544 175624.8089998739596922, 530042.00000013061799109 175563.64799986462458037, 530251.05199993355199695 175487.95600007427856326, 530268.99199999996926636 175485.4959999697166495)))</t>
  </si>
  <si>
    <t>E01003054</t>
  </si>
  <si>
    <t>Lambeth 015C</t>
  </si>
  <si>
    <t>MultiPolygon (((529768.66399999998975545 175030.13799990370171145, 529745.7150000527035445 174958.47400005703093484, 529730.9999998303828761 174941.00100016457145102, 529684.24999988405033946 174977.98200004023965448, 529633.93600008822977543 174881.05399995105108246, 529552.72200007655192167 174958.73699987088912167, 529529.6529998432379216 174936.94999999069841579, 529459.73999995435588062 174965.41399999050190672, 529481.65699994191527367 174893.21799992903834209, 529430.88999990839511156 174834.20999994844896719, 529391.50000002852175385 174796.51899991402751766, 529340.02700011187698692 174865.09900001375353895, 529281.41499999887309968 174911.34199999296106398, 529136.51099999819416553 174863.52500001771841198, 529212.90400005492847413 175029.49100000786711462, 529074.47300000011455268 175218.31700014695525169, 529165.32899992156308144 175218.42299998880480416, 529391.28600003349129111 175226.8409998978022486, 529470.594000079552643 175312.2030000859813299, 529503.74999990907963365 175283.52600007329601794, 529571.96399995230603963 175211.38700003485428169, 529716.33500010333955288 175076.60400006428244524, 529727.42800012393854558 175067.43600001692539081, 529746.38299992040265352 175049.89999986157636158, 529768.66399999998975545 175030.13799990370171145)))</t>
  </si>
  <si>
    <t>E01003032</t>
  </si>
  <si>
    <t>Lambeth 017B</t>
  </si>
  <si>
    <t>E02000634</t>
  </si>
  <si>
    <t>Lambeth 017</t>
  </si>
  <si>
    <t>MultiPolygon (((529787.38399998482782394 175766.97400006090174429, 529945.62500004924368113 175630.64100010294350795, 529934.55099992384202778 175615.70699995607719757, 529923.78800005977973342 175603.86899988530785777, 529837.24099991424009204 175538.11899991540121846, 529813.91000001400243491 175520.76799995865439996, 529720.20699992112349719 175452.34000001515960321, 529758.2700001037446782 175337.65400000000954606, 529649.33500010415446013 175358.19000001196400262, 529622.99999999371357262 175396.99999987962655723, 529575.99999986810144037 175370.99999993678648025, 529531.00000013352837414 175451.9999999460123945, 529520.15699995087925345 175480.39599994983291253, 529593.35399998223874718 175511.0979998929251451, 529577.99999998859129846 175549.00000010730582289, 529530.77899999392684549 175529.59400003086193465, 529524.30899995856452733 175574.80900013144128025, 529587.80700011632870883 175606.34400012224796228, 529605.71000008040573448 175639.23700010450556874, 529523.71499991253949702 175632.24099998292513192, 529567.69699999538715929 175709.87199993451940827, 529582.71099991980008781 175695.47300007546436973, 529557.63399987597949803 175754.29199999666889198, 529585.12500011338852346 175766.93699992372421548, 529632.5949999128933996 175745.35599992593051866, 529689.44500007713213563 175638.87800003070151433, 529717.53200010489672422 175643.06200000352691859, 529680.53600006992928684 175725.42899993521859869, 529587.1880000215023756 175831.26299995719455183, 529619.00000002328306437 175845.99999987069168128, 529653.42200003890320659 175878.56399999998393469, 529728.92700002423953265 175816.027999893121887, 529787.38399998482782394 175766.97400006090174429)))</t>
  </si>
  <si>
    <t>E01003035</t>
  </si>
  <si>
    <t>Lambeth 012B</t>
  </si>
  <si>
    <t>MultiPolygon (((529388.59200004790909588 175795.42100000003119931, 529434.81099994131363928 175703.0270000611199066, 529447.48799998965114355 175678.71400013825041242, 529486.42600002360995859 175605.43800007173558697, 529511.00000008731149137 175501.99899998019100167, 529417.02599988947622478 175434.94399992085527629, 529428.07799989334307611 175410.8460001272324007, 529450.80499993218109012 175365.92399999510962516, 529408.11599994695279747 175366.85000013990793377, 529440.99599988933186978 175307.93099990391056053, 529470.5940000107511878 175312.20299991074716672, 529391.28599995945114642 175226.84100009492249228, 529165.329000064288266 175218.42300000000977889, 529221.78299993195105344 175405.69499992471537553, 529190.00000012724194676 175432.99999989668140188, 529146.99999995110556483 175453.99999991562799551, 529144.20199990051332861 175449.90299994021188468, 529083.21700004872400314 175481.79100011000991799, 528983.74599991273134947 175665.98300000114249997, 529035.16699999652337283 175721.52699987860978581, 529068.82600003411062062 175702.41899995857966132, 529130.35800004831980914 175717.46900006351643242, 529118.64100004045758396 175744.76699989574262872, 529153.05400000407826155 175772.66199994063936174, 529202.79000004089903086 175756.26299986062804237, 529232.10400001564994454 175762.36399986274773255, 529271.51399999263230711 175757.40400013467296958, 529388.59200004790909588 175795.42100000003119931)))</t>
  </si>
  <si>
    <t>E01003039</t>
  </si>
  <si>
    <t>Lambeth 013C</t>
  </si>
  <si>
    <t>E02000630</t>
  </si>
  <si>
    <t>Lambeth 013</t>
  </si>
  <si>
    <t>MultiPolygon (((529524.30899999500252306 175574.80900013889186084, 529530.77900000521913171 175529.59399997757282108, 529577.99999988591298461 175548.99999988352647051, 529593.35399998829234391 175511.09800004804856144, 529520.15700001595541835 175480.39599988333065994, 529530.99999990698415786 175451.99999996449332684, 529575.99999991187360138 175371.00000013233511709, 529622.99999989091884345 175397.00000008937786333, 529649.33499992021825165 175358.18999989796429873, 529758.26999993762001395 175337.65399992419406772, 529881.2509998835157603 175244.1429999845859129, 529865.18999988108407706 175224.093000009219395, 529849.99000001954846084 175193.22599992327741347, 529865.18300003092736006 175178.77000001198030077, 529746.38299986452329904 175049.89999999999417923, 529727.42800011660438031 175067.43600001273443922, 529716.33499993418809026 175076.60400013174512424, 529571.96400001854635775 175211.38700007522129454, 529503.74999996612314135 175283.525999870384112, 529470.59399994404520839 175312.20300009084166959, 529440.99600006674882025 175307.93099990117480047, 529408.11600011656992137 175366.85000006837071851, 529450.80499994056299329 175365.92399988710531034, 529428.07799999648705125 175410.84599996142787859, 529417.02599998912774026 175434.94399991017417051, 529510.99999987194314599 175501.99900009430712089, 529486.42600008973386139 175605.43800001341151074, 529523.71499986597336829 175632.24099992110859603, 529605.71000004466623068 175639.23699999999371357, 529587.80700013926252723 175606.34399986491189338, 529524.30899999500252306 175574.80900013889186084)))</t>
  </si>
  <si>
    <t>E01003041</t>
  </si>
  <si>
    <t>Lambeth 017C</t>
  </si>
  <si>
    <t>MultiPolygon (((530196.22800021327566355 177828.76499980333028361, 530228.00000005296897143 177826.99900007335236296, 530310.84999996307305992 177828.14899971766863018, 530319.00000000337604433 177822.00000021344749257, 530426.89199995168019086 177810.7079998393310234, 530411.12199988297652453 177694.30600021313875914, 530461.69899983203504235 177670.56199979857774451, 530512.49699986341875046 177683.45100028134766035, 530526.59499994711950421 177760.95600026278407313, 530602.74399994616396725 177759.98100013751536608, 530590.13399990438483655 177574.11300015257438645, 530750.00000004761386663 177638.99999984362511896, 530725.06700007617473602 177732.88200013292953372, 530813.57200001983437687 177761.01100009513902478, 530820.6750000073807314 177710.83600022259633988, 530885.48699982196558267 177716.83900009837816469, 530925.19199974415823817 177693.53800002383650281, 530942.95299974945373833 177602.42700023332145065, 530997.31700000853743404 177623.16199997166404501, 531070 177509.00000007951166481, 531021.00000011560041457 177439.00000016207923181, 530849.68700012331828475 177563.46900028106756508, 530804.57100024272222072 177600.06600005968357436, 530773.98300023761112243 177570.18700028720195405, 530862.17500012752134353 177528.46600008476525545, 530830.66200010711327195 177488.59499991271877661, 530926.47999992326367646 177431.81599982304032892, 530777.67900017416104674 177468.74900022585643455, 530761.91300022962968796 177443.6389998069498688, 530664.00000013259705156 177489.99999982968438417, 530648.19800022442359477 177460.92500021026353352, 530471.65400009241420776 177541.69299981018411927, 530485.99999979813583195 177574.99999985314207152, 530366.9999999962747097 177632.99999991670483723, 530329.3929997265804559 177538.11100024014012888, 530319.35399974323809147 177458.96199998885276727, 530349.74899995874147862 177464.14199984297738411, 530363.92499986768234521 177387.00100020089303143, 530396.8150000898167491 177385.12299987787264399, 530364.53200010675936937 177318.35799986377242021, 530341.99999981955625117 177370.0000001362641342, 530330.96600024437066168 177404.46299972123233601, 530274.5420000699814409 177422.13100015703821555, 530259.460000014398247 177395.35200027943938039, 530211.98700008448213339 177432.76799995542387478, 530185.0000000954605639 177501.88400012112106197, 530111.00000003434251994 177490.99999972127261572, 530086.72799995879177004 177365.58099982078419998, 530064.99999982456211001 177299.99900004340452142, 530231.00099990318994969 177282.99999975218088366, 530228.99999994458630681 177254.99999990069773048, 530047.84799983177799731 177247.71100019669393077, 530063.68800005468074232 177290.70299990559578873, 529915.06300000008195639 177346.98399982292903587, 529954.9990000263787806 177454.70100025218562223, 530119.50000026763882488 177542.24999993920209818, 530196.22800021327566355 177828.76499980333028361)))</t>
  </si>
  <si>
    <t>E01033207</t>
  </si>
  <si>
    <t>Lambeth 004F</t>
  </si>
  <si>
    <t>MultiPolygon (((529005.99999992700759321 176891.99999990899232216, 528818.94200009398628026 176758.08800003447686322, 528796.09800005552824587 176784.53900001497822814, 528806.95000003650784492 176749.82500003997120075, 528695.36500006052665412 176674.68699990198365413, 528691.47099990595597774 176659.02200006149359979, 528657.02100002847146243 176636.05799991198000498, 528620.50100007001310587 176692.83399992747581564, 528571.17899991595186293 176687.29400010048993863, 528553.04099993547424674 176677.35900005899020471, 528531 176720.00000005998299457, 528578.65499988745432347 176778.25299988099141046, 528565.47199998749420047 176820.26499991546734236, 528596.99999992502853274 176838.00000008149072528, 528666.62300011655315757 176906.76000011447467841, 528646.44799997552763671 176966.51400010546785779, 528707.00000004447065294 177065.08800006349338219, 528725.90199993294663727 177065.78999990597367287, 528756.99999992095399648 177067.00000008798087947, 528889.99999988102354109 177062.00000002697925083, 528941.99999997753184289 177047.99999995398684405, 529020 176944.00000000547152013, 529005.99999992700759321 176891.99999990899232216)))</t>
  </si>
  <si>
    <t>E01033100</t>
  </si>
  <si>
    <t>Wandsworth 002G</t>
  </si>
  <si>
    <t>E02000924</t>
  </si>
  <si>
    <t>Wandsworth 002</t>
  </si>
  <si>
    <t>E09000032</t>
  </si>
  <si>
    <t>Wandsworth</t>
  </si>
  <si>
    <t>MultiPolygon (((529349.98800010397098958 177616.04900018399348482, 529292.98299985600169748 177538.42599984796834178, 529340.00000004004687071 177531.00000006397021934, 529325.0000000880099833 177455.9999999119900167, 529377 177445.99999994397512637, 529222.9999999440042302 177297.00099986398709007, 529198.15599995199590921 177292.58699989598244429, 529141.16999994404613972 177267.16099985598702915, 529199.6110000719781965 177187.73099986396846361, 529116.94700008002109826 177140.9769999279815238, 529171.69199998397380114 177053.45399999996880069, 529087.99999998405110091 176995.99999981597648002, 529065.11799997603520751 177073.69399997597793117, 529018.32599995203781873 177056.22900014396873303, 528997.00000004004687071 177085.99999991999357007, 528941.9999998239800334 177048.00000011999509297, 528889.9999999119900167 177061.99999983998714015, 528973.62200007995124906 177159.51800016796914861, 528991.66799996804911643 177176.10199999198084697, 528857.7950000079581514 177308.79299999997601844, 528782.36500015994533896 177501.55000007199123502, 528704.37500001594889909 177499.79699998398427851, 528623.87899992801249027 177388.85100006399443373, 528593 177475.53100007199100219, 528662.56300013605505228 177521.42199985598563217, 528652.93799991195555776 177574.81300000796909444, 528661.2500000559957698 177583.87500003198510967, 528718.84299991198349744 177583.14599998397170566, 528718.38400005595758557 177703.75900018398533575, 529349.98800010397098958 177616.04900018399348482)))</t>
  </si>
  <si>
    <t>E01033132</t>
  </si>
  <si>
    <t>Wandsworth 002H</t>
  </si>
  <si>
    <t>MultiPolygon (((528718.38400001625996083 177703.75900014388025738, 528718.84300016274210066 177583.14599992646253668, 528661.24999993131496012 177583.87500005637411959, 528652.93800019170157611 177574.81300012019346468, 528662.56300016772001982 177521.42200012283865362, 528592.9999999423744157 177475.53099990842747502, 528623.87900011637248099 177388.85099994944175705, 528704.3750001018634066 177499.79700005758786574, 528782.36499999521765858 177501.54999994370155036, 528857.79500006150919944 177308.79300004380638711, 528991.66799999994691461 177176.1019999262643978, 528973.62199993850663304 177159.51800013735191897, 528890.00000007660128176 177061.99999984659370966, 528756.99999985191971064 177066.99999999286956154, 528725.90199985622894019 177065.79000008318689652, 528707.00000013504177332 177065.08800003890064545, 528666.47199990879744291 177098.00000011417432688, 528639.0000000661239028 177077.99999996551196091, 528584.00000020291190594 177105.00000005707261153, 528526.094999854802154 177047.66700021395809017, 528515.93199991818983108 177040.7360000534390565, 528118.6840000000083819 177373.45600000361446291, 528149.3059997953241691 177508.71199996399809606, 528370.00000013993121684 177611.99999978803680278, 528585.91900017904117703 177650.02599993470357731, 528579.18999978632200509 177695.36400014095124789, 528709.26699990557972342 177703.97199994654511102, 528718.38400001625996083 177703.75900014388025738)))</t>
  </si>
  <si>
    <t>E01033098</t>
  </si>
  <si>
    <t>Wandsworth 002F</t>
  </si>
  <si>
    <t>MultiPolygon (((528174.90500008803792298 176762.86699993791989982, 528198.52599972288589925 176707.87600027601001784, 528319.89600008109118789 176741.49899989581899717, 528329.34099988848902285 176712.60800020286114886, 528316.04499981470871717 176675.59299993710010312, 528358.41899971826933324 176612.657999885850586, 528329.60299969825427979 176584.24300004585529678, 528332.62600021017715335 176540.41900021128822118, 528288.51100024045445025 176534.09799998308881186, 528271.9379997052019462 176484.82300000003306195, 528215.7710000149672851 176579.53899993235245347, 528198.47100000304635614 176572.2260000919632148, 528186.38300000375602394 176567.11600026409723796, 528140.02500011515803635 176650.95599989898619242, 528108.40100013860501349 176643.69199973193462938, 527983.31899988418444991 176606.57100025934050791, 527925.03199971455615014 176590.00999981700442731, 527909.0660001477226615 176644.66100027566426434, 527852.88499994541052729 176623.18599990932852961, 527731.91700027941260487 176552.5499998374725692, 527691.75000001583248377 176525.62499983474845067, 527589.9680002392269671 176871.38799974991707131, 527551.02399986365344375 177002.25300010107457638, 527489.83099978545214981 177219.35600009659538046, 527462.56400016054976732 177316.09499985794536769, 527431.99300016765482724 177413.09799984804703854, 528579.19000007607974112 177695.36400000000139698, 528585.91899983235634863 177650.02600014230119996, 528369.99999972549267113 177612.00000021807500161, 528149.30600006482563913 177508.7120002786105033, 528118.68399997951928526 177373.45599971601041034, 528515.93199984368402511 177040.73599983198801056, 528217.04400008835364133 176900.5450000906130299, 528244.50200008286628872 176832.64400011615362018, 528210.88200018357019871 176818.40400019666412845, 528222.45700014429166913 176782.74400023586349562, 528174.90500008803792298 176762.86699993791989982)))</t>
  </si>
  <si>
    <t>E01004560</t>
  </si>
  <si>
    <t>Wandsworth 001A</t>
  </si>
  <si>
    <t>E02000923</t>
  </si>
  <si>
    <t>Wandsworth 001</t>
  </si>
  <si>
    <t>MultiPolygon (((530196.22799979452975094 177828.76499969133874401, 530119.50000015343539417 177542.24999973783269525, 529954.99899992253631353 177454.70099996312637813, 529915.06300029577687383 177346.98399975776555948, 529864.25899992207996547 177260.66699982335558161, 529829.79700009571388364 177158.51600030594272539, 529690.3470001561800018 176843.21899963900796138, 529689.81300020276103169 176836.98399972240440547, 529685.9999998138519004 176791.71899971735547297, 529639.76200013724155724 176757.82299985026475042, 529630.03700001235119998 176675.89600019346107729, 529639.73600037430878729 176668.37499979787389748, 529662.68699998816009611 176636.47999969526426867, 529639.99199964769650251 176573.04099977237638086, 529590.0039998113643378 176514.580999727913877, 529521.30700032133609056 176524.84500026662135497, 529493.13100015500094742 176552.71399986857431941, 529388.12500008684583008 176419.75000020625884645, 529323.79099978122394532 176400.64199987435131334, 529293.31300030276179314 176346.90700000000651926, 529246.37799974787048995 176365.40599966340232641, 529220.10199964162893593 176401.01199989422457293, 529248.13700028986204416 176416.40800031536491588, 529168.21900020563043654 176517.71700030626379885, 529249.68200016370974481 176648.95199986733496189, 529302.79199975356459618 176678.18299967213533819, 529308.75999969348777086 176672.96000023235683329, 529355.36000035575125366 176772.265000337298261, 529452.94300038495566696 176762.75800001074094325, 529470.88600023603066802 176788.03300034342100844, 529415.43199963355436921 176824.00000022971653379, 529507.20399963087402284 176788.65499973265104927, 529507.99999987438786775 176823.00000023876782507, 529428.45199980994220823 176923.81500009016599506, 529259.7000000283587724 177118.78800033056177199, 529236.4580002399161458 177145.62000024909502827, 529274.8910001456970349 177232.07500035405973904, 529223.00000012770760804 177297.00100038188975304, 529377.00000028405338526 177446.00000002703745849, 529324.99999998009297997 177455.99999993669916876, 529339.99999984458554536 177531.00000003291643225, 529292.98300009674858302 177538.42600019334349781, 529349.98800004215445369 177616.04900021714274772, 529435.50000014249235392 177620.90000007193884812, 529439.6000000280328095 177588.69999974378151819, 529466.79999962751753628 177591.00000026467023417, 529478.39999983226880431 177630.29999967748881318, 529804.69999974744860083 177734.50000012895907275, 529891.20000012672971934 177822.60000002945889719, 530048.34399989561643451 177894.55799999996088445, 530064.24900028971023858 177859.04700000429875217, 530144.55799969646614045 177846.31400009844219312, 530196.22799979452975094 177828.76499969133874401)))</t>
  </si>
  <si>
    <t>E01004562</t>
  </si>
  <si>
    <t>Wandsworth 002B</t>
  </si>
  <si>
    <t>MultiPolygon (((528456.92100016050972044 176787.88799994596047327, 528469.00000007427297533 176766.00000012668897398, 528565.47199992404785007 176820.26499987181159668, 528578.65499994449783117 176778.25300000474089757, 528531.00000001327134669 176719.99999997456325218, 528553.04099984560161829 176677.35900001815753058, 528571.17899990093428642 176687.29399995337007567, 528620.50099999725352973 176692.83400005707517266, 528657.02100001729559153 176636.05799992757965811, 528691.47099991771392524 176659.02200013314723037, 528627.90000000479631126 176483.20000010149669833, 528511.31699990842025727 176348.92699998375610448, 528390.69100014527793974 176274.40000009702634998, 528110.3130000822711736 176198.0470000000204891, 528356.5629999270895496 176379.14100009779212996, 528322.62499997345730662 176426.23299997046706267, 528281.1250000533182174 176399.26599988259840757, 528247.77999999653548002 176465.81299992915592156, 528271.93800014595035464 176484.82299992410116829, 528288.51099993754178286 176534.09800014478969388, 528332.62599993962794542 176540.41899996990105137, 528329.60299993038643152 176584.24299986509140581, 528358.41899997578002512 176612.65800007418147288, 528316.04499999794643372 176675.59300012863241136, 528329.34099992492701858 176712.60800005821511149, 528319.89599992614239454 176741.49900002166396007, 528305.86799994949251413 176785.40700004392419942, 528403.64099993952549994 176829.96000013378215954, 528425.99999986216425896 176842, 528456.92100016050972044 176787.88799994596047327)))</t>
  </si>
  <si>
    <t>E01004563</t>
  </si>
  <si>
    <t>Wandsworth 002C</t>
  </si>
  <si>
    <t>MultiPolygon (((528997.00000005203764886 177086, 529018.32600000314414501 177056.2290000866050832, 529065.11800004704855382 177073.69399979300214909, 529087.9999999045394361 176996.00000014039687812, 529183.48800019209738821 176836.63200016890186816, 529138.00000005029141903 176792.00000008943607099, 529203.00000008870847523 176696.99999976213439368, 529265.61500005109701306 176725.50300013369997032, 529302.79199975333176553 176678.18300000904127955, 529249.682000178610906 176648.95199996087467298, 529168.21899980329908431 176517.71699987520696595, 529248.1370001167524606 176416.4079999812238384, 529220.1019998969277367 176401.01200015380163677, 529246.37799978745169938 176365.40599996244418435, 529162.63500009302515537 176295.76999979806714691, 529181.87500017695128918 176272.3120002186333295, 529101.62500012165401131 176201.9540000181295909, 529088.91100019554141909 176222.65199983882484958, 529071.00000002607703209 176251.81200011356850155, 528899.99899979901965708 176138.00300005727331154, 528811.99999986519105732 176079.01099999999860302, 528818.0300000385614112 176124.62799996414105408, 528868.74899989669211209 176157.03899977807304822, 528751.80599983560387045 176185.14900003516231664, 528731.99999993399251252 176189.99999986501643434, 528733.48699994699563831 176196.07000015891389921, 528685.14700002095196396 176204.65700017148628831, 528701.0000001557637006 176268.99999980328720994, 528642.00000007438939065 176284.00000019947765395, 528647.53600014362018555 176308.24499994795769453, 528654.12500005064066499 176337.09899992984719574, 528624.02700009581167251 176342.67300023938878439, 528599.95699993066955358 176246.23200016355258413, 528508.91199975379277021 176262.0089998175681103, 528500.66799983091186732 176304.86699996306560934, 528434.69999989599455148 176253.09999996740953065, 528393.44100010104011744 176243.86799983607488684, 528390.69100024667568505 176274.39999996605911292, 528511.31700014183297753 176348.92700008084648289, 528627.90000012493692338 176483.1999998819665052, 528691.47100019932258874 176659.02200022619217634, 528695.36499997705686837 176674.68700004613492638, 528806.94999987608753145 176749.82499979957356118, 528796.09800014912616462 176784.53900007181800902, 528818.941999766160734 176758.08800009443075396, 529005.99999998765997589 176891.99999987750197761, 529019.99999988754279912 176944.00000000896397978, 528941.99999994202516973 177047.99999976836261339, 528997.00000005203764886 177086)))</t>
  </si>
  <si>
    <t>E01004564</t>
  </si>
  <si>
    <t>Wandsworth 002D</t>
  </si>
  <si>
    <t>MultiPolygon (((528584.00000007380731404 177104.99999996341648512, 528639.00000001490116119 177077.99999995366670191, 528666.47199994930997491 177097.99999998058774509, 528707 177065.08799990901025012, 528646.44800004339776933 176966.51400000779540278, 528666.62299999676179141 176906.7599999497178942, 528597.00000011792872101 176837.9999998965067789, 528565.47199989308137447 176820.2650000496651046, 528469.00000005192123353 176765.99999995916732587, 528456.92100005073007196 176787.88799995076260529, 528425.99999996740370989 176842.00000011472729966, 528403.64100012369453907 176829.96000001655193046, 528305.86800007265992463 176785.40700006217230111, 528319.8959999413928017 176741.49900007975520566, 528198.52599988458678126 176707.87600003657280467, 528174.90500000002793968 176762.86700012278743088, 528222.45699991250876337 176782.74400000533205457, 528210.88200002931989729 176818.40399991555023007, 528244.50200012081768364 176832.64400000069872476, 528217.04399987193755805 176900.54499998645042069, 528515.9319999439176172 177040.735999931988772, 528526.09500007738824934 177047.66699996360694058, 528584.00000007380731404 177104.99999996341648512)))</t>
  </si>
  <si>
    <t>E01004566</t>
  </si>
  <si>
    <t>Wandsworth 001B</t>
  </si>
  <si>
    <t>MultiPolygon (((529428.45199997024610639 176923.81500000902451575, 529507.99999988242052495 176823.00000014173565432, 529507.20400001655798405 176788.65500009537208825, 529415.43200012168381363 176823.99999994653626345, 529470.88600011845119298 176788.03300002147443593, 529452.94300010486040264 176762.75800001746392809, 529355.3599999985890463 176772.26500005906564184, 529308.76000010874122381 176672.96000000002095476, 529302.79199991829227656 176678.18300007533980533, 529265.61500009521842003 176725.5030000617261976, 529203.000000134925358 176697.00000008751521818, 529138.00000003015156835 176791.99999995258986019, 529183.48800004471559078 176836.63200011919252574, 529088.00000011757947505 176996.00000007011112757, 529171.69200014194939286 177053.45399998850189149, 529116.94699995894916356 177140.97699988060048781, 529199.61100008292123675 177187.73099998434190638, 529141.17000006977468729 177267.16099998378194869, 529198.15600012824870646 177292.58700012462213635, 529222.99999997520353645 177297.00099999998928979, 529274.89100012800190598 177232.07499992512748577, 529236.45799984864424914 177145.62000002549029887, 529259.70000001892913133 177118.78799994129803963, 529428.45199997024610639 176923.81500000902451575)))</t>
  </si>
  <si>
    <t>E01004567</t>
  </si>
  <si>
    <t>Wandsworth 002E</t>
  </si>
  <si>
    <t>MultiPolygon (((528140.02500006218906492 176650.95600001508137211, 528186.38300005660858005 176567.11599987224326469, 528198.47100000886712223 176572.22600000569946133, 528215.77099995035678148 176579.53900007074116729, 528271.93799997039604932 176484.82299993769265711, 528247.78000000969041139 176465.81300010794075206, 528281.12500005040783435 176399.2659999139723368, 528322.62499990861397237 176426.23299991793464869, 528356.56300000008195639 176379.14100009528920054, 528110.31299987330567092 176198.04699990281369537, 528102.78900010394863784 176194.47699998493772, 528075.54499990493059158 176248.78300005101482384, 527998.10000007972121239 176211.71499991675955243, 527927.60999998543411493 176330.54400002036709338, 527940.51199998066294938 176370.98200005802209489, 527873.36400008050259203 176457.91700001913704909, 527834 176546.99999989481875673, 527925.03199996147304773 176590.00999988807598129, 527983.31899992539547384 176606.57100011856527999, 528108.40100012207403779 176643.69199989867047407, 528140.02500006218906492 176650.95600001508137211)))</t>
  </si>
  <si>
    <t>E01004539</t>
  </si>
  <si>
    <t>Wandsworth 003A</t>
  </si>
  <si>
    <t>E02000925</t>
  </si>
  <si>
    <t>Wandsworth 003</t>
  </si>
  <si>
    <t>MultiPolygon (((527940.51199989730957896 176370.98199995115282945, 527927.61000001977663487 176330.54400006131618284, 527998.10000000009313226 176211.71500008349539712, 527855.00000010663643479 176206.00000009674113244, 527720.00099993753246963 176213.0749999662511982, 527586.00000010919757187 176219.00000007468042895, 527571.79400003189221025 176261.61799997897469439, 527544.17299998586531729 176259.54599991472787224, 527552.28799995849840343 176282.06499987340066582, 527485.79000003123655915 176262.72100005304673687, 527452.05699999933131039 176339.67099996787146665, 527366.12799985485617071 176284.59899994311854243, 527342.67299999995157123 176321.46700005885213614, 527513.65600000065751374 176396.41199995137867518, 527501.37100009364075959 176449.10800008845399134, 527657.70199996768496931 176503.20700005203252658, 527688.93400002375710756 176515.46400011767400429, 527691.74999985424801707 176525.62500002086744644, 527731.91700001468416303 176552.54999984157620929, 527852.88500009861309081 176623.18600011864327826, 527909.06599997624289244 176644.66099990322254598, 527925.03200015239417553 176590.00999997567851096, 527834.00000006670597941 176546.99999999720603228, 527873.36399990553036332 176457.91699992318172008, 527940.51199989730957896 176370.98199995115282945)))</t>
  </si>
  <si>
    <t>E01004540</t>
  </si>
  <si>
    <t>Wandsworth 003B</t>
  </si>
  <si>
    <t>MultiPolygon (((530222.08199990575667471 173602.27199994504917413, 530200.23600010282825679 173505.42999990211683325, 530245.77700005541555583 173520.55700010972213931, 530248.75399996398482472 173475.22800003751763143, 530285.03599997400306165 173467.97299991032923572, 530294.1009999675443396 173511.61099999182624742, 530356.90200008009560406 173382.54600009406567551, 530329.02099996013566852 173312.74700010221567936, 530332.01899987843353301 173266.34199994022492319, 530344.95100013050250709 173194.93299991829553619, 530301.99999994493555278 173118.99999998701969162, 530270.99999997869599611 173114.99900000001071021, 530280.99999988079071045 173184.99999988041236065, 530141.11299989104736596 173214.58300000912277028, 530107.94300008355639875 173254.6930000668799039, 529998.84699998854193836 173261.95200002903584391, 529912.30499987176153809 173210.90999996929895133, 529902.69499991997145116 173226.38799991653650068, 530019.8839999414049089 173404.92200000234879553, 530047.71200002392288297 173452.59200007244362496, 530094.52999992878176272 173593.01600008094101213, 530136.41700006858445704 173654.24200000002747402, 530196.36600003554485738 173618.79900008504046127, 530222.08199990575667471 173602.27199994504917413)))</t>
  </si>
  <si>
    <t>E01003136</t>
  </si>
  <si>
    <t>Lambeth 022A</t>
  </si>
  <si>
    <t>MultiPolygon (((529402.17900006368290633 174565.1499999999650754, 529528.25200009869877249 174453.36199990488239564, 529555.13300006359349936 174483.33700014851638116, 529578.00000011816155165 174461.99999998888233677, 529586.31499997887294739 174411.07900015512132086, 529558.62800001562573016 174377.5170001225778833, 529650.89399987598881125 174321.11300000478513539, 529656.93699985335115343 174329.82100012936280109, 529758.99999985657632351 174460.99999995020334609, 529879.25800012762192637 174514.18899996261461638, 529880.35499987076036632 174502.44800002759438939, 529817.85299996926914901 174473.26999989431351423, 529846.87299992970656604 174384.57799991450156085, 529778.87100013124290854 174309.10500013141427189, 529714.65599987679161131 174213.31700002364232205, 529649.56200004171114415 174112.6539998851949349, 529634.4260000322246924 174089.03900012746453285, 529575.70400011271703988 173983.83799993727006949, 529555.18799986992962658 173933.73399999999674037, 529469.77299999538809061 173967.92600008216686547, 529476.56300014432054013 173997.66999993927311152, 529525.16200015600770712 173992.32300003178534098, 529537.43299994734115899 174085.41700000254786573, 529455.14399988297373056 174143.83099993286305107, 529479.70799989334773272 174230.04800010111648589, 529461.9639998689526692 174195.38299997919239104, 529413.6510000501293689 174214.98799984707147814, 529405.2330001387745142 174182.5479998427326791, 529321.03200012934394181 174233.73500008333940059, 529354.49599997873883694 174270.72099986439570785, 529329.62199996900744736 174404.10399985380354337, 529436.91799993079621345 174322.33600007352652028, 529453.35900011076591909 174348.26200007094303146, 529356.52300003566779196 174432.74699994744150899, 529372.25299991155043244 174458.31700002704747021, 529402.17900006368290633 174565.1499999999650754)))</t>
  </si>
  <si>
    <t>E01003028</t>
  </si>
  <si>
    <t>Lambeth 019C</t>
  </si>
  <si>
    <t>E02000636</t>
  </si>
  <si>
    <t>Lambeth 019</t>
  </si>
  <si>
    <t>MultiPolygon (((529102.43900012003723532 174257.88700006957515143, 529151.42199997766874731 174162.25900005982839502, 529188.99999999708961695 174162.78299985514604487, 529179.69499988516326994 174078.86700000002747402, 529075.55200000165496022 174103.72799996304092929, 529043.83200002741068602 174116.94300008070422336, 528839.39200007705949247 174202.10600005710148253, 528799.50399990158621222 174218.73300011915853247, 528817.99500013585202396 174290.86100012855604291, 528759.89300006802659482 174640.77799987551406957, 528989.61300001898780465 174688.3809999999939464, 529032.36699993570800871 174669.98699995700735599, 528989.99999996193218976 174593.00000005317269824, 528957.99999992270022631 174538.9999999486899469, 529076.40099997585639358 174511.84099994113785215, 529212.07799993187654763 174430.33900009217904881, 529202.98999990848824382 174399.24199991996283643, 529169.00000004866160452 174345.99999995910911821, 529147.95199990016408265 174312.08700000285170972, 529122.2250000077765435 174291.83099990786286071, 529102.43900012003723532 174257.88700006957515143)))</t>
  </si>
  <si>
    <t>E01003030</t>
  </si>
  <si>
    <t>Lambeth 019D</t>
  </si>
  <si>
    <t>MultiPolygon (((529264.99999990011565387 174343.99999988803756423, 529354.49599996022880077 174270.72099991343566217, 529321.03200009849388152 174233.73500002518994734, 529405.23300006613135338 174182.54799994686618447, 529413.65099990624003112 174214.98800002638017759, 529461.96399997489061207 174195.38299991338863038, 529479.70800010685343295 174230.04799992224434391, 529455.14399996248539537 174143.83100005920277908, 529537.43300001986790448 174085.41699989020708017, 529525.16199993703048676 173992.32299994127242826, 529476.5629999089287594 173997.6700000264972914, 529469.77299991040490568 173967.92600000000675209, 529441.49100005754735321 173979.60199988598469645, 529396.06199992459733039 173998.36200000089593232, 529357.12699990451801568 174013.43900003042654134, 529281.95200009003747255 174042.82600008032750338, 529257.78100008040200919 174052.42099996213801205, 529179.69500003464054316 174078.86700000285054557, 529188.99999993946403265 174162.7830000742978882, 529151.42200004449114203 174162.25899989463505335, 529102.43899998010601848 174257.88700001029064879, 529122.22500000393483788 174291.83100009415647946, 529147.95200001052580774 174312.0869999424321577, 529171.55100010125897825 174307.68200010462896898, 529289.6500000684754923 174439.65400000000954606, 529314.0000000981381163 174423.99999997069244273, 529264.99999990011565387 174343.99999988803756423)))</t>
  </si>
  <si>
    <t>E01003031</t>
  </si>
  <si>
    <t>Lambeth 023A</t>
  </si>
  <si>
    <t>E02000640</t>
  </si>
  <si>
    <t>Lambeth 023</t>
  </si>
  <si>
    <t>MultiPolygon (((530472.77499990665819496 174046.44000000003143214, 530471.9069999058265239 174016.27799995374516584, 530413.49899985687807202 174019.05899998752283864, 530421.2410000100499019 173984.1020000105490908, 530466.84100000641774386 173978.05300009975326248, 530498.2049999488517642 173922.41300013684667647, 530415.09399995242711157 173867.58000005941721611, 530356.52800013381056488 173758.10599998847465031, 530389.59400005673523992 173707.18399988289456815, 530443.00000003876630217 173704.99999988105264492, 530443.00000003876630217 173689.51400005660252646, 530445.00000008230563253 173584.99999990605283529, 530448.76400012744124979 173515.65400007829884999, 530444.81199991458561271 173459.8129999999946449, 530433.74899989482946694 173466.24000005779089406, 530222.08199995814356953 173602.27200000433367677, 530196.36599989456590265 173618.79899994487641379, 530136.41699993854854256 173654.24199985939776525, 530231.75000009185168892 173715.35899998401873745, 530150.11400006525218487 173829.45999998552724719, 530147.97799993783701211 173831.34500001851120032, 530119.06200003926642239 173927.29200006762403063, 530108.06400005100294948 173965.44599986917455681, 530144.54999989306088537 173979.16100005878251977, 530183.05700014531612396 173978.06999996359809302, 530256.51399986131582409 173989.92600001543178223, 530253.58599990070797503 174027.76399998433771543, 530286.99999986588954926 174032.99999998873681761, 530324.86799993959721178 174038.0490000243880786, 530325.04100005503278226 174008.59699991586967371, 530353.93499997444450855 174004.96899995472631417, 530347.00000000011641532 174040.99999986973125488, 530472.77499990665819496 174046.44000000003143214)))</t>
  </si>
  <si>
    <t>E01003023</t>
  </si>
  <si>
    <t>Lambeth 021C</t>
  </si>
  <si>
    <t>MultiPolygon (((529846.05000002437736839 174118.58799993572756648, 529863.24400009377859533 174021.86500005633570254, 529815.03300010587554425 173981.89799993485212326, 529839.85699986317194998 173945.93899996392428875, 529869.07500009622890502 173954.27499998841085471, 529887.47699999995529652 173913.43499993201112375, 529861.99899988272227347 173877.99999994738027453, 529879.05699996894691139 173782.88600011565722525, 529780.45300007541663945 173817.57799996298854239, 529734.64700008800718933 173841.25099992117611691, 529730.41600014280993491 173844.92399988422403112, 529626.00000006658956409 173928.00000007936614566, 529597.04999986838083714 173914.25899998308159411, 529597.09399998153094202 173832.42200010141823441, 529544.65000008267816156 173757.99900013743899763, 529523.99999994726385921 173757.99999997633858584, 529481.58299987309146672 173757.28600006422493607, 529464.2980000606039539 173829.21800005523255095, 529431.84499987831804901 173826.66100005648331717, 529380.8839998731855303 173892.01400013716192916, 529344.73899990820791572 173901.38299995823763311, 529311.36700000008568168 173919.72699998781899922, 529357.1269999083597213 174013.4390001276624389, 529396.06200007209554315 173998.36200007720617577, 529441.4910000127274543 173979.60199994634604082, 529469.77300008980091661 173967.92599989243899472, 529555.18799997167661786 173933.73399986495496705, 529575.70400008966680616 173983.83799995022127405, 529634.42599999532103539 174089.03900002301088534, 529649.56200004694983363 174112.65400010696612298, 529766.0009998717578128 174059.00000011976226233, 529846.05000002437736839 174118.58799993572756648)))</t>
  </si>
  <si>
    <t>E01003160</t>
  </si>
  <si>
    <t>Lambeth 022D</t>
  </si>
  <si>
    <t>MultiPolygon (((529380.8839999184710905 173892.0140001381514594, 529431.8449999283766374 173826.66100010965601541, 529464.29800003138370812 173829.2179999663203489, 529481.58300010184757411 173757.28599988968926482, 529439.2539999820291996 173754.81300008183461614, 529290.13699991547036916 173749.99999998704879545, 529306.01500000280793756 173600.76299996994202957, 529325.99999993364326656 173552.99999999051215127, 529269.90000011632218957 173522.45000000001164153, 529213.78199993097223341 173610.85099987161811441, 529218.25999998999759555 173640.75000004016328603, 529099.75000010593794286 173654.01099987834459171, 529048.96500007912982255 173771.91699992795474827, 529009.12899989797733724 173779.97299999988172203, 529027.07799991720821708 173826.03500010352581739, 529076.24999992072116584 173878.59500012869830243, 529078.24200004513841122 173880.6879999541270081, 529179.69500007061287761 174078.86700000002747402, 529257.78099998808465898 174052.42099993067677133, 529281.95200012612622231 174042.82599995785858482, 529357.12699990172404796 174013.43899996764957905, 529311.36700013268273324 173919.72700010926928371, 529344.73899997479747981 173901.38299993990221992, 529380.8839999184710905 173892.0140001381514594)))</t>
  </si>
  <si>
    <t>E01003161</t>
  </si>
  <si>
    <t>Lambeth 023E</t>
  </si>
  <si>
    <t>MultiPolygon (((530119.06200006790459156 173927.29200000248965807, 530147.97799987648613751 173831.34499996015802026, 530150.11400002299342304 173829.45999996582395397, 530231.75 173715.35899997394881211, 530136.41700002492871135 173654.24199999179109, 530094.5300000486895442 173593.01599999028258026, 530047.71200009062886238 173452.59199995256494731, 530019.88400011300109327 173404.92199999748845585, 529949.03100006724707782 173438.25499997555743903, 529965.83000006759539247 173488.53200009712600149, 530018.48000008403323591 173561.95500000423635356, 529957.48299998126458377 173585.76000001194188371, 529961.43300005572382361 173609.79300000381772406, 529911.41700003191363066 173617.45700005209073424, 529954.87399998574983329 173732.49599989230046049, 529898.70500013278797269 173741.1279998921090737, 529838.47399990889243782 173685.24799987752339803, 529781.99999998474959284 173769.99999999382998794, 529698.31999999983236194 173759.52199986710911617, 529734.64699987543281168 173841.25099989728187211, 529780.45299990847706795 173817.57800007693003863, 529879.05700011143926531 173782.88599995805998333, 529861.99900010915007442 173877.99999997983104549, 529887.4770000932039693 173913.43500007639522664, 529939.66200011037290096 173925.48400009522447363, 529944.0000000970903784 173893.00000010384246707, 529986.99999990139622241 173884.00000008277129382, 529995.50999992596916854 173900.39700003378675319, 530119.06200006790459156 173927.29200000248965807)))</t>
  </si>
  <si>
    <t>E01003162</t>
  </si>
  <si>
    <t>Lambeth 022E</t>
  </si>
  <si>
    <t>MultiPolygon (((529734.6469999123364687 173841.25099990426679142, 529698.31999991741031408 173759.52199983183527365, 529781.99999998521525413 173770.00000001650187187, 529838.47399988397955894 173685.24800002831034362, 529898.70500002917833626 173741.12799992164946161, 529954.87399996991734952 173732.49600013374583796, 529911.41699992120265961 173617.45700001550721936, 529961.43300007423385978 173609.79299999054637738, 529957.48299998242873698 173585.76000000676140189, 530018.47999991104006767 173561.95499985740752891, 529965.83000006945803761 173488.53199991633300669, 529949.0309999278979376 173438.25499992864206433, 530019.88399982324335724 173404.92199982679449022, 529902.69499989785254002 173226.38800007008831017, 529860.86999996460508555 173212.38999997635255568, 529824.01899994257837534 173190.40500000002793968, 529760.93599984957836568 173302.79800012771738693, 529699.57300011871848255 173343.32299993734341115, 529613.00000014761462808 173284.85399991986923851, 529631.71499992650933564 173392.53500015003373846, 529648.6469998792745173 173482.19100007103406824, 529594.67399985808879137 173516.06699990961351432, 529645.05399982433300465 173566.9189998242945876, 529529.99999997415579855 173517.99899982661008835, 529512.49999987089540809 173533.99999999441206455, 529534.94200006383471191 173573.77299994247732684, 529480.9780001767212525 173642.45600014220690355, 529557.84100010432302952 173675.66000004173838533, 529576.99999998789280653 173655.99999981830478646, 529523.99999988602939993 173757.99999984033638611, 529544.65000011853408068 173757.99900003030779772, 529597.09400000295136124 173832.42199992458336055, 529597.04999987967312336 173914.25900013215141371, 529625.99999990814831108 173928, 529730.4160000974079594 173844.92399988177930936, 529734.6469999123364687 173841.25099990426679142)))</t>
  </si>
  <si>
    <t>E01003163</t>
  </si>
  <si>
    <t>Lambeth 023F</t>
  </si>
  <si>
    <t>MultiPolygon (((528839.39199999067932367 174202.10599999097757973, 529043.831999949994497 174116.94299992968444712, 529075.55199993308633566 174103.72800006624311209, 529179.69499999983236194 174078.86700008905609138, 529078.24200001813005656 173880.68799997188034467, 529076.25000002235174179 173878.59500006851158105, 529027.07799994596280158 173826.0350000090256799, 529009.77999995625577867 173861.92900001438101754, 528817.0499999177409336 173831.50099997359211557, 528828.39399990777019411 173856.78200005937833339, 528880.39800000574905425 173876.80700004356913269, 528875.74599996011238545 173905.48100002261344343, 528909.38800004834774882 174028.40600001648999751, 528844.00000006146728992 174039.00000008603092283, 528842.52699992654379457 174080.3690000856295228, 528797 174163.00000009359791875, 528827.5949999107979238 174151.23300004878547043, 528839.39199999067932367 174202.10599999097757973)))</t>
  </si>
  <si>
    <t>E01004480</t>
  </si>
  <si>
    <t>Wandsworth 026C</t>
  </si>
  <si>
    <t>E02000948</t>
  </si>
  <si>
    <t>Wandsworth 026</t>
  </si>
  <si>
    <t>MultiPolygon (((529742.51699988846667111 171769.48299991997191682, 529756.00000006530899554 171755.00000005954643711, 529884.99999994866084307 171766.00000005998299457, 529921.54200008301995695 171733.15300005389144644, 529983.4109999465290457 171670.4340000978554599, 530022.99999992980156094 171693.00000013012322597, 530025.35699999995995313 171553.88799992456915788, 529972.93700003297999501 171562.5909999055438675, 529967.44799999741371721 171479.61599999232566915, 529998.65599991451017559 171424.9430001322471071, 529956.99999992724042386 171409.00000002147862688, 529923.19700009620282799 171433.86599994180141948, 529873.13999993656761944 171485.11300012393621728, 529845.01699998986441642 171457.04999996005790308, 529831.29399987822398543 171486.02299999928800389, 529771.56599990255199373 171442.19600009894929826, 529710.61399996501859277 171483.25700007495470345, 529678.6420001172227785 171434.15999992215074599, 529583.06300009950064123 171388.38199993729358539, 529572.04699990700464696 171348.29899998332257383, 529489.71400000003632158 171291.62200003862380981, 529490.77299995650537312 171327.86800010161823593, 529505.49600001960061491 171506.55999988119583577, 529513.75599993905052543 171667.93800013361033052, 529513.73099987336900085 171675.17099994505406357, 529512.59499989647883922 171742.354999965056777, 529512.26400010811630636 171753.7379999763215892, 529508.50000005553010851 171805.01599996141158044, 529723.33500003430526704 171800.30100004351697862, 529742.51699988846667111 171769.48299991997191682)))</t>
  </si>
  <si>
    <t>E01003119</t>
  </si>
  <si>
    <t>Lambeth 032C</t>
  </si>
  <si>
    <t>MultiPolygon (((529281.33500017481856048 171711.9100000343460124, 529255.24700008274521679 171672.38100003189174458, 529321.85799993202090263 171677.77300010470207781, 529335.40000018128193915 171612.07700012819259427, 529337.7900000000372529 171582.07100017566699535, 529336.99999999557621777 171442.00000000663567334, 529311.00000015180557966 171412.00000003515742719, 529330.72400008363183588 171376.49599981831852347, 529329.53100003628060222 171318.3679998830484692, 529293.45400005055125803 171310.63600009676883928, 529280.23700009053573012 171350.261000190716004, 529243.01600003428757191 171338.27099990731221624, 529185.60499980777967721 171477.31399990251520649, 529124.17100005259271711 171439.65900016471277922, 529165.73099995509255677 171341.85600003023864701, 529130.93199987977277488 171323.29700010264059529, 529109.03799996059387922 171353.01100005648913793, 528922.07699988351669163 171152.19500019264523871, 528884.49399991822429001 171168.8429998409410473, 528981.00000007078051567 171274.99999990218202583, 528865.91500018537044525 171452.38799982410273515, 528828.07799996971152723 171427.97599983256077394, 528794.00000011688098311 171491.99999982750159688, 528772.10200007876846939 171485.80200006396626122, 528571.0000001973239705 171434.00000014586839825, 528548.11100000003352761 171464.0000001173466444, 528583.50000005378387868 171483.74499998276587576, 528738.84700012614484876 171683.22300012584310025, 528763.86200018657837063 171844.22699996014125645, 528765.71800011326558888 171916.33699980736128055, 529050.64499994134530425 171857.56699992640642449, 529280.07700006966479123 171830.6399998530105222, 529281.33500017481856048 171711.9100000343460124)))</t>
  </si>
  <si>
    <t>E01004523</t>
  </si>
  <si>
    <t>Wandsworth 036E</t>
  </si>
  <si>
    <t>E02000958</t>
  </si>
  <si>
    <t>Wandsworth 036</t>
  </si>
  <si>
    <t>MultiPolygon (((529512.5949998814612627 171742.35499984148191288, 529513.73100005357991904 171675.17100007823319174, 529513.75599996524397284 171667.93799999565817416, 529505.49600005277898163 171506.56000012447475456, 529490.77300001715775579 171327.86799989032442681, 529489.71399984101299196 171291.62199991664965637, 529418.64100013789720833 171234.59900002359063365, 529373.6959999268874526 171192.70000000001164153, 529352.35299986333120614 171224.84299987106351182, 529298.94100001186598092 171211.52700010919943452, 529247.52499991015065461 171258.34999998915009201, 529214.09700004896149039 171238.15400009709992446, 529201.67900003679096699 171268.892999926203629, 529165.73100001830607653 171341.85599990669288673, 529124.17100003489758819 171439.65900011430494487, 529185.60500001441687346 171477.31399998467531987, 529243.01600011892151088 171338.27100006671389565, 529280.23700015724170953 171350.26100007246714085, 529293.45399992424063385 171310.63600001597660594, 529329.53100002277642488 171318.36799995627370663, 529330.72400013392325491 171376.4959999650309328, 529310.99999992700759321 171412.00000012281816453, 529336.99999994796235114 171442.00000004886533134, 529337.7899999642977491 171582.07100008660927415, 529335.3999998583458364 171612.07700015732552856, 529321.85799996345303953 171677.77300008601741865, 529255.2470001409528777 171672.38100010936614126, 529281.33500015723984689 171711.91000008390983567, 529280.07700002065394074 171830.64000000001396984, 529508.49999986542388797 171805.01599990122485906, 529512.26399992790538818 171753.7379999372351449, 529512.5949998814612627 171742.35499984148191288)))</t>
  </si>
  <si>
    <t>E01004524</t>
  </si>
  <si>
    <t>Wandsworth 037D</t>
  </si>
  <si>
    <t>E02000959</t>
  </si>
  <si>
    <t>Wandsworth 037</t>
  </si>
  <si>
    <t>MultiPolygon (((528302.97399993112776428 172283.68099999183323234, 528340.71199987712316215 172245.01200001229881309, 528315.71900004160124809 172220.01800007987185381, 528289.60800003458280116 172246.12399987070239149, 528264.48699987342115492 172220.51199990586610511, 528187.22500003222376108 172156.59099995429278351, 528182.5500000735046342 172122.15000009903451428, 528204.61599997500889003 172095.55599998973775655, 528180.99999991059303284 172075.00000013256794773, 528132.01800010015722364 172052.48999988185823895, 528144.03999993414618075 172009.32299991775653325, 528123.52500002400483936 171980.98600000000442378, 527897.33899991074576974 172199.9200000494311098, 527892.88900001475121826 172204.22799987369216979, 527872.20800012280233204 172224.24599993557785638, 527911.47200005315244198 172263.71100001852028072, 527930.06300006154924631 172279.12500002334127203, 528006.12800012808293104 172337.86899995169369504, 528093.09600002865772694 172424.27700007238308899, 528146.71499987319111824 172495.44100002071354538, 528161.54400009114760906 172518.09500000000116415, 528187.05400010268203914 172493.53000003658235073, 528145.51000012853182852 172430.26699996742536314, 528302.97399993112776428 172283.68099999183323234)))</t>
  </si>
  <si>
    <t>E01004481</t>
  </si>
  <si>
    <t>Wandsworth 029A</t>
  </si>
  <si>
    <t>E02000951</t>
  </si>
  <si>
    <t>Wandsworth 029</t>
  </si>
  <si>
    <t>MultiPolygon (((528289.60800009069498628 172246.12400000001071021, 528315.71899998444132507 172220.01800002064555883, 528340.71199995477218181 172245.01200002297991887, 528467.76500007440336049 172118.90700003496021964, 528529.49400007643271238 172180.20700006061815657, 528553.40999996173195541 172157.40999988495605066, 528434.00000008102506399 172045.99999987965566106, 528451.41300010972190648 172036.79299993388121948, 528610.00000004447065294 171975.00000009409268387, 528604.99999990733340383 171930.00000008806819096, 528540.41599989554379135 171895.8689999241323676, 528524.58699996850918978 171823.85699992341687903, 528561.94700007745996118 171821.21599988578236662, 528537.22000002430286258 171754.58699999999953434, 528507.17100008937995881 171763.94699993045651354, 528501.62599994731135666 171814.39399988920195028, 528451.01400011114310473 171832.56899999102461152, 528435.9630000323522836 171869.26800006657140329, 528363.99999988055787981 171943.9999999315768946, 528313.99999998311977834 171901.00000007872586139, 528331.70500002428889275 171868.5070000255072955, 528292.60900010680779815 171808.27500004231114872, 528220.62800011585932225 171890.87000006472226232, 528146.7170000015757978 171960.27799998395494185, 528123.5249999554362148 171980.98600010530208237, 528144.04000003985129297 172009.32300001714611426, 528132.01799989072605968 172052.49000005726702511, 528181.00000011816155165 172074.99999988899799064, 528204.61599998059682548 172095.55600005769520067, 528182.5500001140171662 172122.14999993680976331, 528187.22499991918448359 172156.59099995245924219, 528264.48699995328206569 172220.51200011253240518, 528289.60800009069498628 172246.12400000001071021)))</t>
  </si>
  <si>
    <t>E01004482</t>
  </si>
  <si>
    <t>Wandsworth 030A</t>
  </si>
  <si>
    <t>E02000952</t>
  </si>
  <si>
    <t>Wandsworth 030</t>
  </si>
  <si>
    <t>MultiPolygon (((529228.00000006437767297 172306.00099968112772331, 529525.34799996868241578 172182.75499998586019501, 529623.95800031826365739 172191.40399976336630061, 529677.19999969063792378 171992.36800001314259134, 529723.3349999999627471 171800.30100008015870117, 529508.50000022421590984 171805.0159998195595108, 529280.07700003054924309 171830.6399998810084071, 529050.64500035566743463 171857.56700002489378676, 528765.71799987740814686 171916.33699988637818024, 528763.86199987353757024 171844.22700022128992714, 528738.84699977980926633 171683.22299966667196713, 528583.49999969347845763 171483.74500001035630703, 528548.11099995241966099 171463.99999973233207129, 528533.93799999565817416 171456.09400028895470314, 528520.01400001510046422 171479.86599994116113521, 528407.32000016560778022 171636.00700002067605965, 528324.34800024481955916 171751.49400021546171047, 528307.87500022316817194 171780.9069998117047362, 528292.60900000017136335 171808.2749997841892764, 528331.70500007667578757 171868.50699988531414419, 528313.99999975040555 171900.99999988559284247, 528363.99999975971877575 171943.99999982208828442, 528435.96300019731279463 171869.2680001832486596, 528451.01400021684821695 171832.56899981750757433, 528501.62599971087183803 171814.39400027730152942, 528507.17100008646957576 171763.94699997449060902, 528537.22000031149946153 171754.58700019592652097, 528561.94700026896316558 171821.21600015167496167, 528524.587000199011527 171823.85700016666669399, 528540.41599968739319593 171895.86900010833051056, 528605.00000001944135875 171929.99999967639450915, 528609.99999966262839735 171975.00000004249159247, 528746.59100026427768171 171928.78000030139810406, 528828.10400017793290317 172010.14899978917674161, 528883.52600033313501626 172005.56600026125670411, 528934.7739997407188639 171887.72800034267129377, 529062.92400022607762367 172346.45100021449616179, 529096.95599999325349927 172400.73799971109838225, 529228.00000006437767297 172306.00099968112772331)))</t>
  </si>
  <si>
    <t>E01004483</t>
  </si>
  <si>
    <t>Wandsworth 026D</t>
  </si>
  <si>
    <t>MultiPolygon (((528187.05399998836219311 172493.52999994647689164, 528348.63899982522707433 172345.31799984685494564, 528402.4890000035520643 172406.97500006601330824, 528424.84299984062090516 172388.48199993744492531, 528449.01499987847637385 172475.33800001253257506, 528512.16599983512423933 172422.21599985001375899, 528544.26399982767179608 172444.13200010635773651, 528568.94099985982757062 172422.50299988110782579, 528676.13499984156806022 172328.01099991748924367, 528717.67200011713430285 172352.1819999436265789, 528747.88699988776352257 172310.53899990595527925, 528883.52599999995436519 172005.56599985554930754, 528828.10399991099257022 172010.14899987881653942, 528746.59099987975787371 171928.78000005352078006, 528610.00000008754432201 171975.00000004441244528, 528451.41299984254874289 172036.79300000699004158, 528434.00000015110708773 172046.00000016344711185, 528553.41000000957865268 172157.40999994101002812, 528529.49400000984314829 172180.20700015520560555, 528467.76500005670823157 172118.90700004671816714, 528340.71199985884595662 172245.01199987318250351, 528302.97400004358496517 172283.68099986130255274, 528145.5099999998928979 172430.26700015767710283, 528187.05399998836219311 172493.52999994647689164)))</t>
  </si>
  <si>
    <t>E01004489</t>
  </si>
  <si>
    <t>Wandsworth 030D</t>
  </si>
  <si>
    <t>RR5a</t>
  </si>
  <si>
    <t>MultiPolygon (((535737.97899991436861455 182039.99800005598808639, 535800.16599999915342778 181953.83300013220286928, 535915.10499999998137355 181989.74599988423869945, 535906.06999989307951182 181901.99999990247306414, 535796.68699999095406383 181898.89600011255242862, 535823.62700009834952652 181793.13700011727632955, 535762.00000002677552402 181871.00000006653135642, 535703.44200011075008661 181842.39399984673946165, 535683.59800013818312436 181884.52299981770920567, 535663.95599989802576602 181873.97299988480517641, 535573.57000016863457859 181941.00500013545388356, 535528.20300005888566375 181925.3609998946194537, 535458.99999999837018549 181987.00000000844011083, 535428.91500007908325642 181933.7400000175985042, 535393.88799989735707641 181965.90500003795023076, 535304.96300017077010125 181895.59700000385055318, 535302.16199997952207923 181847.25299993963562883, 535272.92600011161994189 181848.73999991163145751, 535274.99999982502777129 181894.25000003512832336, 535200.7499998661223799 181891.93699997046496719, 535191.94699996360577643 181928.99999985418980941, 535181.875 181967.09300018101930618, 535379.25100014102645218 182041.82799988938495517, 535452.8019998426316306 182069.12200014127301984, 535504.3689999928465113 182087.87699995219008997, 535646.43800015794113278 182137.26699990473571233, 535670.10800013632979244 182146.16099988267524168, 535737.97899991436861455 182039.99800005598808639)))</t>
  </si>
  <si>
    <t>E01004290</t>
  </si>
  <si>
    <t>Tower Hamlets 016D</t>
  </si>
  <si>
    <t>E02000879</t>
  </si>
  <si>
    <t>Tower Hamlets 016</t>
  </si>
  <si>
    <t>MultiPolygon (((536079.5789998727850616 182719.14199999999254942, 536272.93400008708704263 182417.29800004587741569, 536314.96300013037398458 182272.35400004094117321, 536320.76899988995864987 182165.97100014702300541, 536230.61699984059669077 182209.2759999243717175, 536118.9999998981365934 182192.99999988407944329, 536077.29299989982973784 182152.68800005005323328, 536035.13400005642324686 182197.56499984321999364, 535991.32199997606221586 182145.60800008397200145, 536007.4459998361999169 182077.54100010998081416, 535942.69899998162873089 182113.36599993053823709, 535846.93499994499143213 182078.87300006579607725, 535803.22699990146793425 182063.12899999995715916, 535778.97600004717241973 182208.53100007295142859, 535742.32100011478178203 182196.88999985897680745, 535693.58000010997056961 182233.2529998769168742, 535733.69400013226550072 182298.07100001850631088, 535827.28999987826682627 182263.36099990952061489, 535857.95099984551779926 182189.77600005111889914, 535929.24199998052790761 182213.40800014289561659, 536003.99999995587859303 182235.99999986533657648, 535960.99999997462145984 182318.99900013400474563, 535991.99999990779906511 182334.99999985270551406, 535974.61600014253053814 182382.31699998257681727, 535909.34800001152325422 182387.78700005181599408, 535935.99999990162905306 182413.99999997846316546, 535904.99999996856786311 182451.00000009965151548, 535856.00000012724194676 182441.99999998151906766, 535844.64899997203610837 182480.61100009136134759, 535887.35000005213078111 182513.73700006672879681, 535918.44499985186848789 182522.35000007579219528, 535948.99999992654193193 182485.99999993946403265, 535991.42099988192785531 182522.76500013170880266, 536051.04399994784034789 182656.70200007845414802, 536079.5789998727850616 182719.14199999999254942)))</t>
  </si>
  <si>
    <t>E01004261</t>
  </si>
  <si>
    <t>Tower Hamlets 010A</t>
  </si>
  <si>
    <t>E02000873</t>
  </si>
  <si>
    <t>Tower Hamlets 010</t>
  </si>
  <si>
    <t>MultiPolygon (((535580.36299995752051473 182238.76299987736274488, 535646.43799999984912574 182137.26699995863600634, 535504.36900009459350258 182087.87699988560052589, 535452.80199991713743657 182069.12200000465963967, 535437.49699988879729062 182195.5229999078437686, 535379.81199989002197981 182186.55999994245939888, 535376.22400004335213453 182229.20400007392163388, 535311.33500001125503331 182192.79200010350905359, 535279.15000009723007679 182231.23600003737374209, 535196.26499990408774465 182170.84700009314110503, 535150.90500000002793968 182202.97700005618389696, 535177.74099991633556783 182230.4760000842215959, 535268.97500000055879354 182266.54400005494244397, 535326.93100005947053432 182323.7199999533186201, 535443.88500003237277269 182383.19599991862196475, 535414.22399993159342557 182425.52399989482364617, 535449.12500011373776942 182467.37899999532965012, 535541.10400011949241161 182305.21000001163338311, 535548.8879999736091122 182291.9339999899675604, 535580.36299995752051473 182238.76299987736274488)))</t>
  </si>
  <si>
    <t>E01004207</t>
  </si>
  <si>
    <t>Tower Hamlets 011A</t>
  </si>
  <si>
    <t>E02000874</t>
  </si>
  <si>
    <t>Tower Hamlets 011</t>
  </si>
  <si>
    <t>MultiPolygon (((536051.04399990499950945 182656.70200013421708718, 535991.42100014188326895 182522.76500002105603926, 535948.99999984330497682 182486.00000014164834283, 535918.44499994488433003 182522.34999990780488588, 535887.34999987750779837 182513.73700008459854871, 535844.64899995364248753 182480.6110001407796517, 535855.99999983934685588 182441.99999982534791343, 535904.99999988358467817 182450.9999999062565621, 535936.00000012270174921 182413.99999985098838806, 535909.348000020487234 182387.78700004392885603, 535974.61599994113203138 182382.31699996424140409, 535992.00000007136259228 182335.00000001248554327, 535960.99999983236193657 182318.99899984124931507, 536004.00000006041955203 182235.99999983567977324, 535929.2419999121921137 182213.4079998278466519, 535857.9509998228168115 182189.7760001418646425, 535827.28999983449466527 182263.36100013912073337, 535733.69399995042476803 182298.07099996026954614, 535693.57999983651097864 182233.25299988323240541, 535742.32099987973924726 182196.88999984029214829, 535778.97599999548401684 182208.53100014029769227, 535803.22699991392437369 182063.12899999084766023, 535737.97900014487095177 182039.99799999999231659, 535670.10799993644468486 182146.16100006815395318, 535646.43799996259622276 182137.26700007717590779, 535580.36300016799941659 182238.76299990937695839, 535593.38500005530659109 182277.40600011066999286, 535611.11899998469743878 182252.78200004051905125, 535782.43999985326081514 182341.10700010450091213, 535807.00000015168916434 182361.0000001669395715, 535758.00000010733492672 182425.00000010835356079, 535775.95500010647810996 182445.58900009529315867, 535666.96800003736279905 182627.10500000577303581, 535637.18099989579059184 182617.36700003873556852, 535638.30600003956351429 182647.72399986343225464, 535748.56399993237573653 182680.34700009698281065, 535817.56599997344892472 182700.76900006667710841, 535956.0670000771060586 182730.12800017485278659, 536064.64700009359512478 182753.14300000001094304, 536079.57899983203969896 182719.14200002356665209, 536051.04399990499950945 182656.70200013421708718)))</t>
  </si>
  <si>
    <t>E01004262</t>
  </si>
  <si>
    <t>Tower Hamlets 010B</t>
  </si>
  <si>
    <t>MultiPolygon (((535279.15000014111865312 182231.23600013880059123, 535311.33500023861415684 182192.79200002251309343, 535376.22399989969562739 182229.20399998649372719, 535379.81200009223539382 182186.55999988049734384, 535437.49700016190763563 182195.52299995278008282, 535452.80200000002514571 182069.12199991501984186, 535379.25100011611357331 182041.82800008950289339, 535181.87500005855690688 181967.09300003267708234, 535174.85099980747327209 181964.54100011294940487, 535076.43900011107325554 181930.76200018476811238, 534890.31499998667277396 181870.66599992953706533, 534852.93600013665854931 181857.03699985361890867, 534834.99999989382922649 181850.5000001142907422, 534510.31300008413381875 181723.48399986117146909, 534481.16399999998975545 181801.06099977338453755, 534561.95700023742392659 181841.44500001214328222, 534668.55799997679423541 181912.9189997872163076, 534781.00000009557697922 181966.00000007409835234, 534723.99999995762482285 182075.99999989700154401, 534825.99999984644819051 182103.00000003902823664, 534820.70100003352854401 182130.4240001707803458, 534854.42700002377387136 182143.21299976290902123, 534863.70000022824387997 182108.75499976755236275, 534913.26899990381207317 182103.94399979611625895, 534911.51599977328442037 182074.35899999298271723, 534982.30500010238029063 182087.1379999726486858, 534959.37599994521588087 182021.81399992224760354, 535104.61100021097809076 182040.4400001461035572, 535186.81799996725749224 182080.86700022456352599, 535119.91300011670682579 182133.7429999538580887, 535130.11999998008832335 182168.82799989386694506, 535113.99999990395735949 182183.99999997930717655, 535081.08799985039513558 182225.24999979144195095, 535177.74100003752391785 182230.47599995561176911, 535150.90499975858256221 182202.97700005827937275, 535196.26500013319309801 182170.84700001557939686, 535279.15000014111865312 182231.23600013880059123)))</t>
  </si>
  <si>
    <t>E01004208</t>
  </si>
  <si>
    <t>Tower Hamlets 013C</t>
  </si>
  <si>
    <t>E02000876</t>
  </si>
  <si>
    <t>Tower Hamlets 013</t>
  </si>
  <si>
    <t>MultiPolygon (((535142.1240000604884699 181871.7689999554422684, 535158.26199985423590988 181806.74500006329617463, 535116.82499983720481396 181804.85800014948472381, 535026.8379998323507607 181788.23100008338224143, 535008.31299997691530734 181835.27899996587075293, 534984.99999993562232703 181827.99999994857353158, 535004.99900011869613081 181755.99999982881126925, 535140.36700003233272582 181781.40199999089236371, 535127.25499985332135111 181690.0709998911479488, 535117.92699989373795688 181671.24200006801402196, 535073.56800003175158054 181708.14299998196656816, 535020.6939998451853171 181699.50000012779491954, 535035.00000014412216842 181651.00000001577427611, 534936.99999997147824615 181652.9999999130377546, 534890.9999999045394361 181652.9999999130377546, 534897.99999989208299667 181565.99999986955663189, 534812.38299994391854852 181551.03200008865678683, 534760.87499995029065758 181542.02700000797631219, 534754.74199983873404562 181637.29999999058782123, 534634.99999986449256539 181616.00000007811468095, 534643.00000014784745872 181569.00000006260233931, 534538.99999993620440364 181550.99999994586687535, 534521.73700015689246356 181643.82599994621705264, 534497.61999999999534339 181718.35500006694928743, 534510.31299987179227173 181723.48399986489675939, 534835.00000000430736691 181850.50000000771251507, 534852.93599983549211174 181857.0369998388341628, 534890.31500014627818018 181870.66600006801309064, 535076.43900016997940838 181930.76199984396225773, 535174.85100009792950004 181964.5410000620468054, 535181.87499984540045261 181967.0929999920190312, 535191.94700000004377216 181928.99999996711267158, 535142.1240000604884699 181871.7689999554422684)))</t>
  </si>
  <si>
    <t>E01004322</t>
  </si>
  <si>
    <t>Tower Hamlets 017A</t>
  </si>
  <si>
    <t>E02000880</t>
  </si>
  <si>
    <t>Tower Hamlets 017</t>
  </si>
  <si>
    <t>MultiPolygon (((528166.08900012366939336 173274.87099993694573641, 528180.14500000001862645 173219.63799993359134533, 528126.75999982026405632 173177.09199990605702624, 528098.42900009476579726 173190.16900018995511346, 528095.71699990646447986 173144.91999981048866175, 528028.21500002394896001 173105.87599993823096156, 527997.08000003930646926 173092.10600000733393244, 527977.99999982758890837 173132.00000015867408365, 527921.12099981482606381 173151.92500001785811037, 527917.77500001224689186 173064.79700002787285484, 527860.19000016374047846 173075.39200010886997916, 527813.62900012300815433 173232.07100010503199883, 527686.73200009018182755 173207.13599999598227441, 527722.34399985265918076 173112.16900016384897754, 527697.26699985901359469 173100.31000005934038199, 527726.90299996803514659 173071.09699991374509409, 527687.77300017105881125 172986.7000000643893145, 527664.81899993389379233 173127.88399985581054352, 527620.9990001495461911 173029.03100008881301619, 527566.69199985172599554 173062.47399986817617901, 527536.26799995207693428 173045.52500011757365428, 527532.81999996304512024 173050.88600010916707106, 527483.85400019015651196 173130.18499999027699232, 527415.11299999989569187 173241.19399981974856928, 527629.68699999141972512 173605.76499993563629687, 527799.11900003917980939 173439.29799998391536064, 527940.50999989407137036 173347.19300016440683976, 528024.3430001747328788 173315.75900004562572576, 528166.08900012366939336 173274.87099993694573641)))</t>
  </si>
  <si>
    <t>E01004543</t>
  </si>
  <si>
    <t>Wandsworth 027A</t>
  </si>
  <si>
    <t>E02000949</t>
  </si>
  <si>
    <t>Wandsworth 027</t>
  </si>
  <si>
    <t>MultiPolygon (((527978.00000000477302819 173131.9999999193532858, 527997.08000003022607416 173092.1060000522993505, 528028.21500005095731467 173105.87600003878469579, 528095.71699994406662881 173144.91999995979131199, 528147.43999992532189935 173126.57199997513089329, 528160.42499991704244167 173087.21199998838710599, 528132.7519999397918582 173060.57499991546501406, 528221.99999994353856891 172908.99999998538987711, 528224.48999999999068677 172876.04300003164098598, 528194.23900005430914462 172873.46600009710527956, 528153.12999994738493115 172893.48399998055538163, 528129.53299994429107755 172869.52100005946704186, 528090.99999994284007698 172862.99999991632648744, 528095.99999991478398442 172831.00000005535548553, 527982.52600008295848966 172805.31499990561860614, 527967.49399990134406835 172810.18200007805717178, 527835.99999994307290763 172784.0000000738655217, 527828.69899997476022691 172830.13999997495557182, 527814.72400000016205013 172948.50800007558427751, 527917.75000005692709237 172979.73100000829435885, 527896.97200000227894634 173011.62700002916972153, 527940.57799999334383756 173042.82900006903219037, 527917.77500008547212929 173064.79699992513633333, 527921.12100008653942496 173151.92499992612283677, 527978.00000000477302819 173131.9999999193532858)))</t>
  </si>
  <si>
    <t>E01004546</t>
  </si>
  <si>
    <t>Wandsworth 027C</t>
  </si>
  <si>
    <t>MultiPolygon (((527896.97200008644722402 173011.62699990015244111, 527917.75000013888347894 172979.73100013061775826, 527814.72400008828844875 172948.50800001146853901, 527828.69899987836834043 172830.13999991546734236, 527836.00000002584420145 172783.99999992392258719, 527967.4939998866757378 172810.18200012543820776, 527982.52599993511103094 172805.31499994132900611, 528013.16999991436023265 172736.4430001158034429, 527965.95800005632918328 172683.80700005288235843, 527849.61299990525003523 172654.01800000004004687, 527759.83600004902109504 172771.69100003747735173, 527721.00000001105945557 172764.99999985611066222, 527680.95600013202056289 172819.24999990899232216, 527651.99999988649506122 172864.00100010418100283, 527611.21699999971315265 172848.98000011534895748, 527569.21900005009956658 172875.08399986822041683, 527615.18800011416897178 172922.76599988027010113, 527536.26800008572172374 173045.52500010532094166, 527566.69200002984143794 173062.47399991884594783, 527620.9989998658420518 173029.03099997036042623, 527664.81900003831833601 173127.88399986369768158, 527687.77299997094087303 172986.69999987294431776, 527726.90300007699988782 173071.09700005166814663, 527697.26699995924718678 173100.31000005977693945, 527722.34400011552497745 173112.16900013701524585, 527686.73199993069283664 173207.13600000832229853, 527813.62900007085409015 173232.07099999999627471, 527860.19000010867603123 173075.39200002874713391, 527917.77500006405171007 173064.79700012199464254, 527940.57800012489315122 173042.82899993189494126, 527896.97200008644722402 173011.62699990015244111)))</t>
  </si>
  <si>
    <t>E01004547</t>
  </si>
  <si>
    <t>Wandsworth 029C</t>
  </si>
  <si>
    <t>MultiPolygon (((528183.99999981233850121 173147, 528240.03300007560756058 173073.92900010707671754, 528271.3039999968605116 173097.98300017442670651, 528302.00000018521677703 173081.00100017918157391, 528282.85500010079704225 173032.72099980362690985, 528272.49999987496994436 173027.06200003711273894, 528247.28399980044923723 173042.8230001469491981, 528223.88199993956368417 173032.112999991804827, 528199.86600021296180785 173039.93200003757374361, 528207.42900013236794621 172995.76299986481899396, 528253.57199978409335017 172966.25000008894130588, 528321.17399987881071866 172931.92199987138155848, 528286.15599998191464692 172845.78699997381772846, 528248.51199996564537287 172735.7560001241217833, 528224.20700003381352872 172661.2139998393249698, 528197.06900007871445268 172575.47999984974740073, 528191.13300021458417177 172562.63800010044360533, 528161.54400019103195518 172518.09500004487927072, 528146.71500019531231374 172495.44099994955467992, 528093.09599988569971174 172424.27700001950142905, 528006.12800011096987873 172337.86900006013456732, 527930.06299983581993729 172279.125, 527910.78999990515876561 172302.29099991399561986, 527957.5319999388884753 172346.6509998470719438, 527881.82499983697198331 172424.68100017137476243, 527856.73700004257261753 172527.48700009551248513, 527832.35999989882111549 172591.23299988781218417, 527818.52300012134946883 172621.68599984949105419, 527849.61299993796274066 172654.0179999568790663, 527965.95800000440794975 172683.80700003844685853, 528013.16999991412740201 172736.44299999356735498, 527982.52600019203964621 172805.31500019624945708, 528095.99999989464413375 172830.99999992080847733, 528091.00000018044374883 172863.00000008812639862, 528129.53300014196429402 172869.52100020874058828, 528153.12999979918822646 172893.48400011088233441, 528194.23899986559990793 172873.46599979061284102, 528224.49000018532387912 172876.04300012136809528, 528221.99999998393468559 172908.99999997607665136, 528132.75200015562586486 173060.57500010513467714, 528160.42499991855584085 173087.212000123137841, 528147.43999997153878212 173126.57199990798835643, 528183.99999981233850121 173147)))</t>
  </si>
  <si>
    <t>E01004548</t>
  </si>
  <si>
    <t>Wandsworth 029D</t>
  </si>
  <si>
    <t>MultiPolygon (((527569.21899992681574076 172875.08399997794185765, 527611.21699985931627452 172848.97999991191318259, 527651.99999999837018549 172864.00100003153784201, 527680.95599992643110454 172819.25000008437200449, 527720.99999989045318216 172764.9999998522689566, 527759.83600012620445341 172771.69100004024221562, 527849.61300013086292893 172654.01800013377214782, 527818.52300001995172352 172621.68600010714726523, 527832.36000011931173503 172591.23299990958184935, 527856.73700000939425081 172527.48700010779430158, 527881.82500011485535651 172424.68100009075715207, 527957.53200000000651926 172346.65100006817374378, 527910.79000008362345397 172302.29100002205814235, 527788.04100002511404455 172453.5859998878731858, 527692.89199986308813095 172591.44399989696103148, 527521.50000002619344741 172529.2190000724804122, 527467.24899995664600283 172599.59300007743877359, 527438.52299993496853858 172635.38599991964292713, 527377.73299993202090263 172712.75199990643886849, 527356.12600000004749745 172739.53100002469727769, 527382.28400001011323184 172757.53100011416245252, 527569.21899992681574076 172875.08399997794185765)))</t>
  </si>
  <si>
    <t>E01004549</t>
  </si>
  <si>
    <t>Wandsworth 027D</t>
  </si>
  <si>
    <t>MultiPolygon (((527483.8540000309003517 173130.18499971891287714, 527532.81999982101842761 173050.88600013864925131, 527536.26800004183314741 173045.52499991023796611, 527615.18800020148046315 172922.7659998303570319, 527569.21899979352019727 172875.08400001656264067, 527382.2839998563285917 172757.53099974110955372, 527356.12599995022173971 172739.53099997696699575, 527377.73299999698065221 172712.75199988228268921, 527438.52300025639124215 172635.38600019982550293, 527467.24900011532008648 172599.59299978992203251, 527521.50000021117739379 172529.21899979520821944, 527614.63999992387834936 172412.37500024508335628, 527633.374999760533683 172388.04700020723976195, 527545.46900015196297318 172312.34999994546524249, 527468.56999986013397574 172371.78899977463879623, 527438.52800008724443614 172345.83000027743401006, 527163.24499973852653056 172107.83100000000558794, 527089.5629998876247555 172153.19600009787245654, 527001.06300019728951156 172213.64199975269730203, 526996.52000018069520593 172220.1700000615674071, 526906.4859999034088105 172349.49199983314611018, 526761.24900011077988893 172552.05499997877632268, 526712.43800017784815282 172620.73400007220334373, 526688.37500024330802262 172601.10899973908090033, 526684.7430002394830808 172720.00900023998110555, 526826.9999999615829438 172807.00000019770232029, 527006.00000026053749025 172910.99999977939296514, 526985.73300022247713059 172944.98099982540588826, 527021.10900011705234647 172971.36700006635510363, 527078.05799973523244262 173004.60800020897295326, 527093.99999986286275089 173081.00099982239771634, 527140.41299975966103375 173112.56099993019597605, 527241.99999981245491654 173056.99999994406243786, 527415.11299988126847893 173241.19400000001769513, 527483.8540000309003517 173130.18499971891287714)))</t>
  </si>
  <si>
    <t>E01004626</t>
  </si>
  <si>
    <t>Wandsworth 027F</t>
  </si>
  <si>
    <t>MultiPolygon (((526385.00000009161885828 174348.99999996623955667, 526343.46299993270076811 174339.10999999998603016, 526274.57499995466787368 174480.68700003900448792, 526226.55300009914208204 174579.37899988904246129, 526205.48999993235338479 174622.66599999772734009, 526197.66799997410271317 174638.74199990104534663, 526165.29900007857941091 174705.266000048519345, 526147.81300005328375846 174741.20300004206364974, 526247.38400002697017044 174762.80799997539725155, 526424.31899990735109895 174805.19200000003911555, 526461.02999990643002093 174740.58799994920263998, 526510.81399992480874062 174629.48299992360989563, 526520.99999994679819793 174540.99900009803241119, 526507.00000011583324522 174407.00000003125751391, 526405.11499995726626366 174353.7050001120660454, 526385.00000009161885828 174348.99999996623955667)))</t>
  </si>
  <si>
    <t>E01004627</t>
  </si>
  <si>
    <t>Wandsworth 019F</t>
  </si>
  <si>
    <t>E02000941</t>
  </si>
  <si>
    <t>Wandsworth 019</t>
  </si>
  <si>
    <t>MultiPolygon (((527788.04099995584692806 172453.58600009960355237, 527910.78999995754566044 172302.29099992488045245, 527930.06300000008195639 172279.12500007156631909, 527911.47200001671444625 172263.71099998406134546, 527840.44799988332670182 172231.25099998607765883, 527824.29800012405030429 172214.66299989476101473, 527747.99999999860301614 172276.00000008224742487, 527724.15200008603278548 172253.07799995603272691, 527688.84199998783878982 172272.09099992693518288, 527713.23400002112612128 172234.33799989856197499, 527667.21500001079402864 172173.57200004238984548, 527644.87100013066083193 172195.12199987805797718, 527610.49799995450302958 172151.66100001614540815, 527586.83099999639671296 172171.91599997226148844, 527572.44200010818894953 172110.34299996032495983, 527532.8320000289240852 172084.07199987437343225, 527390.98600000003352761 172203.5109999809646979, 527414.33800001663621515 172256.38900010849465616, 527494.91700008453335613 172293.39700003547477536, 527438.52800008130725473 172345.82999991610995494, 527468.57000011450145394 172371.78900002400041558, 527545.46899993682745844 172312.34999992762459442, 527633.3750000890577212 172388.04700008666259237, 527614.63999997079372406 172412.37500008981442079, 527521.49999987904448062 172529.21899995906278491, 527692.89200004516169429 172591.44400012557161972, 527788.04099995584692806 172453.58600009960355237)))</t>
  </si>
  <si>
    <t>E01004618</t>
  </si>
  <si>
    <t>Wandsworth 032D</t>
  </si>
  <si>
    <t>E02000954</t>
  </si>
  <si>
    <t>Wandsworth 032</t>
  </si>
  <si>
    <t>MultiPolygon (((526871.89899965410586447 174546.57900030934251845, 526990.89900011266581714 174535.37199966033222154, 527087.69799986481666565 174602.83400004418217577, 527123.21999973151832819 174503.05799970738007687, 527223.47199991985689849 174315.14100002957275137, 527407.96100006182678044 173983.68900027030031197, 527556.70000014500692487 173724.58599994261749089, 527629.68699981179088354 173605.7650001980655361, 527415.11299986368976533 173241.1939999999885913, 527316.01400028949137777 173397.32599973084870726, 527194.42999974219128489 173440.38100021501304582, 527102.73600027931388468 173409.26699962443672121, 527139.85399992438033223 173323.62900018028449267, 527104.10599981236737221 173304.81200018155504949, 527037.47500000498257577 173427.31599971797550097, 527001.94900024472735822 173508.89200006757164374, 526894.07300029648467898 173435.44800004322314635, 526849.30599999113474041 173510.08700034618959762, 526926.47500025492627174 173607.68300001419265755, 526923.89200013957452029 173706.70300012626103126, 526957.0030000084079802 173733.00199975151917897, 527022.27899988321587443 173773.65499999804887921, 527061.99999989417847246 173797.99999998288694769, 527077.99999974516686052 173771.00000023416941985, 527112.08200037712231278 173792.0989997512078844, 527045.74899968050885946 173905.43299998377915472, 527169.37000000674743205 173967.62699972128029913, 527139.50999968952964991 174023.88600013268296607, 526975.17599993164185435 173948.11500022237305529, 526889.79499990725889802 174079.63600000532460399, 526938.19699971668887883 174107.74100008048117161, 527025.52099967456888407 174229.28500012701260857, 527046.27599973976612091 174337.20499968639342114, 526995.75400001264642924 174339.60100008381414227, 526989.5029997059609741 174370.09000009292503819, 526945.31199972098693252 174339.41299960945616476, 526894.8700002123368904 174359.85200026025995612, 526815.60900006827432662 174413.2879999007564038, 526778.00000018812716007 174442.00000025369809009, 526931.72199989447835833 174806.31000035555916838, 526958.9259996913606301 174807.32300000000395812, 526871.89899965410586447 174546.57900030934251845)))</t>
  </si>
  <si>
    <t>E01004619</t>
  </si>
  <si>
    <t>Wandsworth 015E</t>
  </si>
  <si>
    <t>E02000937</t>
  </si>
  <si>
    <t>Wandsworth 015</t>
  </si>
  <si>
    <t>MultiPolygon (((527036.99999996775295585 174953.5779999999795109, 527087.69800025911536068 174602.83399997296510264, 526990.8990002857754007 174535.37199998155119829, 526871.89899968227837235 174546.57900025037815794, 526958.92600015993230045 174807.32299990052706562, 526931.72199975664261729 174806.31000029898132198, 526778.00000020465813577 174441.99999968821066432, 526815.6090001716511324 174413.28799978399183601, 526753.54099998041056097 174281.4669998787867371, 526689.75599970004986972 174159.12999982276232913, 526633.47499967156909406 174062.41800024948315695, 526668.02599967457354069 174011.38099986733868718, 526595.20400017907377332 173892.40799973756656982, 526742.37599999795202166 173722.99600018121418543, 526579.59800007159356028 173609.0330003229319118, 526503.99999992828816175 173602, 526458.99999973981175572 173653.00000025861663744, 526462.51799981493968517 173713.28500010378775187, 526369.19500030623748899 173769.18599992292001843, 526351.7310001136502251 173742.5010000652691815, 526317.00000033155083656 173677.9999999878637027, 526286.50699974095914513 173694.29799992192420177, 526333.40300030563957989 173792.95499998031300493, 526367.63900018844287843 173858.7370000061346218, 526396.35399992007296532 173933.40100028202868998, 526323.95599990431219339 173943.73900009682984091, 526385.33600026404019445 174047.41200008141458966, 526499.96599981060717255 174258.9559999670018442, 526434.304999805171974 174273.75099988721194677, 526412.10200019122567028 174179.62199967814376578, 526377.99999980605207384 174231.99999993509845808, 526385.00000000058207661 174349.00000028990325518, 526405.11500014970079064 174353.70500009096576832, 526507.00000030128285289 174407.00000006725895219, 526521.00000001443549991 174540.99899966476368718, 526510.81400001316796988 174629.48299987480277196, 526461.03000028955284506 174740.58800019952468574, 526424.31900023424532264 174805.19199998158728704, 526596.23399992869235575 174828.25499989170930348, 526854.93299989227671176 174859.25899968622252345, 526889.59900026104878634 174868.00500010320683941, 526968.95599967695306987 174914.7820003071683459, 526994.18799979728646576 174930.35900028131436557, 527036.99999996775295585 174953.5779999999795109)))</t>
  </si>
  <si>
    <t>E01004621</t>
  </si>
  <si>
    <t>Wandsworth 019D</t>
  </si>
  <si>
    <t>MultiPolygon (((526894.8700001472607255 174359.85199996002484113, 526945.3120001470670104 174339.4129998610005714, 526989.50299985008314252 174370.08999983515241183, 526995.75400014687329531 174339.60099985176930204, 527046.27600015746429563 174337.20500011637341231, 527025.52099991240538657 174229.28500010268180631, 526938.19700001017190516 174107.7409999139199499, 526889.79499993950594217 174079.63599997494020499, 526975.17600008961744606 173948.11500000656815246, 527139.50999990513082594 174023.88599998629069887, 527169.36999995063524693 173967.62700007588136941, 527045.74899983638897538 173905.43300001465831883, 527112.08200004848185927 173792.09900015316088684, 527077.99999983224552125 173771.00000013795215636, 527062.0000000970903784 173797.99999997150734998, 527022.27900004596449435 173773.65499984778580256, 526957.00300013984087855 173733.00199998199241236, 526915.00000000628642738 173819.00000003378954716, 526742.37599985278211534 173722.99599999998463318, 526595.20400004938710481 173892.40800003233016469, 526668.02600012451875955 174011.3810000738594681, 526633.47499999194405973 174062.41800002424861304, 526689.75599985348526388 174159.13000011869007722, 526753.54100010276306421 174281.46700016385875642, 526815.60900012974161655 174413.28800000000046566, 526894.8700001472607255 174359.85199996002484113)))</t>
  </si>
  <si>
    <t>E01004622</t>
  </si>
  <si>
    <t>Wandsworth 024D</t>
  </si>
  <si>
    <t>E02000946</t>
  </si>
  <si>
    <t>Wandsworth 024</t>
  </si>
  <si>
    <t>MultiPolygon (((526849.30599993653595448 173510.08700003122794442, 526894.07300004409626126 173435.44799995888024569, 527001.94899994402658194 173508.89199986375751905, 527037.47500004025641829 173427.31600015322328545, 527104.10599989676848054 173304.81200005885330029, 527139.8540000100620091 173323.62899986622505821, 527102.73600016662385315 173409.26699996096431278, 527194.43000013462733477 173440.38100016571115702, 527316.01399981079157442 173397.32599987654248253, 527415.11300000012852252 173241.1940000346803572, 527242.00000014086253941 173057.0000000917352736, 527140.41299995325971395 173112.56100006829365157, 527094.00000010465737432 173081.00100007015862502, 527078.05799993313848972 173004.60799988720100373, 527021.1090001012198627 172971.36700015907990746, 526929.29800008283928037 173136.78199992253212258, 526877.76800002017989755 173126.84200001243152656, 526903.86699995677918196 173083.01699996693059802, 526861.4900001841597259 173074.46899981278693303, 526807.7949998244876042 173164.76599986277869903, 526651.26300000003539026 173425.0429998685431201, 526681.85800003074109554 173455.91099988922360353, 526660.99999989802017808 173490.99999987278715707, 526923.89199989475309849 173706.70299984092707746, 526926.4749999176710844 173607.68300007405923679, 526849.30599993653595448 173510.08700003122794442)))</t>
  </si>
  <si>
    <t>E01004625</t>
  </si>
  <si>
    <t>Wandsworth 027E</t>
  </si>
  <si>
    <t>MultiPolygon (((528747.08999999752268195 175792.05600015760865062, 528776.99899990169797093 175720.0000000350701157, 528814.76099996257107705 175740.1519998908333946, 528850.4759998400695622 175676.88499998179031536, 528931.03800008737016469 175514.10999991232529283, 528994.88099988223984838 175527.83400008661556058, 529029.50399985502008349 175468.83500012586591765, 529089.9999998725252226 175374.000000065745553, 529144.20199998654425144 175449.90299993375083432, 529147.00000012537930161 175454.00000014837132767, 529189.99999997578561306 175432.99999986798502505, 529221.78300000005401671 175405.69500013437937014, 529165.32899986114352942 175218.42299985507270321, 529074.47299996495712548 175218.31699984241276979, 528809.05099997029174119 175219.97200007663923316, 528795.35800005600322038 175257.10200007422827184, 528851.51999991596676409 175331.62599993622279726, 528811.22399990633130074 175347.21199986914871261, 528792.02400015818420798 175401.93099984360742383, 528823.05399989720899612 175421.57799987701582722, 528790.88000008871313184 175494.6889999485865701, 528740.69499993568751961 175482.82699985627550632, 528734.28299998154398054 175513.05800013447878882, 528691.42800010577775538 175505.75399993965402246, 528667.23899990227073431 175581.56100015007541515, 528643.17400009173434228 175709.61499993604957126, 528619.3710001417202875 175724.45399992621969432, 528585.90900013060308993 175681.46400010754587129, 528575.05499999993480742 175728.2479999887291342, 528598.43199989304412156 175760.5770001269702334, 528590.61200000264216214 175729.29600007727276534, 528633.86600001156330109 175742.34699989666114561, 528654.00000013364478946 175788.99999984764144756, 528710.07099986681714654 175763.10799990445957519, 528747.08999999752268195 175792.05600015760865062)))</t>
  </si>
  <si>
    <t>E01003040</t>
  </si>
  <si>
    <t>Lambeth 013D</t>
  </si>
  <si>
    <t>MultiPolygon (((528575.054999980609864 175728.24799989836174063, 528585.90899992710910738 175681.46399999532150105, 528619.37100011645816267 175724.45400000916561112, 528643.1740000779973343 175709.61499993840698153, 528667.23900006245821714 175581.56099999291473068, 528691.42799990822095424 175505.75399987501441501, 528734.28300010471139103 175513.0579999795590993, 528740.69499999366234988 175482.82700012170244008, 528790.87999988219235092 175494.68900001078145579, 528823.05400013038888574 175421.57799996124231257, 528792.02400001813657582 175401.93099989261827432, 528811.22399999480694532 175347.21200010002939962, 528851.51999990863259882 175331.6259999948379118, 528795.35799989104270935 175257.10200002806959674, 528809.05100011883769184 175219.97200004028854892, 528640.56300009787082672 175208.84400000004097819, 528638.24899997713509947 175217.68900008086347952, 528622.519999920274131 175257.2820000458159484, 528571.20499993488192558 175359.83399994790670462, 528561.95000008947681636 175388.97500011924421415, 528539.09699994570109993 175550.1610000038635917, 528535.32899990526493639 175582.91800001490628347, 528519.31300009146798402 175722.12499999586725608, 528561.18099988158792257 175731.36999999999534339, 528575.054999980609864 175728.24799989836174063)))</t>
  </si>
  <si>
    <t>E01003042</t>
  </si>
  <si>
    <t>Lambeth 013E</t>
  </si>
  <si>
    <t>MultiPolygon (((528056.30200000014156103 175586.53599999999278225, 528073.7279999628663063 175408.96999992497148924, 528072.93499990820419043 175384.38599998404970393, 528047.70300002710428089 175394.58499999588821083, 528032.00000003702007234 175377.99900008412078023, 528042.5980000781128183 175247.32500005315523595, 528118.30800005909986794 175228.03600000715232454, 528119.99999992561060935 175204.64099990288377739, 527951.40399999415967613 175196.8310000631317962, 527832.3669999266276136 175178.08900000000721775, 527823.42200000700540841 175222.10600001900456846, 527871.87600001902319491 175223.56200002573314123, 527781.11700007447507232 175505.09299994143657386, 527782.61700003431178629 175545.3259999114961829, 527846.99900001008063555 175565.00000005748006515, 527890.12799989921040833 175530.34899996398598887, 527922.5780000101076439 175538.85399994440376759, 527953.49299992911983281 175548.02299995932844467, 528056.30200000014156103 175586.53599999999278225)))</t>
  </si>
  <si>
    <t>E01004586</t>
  </si>
  <si>
    <t>Wandsworth 009C</t>
  </si>
  <si>
    <t>E02000931</t>
  </si>
  <si>
    <t>Wandsworth 009</t>
  </si>
  <si>
    <t>MultiPolygon (((528419.00000001769512892 175594.99900004311348312, 528427.99999994435347617 175560.00000009761424735, 528449.51799996721092612 175580.74799991268082522, 528535.32899999839719385 175582.91799993952736259, 528539.09700000670272857 175550.16099996431148611, 528561.94999998796265572 175388.97500004325411282, 528571.20500008529052138 175359.83399991321493872, 528622.52000000572297722 175257.28199990527355112, 528638.24899999995250255 175217.68899992894148454, 528494.97199991554953158 175205.55499995520222001, 528288.63699993025511503 175203.86599995687720366, 528292.20200008025858551 175251.19199991881032474, 528355.15400002908427268 175253.8459999188198708, 528294.09800007508601993 175397.46899997879518196, 528230.79999993881210685 175492.50999993277946487, 528214.5280000000493601 175540.01599996531149372, 528382.45100005296990275 175585.17199990042718127, 528419.00000001769512892 175594.99900004311348312)))</t>
  </si>
  <si>
    <t>E01004587</t>
  </si>
  <si>
    <t>Wandsworth 009D</t>
  </si>
  <si>
    <t>MultiPolygon (((528091.16599994862917811 175661.13999989914009348, 528073.00000005715992302 175635.00000006097252481, 528157.00400006026029587 175663.97799989930354059, 528164.91499992331955582 175620.13799994165310636, 528138.66899996309075505 175607.14899991484708153, 528138.47999994421843439 175540.62099999177735299, 528149.95499993150588125 175516.1289999149448704, 528182.00000011012889445 175529.00000002430169843, 528190.99999992758966982 175481.99999992284574546, 528206.58700011065229774 175486.18199992846348323, 528230.80000008246861398 175492.51000000242493115, 528294.09800005203578621 175397.46899995292187668, 528355.15399996936321259 175253.84600007292465307, 528292.20199996570590883 175251.19200002250727266, 528288.63700001314282417 175203.8660000000090804, 528119.99999992700759321 175204.64100006018998101, 528118.3080000668996945 175228.03599993319949135, 528042.59800003375858068 175247.32499997111153789, 528031.99999998835846782 175377.9989999140962027, 528047.70299996854737401 175394.58499996532918885, 528072.93500008492264897 175384.3860000625718385, 528073.72800006973557174 175408.9700001142336987, 528056.30199998617172241 175586.53599991634837352, 527953.49300010490696877 175548.02300004425342195, 527922.57800003048032522 175538.85400002126698382, 527925.73900000273715705 175619.05299999631824903, 528000.68499994254671037 175657.3450000093143899, 528027.23599995032418519 175666.96400000000721775, 528091.16599994862917811 175661.13999989914009348)))</t>
  </si>
  <si>
    <t>E01004589</t>
  </si>
  <si>
    <t>Wandsworth 009E</t>
  </si>
  <si>
    <t>MultiPolygon (((527547.66600013244897127 175295.76100008821231313, 527594.7500000762520358 175223.32800011814106256, 527698.19400004716590047 175167.04000003021792509, 527747.25299990328494459 175164.61399983876617625, 527758.47499984654132277 175127.87299998226808384, 527628.54299990611616522 175108.32000003237044439, 527634.30200018268078566 175007.37599985246197321, 527583.2200000862358138 174987.81999985899892636, 527515.0550001326482743 174960.14499998683459125, 527532.72300000209361315 174901.76600014610448852, 527557.76800003950484097 174784.57400006361422129, 527497.71199981961399317 174762.06700000001001172, 527490.96900000632740557 174821.34299995785113424, 527475.39399991871323436 174879.01399984420277178, 527464.3909998363815248 174907.743999914964661, 527415.18300002941396087 175084.68699984555132687, 527356.41800011578015983 175080.87000010820338503, 527343.51800014730542898 175111.49900009407429025, 527359.2219998954096809 175147.3209998827369418, 527261.05599985516164452 175139.65499994359561242, 527377.57400010817218572 175190.7440001416252926, 527395.80300001008436084 175235.52899989415891469, 527354.9640000241342932 175240.42799985336023383, 527274.99999986251350492 175204.00000011624069884, 527261.53200012852903455 175233.86300004317308776, 527253.00000015355180949 175261.99999998553539626, 527389.52199989836663008 175307.6059998580312822, 527427.12600011576432735 175314.10200014122528955, 527440.08200015965849161 175283.7940000222006347, 527506.21900016895961016 175311.4719999379303772, 527527.94399994146078825 175351.59799989699968137, 527495.33800001419149339 175435.69800000239047222, 527582.81400009151548147 175497.04799983490374871, 527589.51900009054224938 175499.26900000000023283, 527540.12500016437843442 175397.51599987433291972, 527547.66600013244897127 175295.76100008821231313)))</t>
  </si>
  <si>
    <t>E01004552</t>
  </si>
  <si>
    <t>Wandsworth 008C</t>
  </si>
  <si>
    <t>E02000930</t>
  </si>
  <si>
    <t>Wandsworth 008</t>
  </si>
  <si>
    <t>MultiPolygon (((527377.5740000254008919 175190.74400018289452419, 527261.05600006878376007 175139.65500008300296031, 527359.22199996199924499 175147.32099981865030713, 527343.51799990655854344 175111.49900002454523928, 527356.41800011356826872 175080.869999980321154, 527415.18300016096327454 175084.68699984086561017, 527464.39099999179597944 174907.74400004846393131, 527475.39400010672397912 174879.01399984379531816, 527490.96899986150674522 174821.34299990287399851, 527279.18900013598613441 174735.0800000274903141, 527268.87599989760201424 174730.66200011211913079, 527244.00000004260800779 174720.0000000718573574, 527297.65000007615890354 174610.43100006581516936, 527123.22000001126434654 174503.05800000001909211, 527087.69799993897322565 174602.83400009659817442, 527036.99999986740294844 174953.57800011677318253, 526994.18800013861618936 174930.35900006027077325, 527057.35300016240216792 175177.12399983228533529, 527062.80400014505721629 175173.62700011749984697, 527168.00000008335337043 175132.00000006434856914, 527175.11800007638521492 175156.02299998007947579, 527223.11799981782678515 175146.86600012987037189, 527365.89500010944902897 175216.4379999725788366, 527354.96400011947844177 175240.4280000000144355, 527395.80300013639498502 175235.52899999232613482, 527377.5740000254008919 175190.74400018289452419)))</t>
  </si>
  <si>
    <t>E01004553</t>
  </si>
  <si>
    <t>Wandsworth 015A</t>
  </si>
  <si>
    <t>MultiPolygon (((528640.56300010194536299 175208.84399986497010104, 528674.62499998672865331 174953.79699999553849921, 528755.99899999995250255 174672.98999998546787538, 528548.11900029587559402 174586.31799990424769931, 528368.57399986300151795 174706.49899985699448735, 528295.02300017373636365 174795.88899987121112645, 528210.72600000153761357 174934.20400012109894305, 528146.28199980885256082 174916.23600028236978687, 528135.40800029563251883 174942.24899974241270684, 528114.99999990116339177 175018.00000017689308152, 528011.23599972401279956 174998.29599972305004485, 528022.11599982192274183 174906.92599972066818736, 527944.48599983146414161 174885.79499991243937984, 527948.0000001909211278 174861.00000001830630936, 527918.22399999399203807 174852.56400003863382153, 527827.99999998661223799 174828.00000000867294148, 527806.97400017315521836 174821.17799971665954217, 527784.40099985897541046 174909.21299994733999483, 527679.21800007286947221 174865.41800016048364341, 527679.97699989262036979 174922.46999973556376062, 527773.34400019550230354 174952.33600001651211642, 527765.09000016516074538 174984.52800029166974127, 527532.72299976530484855 174901.76600007113302127, 527515.05500000005122274 174960.14500001026317477, 527583.21999993897043169 174987.82000011281343177, 527634.30199972831178457 175007.3760000009497162, 527628.54300013289321214 175108.32000023254659027, 527758.47499988041818142 175127.87300013858475722, 527747.25299995928071439 175164.61400018882704899, 527832.36699981230776757 175178.08899971190840006, 527951.40400017180945724 175196.83099990137270652, 528120.00000029744114727 175204.64100009598769248, 528288.63699997193180025 175203.8660001648531761, 528494.97200019762385637 175205.55500002595363185, 528638.24900003615766764 175217.68900009573553689, 528640.56300010194536299 175208.84399986497010104)))</t>
  </si>
  <si>
    <t>E01004554</t>
  </si>
  <si>
    <t>Wandsworth 009A</t>
  </si>
  <si>
    <t>MultiPolygon (((526270.03499993262812495 175027.19400009769015014, 526154.18100010103080422 174960.02099989654379897, 526083.1230001567164436 174968.85299998664413579, 526034.45500016573350877 174965.6120000651862938, 526022.39899998588953167 174935.91699992184294388, 526050.09700010099913925 174859.4819998488528654, 526122.8240000712685287 174869.9589999936579261, 526147.56500012252945453 174812.62799995692330413, 526055.97599992528557777 174770.49000014580087736, 526071.6540000147651881 174737.28799990596598946, 526031.33600019698496908 174720.7579998490982689, 526036.73199985921382904 174703.91499991991440766, 526053.66699987556785345 174675.96799985601683147, 526083.57000016467645764 174600.74000006559072062, 525935.06100017880089581 174545.62200019333977252, 525911.00000010337680578 174533, 525873.00000017671845853 174644.99999980485881679, 525835.91999993880745023 174641.80899992224294692, 525696.96500006737187505 174743.95699987045372836, 525703.04499989782925695 174820.3159998370683752, 525858.99700000742450356 174852.37300001602852717, 525934.99999980803113431 174907.00000013021053746, 525905.49500012781936675 174959.7360001879860647, 525966.54999985359609127 174995.25899987149750814, 525951.00000000558793545 175025.9999998489220161, 526030.99999980989377946 175156.99999981437576935, 526014.00000001909211278 175185.99999985189060681, 526096.00000019313301891 175247.99999987770570442, 526115.46500004432164133 175321.83699999999953434, 526204.11699995666276664 175186.40199986431980506, 526197.82699988421518356 175179.52199980698060244, 526270.03499993262812495 175027.19400009769015014)))</t>
  </si>
  <si>
    <t>E01004514</t>
  </si>
  <si>
    <t>Wandsworth 012C</t>
  </si>
  <si>
    <t>E02000934</t>
  </si>
  <si>
    <t>Wandsworth 012</t>
  </si>
  <si>
    <t>MultiPolygon (((527031.4080000794492662 175196.11300003450014628, 527057.35300000000279397 175177.12399988775723614, 526994.18799991300329566 174930.35900002514244989, 526968.95599992503412068 174914.78200002963421866, 526889.59899993345607072 174868.00499989438685589, 526854.93300010845996439 174859.2589998819748871, 526805.42700012447312474 174918.33900005789473653, 526805.69000011146999896 174985.20000007437192835, 526593.63400010974146426 174896.77300011948682368, 526602.23099992820061743 174950.61600000417092815, 526558.00000000011641532 174981.99999998960993253, 526620.00000005040783435 175007.00000007436028682, 526605.22599987685680389 175078.39699990197550505, 526671.26499993936158717 175063.12900004221592098, 526570.67299989052116871 175259.44400003939517774, 526575.48100002727005631 175260.92999991413671523, 526647.15399999800138175 175283.73099994182121009, 526705.01799996686168015 175194.24600006270338781, 526856.82300002977717668 175262.43700007925508544, 526805.12499991897493601 175310.13100007924367674, 526823.27700004715006799 175335.23600011802045628, 526896.90699987881816924 175271.28100011532660574, 527016.9920000535203144 175207.01100000090082176, 527031.4080000794492662 175196.11300003450014628)))</t>
  </si>
  <si>
    <t>E01004508</t>
  </si>
  <si>
    <t>Wandsworth 012A</t>
  </si>
  <si>
    <t>MultiPolygon (((526251.71099982864689082 175201.92200013343244791, 526295.56200006476137787 175135.05599999753758311, 526366.83799981756601483 175158.50799990780069493, 526408.17999983066692948 174971.77799995904206298, 526536.77900006994605064 175027.91299981976044364, 526557.99999992677476257 174982.00000018582795747, 526602.23099990049377084 174950.61600012172129937, 526593.63399989367462695 174896.77300008063321002, 526805.69000006909482181 174985.19999988243216649, 526805.42700008081737906 174918.33899994572857395, 526854.93299999996088445 174859.25900014117360115, 526596.23399982927367091 174828.25499981467146426, 526424.3189998553134501 174805.19200016709510237, 526247.38400010508485138 174762.80800018334412016, 526147.81299989146646112 174741.20299984674784355, 526165.29899996658787131 174705.26599996315781027, 526197.66800014476757497 174638.74199979924014769, 526158.87900019285734743 174617.37699986656662077, 526104.90100018470548093 174675.44999984611058608, 526053.66700018802657723 174675.96800000331131741, 526036.73199983662925661 174703.91500000318046659, 526031.33599981595762074 174720.75799993611872196, 526071.65400007588323206 174737.28799997013993561, 526055.97599993564654142 174770.48999995112535544, 526147.56500008469447494 174812.62799987467587925, 526122.82399985392112285 174869.95900018030079082, 526050.09699990332592279 174859.48200020080548711, 526022.39899999997578561 174935.91700002297875471, 526034.45500019832979888 174965.61200006472063251, 526083.12300011538900435 174968.8529999794845935, 526154.18100000789854676 174960.02100018414785154, 526270.03499990561977029 175027.19400014640996233, 526197.82699998561292887 175179.52200017595896497, 526204.11699999158736318 175186.40199996071169153, 526213.3619999234797433 175189.41800006915582344, 526251.71099982864689082 175201.92200013343244791)))</t>
  </si>
  <si>
    <t>E01004510</t>
  </si>
  <si>
    <t>Wandsworth 012B</t>
  </si>
  <si>
    <t>MultiPolygon (((527529.64200004900339991 176918.67999999999301508, 527552.8200000113574788 176860.8390000787912868, 527589.96800011629238725 176871.38800009450642392, 527691.75000008824281394 176525.62499993393430486, 527688.9340000479714945 176515.46399998344713822, 527657.70199998654425144 176503.20699990566936322, 527501.37100010470021516 176449.10800000000745058, 527494.261000084457919 176475.14399993099505082, 527484.99999990768264979 176496.99999998943530954, 527442.60300001979339868 176481.10099994923803024, 527360.90900001232512295 176539.65399991994490847, 527453.25999995192978531 176546.70200000118347816, 527394.60400006745476276 176665.99600002489751205, 527315.46400005498435348 176647.0370000027178321, 527295.80799999122973531 176693.95200003663194366, 527338.39599993359297514 176696.93600002519087866, 527342.05199995043221861 176763.54699990933295339, 527307.4599999823840335 176783.80599991770577617, 527293.97899991180747747 176842.41600005957297981, 527432.08999997621867806 176904.96999999560648575, 527455.58699992019683123 176906.13600009845686145, 527529.64200004900339991 176918.67999999999301508)))</t>
  </si>
  <si>
    <t>E01004577</t>
  </si>
  <si>
    <t>Wandsworth 003C</t>
  </si>
  <si>
    <t>MultiPolygon (((527295.80800007551442832 176693.95199988663080148, 527315.46399990352801979 176647.03700001147808507, 527394.60399992763996124 176665.99599999305792153, 527453.26000008021946996 176546.70199999655596912, 527360.90899992233607918 176539.6540000913082622, 527442.60300004330929369 176481.10099986955174245, 527484.99999988195486367 176497.00000011597876437, 527494.26100006699562073 176475.14400006172945723, 527501.3709998627891764 176449.10799996912828647, 527513.65599999995902181 176396.41200000233948231, 527342.67299989459570497 176321.46699994956725277, 527283.84600000351201743 176293.69399990863166749, 527281.99999992758966982 176301.99999989135540091, 527271.47000004968140274 176333.58899986514006741, 527229.55899993877392262 176459.32400007706019096, 527219.00000013457611203 176491.00100004867999814, 527152.50800013402476907 176469.17399992066202685, 527141.59200008120387793 176500.98200008925050497, 527092.8500001011416316 176483.69900010511628352, 527052.99999994342215359 176590.4140001050545834, 526995.40299986361060292 176605.53199998603668064, 526958.79999989084899426 176642.14300003493553959, 526954.56199999991804361 176666.64599988199188374, 527081.33899991342332214 176723.103999967162963, 527102.11000006704125553 176682.1470001190318726, 527148.15600013802759349 176724.13900009135250002, 527237.79300007573328912 176699.81599999847821891, 527295.80800007551442832 176693.95199988663080148)))</t>
  </si>
  <si>
    <t>E01004579</t>
  </si>
  <si>
    <t>Wandsworth 004B</t>
  </si>
  <si>
    <t>E02000926</t>
  </si>
  <si>
    <t>Wandsworth 004</t>
  </si>
  <si>
    <t>MultiPolygon (((527551.02399997832253575 177002.25299997479305603, 527589.96799991501029581 176871.38799993094289675, 527552.82000013673678041 176860.83899985603056848, 527529.64199996832758188 176918.68000014859717339, 527455.58700011449400336 176906.13599988401983865, 527432.08999998739454895 176904.96999990302720107, 527293.97900012892205268 176842.41600012284470722, 527307.46000012208241969 176783.80600006389431655, 527266.51699996623210609 176775.03299999999580905, 527249.5360000153305009 176811.24600006439140998, 527268.76699996192473918 176838.76699986436869949, 527224.54599988949485123 176879.59800015174550936, 527255.15199993806891143 176928.33500001425272785, 527302.00000007322523743 176973.99999988358467817, 527358.72799997788388282 176979.07799998798873276, 527296.99999990570358932 177116.99999988893978298, 527253.00000002677552402 177176.99999998489511199, 527242.63900006155017763 177195.71899998578010127, 527154.45299988961778581 177295.45399994699982926, 527144.46000008482951671 177314.82099993896554224, 527431.99300006998237222 177413.09799999999813735, 527462.56400002003647387 177316.09500007797032595, 527489.83099986193701625 177219.35599986874149181, 527551.02399997832253575 177002.25299997479305603)))</t>
  </si>
  <si>
    <t>E01004582</t>
  </si>
  <si>
    <t>Wandsworth 001C</t>
  </si>
  <si>
    <t>MultiPolygon (((527296.99999992398079485 177117.00000000515137799, 527358.72800005681347102 176979.07800003929878585, 527302.00000006216578186 176973.99999989804928191, 527255.15200006170198321 176928.33500014507444575, 527203.43200014380272478 176980.50899988855235279, 527140.99999999825377017 176967.00000006498885341, 527126.40500008512753993 176931.61799992201849818, 527094.67499989550560713 176868.35099986626300961, 527067.43900011642836034 176896.17399995366577059, 527064.43699998885858804 176979.82500002294545993, 527018.28000010072719306 176956.14500003174180165, 526976.01900009869132191 176913.47199988240026869, 526904.03099987935274839 176940.70300000006682239, 526936.20000000949949026 176858.22799993155058473, 526895.79199992748908699 176819.44300002994714305, 526858.40500012796837837 176878.63500006918911822, 526810.22300013585481793 176808.33700011757900938, 526868.33900000888388604 176767.92200008922372945, 526830.76600013254210353 176714.22500000000582077, 526796.37899987539276481 176721.87899992844904773, 526826.8880001085344702 176743.22400008817203343, 526768.96699994301889092 176784.17299992992775515, 526821.45100001455284655 177011.52500014202087186, 526903.59499991580378264 177149.44500012317439541, 527026.40000006312038749 177265.1000000849890057, 527144.45999992080032825 177314.82099999996717088, 527154.45299995050299913 177295.4540000039851293, 527242.63900011614896357 177195.71900001598987728, 527253.00000002956949174 177176.99999986108741723, 527296.99999992398079485 177117.00000000515137799)))</t>
  </si>
  <si>
    <t>E01004583</t>
  </si>
  <si>
    <t>Wandsworth 001D</t>
  </si>
  <si>
    <t>MultiPolygon (((527224.54599995061289519 176879.59799998643575236, 527268.76699997205287218 176838.76700007388717495, 527249.5360000014770776 176811.24600002673105337, 527266.51699999545235187 176775.03300006917561404, 527307.4599999519996345 176783.80600007524481043, 527342.05199999990873039 176763.54700001623132266, 527338.39599993219599128 176696.93599995377007872, 527295.80800006864592433 176693.95199998328462243, 527237.79299992648884654 176699.81599999038735405, 527148.1559999716700986 176724.13900007519987412, 527102.1099999783327803 176682.14700001166784205, 527081.33900002739392221 176723.10400003605172969, 527072.50599994428921491 176789.82799996904213913, 527009.33100000000558794 176852.84899999856133945, 527067.43899998697452247 176896.17400000127963722, 527094.67500004265457392 176868.35100008224253543, 527126.40499992738477886 176931.61800004486576654, 527141.00000006961636245 176967.00000002549495548, 527203.43199991714209318 176980.50899998829117976, 527255.15199992316775024 176928.33500001500942744, 527224.54599995061289519 176879.59799998643575236)))</t>
  </si>
  <si>
    <t>E01004584</t>
  </si>
  <si>
    <t>Wandsworth 003D</t>
  </si>
  <si>
    <t>MultiPolygon (((527971.84099986113142222 176009.20300002381554805, 527988.66499985940754414 175982.5629999776429031, 527864.385999926016666 175966.81100012621027417, 527838.08500005886889994 175914.95799990138038993, 527875.19999994058161974 175915.40000001370208338, 527880.57000014092773199 175868.94100000933394767, 527887.0000000533182174 175819.99999987508635968, 527911.34699995163828135 175823.23000002081971616, 527918.21600008010864258 175794.95400006099953316, 527971.88600000506266952 175797.11999997225939296, 528000.68500010995194316 175657.34499993102508597, 527925.73899998015258461 175619.05300013252417557, 527922.57799999858252704 175538.85400000694789924, 527890.1280000425176695 175530.34899996494641528, 527846.99899993778672069 175564.99999994426616468, 527782.61699987156316638 175545.32599988396395929, 527781.11699988367035985 175505.09300004501710646, 527747.31299989740364254 175500.83300000001327135, 527736.00000004097819328 175537.00000007508788258, 527726.00000002700835466 175534.00000009921495803, 527719.99100010306574404 175565.12199988175416365, 527663.72000000707339495 175561.94600013527087867, 527642.99999993969686329 175767.00000011257361621, 527539.3159999568015337 175788.79899989633122459, 527725.62600001913961023 175927.67600000783568248, 527742.22400008677504957 175939.96300009376136586, 527888.46099997300188988 176048.17200012051034719, 527913.11699995445087552 176009.38099991407943889, 527882.80399987346027046 175984.334000040194951, 527999.6069998872699216 176066.95800000001327135, 528003.42400004318915308 176052.06100005394546315, 527971.84099986113142222 176009.20300002381554805)))</t>
  </si>
  <si>
    <t>E01004585</t>
  </si>
  <si>
    <t>Wandsworth 008D</t>
  </si>
  <si>
    <t>MultiPolygon (((527643.00000005715992302 175766.99999988690251485, 527663.71999996108934283 175561.94600006006658077, 527719.99099989316891879 175565.12200002354802564, 527725.99999986356124282 175533.99999985119211487, 527736.00000002444721758 175536.99999993070377968, 527747.31299986073281616 175500.83300015263375826, 527781.11700001370627433 175505.09300004705437459, 527871.8760001229820773 175223.56199987867148593, 527823.42200007603969425 175222.10600004397565499, 527832.36699994117952883 175178.08900003193411976, 527747.25300007767509669 175164.61400000000139698, 527698.19399998092558235 175167.03999986557755619, 527594.74999989697244018 175223.32800010030041449, 527547.66600009961985052 175295.76100007875356823, 527540.12500015320256352 175397.51599986979272217, 527589.51900002732872963 175499.26900008416851051, 527582.81400007591582835 175497.04800004974822514, 527401.68799989682156593 175468.15600003534927964, 527366.28400011768098921 175489.92999997871811502, 527319.9989998770179227 175617.42199990080553107, 527515.81700011040084064 175771.2780000283382833, 527539.31599990441463888 175788.79899999999906868, 527643.00000005715992302 175766.99999988690251485)))</t>
  </si>
  <si>
    <t>E01004588</t>
  </si>
  <si>
    <t>Wandsworth 008E</t>
  </si>
  <si>
    <t>MultiPolygon (((527452.05699985742103308 176339.6709998351871036, 527485.7899999920045957 176262.7210001757775899, 527552.28799988050013781 176282.0650000307650771, 527544.17299995361827314 176259.54600005835527554, 527571.7939998775254935 176261.6179997657018248, 527585.99999980872962624 176218.99999997179838829, 527720.00099992309696972 176213.07500004692701623, 527854.99999994994141161 176205.99999991137883626, 527998.10000012209638953 176211.71499990919255652, 528075.54500006721355021 176248.7829998005181551, 528102.78899999987334013 176194.47699976502917707, 527888.46100005693733692 176048.17199994350085035, 527742.22400024230591953 175939.96299999178154394, 527725.62600025720894337 175927.67600001930259168, 527539.31599991710390896 175788.79900016493047588, 527515.8169997512595728 175771.27800016483524814, 527487.34900022845249623 175814.32500020635779947, 527539.15700026217382401 175924.39899989153491333, 527539.19600018765777349 175993.92700002406490967, 527425.19799979089293629 175982.15200007203384303, 527312.71299981442280114 176049.22999998784507625, 527329.8080000540940091 175962.10899991070618853, 527190.63000009069219232 175932.66000021001673304, 527169.98700021405238658 175953.57100017659831792, 527153.16100004885811359 176038.86299995853914879, 527147.90099989296868443 176062.88000005125650205, 527115.52599992731120437 176050.30499976695864461, 527035 176056.00000007677590474, 527035 176101.0000000805594027, 527098.01900024269707501 176116.31299982563359663, 527081.64999988814815879 176152.25600018401746638, 527105.01599999342579395 176159.08999980837688781, 527246.18399987567681819 176267.46399985530297272, 527249.60799984564073384 176270.16699986212188378, 527283.84600010991562158 176293.69400012504775077, 527342.67300008505117148 176321.46699981301208027, 527366.12799986964091659 176284.59900000476045534, 527452.05699985742103308 176339.6709998351871036)))</t>
  </si>
  <si>
    <t>E01004534</t>
  </si>
  <si>
    <t>Wandsworth 008A</t>
  </si>
  <si>
    <t>MultiPolygon (((526733.00000007043126971 176462.00000000241561793, 526775.53299989039078355 176451.84000010456657037, 526785.13099985267035663 176489.85899992106715217, 526843.57599987951107323 176495.59700003793113865, 526861.33100003586150706 176402.48800000475603156, 526891.29100005351938307 176431.85299992782529444, 526920.78900006099138409 176416.22299992863554507, 526911.0930000200169161 176330.13700003587291576, 526955.47399988071992993 176321.10600010058260523, 526966.25999986915849149 176269.34800003404961899, 526946.76899994304403663 176256.1499999062216375, 526946.37699994398280978 176135.87299996486399323, 526902.8329999721609056 176130.5399999576038681, 526853.88000012573320419 176123.22100005045649596, 526841.30800008843652904 176120.32200007769279182, 526745.25000011979136616 176052.10900015203515068, 526662.58500003861263394 175933.80499999999301508, 526617.83100014564115554 175948.38899984187446535, 526591.5000001264270395 175950.48400008463067934, 526547.75000013085082173 175970.5310000900644809, 526560.62499987275805324 176024.74999986076727509, 526601.4470000626752153 176025.44400011582183652, 526615.09499985515139997 176072.074999882344855, 526587.41099996434058994 176105.71399986124015413, 526683.75899984349962324 176207.98299990445957519, 526857.02599998412188143 176234.15099992492469028, 526855.91199997870717198 176272.03000003562192433, 526808.00600005465094 176272.03000003562192433, 526818.77199999464210123 176302.33399993623606861, 526771.31499997014179826 176313.9210000429302454, 526823.10299995099194348 176348.83099985323497094, 526715.28299984778277576 176392.22300009022001177, 526691.68199994624592364 176307.73599987305351533, 526635.55700015265028924 176314.6350000298989471, 526666.49999993795063347 176447.99999999118153937, 526693.40000014717224985 176453.00000006300979294, 526670.69999997294507921 176460.79999994719401002, 526686.74899995734449476 176566.76799999998183921, 526708.4130001567536965 176564.47900007900898345, 526733.00000007043126971 176462.00000000241561793)))</t>
  </si>
  <si>
    <t>E01033099</t>
  </si>
  <si>
    <t>Wandsworth 004E</t>
  </si>
  <si>
    <t>MultiPolygon (((526342.27799995359964669 175453.63800004869699478, 526190.80200003471691161 175320.40200000000186265, 526112.12500002677552402 175326.98399985235300846, 526031.69400008558295667 175471.39599999075289816, 526143.49400007829535753 175545.87600003776606172, 526230.58300010464154184 175603.89499989725300111, 526247.66300008108373731 175615.91000015180907212, 526314.29599992372095585 175679.88699987306608818, 526347.45699986745603383 175716.02999986874056049, 526491.21500006422866136 175949.75399999995715916, 526527.25100015022326261 175938.37499990526703186, 526523.93799996620509773 175904.00000009272480384, 526481.23500006133690476 175880.00099988974398002, 526548.99999992724042386 175821.00000007732887752, 526619.4209999144077301 175769.0170000784273725, 526518.4090000978903845 175628.22200011141831055, 526475.00399988901335746 175578.95500013610580936, 526434.55000005511101335 175537.11400006496114656, 526416.09000012371689081 175518.58799998927861452, 526362.28999985370319337 175470.89700000634184107, 526342.27799995359964669 175453.63800004869699478)))</t>
  </si>
  <si>
    <t>E01033101</t>
  </si>
  <si>
    <t>Wandsworth 004F</t>
  </si>
  <si>
    <t>MultiPolygon (((526771.31499995710328221 176313.92100006330292672, 526818.77200006332714111 176302.33400013030041009, 526808.0059998738579452 176272.03000013125711121, 526855.91199996054638177 176272.03000013125711121, 526857.02600000484380871 176234.15100006645661779, 526683.75900010426994413 176207.98299985568155535, 526587.41100008122157305 176105.71400002026348375, 526615.09499998984392732 176072.07500004945904948, 526601.44699985673651099 176025.44399997999425977, 526560.62500013341195881 176024.74999995960388333, 526547.75000010605435818 175970.53100005886517465, 526591.49999985424801707 175950.48399986486765556, 526617.8309999059420079 175948.38900003817980178, 526662.58500010031275451 175933.8049999583454337, 526650.53299999597948045 175876.66700006212340668, 526625.64900014351587743 175776.71599998674355447, 526619.42100001906510442 175769.01699999999254942, 526548.9999999029096216 175821.00000002814340405, 526481.23499999509658664 175880.00100009984453209, 526523.9379999527009204 175904.00000006868503988, 526527.25100012950133532 175938.37500009342329577, 526491.21500000159721822 175949.75400003828690387, 526570.02199996344279498 176132.65400009116274305, 526613.79900011164136231 176153.59999986839829944, 526607.69999988994095474 176209.29999990647775121, 526648.70000002253800631 176201.09999994229292497, 526613.10000010952353477 176220.00000008777715266, 526625.8400000068359077 176272.08800004405202344, 526635.5569999145809561 176314.63500001063221134, 526691.68199995835311711 176307.7359999063774012, 526715.28300000983290374 176392.22299999999813735, 526823.10300007427576929 176348.83100000364356674, 526771.31499995710328221 176313.92100006330292672)))</t>
  </si>
  <si>
    <t>E01033133</t>
  </si>
  <si>
    <t>Wandsworth 004G</t>
  </si>
  <si>
    <t>MultiPolygon (((527053.0000000869622454 176590.41399991541402414, 527092.85000006307382137 176483.69899988392717205, 527141.59200011019129306 176500.98199997644405812, 527152.50800010352395475 176469.17399994141305797, 527219.00000003387685865 176491.00099993831827305, 527229.5590000101365149 176459.32400000948109664, 527271.47000011417549103 176333.58899988941266201, 527282.00000005622860044 176301.99999996743281372, 527283.84599992190487683 176293.69400000592577271, 527249.60799995448905975 176270.16699998380499892, 527246.18400009430479258 176267.46399995547835715, 527105.01600006804801524 176159.08999995535123162, 527081.65000009047798812 176152.25600006539025344, 526946.37699991324916482 176135.87300000002142042, 526946.76900009310338646 176256.14999988858471625, 526966.26000005810055882 176269.34799993093474768, 526955.47400003217626363 176321.10600001999409869, 526911.09300007810816169 176330.13699989902670495, 526920.78899999801069498 176416.22300000523682684, 526954.99999997403938323 176462.99899996383464895, 526941.99999994714744389 176550.00000006635673344, 526972.21700006152968854 176558.19500011531636119, 526995.40299993974622339 176605.53200000000651926, 527053.0000000869622454 176590.41399991541402414)))</t>
  </si>
  <si>
    <t>E01004580</t>
  </si>
  <si>
    <t>Wandsworth 004C</t>
  </si>
  <si>
    <t>MultiPolygon (((526871.00000004062894732 175921.00000004010507837, 526880.99999990966171026 175887.00000002796878107, 526950.00000003515742719 175876.99999996836413629, 527002.21399992250371724 175869.69300004153046757, 526969.18799996853340417 175774.4519999191397801, 526931.00000001722946763 175799.00000007505877875, 526923.79299994802568108 175767.76900007226504385, 527006.83100000000558794 175729.04800000102841295, 526968.84600004751700908 175677.15399992506718263, 526947.55300008971244097 175715.70699993814923801, 526875.88099991006311029 175687.63000005425419658, 526900.00599992286879569 175636.52799992583459243, 526830.40799995104316622 175667.86600000309408642, 526792.40000004845205694 175639.33499996879254468, 526698.46999994106590748 175720.71900005379575305, 526661.13800001388881356 175711.37599995281198062, 526625.64899999997578561 175776.7159999135765247, 526650.53300008166115731 175876.66699994492228143, 526662.58500004862435162 175933.80500008072704077, 526659.62600006198044866 175896.11099999415455386, 526727.6639999293256551 175901.57199991474044509, 526774.13599995861295611 175963.07300007418962196, 526811.60499993665143847 175950.0989999444282148, 526867.9999999274732545 175949.00000001647276804, 526871.00000004062894732 175921.00000004010507837)))</t>
  </si>
  <si>
    <t>E01004535</t>
  </si>
  <si>
    <t>Wandsworth 007A</t>
  </si>
  <si>
    <t>E02000929</t>
  </si>
  <si>
    <t>Wandsworth 007</t>
  </si>
  <si>
    <t>MultiPolygon (((526625.64900017564650625 175776.71599985216744244, 526661.13799998350441456 175711.3759999651229009, 526698.4699998248834163 175720.71899988153018057, 526792.40000009560026228 175639.33500019172788598, 526830.40800011449027807 175667.86599985303473659, 526900.006000159191899 175636.52800015805405565, 526875.88100012147333473 175687.63000002063927241, 526947.55300004931632429 175715.70699986987165175, 526968.84600001748185605 175677.15400015699560754, 526931.00000004447065294 175654.99999990127980709, 526957.00000005285255611 175645.99999980867141858, 527052.99999987438786775 175595.99999994211248122, 527101.37400014337617904 175608.66400002370937727, 527263.99999997229315341 175716.00099999652593397, 527296.00300000002607703 175664.16300002578645945, 527205.6770001765107736 175614.39799995234352536, 526859.17199998593423516 175457.65399990690639243, 526772.93799994175788015 175417.28099983575521037, 526736.91499989584553987 175397.41299996981979348, 526554.79100003256462514 175305.4640001174993813, 526543.29099984932690859 175300.7520001478260383, 526545.51999987731687725 175343.05500019085593522, 526577.06200019188690931 175405.21099992279778235, 526592.28199996228795499 175373.91899996728170663, 526658.05399997194763273 175413.14499989998876117, 526635.90400004852563143 175442.41100007234490477, 526736.63000003097113222 175507.61000000577769242, 526706.30200007557868958 175596.69799980905372649, 526602.0000000282889232 175530.00100002638646401, 526553.00000004249159247 175605.00000003472086973, 526518.40899999998509884 175628.22199998883297667, 526619.42099983314983547 175769.01700005689053796, 526625.64900017564650625 175776.71599985216744244)))</t>
  </si>
  <si>
    <t>E01004537</t>
  </si>
  <si>
    <t>Wandsworth 007B</t>
  </si>
  <si>
    <t>MultiPolygon (((526552.99999992328230292 175605.00000012805685401, 526601.9999999130377546 175530.0009998552268371, 526706.30200006463564932 175596.69799989889725111, 526736.62999999988824129 175507.6100000832520891, 526635.90400009870063514 175442.41099987082998268, 526658.05399995646439493 175413.14500003974535502, 526592.28199985716491938 175373.9190000937669538, 526577.06199990166351199 175405.2109999984386377, 526545.52000002888962626 175343.05500000703614205, 526543.29099992127157748 175300.75199991429690272, 526461.71299997123423964 175271.16099987490451895, 526251.71099994878750294 175201.9220000033674296, 526213.36199986841529608 175189.41800008332938887, 526204.11699989950284362 175186.40200002372148447, 526115.4650001231348142 175321.83699985800194554, 526112.125 175326.98399989039171487, 526190.80199998803436756 175320.40200009115505964, 526342.27799996780231595 175453.63800010125851259, 526362.29000008851289749 175470.89700013870606199, 526416.09000015235505998 175518.58799986584926955, 526434.55000011890660971 175537.11400001883157529, 526475.00400015548802912 175578.95500005566282198, 526518.40899989765603095 175628.22199997628922574, 526552.99999992328230292 175605.00000012805685401)))</t>
  </si>
  <si>
    <t>E01004538</t>
  </si>
  <si>
    <t>Wandsworth 007C</t>
  </si>
  <si>
    <t>MultiPolygon (((527035.00000001350417733 176056.00000003466266207, 527115.52599989413283765 176050.30500011495314538, 527147.90099991217721254 176062.87999999555177055, 527153.16100009728688747 176038.86300011328421533, 527169.9869998904177919 175953.57099998675403185, 527190.62999990582466125 175932.65999987468239851, 527193.69499999994877726 175896.15300013055093586, 527169.00000005622860044 175892.9999998850398697, 527175.00000010593794286 175860.00000001201988198, 527126.99999997508712113 175858.99999987019691616, 527125.79500011797063053 175883.51200000289827585, 527063.48799991968553513 175885.94300011132145301, 527002.21399998664855957 175869.69299987648264505, 526949.99999997648410499 175877.00000001941225491, 526881.00000007206108421 175887.00000010232906789, 526870.99999998917337507 175921.00000011714291759, 526868.00000009778887033 175949.00000008224742487, 526811.60500006482470781 175950.09900006049429066, 526774.13599998934660107 175963.0729999536415562, 526727.66400010720826685 175901.57199986689374782, 526659.62600000004749745 175896.11099987625493668, 526662.58499994839075953 175933.8050000170187559, 526745.25000011490192264 176052.10900001294794492, 526841.30800000310409814 176120.32200011154054664, 526853.8800000180490315 176123.2210000780178234, 526902.83300008252263069 176130.53999995029880665, 526946.37700005155056715 176135.87299989076564088, 527081.65000001969747245 176152.25600012979703024, 527098.01899990695528686 176116.31299994757864624, 527035.00000001350417733 176101.00000000715954229, 527035.00000001350417733 176056.00000003466266207)))</t>
  </si>
  <si>
    <t>E01004541</t>
  </si>
  <si>
    <t>Wandsworth 007D</t>
  </si>
  <si>
    <t>MultiPolygon (((526115.46499999996740371 175321.83700000855606049, 526095.99999992677476257 175248.00000022185849957, 526013.99999977916013449 175186.00000024607288651, 526030.99999974807724357 175156.99999997165286914, 525951.00000007322523743 175025.99999988402123563, 525966.55000012961681932 174995.2589999538322445, 525905.49499987857416272 174959.73599984793690965, 525934.99999983457382768 174907.00000010197982192, 525858.99699979810975492 174852.37300013328786008, 525703.04500003647990525 174820.31600012889248319, 525696.96500003698747605 174743.9570002046530135, 525835.92000012437347323 174641.80899985230644234, 525780.17600006435532123 174633.96100007463246584, 525752.05900017125532031 174549.79700021128519438, 525664.67500008328352123 174498.15799977246206254, 525664.27999990643002093 174558.9670001465419773, 525650.68800024501979351 174635.2189998485846445, 525565.28599987330380827 174666.68099993251962587, 525544.37299991550389677 174674.83600018214201555, 525444.56300017959438264 174696.76599985343636945, 525327.05699990934226662 174663.89500017400132492, 525273.81300018716137856 174650.17199995671398938, 525159.30100003641564399 174635.68499974714359269, 525172.41700016637332737 174684.68799998200847767, 525136.37900024000555277 174702.44500009893090464, 525130.34499986760783941 174808.52699997293530032, 525103.04899999999906868 174841.76900000180467032, 525123.62500008114147931 174886.99599987457622774, 525251.79400003771297634 174902.68799988049431704, 525270.00000006996560842 174858.99999989214120433, 525317.87299977953080088 174880.62799992028158158, 525384.24699982639867812 174913.30000012321397662, 525416.5860002082772553 174848.37500022797030397, 525448.06199998059310019 174863.0629999419033993, 525448.5559997622622177 174905.33299995647394098, 525523.00000014249235392 174845.99999985640170053, 525546.00000001105945557 174854.00000022884341888, 525591.00000001792795956 174980.99999987712362781, 525557.99200020544230938 175064.1040001884684898, 525512.92200023762416095 175061.95800021677860059, 525504.00000020710285753 175190.29999979451531544, 525531.89999986719340086 175146.60000014552497305, 525568.90099976863712072 175156.99999997165286914, 525498.60000004433095455 175312.10000003594905138, 525542.30000019946601242 175292.30000011390075088, 525547.800000234041363 175321.6000000036729034, 525729.99500015540979803 175354.02199976783595048, 525771.83699978736694902 175365.15099985888809897, 525863.62099980178754777 175394.60800015987479128, 526031.69399977952707559 175471.39600022754166275, 526112.12500013178214431 175326.9839999440300744, 526115.46499999996740371 175321.83700000855606049)))</t>
  </si>
  <si>
    <t>E01004509</t>
  </si>
  <si>
    <t>Wandsworth 010A</t>
  </si>
  <si>
    <t>E02000932</t>
  </si>
  <si>
    <t>Wandsworth 010</t>
  </si>
  <si>
    <t>MultiPolygon (((525591 174980.99999983020825312, 525546.00000002409797162 174854.0000000398431439, 525523.00000002747401595 174845.9999999022402335, 525448.5560001531848684 174905.33299986820202321, 525448.06200017419178039 174863.06300000700866804, 525416.58599995041731745 174848.37500009272480384, 525384.24699982069432735 174913.30000014210236259, 525317.87300009711179882 174880.62799986422760412, 525270.00000006495974958 174859.00000012584496289, 525251.79400000162422657 174902.68800013992586173, 525123.62500019068829715 174886.99599992268485948, 525103.04900019429624081 174841.76899998946464621, 525130.34499985945876688 174808.52699988931999542, 525136.37900019704829901 174702.44499998874380253, 525172.41700013936497271 174684.6879999813681934, 525159.30100000789389014 174635.68500002153450623, 525081.76399992196820676 174623.34399989343364723, 525034.8639998733997345 174616.10700009897118434, 525012.38199997437186539 174612.70199994262657128, 524967.15699998452328146 174610.61100009060464799, 524951.35500008857343346 174611.55400012558675371, 524941.317000194452703 174638.16100014551193453, 524894.62499984295573086 174932.01700010211789049, 524801.67999987828079611 174910.63099989626789466, 524792.93800000008195639 174976.14100014127325267, 524919.92299981601536274 174989.56299998826580122, 525145.74999982316512614 175016.54800007934682071, 525198.99500018230173737 175024.83799998651375063, 525303.80299984314478934 175042.13399987859884277, 525484.89999981108121574 175059.02899995175539516, 525483.49999994656536728 174991.39999984946916811, 525555.89999983517918736 174975.6999998587416485, 525512.50000004633329809 175014.80000009236391634, 525512.9220000688219443 175061.95800001849420369, 525557.99200005794409662 175064.10399990936275572, 525591 174980.99999983020825312)))</t>
  </si>
  <si>
    <t>E01004511</t>
  </si>
  <si>
    <t>Wandsworth 010B</t>
  </si>
  <si>
    <t>MultiPolygon (((529459.74000001302920282 174965.41400004873867147, 529529.65299995022360235 174936.94999991427175701, 529552.72200004127807915 174958.7370001130620949, 529633.93600001698359847 174881.05400004299008287, 529545.02800002973526716 174792.1490000641788356, 529560.5499999652383849 174704.75400006223935634, 529684.92100000008940697 174580.07900010098819621, 529639.39600005757529289 174543.45200012167333625, 529680.6200000635581091 174527.38100003387080505, 529586.31499993405304849 174411.07899995127809234, 529578.00000012596137822 174462.00000012625241652, 529555.13299995299894363 174483.33699989330489188, 529528.25199990824330598 174453.3619998722570017, 529402.17899991362355649 174565.14999997612903826, 529388.05500001145992428 174585.3709999467828311, 529355.50200007320381701 174558.93499994714511558, 529324.9999998687999323 174606.99999988594208844, 529308.10799988568760455 174580.94600003297091462, 529253.91099996585398912 174624.35700006363913417, 529171.10000004712492228 174596.05300000816350803, 529156.29699999839067459 174615.73599995078984648, 529239.70000009762588888 174688.70100002526305616, 529240.27200012851972133 174720.11400009947828948, 529163.05300006386823952 174763.30900007943273522, 529175.74499992979690433 174816.73200005033868365, 529126 174841.99999992051743902, 529136.51100013765972108 174863.52500003189197741, 529281.41499990585725754 174911.34200001595309004, 529340.02700008393730968 174865.09900009629200213, 529391.49999986076727509 174796.51899991591926664, 529430.8900000931462273 174834.20999991748249158, 529481.65699992666486651 174893.21800009539583698, 529459.74000001302920282 174965.41400004873867147)))</t>
  </si>
  <si>
    <t>E01003033</t>
  </si>
  <si>
    <t>Lambeth 019E</t>
  </si>
  <si>
    <t>MultiPolygon (((529239.70000003708992153 174688.70099976897472516, 529156.29699980327859521 174615.73600007721688598, 529171.10000007227063179 174596.05300008854828775, 529253.91099991998635232 174624.35699988636770286, 529308.10800022317562252 174580.9459998136444483, 529325.00000008137430996 174606.99999993329402059, 529355.50200006214436144 174558.93500019214116037, 529388.05500016536097974 174585.3709997977130115, 529402.17899977019988 174565.14999993916717358, 529372.25300007534679025 174458.31699988612672314, 529356.52300019899848849 174432.74700006935745478, 529453.35899989167228341 174348.26199988010921516, 529436.91800009994767606 174322.33600008767098188, 529329.62200002395547926 174404.1039999574131798, 529354.4959999896818772 174270.72099999996135011, 529265.00000012037344277 174344.00000005686888471, 529314.00000023085158318 174424.00000000486033969, 529289.65000010665971786 174439.65399999837973155, 529171.55100013874471188 174307.68199995110626332, 529147.95199994323775172 174312.08700016586226411, 529169.00000008789356798 174345.99999977080733515, 529202.99000008613802493 174399.24199993524234742, 529212.07800006202887744 174430.33899993536761031, 529076.40099979483056813 174511.84100021526683122, 528957.9999998927814886 174539.00000016737612896, 528990.00000006193295121 174593.00000003734021448, 529032.36700012069195509 174669.98699994734488428, 528989.6129999216645956 174688.38100013748044148, 528759.89300016406923532 174640.77799990877974778, 528755.99899979843758047 174672.99000010066083632, 528674.62499984574969858 174953.79699996070121415, 528640.56300010834820569 175208.84399982230388559, 528809.05099978123325855 175219.97200000000884756, 529074.47299982002004981 175218.31699986651074141, 529212.90399983758106828 175029.49099992847186513, 529136.51099991088267416 174863.5250002138200216, 529126.00000006833579391 174842.00000001778244041, 529175.74499989196192473 174816.73200013503083028, 529163.05300000251736492 174763.30900011229095981, 529240.27200017939321697 174720.11400020611472428, 529239.70000003708992153 174688.70099976897472516)))</t>
  </si>
  <si>
    <t>E01003026</t>
  </si>
  <si>
    <t>Lambeth 019A</t>
  </si>
  <si>
    <t>MultiPolygon (((528449.00000004784669727 173188.9529999022197444, 528612.56800012057647109 173145.51800007052952424, 528712.62500013620592654 173117.95300002204021439, 528731.32700000004842877 173054.84999993070960045, 528594.95000006002373993 173036.76399990936624818, 528479.72699999040924013 173024.55199987275409512, 528420.30400001467205584 173055.01900004898197949, 528389.43800011021085083 173070.84399991540703923, 528360.28699992969632149 173013.77899990102741867, 528348.67000013461802155 172991.03899989867932163, 528321.17400000093039125 172931.92200005616177805, 528253.57200010097585618 172966.2500001473526936, 528207.42900007229764014 172995.762999926781049, 528199.86599999060854316 173039.93199996184557676, 528223.88200009800493717 173032.11300000754999928, 528247.28399999195244163 173042.822999905096367, 528272.49999999883584678 173027.06199992739129812, 528282.85499995260033756 173032.72100006256368943, 528301.99999996472615749 173081.00100004466366954, 528271.30399999301880598 173097.98300015847780742, 528240.03299988410435617 173073.92900010725134052, 528184.00000010116491467 173147.00000010532676242, 528147.43999987910501659 173126.57200001526507549, 528095.71699999994598329 173144.92000006765010767, 528098.42900009057484567 173190.16900001224712469, 528126.76000012794975191 173177.09199991569039412, 528180.14500002679415047 173219.63800000722403638, 528166.08900003868620843 173274.87100006910623051, 528196.35699994023889303 173312.92100011341972277, 528120.34199997689574957 173341.53799986193189397, 528335.9999998714774847 173430.99999994385871105, 528347.92500006454065442 173410.32999992705299519, 528350.13599995884578675 173406.49699990378576331, 528522.87600011087488383 173366.98299998205038719, 528530.83200008026324213 173355.02099997748155147, 528466.04299997119233012 173223.00800009575323202, 528449.00000004784669727 173188.9529999022197444)))</t>
  </si>
  <si>
    <t>E01004545</t>
  </si>
  <si>
    <t>Wandsworth 027B</t>
  </si>
  <si>
    <t>MultiPolygon (((528420.30400003981776536 173055.01900000666501001, 528479.72700004931539297 173024.5520001208933536, 528594.9500000539701432 173036.76399998241686262, 528731.32700010016560555 173054.85000005355686881, 528737.99999991012737155 173039.00000003224704415, 528783.11899999994784594 172898.93399989363388158, 528696.01000010140705854 172896.96799993352033198, 528717.72199993499089032 172828.01799997116904706, 528648.07899999525398016 172831.10300010646460578, 528702.56100013328250498 172647.12400005402741954, 528670.75000013806857169 172636.15699990364373662, 528640.45599996321834624 172615.27699999065953307, 528573.53299999062437564 172729.96100010664667934, 528442.61500006297137588 172775.22999996520229615, 528380.16699993819929659 172639.0919999890611507, 528365.00000007823109627 172605.99999993352685124, 528297.00000005692709237 172619.99999999577994458, 528221 172636.00000006693881005, 528224.20699991355650127 172661.21399986514006741, 528248.5119998874142766 172735.75600011204369366, 528286.15599997551180422 172845.78700005877180956, 528321.17399988416582346 172931.92200006451457739, 528348.66999989748001099 172991.03899991608341224, 528360.28699988906737417 173013.77899988510762341, 528389.43799993710126728 173070.84400006651412696, 528420.30400003981776536 173055.01900000666501001)))</t>
  </si>
  <si>
    <t>E01004485</t>
  </si>
  <si>
    <t>Wandsworth 030B</t>
  </si>
  <si>
    <t>MultiPolygon (((528640.45599992631468922 172615.27699997602030635, 528661.06099999998696148 172550.87299989719758742, 528628.03700003027915955 172539.8020000739779789, 528500.72600012214388698 172537.65999999680207111, 528445.40699994750320911 172584.66600004440988414, 528593.3210001130355522 172449.72500009313807823, 528568.94099996541626751 172422.50299997217371128, 528544.26399999717250466 172444.1319999054830987, 528512.16599989670794457 172422.21599998223246075, 528449.01499999931547791 172475.33800001116469502, 528424.84299997938796878 172388.48200003572856076, 528402.48900007328484207 172406.97500002419110388, 528348.63899997237604111 172345.3180000274151098, 528187.05400001211091876 172493.53000004673958756, 528161.54399999999441206 172518.0950000615848694, 528191.13299988827202469 172562.63799991796258837, 528197.06899991759564728 172575.48000005065114237, 528224.20700001111254096 172661.21399992622900754, 528220.99999996868427843 172635.99999995154212229, 528296.99999998020939529 172619.99999989653588273, 528364.9999999642604962 172605.99999997328268364, 528380.16699997533578426 172639.09199994144728407, 528442.61499987740535289 172775.22999997259466909, 528573.53300005418714136 172729.96100011034286581, 528640.45599992631468922 172615.27699997602030635)))</t>
  </si>
  <si>
    <t>E01004488</t>
  </si>
  <si>
    <t>Wandsworth 029B</t>
  </si>
  <si>
    <t>MultiPolygon (((528538.1660001571290195 174220.1469999999681022, 528590.99899996560998261 174034.99999996251426637, 528622.79299993708264083 174043.43599989471840672, 528640.77200015494599938 174008.69900012580910698, 528667.00800016347784549 173947.77099985152017325, 528705.14900016353931278 173936.02599984005792066, 528695.10300010431092232 173850.43899985210737213, 528659.13699999719392508 173841.93200009249267168, 528784.73999991558957845 173844.91099988535279408, 528781.00000005366746336 173808.99999993512756191, 528770.99999998870771378 173777.99999986469629221, 528727.67800014244858176 173780.30900006848969497, 528680.62400010577403009 173810.08000012816046365, 528599.00000011560041457 173763.00099993086769246, 528619.00100008177105337 173629.00000007561175153, 528658.99999985052272677 173608.99999994566314854, 528644.0000000805594027 173579.00000007823109627, 528601.47699997096788138 173599.23399985153810121, 528552.74900014279410243 173565.16099999999278225, 528521.99999987741466612 173577.99999987523187883, 528465.00000009650830179 173721.99999995937105268, 528389.82500012218952179 173698.33900012145750225, 528340.1510000842390582 173809.06999992640339769, 528381.99999995029065758 173829.0000000650761649, 528364.9849999399157241 173902.62499990483047441, 528403.99600015918258578 173881.26099994470132515, 528443.4189999996451661 173900.16099988410132937, 528356.41100002487655729 174037.90799992796382867, 528427.38700003072153777 174098.28500010713469237, 528409.37400014454033226 174141.14900001045316458, 528471.51999993971548975 174142.72399997810134664, 528467.63499993225559592 174104.80899994986248203, 528531.00000006682239473 174131.00000012776581571, 528507.3449999006697908 174204.39000016052159481, 528538.1660001571290195 174220.1469999999681022)))</t>
  </si>
  <si>
    <t>E01004472</t>
  </si>
  <si>
    <t>Wandsworth 021A</t>
  </si>
  <si>
    <t>E02000943</t>
  </si>
  <si>
    <t>Wandsworth 021</t>
  </si>
  <si>
    <t>MultiPolygon (((529009.77999993553385139 173861.92900000000372529, 529027.07799990521743894 173826.03500012806034647, 529009.12900001963134855 173779.97300007514422759, 529000.34099993272684515 173756.88600001795566641, 528967.70999996224418283 173564.28699991485336795, 528968.40899997926317155 173434.94400009501259774, 528993.71899992763064802 173364.32199994014808908, 528927.93100000161211938 173345.97200000021257438, 528781.34600011189468205 173338.82699999999022111, 528732.73600003379397094 173493.006999954697676, 528702.26000009477138519 173515.38800010550767183, 528757.9479999610921368 173573.60300006729084998, 528790.63500009314157069 173562.4680000678927172, 528824.86700002907309681 173598.457999880425632, 528875.08299988158978522 173585.71299994556466118, 528771.53399987414013594 173615.88799993199063465, 528768.38099995360244066 173646.3440001123235561, 528760.2219999433727935 173748.29600005375687033, 528802.65500001073814929 173785.39999997790437192, 528781.00000004819594324 173808.99999988925992511, 528784.73999992420431226 173844.91100005310727283, 528828.39400009415112436 173856.78200012014713138, 528817.04999992158263922 173831.5009999004250858, 529009.77999993553385139 173861.92900000000372529)))</t>
  </si>
  <si>
    <t>E01004473</t>
  </si>
  <si>
    <t>Wandsworth 026A</t>
  </si>
  <si>
    <t>MultiPolygon (((528727.67800015246029943 173780.30899993848288432, 528770.99999986751936376 173778.00000002150773071, 528781.00000017054844648 173808.99999994342215359, 528802.65500009013339877 173785.4000000843370799, 528760.22200000972952694 173748.29600002712686546, 528768.38100011623464525 173646.34399987815413624, 528771.53399995795916766 173615.88799982622731477, 528875.08300013723783195 173585.71299996698508039, 528824.86700015456881374 173598.45800012140534818, 528790.63500009709969163 173562.46800000304938294, 528757.94800002314150333 173573.6029998523008544, 528702.2600001513492316 173515.38800009625265375, 528732.73600011342205107 173493.00699996712501161, 528781.34599998337216675 173338.82699982877238654, 528749.29700009350199252 173316.24599989704438485, 528717.9779999041929841 173402.48599988035857677, 528657.93399982759729028 173352.32400004079681821, 528710.61800001235678792 173217.41099996198317967, 528704.04500010842457414 173165.44600000069476664, 528745.4490001309895888 173108.53800000000046566, 528712.62500012910459191 173117.95299986310419627, 528612.56799996900372207 173145.51800005330005661, 528448.99999986379407346 173188.95299994456581771, 528466.04299988737329841 173223.00799990308587439, 528530.83199994615279138 173355.02100003787199967, 528522.87600013741757721 173366.98300004604971036, 528493.15299993031658232 173413.97200013385736383, 528448.81600012956187129 173541.36199984326958656, 528389.82499986258335412 173698.33899988001212478, 528464.99999985739123076 173721.99999986830516718, 528522.00000007590278983 173577.99999992543598637, 528552.74899984570220113 173565.16100015840493143, 528601.47700013243593276 173599.23399993081693538, 528643.99999998370185494 173578.99999999080318958, 528658.9999999119900167 173608.99999984735040925, 528619.00100015138741583 173629.00000010250369087, 528598.99999984807800502 173763.00100014134659432, 528680.62400009366683662 173810.08000000001629815, 528727.67800015246029943 173780.30899993848288432)))</t>
  </si>
  <si>
    <t>E01004474</t>
  </si>
  <si>
    <t>Wandsworth 021B</t>
  </si>
  <si>
    <t>MultiPolygon (((528759.89299997815396637 174640.77799994559609331, 528817.99500018556136638 174290.86099995858967304, 528799.50399999180808663 174218.73299994235276245, 528839.39199994748923928 174202.1060000977886375, 528827.59499991487246007 174151.23299987180507742, 528796.99999979929998517 174162.99999995727557689, 528842.52700004098005593 174080.36900001385947689, 528844.00000006693881005 174038.99999985232716426, 528909.38800003076903522 174028.40599990516784601, 528875.74600013787858188 173905.48099991705385037, 528880.3980002076132223 173876.80699992564041167, 528828.39399985247291625 173856.7820000487845391, 528784.73999990255106241 173844.91100011859089136, 528659.1369998618029058 173841.93200000002980232, 528695.10299984843004495 173850.43900014279643074, 528705.14900015038438141 173936.02599984357948415, 528667.00800004333723336 173947.77100016170879826, 528640.7720001112902537 174008.69899980118498206, 528622.7929997923783958 174043.4360000527522061, 528590.99899988889228553 174035.00000010360963643, 528538.16600006446242332 174220.14699983669561334, 528507.3449999587610364 174204.39000012341421098, 528531.00000009685754776 174130.99999988998752087, 528467.63500016077887267 174104.80900008653406985, 528471.52000018104445189 174142.7240002034814097, 528409.37399985920637846 174141.14899985832744278, 528469.46600002772174776 174231.79900019377237186, 528429.99599980749189854 174248.71199992293259129, 528398.22799996915273368 174294.35500007128575817, 528485.09500018786638975 174298.83000016154255718, 528529.32900008687283844 174344.20800001439056359, 528511.31000011530704796 174379.43699989886954427, 528543.35299995460081846 174402.97899983415845782, 528626.24100001365877688 174390.86200008747982793, 528693.00000010000076145 174486.99999996347469278, 528548.11899998981971294 174586.3180000614374876, 528755.99900001520290971 174672.98999999999068677, 528759.89299997815396637 174640.77799994559609331)))</t>
  </si>
  <si>
    <t>E01004476</t>
  </si>
  <si>
    <t>Wandsworth 021C</t>
  </si>
  <si>
    <t>MultiPolygon (((526981.14999991678632796 170971.2250000030035153, 527071.4999999989522621 170917.17199991474626586, 527085.82399985089432448 170933.31900010831304826, 527101.74999992200173438 170922.50000004965113476, 527206.49299999163486063 170848.44400017397128977, 527405.26900000008754432 170718.97300015573273413, 527404.00000009767245501 170624.99999990561627783, 527391.34199992136564106 170632.76699986530002207, 527359.99999995320104063 170652.00000012243981473, 527106.74300003238022327 170721.40499994636047632, 527073.27499995508696884 170692.45400012240861543, 527035.73699984315317124 170618.53099983881111257, 527042.75799993670079857 170582.59200003213481978, 526993.94199989142362028 170600.89800009314785711, 527044.3469999412773177 170691.41899985211784951, 527024.60799998277798295 170701.28900011072983034, 526861.3950001101475209 170453.99999982459121384, 526949.25099994789343327 170458.17400016548344865, 527077.28400009451434016 170539.07399992496357299, 527168.9370000435737893 170466.35499988085939549, 527160.99999990838114172 170447.99999993306118995, 527131.52199992805253714 170386.65199997430318035, 527043.0000001615844667 170359.99999999647843651, 527030.72399983648210764 170310.48799982565105893, 527011.79499990562908351 170308.47099999699275941, 526991.96899997547734529 170385.0640001759165898, 526946.8419999674661085 170410.28700002405093983, 526819.04600007168482989 170426.32299987704027444, 526763.99999991816002876 170347.99999986094189808, 526736.5540000410983339 170364.8900000067660585, 526756.16299996909219772 170469.00300017229164951, 526816.88199987763073295 170495.02299983354168944, 526700.40200000000186265 170615.78100000598351471, 526813.5899999663233757 170663.61399993413942866, 526792.29000013985205442 170651.67399983981158584, 526865.00000008963979781 170570.00099993124604225, 526849.26600015035364777 170549.58699994967901148, 526897.85900001309346408 170600.85299997412948869, 526905.04999992961529642 170676.85399998145294376, 526982.24400002206675708 170771.17500011814991012, 526991.07400003634393215 170807.49200000820565037, 526907.76900006423238665 170851.21300004920340143, 526981.14999991678632796 170971.2250000030035153)))</t>
  </si>
  <si>
    <t>E01003370</t>
  </si>
  <si>
    <t>Merton 005C</t>
  </si>
  <si>
    <t>E02000693</t>
  </si>
  <si>
    <t>Merton 005</t>
  </si>
  <si>
    <t>E09000024</t>
  </si>
  <si>
    <t>Merton</t>
  </si>
  <si>
    <t>MultiPolygon (((527403.999999895459041 170624.99999986824695952, 527536.99899999983608723 170523.99999988221679814, 527448.66799986269325018 170437.66800016857450828, 527393.23399984417483211 170380.76400002316222526, 527299.99999993992969394 170331.0000001564330887, 527251.00000010058283806 170420.99900002262438647, 527161.0000000026775524 170447.99999997971463017, 527168.93699984834529459 170466.35499997204169631, 527077.28400011919438839 170539.0739999869838357, 526949.25099985487759113 170458.17399999918416142, 526861.39500000001862645 170453.9999999186838977, 527024.60800006857607514 170701.28899985362659208, 527044.34699985233601183 170691.4190000148373656, 526993.94200008467305452 170600.89800012289197184, 527042.75799985020421445 170582.59199999965494499, 527035.73700012231711298 170618.53100002391147427, 527073.27500010118819773 170692.45400000768131576, 527106.74300011480227113 170721.40499984359485097, 527360.00000000523868948 170651.99999993140227161, 527391.34199989319313318 170632.76699984396691434, 527403.999999895459041 170624.99999986824695952)))</t>
  </si>
  <si>
    <t>E01003371</t>
  </si>
  <si>
    <t>Merton 005D</t>
  </si>
  <si>
    <t>MultiPolygon (((525616.00000000698491931 169826.13499984116060659, 525674.57899973774328828 169745.93299993910477497, 525689.46599981293547899 169865.3790000464359764, 525724.42599981836974621 169894.04899989833938889, 525784.00000027660280466 169849.0000000333529897, 525801.99999996821861714 169748.99999985788599588, 525786.4400001970352605 169736.52499996931874193, 525796.99999973911326379 169587.00000011513475329, 525911.00000030419323593 169566.00000016012927517, 526006.99999991862569004 169594.00000030998489819, 526147.00000003830064088 169550.00100022240076214, 526167.49899974151048809 169386.47299998448579572, 526235.9880001115379855 169398.27699975328869186, 526383.51300000003539026 169322.26799981432850473, 526286.79099973884876817 169127.4759996940556448, 526203.69199978595133871 168993.30900022707646713, 525821.57000007049646229 169281.50099994335323572, 525655.47099996567703784 169402.01600020957994275, 525635.02399994805455208 169417.09700010452070273, 525299.42700027744285762 169680.06599996300064959, 525291.71600025310181081 169688.2460000935534481, 525230.6139999293955043 169761.45599999453406781, 525124.33400000003166497 169914.62099987451802008, 525284.35900014650542289 169998.56300002100761048, 525355.13500011502765119 170020.55200008591054939, 525404.2559997666394338 170020.81199977296637371, 525481.9999997845152393 170019.00000026862835512, 525527.16600004385691136 169992.69000028815935366, 525577.16700023447629064 169841.45200010095140897, 525616.00000000698491931 169826.13499984116060659)))</t>
  </si>
  <si>
    <t>E01003356</t>
  </si>
  <si>
    <t>Merton 009B</t>
  </si>
  <si>
    <t>E02000697</t>
  </si>
  <si>
    <t>Merton 009</t>
  </si>
  <si>
    <t>MultiPolygon (((526159.57799989893101156 170104, 526218.28800006827805191 170038.54599982095533051, 526232.00100014614872634 170039.99999984333408065, 526252.54999992763623595 170062.57299992584739812, 526266.93100016203243285 170037.12399999800254591, 526268.08499997609760612 169984.26000005620880984, 526363.4710001468192786 169993.44000010067247786, 526407.99999996006954461 169962.1759999186033383, 526400.28899981162976474 169882.85799991764361039, 526383.87499997741542757 169687.46799986806581728, 526379.81300011859275401 169376.95300007710466161, 526383.51299982238560915 169322.26800000004004687, 526235.98799985507503152 169398.27699997345916927, 526167.49899984151124954 169386.47299999292590655, 526147.00000002956949174 169550.00099989588488825, 526006.99999997997656465 169593.99999987523187883, 525911.00000013585668057 169566.00000009982613847, 525796.999999905587174 169586.99999983364250511, 525786.44000015337951481 169736.52500014778343029, 525801.99999999115243554 169749.00000018137507141, 525783.99999999592546374 169848.99999993763049133, 525782.00000003993045539 169998.28900005135801621, 525824.90700015192851424 170002.84100008106906898, 525885.64099984057247639 170065.90599990749615245, 525910.6700001802528277 170068.10699996797484346, 525968.21400016767438501 170073.92500011876109056, 526112.81200009398162365 170094.52500009592040442, 526159.57799989893101156 170104)))</t>
  </si>
  <si>
    <t>E01003357</t>
  </si>
  <si>
    <t>Merton 012A</t>
  </si>
  <si>
    <t>E02000700</t>
  </si>
  <si>
    <t>Merton 012</t>
  </si>
  <si>
    <t>MultiPolygon (((526498.89099988399539143 170146.4340000678494107, 526407.99999999941792339 169962.17599999997764826, 526363.47100007371045649 169993.44000007756403647, 526268.08499998401384801 169984.26000001601641998, 526266.9310000721598044 170037.12399995792657137, 526252.54999992472585291 170062.57299999464885332, 526232.00099992833565921 170040.00000003827153705, 526218.28800004930235445 170038.54600009162095375, 526159.57799999928101897 170104.00000006801565178, 526112.81199995102360845 170094.52500002511078492, 526109.18800006969831884 170120.92799995033419691, 526189.91799997992347926 170147.83900001939036883, 526177.6019999667769298 170410.35500000650063157, 526167.67200008279178292 170443.10200007649837062, 526174.50699992442969233 170444.04799987928709015, 526325.54000009980518371 170464.10100012522889301, 526487.22599995706696063 170481.5909999351715669, 526516.18499997840262949 170486.17099999127094634, 526554.68799998704344034 170491.98300000000745058, 526564.98800012597348541 170421.34000006614951417, 526599.36699993023648858 170184.14100002622581087, 526498.89099988399539143 170146.4340000678494107)))</t>
  </si>
  <si>
    <t>E01003359</t>
  </si>
  <si>
    <t>Merton 006A</t>
  </si>
  <si>
    <t>E02000694</t>
  </si>
  <si>
    <t>Merton 006</t>
  </si>
  <si>
    <t>MultiPolygon (((526593.21500003314577043 170780.00700027341372333, 526631.34999986772891134 170707.606999881536467, 526686.15500024473294616 170744.75499984505586326, 526727.03300002228934318 170688.88299998536240309, 526678.00000009930226952 170635.00100024699349888, 526700.40199986193329096 170615.78100001689745113, 526816.88199989532586187 170495.02299988811137155, 526756.16300019633490592 170469.00300011038780212, 526736.55399977683555335 170364.88999996718484908, 526764.00000015762634575 170347.99999977863626555, 526819.04600021441001445 170426.32300024139112793, 526946.84199989202897996 170410.2870000911061652, 526991.9689998272806406 170385.06400017853593454, 527011.795000214362517 170308.47100009972928092, 527030.72400022204965353 170310.48800018278416246, 527042.99999977566767484 170359.99999978678533807, 527131.52199985738843679 170386.65199998082243837, 527160.99999985576141626 170447.99999984650639817, 527250.99999991676304489 170420.99900012579746544, 527299.99999995005782694 170330.99999976711114869, 527393.23400006245356053 170380.76399977575056255, 527419.52400002884678543 170317.99999975829268806, 527415.70299987832549959 170317.17599993137991987, 527261.32600001175887883 170281.10299992575892247, 527227.13400000683031976 170256.0899997791275382, 527231.99999990395735949 170205.00000025288318284, 527097.17200003413017839 170119.80600023735314608, 527121.92800012172665447 170074.96099977561971173, 527076.69999996991828084 170052.16199991953908466, 527122.69400007312651724 169913.9029997908801306, 527029.38399972987826914 169880.44100016920128837, 526764.14099989435635507 169788.03600010936497711, 526729.56299994979053736 169909.89099993210402317, 526631.22099998698104173 169836.91199991630855948, 526546.79499989887699485 169770.43700014255591668, 526507.08200014207977802 169743.94400004058843479, 526383.87499997112900019 169687.46799999999348074, 526400.2890001570340246 169882.85800002401811071, 526407.99999991606455296 169962.17600026179570705, 526498.89099985721986741 170146.43400014803046361, 526599.3669999276753515 170184.14099997538141906, 526564.98800016660243273 170421.33999974842299707, 526554.68799975968431681 170491.98299979465082288, 526610.9380002262769267 170508.51599998123128898, 526599.37499983166344464 170574.20100009150337428, 526552.62500022840686142 170577.71900016357540153, 526546.25700006878469139 170612.41499983522226103, 526479.79800010309554636 170746.8980001304007601, 526519.46600011398550123 170793.11199987956206314, 526577.24999988812487572 170829.98499999998603016, 526593.21500003314577043 170780.00700027341372333)))</t>
  </si>
  <si>
    <t>E01003367</t>
  </si>
  <si>
    <t>Merton 005A</t>
  </si>
  <si>
    <t>MultiPolygon (((526982.24400004150811583 170771.17499993476667441, 526905.04999989061616361 170676.85400005662813783, 526897.85900000319816172 170600.85300011473009363, 526849.26600007538218051 170549.58699999999953434, 526864.99999996775295585 170570.00099987670546398, 526792.29000009293667972 170651.67400009438279085, 526813.59000007249414921 170663.61400010544457473, 526700.4020001016324386 170615.78100000432459638, 526677.99999997380655259 170635.00099987993598916, 526727.0330000773537904 170688.88300004473421723, 526686.15499998058658093 170744.75500004497007467, 526631.34999991313088685 170707.6069998994062189, 526593.21499993477482349 170780.0070000420382712, 526732.70900002110283822 170829.55200008657993749, 526794.66099988354835659 170857.39600010897265747, 526720.62499997986014932 171048.85899999999674037, 526892.51800008816644549 171010.47099992688163184, 526981.14999997813720256 170971.22499992320081219, 526907.76900000392924994 170851.21299993392312899, 526991.07400006509851664 170807.49200003064470366, 526982.24400004150811583 170771.17499993476667441)))</t>
  </si>
  <si>
    <t>E01003369</t>
  </si>
  <si>
    <t>Merton 005B</t>
  </si>
  <si>
    <t>MultiPolygon (((526203.69200016628019512 168993.30900005137664266, 526058.81300008436664939 168766.65599987813038751, 525885.39800012670457363 168727.72499980745487846, 525724.74099974939599633 168714.42499976279214025, 525678.53899977682158351 168702.12599996634526178, 525612.00999987917020917 168545.4439997386361938, 525525.7369998989161104 168573.82599971111631021, 525470.69299980765208602 168548.88999988260911778, 525475.99999983445741236 168513.00000000902218744, 525485.47399995103478432 168426.21099989730282687, 525416.03399976692162454 168398.59799985567224212, 525479.42600008205045015 168287.80500011213007383, 525413.7089998337905854 168247.99099999997997656, 525369.3889998106751591 168419.26400018672575243, 525335.62799983378499746 168462.56300006530364044, 525354.65600023686420172 168527.76700010805507191, 525413.38999990886077285 168553.4730000376002863, 525395.87499978940468282 168882.95999987720279023, 525462.02600024337880313 168872.59500011135241948, 525479.00000006868503988 168910.00000002430169843, 525420.24199981952551752 168963.03299984100158326, 525433.69699993776157498 168984.2960000590828713, 525536.60300016624387354 168947.0460002196196001, 525528.60499988193623722 169065.31899977556895465, 525552.42000008409377187 169130.59300004004035145, 525589.9999999669380486 169138.99999978276900947, 525588.77200025215279311 169275.19199981947895139, 525587.65699989325366914 169306.62000025538145564, 525580.3099999176338315 169353.81199977331561968, 525631.24000017053913325 169377.84299990819999948, 525635.02399996563326567 169417.09700000000884756, 525655.47099985333625227 169402.01600024237995967, 525821.56999985012225807 169281.50100026471773162, 526203.69200016628019512 168993.30900005137664266)))</t>
  </si>
  <si>
    <t>E01003426</t>
  </si>
  <si>
    <t>Merton 015D</t>
  </si>
  <si>
    <t>E02000703</t>
  </si>
  <si>
    <t>Merton 015</t>
  </si>
  <si>
    <t>MultiPolygon (((527225.54799993138294667 171032.52999990576063283, 527292.0000000650761649 170993.99999997427221388, 527399.62200003140605986 170995.73999990901211277, 527400.53000001853797585 171021.28899991439539008, 527538.31100002897437662 170939.38599984126631171, 527569.85500007425434887 170903.45300005588796921, 527608.9089999437564984 170942.81900010426761582, 527593.36200007144361734 170991.94199992439826019, 527601.63100008957553655 170988.45100006589200348, 527722.25500007648952305 170916.54000002038083039, 527702.30800015747081488 170846.38700003601843491, 527733.57599995902273804 170824.04400005863863043, 527737 170821.9999999658903107, 527735.61799996707122773 170779.94899985939264297, 527727.15599988214671612 170683.79500011951313354, 527700.63500004028901458 170690.00499988664523698, 527725.00000013236422092 170652.00000009426730685, 527498.9969999574823305 170743.47499989313655533, 527487.41299990483094007 170678.63200002725352533, 527414.14200012211222202 170714.78900007950142026, 527405.26899995724670589 170718.97299988026497886, 527206.49299995775800198 170848.44399988476652652, 527101.75 170922.50000000864383765, 527148.27200014004483819 170977.79000015865312889, 527172.99199984828010201 170957.53100006075692363, 527214.74599993415176868 171000.90399988475837745, 527225.54799993138294667 171032.52999990576063283)))</t>
  </si>
  <si>
    <t>E01004530</t>
  </si>
  <si>
    <t>Wandsworth 035F</t>
  </si>
  <si>
    <t>E02000957</t>
  </si>
  <si>
    <t>Wandsworth 035</t>
  </si>
  <si>
    <t>MultiPolygon (((527576.64000007032882422 171673.33999999996740371, 527657.37500006321351975 171614.40600013398216106, 527685.46399985323660076 171634.11300007635145448, 527866.75200011592824012 171424.18599990839720704, 527845.69099992047995329 171401.05700007179984823, 527787.66200011037290096 171467.75599990875343792, 527608.90499990922398865 171331.40999992936849594, 527673.58100002992432564 171270.50399998194188811, 527686.09400000155437738 171245.73300001307507046, 527713.70299989287741482 171264.96899992172257043, 527783.51000010152347386 171170.31600006937514991, 527798.69100011268164963 171127.61899987168726511, 527717.00000012898817658 171192.9989998638338875, 527688.70999985456001014 171174.99700000855955295, 527708.27000000234693289 171133.299000123195583, 527605.00699992291629314 171087.97599995584459975, 527545.99999998544808477 171160.0000001035805326, 527506.71399991365615278 171134.37300011032493785, 527541.9239999030251056 171126.20199996381415986, 527535.67999991297256202 171087.00099998345831409, 527457.81899990257807076 171073.3090000000083819, 527435.00000008172355592 171087.00000003178138286, 527469.00000005774199963 171109.00000013972749002, 527449.72700013744179159 171135.88200007131672464, 527370.33500002941582352 171231.10400002045207657, 527364.83899988408666104 171236.85000008178758435, 527398.9439998846501112 171258.11500001669628546, 527435.99200013244990259 171216.90599989501060918, 527490.3010000524809584 171310.81300010601989925, 527486.79799987352453172 171353.39200000735581852, 527413.1259998835157603 171414.72300011198967695, 527458.74299994006287307 171490.50299990968778729, 527565.75599995942320675 171657.15700012151501141, 527576.64000007032882422 171673.33999999996740371)))</t>
  </si>
  <si>
    <t>E01004525</t>
  </si>
  <si>
    <t>Wandsworth 035A</t>
  </si>
  <si>
    <t>MultiPolygon (((527490.30099987192079425 171310.81299993745051324, 527435.9919999809935689 171216.90600014178198762, 527398.94399994716513902 171258.11500002854154445, 527364.83899998222477734 171236.84999984447495081, 527370.33500010904390365 171231.10399990197038278, 527449.72699993208516389 171135.88199999931384809, 527469.00000003620516509 171109.00000013824319467, 527435.00000013643875718 171087.00000014589750208, 527457.81899998930748552 171073.30899991327896714, 527535.67999984894413501 171087.00099999210215174, 527541.92400005471426994 171126.20199998971656896, 527506.71400011330842972 171134.37299989524763077, 527546.00000000931322575 171160.00000014991383068, 527605.00699985551182181 171087.97599985686247237, 527708.26999987626913935 171133.29900001527857967, 527684.84800001932308078 171096.87000011917552911, 527796.89099999994505197 171010.55999998035258614, 527730.45299993606749922 170957.60399986474658363, 527645.62300014577340335 171004.61600000743055716, 527601.63099990354385227 170988.45099988940637559, 527593.36200015328358859 170991.94199998999829404, 527608.90899997984524816 170942.81899990956299007, 527569.85500007367227226 170903.45299999471171759, 527538.31099990918301046 170939.38599996859556995, 527400.52999988291412592 171021.28900014783721417, 527399.62200009066145867 170995.73999989533331245, 527291.99999986204784364 170993.9999999720021151, 527225.548000005655922 171032.53000004671048373, 527214.74600003997329623 171000.90399984669056721, 527172.99199998425319791 170957.53100006649037823, 527148.27199999999720603 170977.7899999649671372, 527222.9690000549890101 171071.59899991593556479, 527340.9359998416621238 171284.15799986227648333, 527413.12599989818409085 171414.72300000526593067, 527486.797999995527789 171353.39199990362976678, 527490.30099987192079425 171310.81299993745051324)))</t>
  </si>
  <si>
    <t>E01004526</t>
  </si>
  <si>
    <t>Wandsworth 035B</t>
  </si>
  <si>
    <t>MultiPolygon (((528169.9329999549081549 171676.21800005971454084, 528145.25999986892566085 171655.00099999998928979, 527952.71199986629653722 171851.72400006328825839, 527942.34900003613438457 171858.0059998746146448, 527979.00000010605435818 171903.00100001128157601, 527822.00000000069849193 172019.999999866791768, 527792.90999988920520991 172042.63199988802080043, 527763.9999998901039362 172062.99999984912574291, 527785.13800004427321255 172122.50799985247431323, 527751.89599997957702726 172129.27500000872532837, 527781.64499988511670381 172213.11500014725606889, 527824.2979998622322455 172214.66299989583785646, 527840.44799987971782684 172231.25099993296316825, 527911.47199993382673711 172263.71100000001024455, 527872.20799988193903118 172224.24599994943127967, 527892.88900004676543176 172204.22800002072472125, 527897.33900006755720824 172199.91999986869632266, 528123.52500007778871804 171980.98600005538901314, 528146.71699990739580244 171960.27799994972883724, 528220.62800009769853204 171890.86999985561124049, 528292.60900001355912536 171808.27500006285845302, 528307.87500002037268132 171780.90700006214319728, 528192.47800009930506349 171695.91800014505861327, 528169.9329999549081549 171676.21800005971454084)))</t>
  </si>
  <si>
    <t>E01004611</t>
  </si>
  <si>
    <t>Wandsworth 032B</t>
  </si>
  <si>
    <t>MultiPolygon (((527748.00000009837094694 172276, 527824.29800003522541374 172214.66299999543116428, 527781.6449999917531386 172213.11500003008404747, 527751.89599994651507586 172129.27499999274732545, 527785.13799992925487459 172122.50799990282393992, 527764.00000002712476999 172063.00000005998299457, 527792.91000012110453099 172042.63200002905796282, 527778.28199999162461609 171986.28899993374943733, 527739.26100007363129407 172000.91099989609210752, 527765.77000012411735952 171938.70300010149367154, 527747.41999999363906682 171845.41500002541579306, 527715.69499990215990692 171846.92600001266691834, 527689.99999989592470229 171867.00000001137959771, 527626.50899988657329232 171759.250999984331429, 527581.37900005094707012 171749.53099999995902181, 527506.91200006834696978 171826.42800004448508844, 527491.30299997911788523 171772.71099994480027817, 527376.00000004365574569 171829.00000011478550732, 527384.80300000915303826 171851.84299988215207122, 527351.52099996467586607 171877.46399993216618896, 527532.83200002659577876 172084.07199996564304456, 527572.44200003682635725 172110.34299996503978036, 527586.83100008731707931 172171.91599996501463465, 527610.49799991445615888 172151.66099992406088859, 527644.87100008816923946 172195.12200010786182247, 527667.21499990206211805 172173.57200004422338679, 527713.23400002927519381 172234.33799993168213405, 527688.84200000553391874 172272.09100005283835344, 527724.15199996577575803 172253.07799987390171736, 527748.00000009837094694 172276)))</t>
  </si>
  <si>
    <t>E01004612</t>
  </si>
  <si>
    <t>Wandsworth 032C</t>
  </si>
  <si>
    <t>MultiPolygon (((527822.00000016344711185 172019.99999999042483978, 527979 171903.00099997347570024, 527942.34899987268727273 171858.005999990622513, 527919.79599993373267353 171832.55600000190315768, 527911.72400006977841258 171823.44700008808285929, 527879.47100016300100833 171787.05099987055291422, 527843.80300003872253001 171746.80700000532669947, 527827.26100010075606406 171735.03500002474174835, 527766.37800001434516162 171691.25599998456891626, 527744.74700005631893873 171675.70500006878864951, 527685.46399984264280647 171634.11300011022831313, 527657.37499984446913004 171614.405999976064777, 527576.63999989442527294 171673.34000013780314475, 527565.75600006012246013 171657.15700002899393439, 527458.74299995379988104 171490.50299992322106846, 527440.17999991925898939 171497.27300005033612251, 527457.1600001627812162 171633.96599996491568163, 527321.29300000006332994 171697.85800003953045234, 527338.2540000748122111 171753.1639999276958406, 527520.195000123931095 171664.90800007226062007, 527566.70499989995732903 171729.59400015111896209, 527491.30300005897879601 171772.71100000885780901, 527506.91199986659921706 171826.42799984506564215, 527581.37900014780461788 171749.53100009434274398, 527626.50900008284952492 171759.25099994556512684, 527690.00000014586839825 171867.00000016434933059, 527715.69499993824865669 171846.92599985300330445, 527747.41999990027397871 171845.41499990501324646, 527765.76999987859744579 171938.70299993216758594, 527739.26099986978806555 172000.91100009810179472, 527778.28200014552567154 171986.2890001387859229, 527792.91000003693625331 172042.63200007678824477, 527822.00000016344711185 172019.99999999042483978)))</t>
  </si>
  <si>
    <t>E01004613</t>
  </si>
  <si>
    <t>Wandsworth 033D</t>
  </si>
  <si>
    <t>E02000955</t>
  </si>
  <si>
    <t>Wandsworth 033</t>
  </si>
  <si>
    <t>MultiPolygon (((527321.29300002963282168 171697.85800000000745058, 527457.15999991074204445 171633.96600000697071664, 527440.18000007537193596 171497.27300004116841592, 527408.53700008837040514 171516.31500007832073607, 527382.75599988864269108 171434.56900000755558722, 527331.69900012121070176 171359.35799992215470411, 527313.91100001381710172 171284.94599995590397157, 527267.0879999432945624 171282.47399996817694046, 527236.44600008183624595 171205.02299999998649582, 527186.33699997828807682 171244.40899991526384838, 527197.91999995207879692 171283.80499994551064447, 527095.00000006973277777 171268.99999998472048901, 527046.77900008927099407 171315.95900009133038111, 527063.26199997612275183 171372.73399991227779537, 527138.52699999243486673 171397.8200000059150625, 527222.07699991029221565 171430.40199999685864896, 527089.9999999925494194 171520.99999998335260898, 527155.90600002952851355 171592.58299989817896858, 527185.11600003368221223 171573.05499998966115527, 527188.57999999413732439 171633.39499989748583175, 527179.87599990738090128 171669.61999998506507836, 527310.80700000375509262 171652.07500005982001312, 527321.29300002963282168 171697.85800000000745058)))</t>
  </si>
  <si>
    <t>E01004616</t>
  </si>
  <si>
    <t>Wandsworth 034C</t>
  </si>
  <si>
    <t>E02000956</t>
  </si>
  <si>
    <t>Wandsworth 034</t>
  </si>
  <si>
    <t>MultiPolygon (((526539.30899996717926115 171558.92300023254938424, 526605.99600013892631978 171387.88399994661449455, 526641.48100009502377361 171413.94500022783176973, 526659.00000015692785382 171358.00000022450694814, 526766.31799977621994913 171423.72400025321985595, 526803.00000019103754312 171446.99999979592394084, 526866.14199988369364291 171503.75900019094115123, 526997.3620000189403072 171495.85800019412999973, 527063.26199983537662774 171372.73400012610363774, 527046.77900027204304934 171315.95900022346177138, 527094.99999974644742906 171269.00000007488415577, 527197.91999998420942575 171283.80499981532921083, 527186.33699996583163738 171244.40900023537687957, 527236.44599973934236914 171205.02299976951326244, 527267.08799984178040177 171282.47400001090136357, 527313.91100012802053243 171284.94600026280386373, 527331.69899971783161163 171359.35800006537465379, 527382.75599980680271983 171434.56899985394557007, 527408.53700003144331276 171516.3150000446185004, 527440.18000026396475732 171497.27299972646869719, 527458.74300000001676381 171490.50299990666098893, 527413.12600018468219787 171414.72299999275128357, 527340.93600023246835917 171284.15800022741314024, 527222.96900018467567861 171071.5989998082513921, 527148.27200019033625722 170977.78999991519958712, 527101.75000018172431737 170922.50000028175418265, 527085.82399995648302138 170933.31900010435492732, 527071.50000015844125301 170917.1720000306959264, 526981.1499999217921868 170971.22499985806643963, 526892.51800001179799438 171010.4710000065388158, 526720.62499998684506863 171048.85899996091029607, 526657.35599986591842026 171058.55800013532279991, 526495.81400018848944455 171088.17200007129576989, 526341.68800011032726616 171270.73399990916368552, 526302.375 171413.28099984579603188, 526304.13099973544012755 171559.95700021443190053, 526316.32099986623506993 171811.16299984528450295, 526358.29499990539625287 171848.29599996929755434, 526409.3730002153897658 171835.31399992626393214, 526460.46700003312435001 171766.2569998329563532, 526497.77200006798375398 171705.60000028129434213, 526570.96800028556026518 171576.06399978441186249, 526539.30899996717926115 171558.92300023254938424)))</t>
  </si>
  <si>
    <t>E01004617</t>
  </si>
  <si>
    <t>Wandsworth 034D</t>
  </si>
  <si>
    <t>MultiPolygon (((523529.34799990395549685 165612.16900004193303175, 523661.64699986414052546 165505.83900009514763951, 523718.89900004491209984 165565.07199992885580286, 523764.08100000000558794 165539.01400008454220369, 523740.15899989381432533 165500.84900008488330059, 523646.78600000595906749 165357.49699986499035731, 523594.87399992975406349 165279.47400004518567584, 523572.52599987015128136 165242.26000013688462786, 523436.99999996682163328 165035.64100015486474149, 523365.15600017609540373 165106.65600000211270526, 523341.83400006883312017 165074.9900001828209497, 523327.00800014415290207 165054.67900004942202941, 523251.53100004274165258 164942.03099995802040212, 523148.18400012294296175 165072.1479998878785409, 523102.74999988736817613 165133.73300018822192214, 523048.66700013953959569 165201.7320000711188186, 523033.08500013267621398 165222.64699981623562053, 523004.78099999995902181 165260.17199989291839302, 523080.62100017094053328 165322.85600000343401916, 523007.27599981526145712 165407.85099986419663765, 523045.39799989660969004 165429.268000174080953, 523064.1250000023865141 165406.82299991912441328, 523112.2869999902904965 165432.14400002479669638, 523115.00000015064142644 165490.9999998154817149, 523170.06799992523156106 165519.00200014235451818, 523299.56799988844431937 165410.72600009644520469, 523401.78100006451131776 165526.92299989878665656, 523431.99999997561099008 165497.00000018463470042, 523502.92199999955482781 165501.95199988744570874, 523529.34799990395549685 165612.16900004193303175)))</t>
  </si>
  <si>
    <t>E01004191</t>
  </si>
  <si>
    <t>Sutton 008D</t>
  </si>
  <si>
    <t>E02000847</t>
  </si>
  <si>
    <t>Sutton 008</t>
  </si>
  <si>
    <t>E09000029</t>
  </si>
  <si>
    <t>Sutton</t>
  </si>
  <si>
    <t>MultiPolygon (((523548.68600009253714234 166401.55000009000650607, 523747.55400011362507939 166273.66000000003259629, 523813.32500015496043488 166230.67500011264928617, 523970.12000003922730684 166136.24899989500408992, 524103.875 166072.90600001555867493, 523988.78199992858571932 165909.21799988861312158, 523905.46300006390083581 165930.33800002821953967, 523777.91799994162283838 165957.5540000899345614, 523740.07699996815063059 166007.19199993240181357, 523616.74900017475010827 166094.66799994921893813, 523621.4970001804176718 166069.18300016323337331, 523553.70200018858304247 166088.09500008999020793, 523538.9460000615217723 166056.09100018441677094, 523514.99999998568091542 166065.99999980450957082, 523477.66899983683833852 166079.5830000413407106, 523492.16799997579073533 165981.75000020320294425, 523423.61800020659575239 165943.25499998088344, 523412.892999860458076 165974.07100016172626056, 523376.13100019935518503 165969.32199980359291658, 523370.23300002166070044 166021.28699985996354371, 523319.43999992252793163 166048.92700005220831372, 523363.14399990072706714 166121.57099999766796827, 523438.85599993605865166 166140.12200018917792477, 523427.51999981724657118 166194.71699988399632275, 523444.09199998114490882 166236.44699991916422732, 523473.28700007044244558 166228.93300015403656289, 523484.87899982492672279 166287.15299997173133306, 523451.71799979655770585 166271.81800002645468339, 523393.13300009205704555 166323.64899982788483612, 523323.54000011645257473 166315.82900000020163134, 523265.00500000000465661 166347.8259999550646171, 523350.13399988383753225 166420.86599980876781046, 523420.12799985223682597 166484.23400011137709953, 523470.41499985894188285 166451.05199981146142818, 523548.68600009253714234 166401.55000009000650607)))</t>
  </si>
  <si>
    <t>E01004194</t>
  </si>
  <si>
    <t>Sutton 008E</t>
  </si>
  <si>
    <t>MultiPolygon (((524243.92000001162523404 166110.72600004094420001, 524239.91199994261842221 166059.16299992310814559, 524149.6959998567472212 166060.64299995460896753, 524088.34500014537479728 165952.36400012086960487, 524168.2979999638046138 165893.61800006838166155, 524185.49700009066145867 165837.24599995077005588, 524221.97600000025704503 165816.07600000291131437, 524298.27300016849767417 165895.67299985210411251, 524352.65800016804132611 165851.57599999711965211, 524325.94899994053412229 165813.71899998441222124, 524406.07700018817558885 165711.06000003207009286, 524444.56800009298603982 165723.66199997658259235, 524415.11000005470123142 165690.11699982787831686, 524543.70800015144050121 165559.80100001010578126, 524561.20000012742821127 165592.30000014294637367, 524634.67699997418094426 165418.20200021108030342, 524611.68899993714876473 165378.54300003047683276, 524505.48499978880863637 165476.25900021204142831, 524470.47599995986092836 165438.72099992056610063, 524485.80299983301665634 165361.50699996200273745, 524427.19599995692260563 165329.32299999997485429, 524438.99999995587859303 165381.999999799329089, 524402.62599996000062674 165392.18700001054094173, 524386.0820000518579036 165462.29100010541151278, 524329.11099987011402845 165506.22699989218381234, 524288.7989998908014968 165476.94599984350497834, 524260.84600019105710089 165497.56599991620169021, 524252.96499981917440891 165564.4100001334445551, 524207.57599986816057935 165599.41399998695123941, 524113.93599985120818019 165564.48600018967408687, 524091.01599990966496989 165612.37899986628326587, 524025.53299987909849733 165601.34699994066613726, 524013.20199989184038714 165651.56800020829541609, 523885.34400002588517964 165744.24799978651572019, 523988.78200001717777923 165909.21799988902057521, 524103.8749998802668415 166072.905999846290797, 524178.19699987140484154 166189.16399999998975545, 524312.76499984820839018 166115.28799996545421891, 524243.92000001162523404 166110.72600004094420001)))</t>
  </si>
  <si>
    <t>E01004131</t>
  </si>
  <si>
    <t>Sutton 003B</t>
  </si>
  <si>
    <t>E02000842</t>
  </si>
  <si>
    <t>Sutton 003</t>
  </si>
  <si>
    <t>MultiPolygon (((524013.20200014719739556 165651.56799992208834738, 524025.5329998973174952 165601.34699993749381974, 524091.01600010803667828 165612.37899988237768412, 524113.93600012309616432 165564.48599991289665923, 524207.57600002340041101 165599.41400017859996296, 524252.9649999292450957 165564.41000014985911548, 524260.84600014809984714 165497.56599993255804293, 524220.99999989051138982 165439.9999999137071427, 524197.63700019550742581 165224.15599990609916858, 524242.72399994445731863 165217.11999980959808454, 524226.16099980194121599 165082.26100019449950196, 524308.56000010506249964 165051.44099991855910048, 524283.18800007755635306 164993.65499983908375725, 524040.15300013078376651 164933.66599999999743886, 523954.78099985589506105 165111.1559999400342349, 524033.57199997542193159 165119.15399997000349686, 524051.72000000200932845 165254.58399988984456286, 524040.53100005071610212 165299.70300020027207211, 523992.18799980985932052 165277.952999918081332, 523970.03200007899431512 165321.43300018220907077, 523959.20299985847668722 165368.9770000186690595, 523926.9690000771661289 165482.29699992554378696, 523957.75000001076841727 165608.2030001686362084, 523934.29800003330456093 165648.17000005426234566, 523880.12499980721622705 165637.14100007340312004, 523896.24999993958044797 165666.34399990379461087, 523850.62499989499337971 165687.48399994420469739, 523885.34400010312674567 165744.24799999999231659, 524013.20200014719739556 165651.56799992208834738)))</t>
  </si>
  <si>
    <t>E01004132</t>
  </si>
  <si>
    <t>Sutton 009D</t>
  </si>
  <si>
    <t>E02000848</t>
  </si>
  <si>
    <t>Sutton 009</t>
  </si>
  <si>
    <t>MultiPolygon (((524814.53799988888204098 166556.28899987365002744, 524877.00000015343539417 166518.00000000419095159, 524856.27199982956517488 166484.88700001197867095, 524821.27000001247506589 166497.84000020104576834, 524789.11800019291695207 166447.59899992772261612, 524753.42399979056790471 166459.92499982929439284, 524708.79100009787362069 166399.97900011346791871, 524613.6629999082069844 166404.56699988187756389, 524571.18599988718051463 166439.72199992989771999, 524597.38399992452468723 166465.44599991067661904, 524485.85600017034448683 166543.7249998552724719, 524438.62399978365283459 166463.6640001731866505, 524515.29500011645723134 166409.08100008341716602, 524470.32500005490146577 166355.94599984600790776, 524470.99899991985876113 166283.99999984211171977, 524452.58099980524275452 166303.24800009993487038, 524387.90599984291475266 166261.48199994547758251, 524321.83799987728707492 166179.18699979796656407, 524351.39300005277618766 166130.74399980544694699, 524312.76500007382128388 166115.28800000000046566, 524178.1970000458532013 166189.16400018444983289, 524287.70499994570855051 166355.63299985561752692, 524335.34499978448729962 166422.71200005506398156, 524480.00200007413513958 166687.9950001512770541, 524508.14900000975467265 166734.43300008968799375, 524514.04600020230282098 166745.08500021140207537, 524587.69299997540656477 166866.53100014888332225, 524589.93799988692626357 166871.10899990506004542, 524639.46399993961676955 166941.12299998785601929, 524662.49999985937029123 166988.15600000001722947, 524730.6250001173466444 166944.75000002005253918, 524768.3840002107899636 166921.67799996893154457, 524821.31799989670980722 166880.0189999018330127, 524834.56199987465515733 166866.96600002676132135, 524900.00999995414167643 166821.38300004397751763, 524796.00000006379559636 166682.99999992825905792, 524794.34199995442759246 166639.03400013560894877, 524844.99999982165172696 166606.99999984950409271, 524814.53799988888204098 166556.28899987365002744)))</t>
  </si>
  <si>
    <t>E01004134</t>
  </si>
  <si>
    <t>Sutton 003C</t>
  </si>
  <si>
    <t>MultiPolygon (((522781.04899982578353956 164907.95000012789387256, 522907.67600018315715715 164752.21299995924346149, 522930.15399982646340504 164744.14700006262864918, 523001.00699983915546909 164821.15999991158605553, 522888.12199986656196415 164939.58999985695118085, 522996.41400015278486535 165024.55599991107010283, 523031.68199989449931309 165009.24499988873139955, 523148.18399998015956953 165072.14799997294903733, 523251.53100002795690671 164942.0310002064506989, 523327.00799993838882074 165054.67900006036506966, 523366.88200000807410106 164928.30499990377575159, 523345.76900000066962093 164878.39300006101257168, 523417.26100000005681068 164801.89900000102352351, 523402.7190001088893041 164754.28099991026101634, 523337.66800008120480925 164736.96399994150851853, 523380.95199998561292887 164564.48200002184603363, 523196.91900010651443154 164665.34400012143305503, 523038.67600014322670177 164406.38000010268297046, 522974.77399989729747176 164450.02799999358830974, 522856.42699980299221352 164544.85700012475717813, 522706.90399985224939883 164574.64199989836197346, 522581.18000000005122274 164728.81800005244440399, 522582.17300002643605694 164836.29599981982028112, 522726.81600002007326111 164828.52199995832052082, 522651.99999989569187164 165166.99999985631438904, 522723.91599998041056097 165209.94399989733938128, 522849.54700003477046266 165007.00400014742626809, 522762.53199997032061219 164956.05299993770313449, 522781.04899982578353956 164907.95000012789387256)))</t>
  </si>
  <si>
    <t>E01004116</t>
  </si>
  <si>
    <t>Sutton 008A</t>
  </si>
  <si>
    <t>MultiPolygon (((523731.88899999100249261 165225.10599990221089683, 523679.97200021205935627 165151.98000015976140276, 523574.03299992484971881 165157.28600007857312448, 523529.15000020171282813 165096.84099988502566703, 523556.55000017647398636 165030.5369998549867887, 523630.43100008711917326 165015.89100002121995203, 523667.83999994525220245 165061.97299992994521745, 523710.18699981179088354 165014.37499980014399625, 523690.00000001530861482 164977.99999987852061167, 523755.96000010118586943 164940.92999991812394001, 523787.77400017937179655 164997.57499989363714121, 523840.57699988898821175 164938.51099995052209124, 523914.48000008933013305 164929.07999978939187713, 524001.4160001989803277 164844.52800017743720673, 524144.71699982258724049 164776.87900006011477672, 524175.01599994546268135 164742.19799978885566816, 524150.24099996947916225 164718.33100003321305849, 524037.24900013406295329 164722.39300020373775624, 523933.75100010412279516 164662.43999996013008058, 523979.65399989031720906 164631.53499994063167833, 523782.07200017577270046 164521.83299986430210993, 523751.89200004597660154 164502.5689999999885913, 523717.98499986279057339 164552.40300019417190924, 523683.99999989604111761 164611.99999986932380125, 523647.57600020355312154 164588.38499997335020453, 523618.63699987973086536 164629.50900011550402269, 523541.36600013676797971 164583.09400019375607371, 523519.68200003914535046 164607.06000018431222998, 523502.04100019211182371 164675.05700002642697655, 523571.01500021113315597 164752.51900008879601955, 523551.30600006366148591 164800.01200009894091636, 523462.28800020762719214 164745.223999918816844, 523417.26099983183667064 164801.89900017279433087, 523345.76900003780610859 164878.39299988531274721, 523366.88200013618916273 164928.30499986305949278, 523327.00800005451310426 165054.67900002573151141, 523341.83399984909920022 165074.98999986171838827, 523365.15600010333582759 165106.65599993409705348, 523436.99999983026646078 165035.6409999507595785, 523572.52599995833588764 165242.25999984570080414, 523594.87399997795000672 165279.47400003124494106, 523646.78600013797404245 165357.4970000000030268, 523731.88899999100249261 165225.10599990221089683)))</t>
  </si>
  <si>
    <t>E01004118</t>
  </si>
  <si>
    <t>Sutton 009B</t>
  </si>
  <si>
    <t>MultiPolygon (((523896.24999997776467353 165666.34399987233337015, 523880.12499980820575729 165637.14099996539880522, 523934.29799991979962215 165648.17000004084547982, 523957.75000019022263587 165608.20299977253307588, 523926.96900013036793098 165482.29700018075527623, 523959.20299977366812527 165368.97699998956522904, 523970.03200003050733358 165321.43299984713667072, 523992.18799994682194665 165277.95300022506853566, 524040.53099997452227399 165299.70300007256446406, 524051.7200001779710874 165254.58399977919179946, 524033.57199994043912739 165119.15399979389621876, 523954.78099990589544177 165111.15599991014460102, 524040.15300009888596833 164933.66600001629558392, 524283.18800004164222628 164993.65500011519179679, 524321.81299983360804617 164879.65600002091377974, 524144.71700005582533777 164776.87900000001536682, 524001.41599998960737139 164844.52799979754490778, 523914.48000019555911422 164929.0800001880270429, 523840.57699986099032685 164938.51100003757164814, 523787.77399996359599754 164997.57499983732122928, 523755.96000003034714609 164940.92999991026590578, 523689.99999994813697413 164978.00000006565824151, 523710.1870000388007611 165014.37500007750350051, 523667.84000019938685 165061.97300000701216049, 523630.43100001459242776 165015.89099986784276552, 523556.54999989684438333 165030.53699994939961471, 523529.15000016638077796 165096.84100019306060858, 523574.03299987252103165 165157.28599986006156541, 523679.97200017573777586 165151.98000013860291801, 523731.88900007557822391 165225.10599989406182431, 523646.78599988442147151 165357.49700002273311839, 523740.15899994934443384 165500.84899988787947223, 523764.08099988446338102 165539.01399982397560962, 523850.6250001615844667 165687.48399999999674037, 523896.24999997776467353 165666.34399987233337015)))</t>
  </si>
  <si>
    <t>E01004119</t>
  </si>
  <si>
    <t>Sutton 009C</t>
  </si>
  <si>
    <t>MultiPolygon (((523417.26099980674916878 164801.89900018577463925, 523462.28800000913906842 164745.22400017915060744, 523551.30600013246294111 164800.0119997947185766, 523571.01500001037493348 164752.51900005346396938, 523502.04100004560314119 164675.05700015221373178, 523519.68199998425552621 164607.06000007039983757, 523541.36599977948935702 164583.09399990065139718, 523618.63700027664890513 164629.50900019300752319, 523647.5759999550646171 164588.3850001621467527, 523684.00000017549609765 164611.9999998277053237, 523717.98500024067470804 164552.40300015610409901, 523751.8920000676298514 164502.56900020953617059, 523782.07199991116067395 164521.83300025702919811, 523979.6539998872904107 164631.53499982933863066, 523933.75099993572803214 164662.44000000908272341, 524037.24900025792885572 164722.39300011278828606, 524150.24100009497487918 164718.33099984872387722, 524174.24899999995250255 164702.73400008186581545, 524148.80199971824185923 164668.75300007255282253, 523869.12499997299164534 164519.98400011303601786, 523796.87500022299354896 164453.35899989760946482, 523847.20200010295957327 164406.94999997300328687, 523810.5739998709759675 164366.50700023130048066, 523741.94199985882733017 164326.59699984634062275, 523536.31299972074339166 164109.40499981422908604, 523408.59300019399961457 164197.18999988419818692, 523092.49999977234983817 164475.28099989565089345, 523038.67599999997764826 164406.38000024121720344, 523196.91899976273998618 164665.3440002741990611, 523380.95200019958429039 164564.48199987906264141, 523337.66800007951678708 164736.96400002180598676, 523402.71900016098516062 164754.2809999753953889, 523417.26099980674916878 164801.89900018577463925)))</t>
  </si>
  <si>
    <t>E01004120</t>
  </si>
  <si>
    <t>Sutton 016D</t>
  </si>
  <si>
    <t>E02000855</t>
  </si>
  <si>
    <t>Sutton 016</t>
  </si>
  <si>
    <t>MultiPolygon (((524795.52200022782199085 168604.01699999999254942, 524790.59799983131233603 168501.19099981430917978, 524970.99999991967342794 168510.99999997564009391, 525028.90099994989577681 168442.96200011801556684, 525086.95099979918450117 168484.63499979363405146, 525105.79899985902011395 168458.2819998059712816, 525207.27900006680283695 168255.90800003029289655, 525263.921000154921785 168116.74399989715311676, 525307.18799985735677183 168006.26600014965515584, 525273.12499997892882675 167832.3119999612972606, 525137.71699979004915804 167731.99800002065603621, 525098.24999998160637915 167688.39100000000325963, 525006.63299989397637546 167688.9449999691278208, 525003.53799997316673398 167694.10399989882716909, 525070.5730002197669819 168138.8590002219134476, 524755.88300007511861622 168016.65499993818229996, 524788.79599979298654944 168154.28100018846453167, 524853.77600017643999308 168193.09600011928705499, 524718.87299977347720414 168184.66600001248298213, 524700.4580001647118479 168229.91799997034831904, 524738.25799983227625489 168284.01099982453160919, 524672.99599991738796234 168279.71099992046947591, 524591.01799983205273747 168149.77500000005238689, 524441.76200014259666204 168226.81500022514956072, 524480.8490000533638522 168242.98300006584031507, 524491.17900010710582137 168300.84400005865609273, 524531.39900020835921168 168262.04099986437358893, 524598.79300001263618469 168294.14800010970793664, 524581.91700015019159764 168562.40300005913013592, 524652.93299986503552645 168574.11799980676732957, 524685.64499998977407813 168540.94499984566937201, 524701.50399986177217215 168600.7079999704437796, 524795.52200022782199085 168604.01699999999254942)))</t>
  </si>
  <si>
    <t>E01003365</t>
  </si>
  <si>
    <t>Merton 021D</t>
  </si>
  <si>
    <t>E02000709</t>
  </si>
  <si>
    <t>Merton 021</t>
  </si>
  <si>
    <t>MultiPolygon (((525167.83799987507518381 167321.84999983935267664, 525216.63499997230246663 167266.37000011579948477, 525252.47400020610075444 167314.38100019408739172, 525333.05699991516303271 167219.87699998533935286, 525442.78599999996367842 167225.50000021161395125, 525420.51600010960828513 167173.53799968131352216, 525390.51900014432612807 167071.90300017519621179, 525324.99999993562232703 166864.9999999504070729, 525312.87500027695205063 166635.36999982676934451, 525296.41099995002150536 166654.57899988724966533, 525119.17900000768713653 166864.02400004511582665, 525101.88499980373308063 166884.51200019297539257, 525089.65299985918682069 166869.08899998714332469, 525068.72399994451552629 166842.70400023180991411, 524999.93799977796152234 166755.98399987042648718, 524900.01000021188519895 166821.38299987924983725, 524834.56200022902339697 166866.96600021433550864, 524821.31800031929742545 166880.01899969839723781, 524768.38400010543409735 166921.67799994899542071, 524730.62499989930074662 166944.75000009991344996, 524877.81299969053361565 167154.07799974037334323, 524754.31300000101327896 167188.87400006479583681, 524491.68799986457452178 167144.29699968494242057, 524398.7880001770099625 167185.75800025087664835, 524212.62499987467890605 167327.51600002974737436, 524152.59999999997671694 167338.29600013626622967, 524197.12599997234065086 167447.84400002713664435, 524248.72099999891361222 167551.92900017322972417, 525043.12999967881478369 167547.92600006467546336, 525078.99999985669273883 167531.79200028741615824, 525100.99999994249083102 167422.99999972037039697, 525203.09100020804908127 167422.90900032143690623, 525159.35399993706960231 167386.04500020827981643, 525167.83799987507518381 167321.84999983935267664)))</t>
  </si>
  <si>
    <t>E01003451</t>
  </si>
  <si>
    <t>Merton 024D</t>
  </si>
  <si>
    <t>E02000712</t>
  </si>
  <si>
    <t>Merton 024</t>
  </si>
  <si>
    <t>MultiPolygon (((525165.98399971297476441 167696.56100001133745536, 525115.59600023669190705 167666.277999891404761, 525137.75199981406331062 167647.30100004328414798, 525183.29899979755282402 167670.07500024867476895, 525175.35800029174424708 167605.48199979378841817, 525214.00000018661376089 167588.00000013099634089, 525214.99900007375981659 167546.99999981568544172, 525271.99999992875382304 167492.00000027709756978, 525298.33300017530564219 167510.76600024604704231, 525329.9999996708938852 167532.99999985241447575, 525442.05900016741361469 167593.62399971537524834, 525466.41799979470670223 167412.74300029536243528, 525590.12599986512213945 167394.29700016064452939, 525588.76799975917674601 167293.6850002444407437, 525644.28100019972771406 167203.46799983480013907, 525529.99999967485200614 167160.99999977112747729, 525597.40000000537838787 167113.92699967621592805, 525603.48699984711129218 167037.22799973384826444, 525728.64300000004004687 166936.83200035322806798, 525665.44200011913198978 166879.03400034460355528, 525642.37900000554509461 166869.22199983079917729, 525637.22099974052980542 166867.07999994594138116, 525554.25799980526790023 166815.76199972580070607, 525397.35999992967117578 166693.72100007531116717, 525371.68300026829820126 166673.04899968300014734, 525330.87400016630999744 166638.39100012954440899, 525312.87500011222437024 166635.36999983279383741, 525325.00000031827948987 166864.9999999133287929, 525390.51899980788584799 167071.90299989131744951, 525420.51599982159677893 167173.5380003298050724, 525442.78600001055747271 167225.49999970765202306, 525333.05699981027282774 167219.87699981057085097, 525252.47400007594842464 167314.38099979184335098, 525216.63499982771463692 167266.36999997464590706, 525167.83800011698622257 167321.84999963460722938, 525159.35400021029636264 167386.04500022626598366, 525203.09100009070243686 167422.9089996314723976, 525101.0000001658918336 167423.00000003524473868, 525078.99999990640208125 167531.79200020062853582, 525043.12999973201658577 167547.92600033039343543, 524248.72100000001955777 167551.92899991039303131, 524343.77600010053720325 167669.96099963714368641, 524447.12500032188836485 167611.37500036036362872, 524569.2500003450550139 167590.09400022571207955, 524805.12499969988130033 167668.07800016153487377, 525006.63300026394426823 167688.94500025626621209, 525098.25000022596213967 167688.39100033507565968, 525137.71699965873267502 167731.99800016722292639, 525165.98399971297476441 167696.56100001133745536)))</t>
  </si>
  <si>
    <t>E01003452</t>
  </si>
  <si>
    <t>Merton 024E</t>
  </si>
  <si>
    <t>MultiPolygon (((525938.84899997687898576 167982.92499983528978191, 525898.47500000870786607 167954.19400017417501658, 525922.79799993417691439 167966.32199995909468271, 525952.62999999092426151 167930.52400005637900904, 525917.28400014212820679 167896.12400017902837135, 525937.51999982132110745 167883.50399999067303725, 525938.44799978868104517 167816.13700007475563325, 525991.0400000000372529 167767.30899979337118566, 525910.56000017293263227 167638.8710001741128508, 525909.00400001439265907 167632.2030001689272467, 525886.58200003392994404 167596.5059998027572874, 525919.46299995563458651 167499.89500010936171748, 525891.54099984583444893 167468.5499999524326995, 525918.5999999544583261 167437.20000013482058421, 525898.54799978202208877 167405.50700004486134276, 525807.4289999728789553 167367.32599999054218642, 525659.23100015032105148 167433.57599989621667191, 525590.12600008316803724 167394.29700003049219958, 525466.41799988353159279 167412.74299993575550616, 525442.0589999498333782 167593.62400007294490933, 525329.99999991280492395 167532.99999988742638379, 525298.33300007192883641 167510.76600019269972108, 525271.99999998218845576 167492.00000011757947505, 525214.99899984046351165 167547.0000000970903784, 525214.00000005157198757 167587.99999986690818332, 525175.35799994133412838 167605.48199979661148973, 525183.29900013806764036 167670.07500000722939149, 525137.75199982291087508 167647.30100018999655731, 525115.59599999990314245 167666.27800021570874378, 525165.98399990575853735 167696.5610001316817943, 525137.71700000949203968 167731.99800019568647258, 525273.12499979964923114 167832.3120001942734234, 525307.18800013558939099 168006.26599978117155842, 525359.54399990430101752 167868.70100008515873924, 525394.24999985098838806 167759.4059999943128787, 525446.0000002117594704 167770.35899985310970806, 525450.74899983021896333 167747.36399988844641484, 525483.51000001654028893 167802.27399984752992168, 525485.87700011592824012 167793.81400011666119099, 525722.00000009301584214 167741.99999998460407369, 525840.70799993630498648 167825.61000013272860087, 525817.58800013794098049 167866.74199978660908528, 525750.85999992920551449 167807.3840001801145263, 525696.07400004693772644 167841.14600010725553147, 525683.76800017303321511 167947.3930000901746098, 525737.20699989562854171 167948.80900011965422891, 525728.10000021243467927 168018.90599992542411201, 525778.21899981400929391 168027.18800000500050373, 525781.33199988806154579 167977.34699983423342928, 525818.41199998441152275 167971.30500006832880899, 525881.4059999780729413 168035.78200000946526416, 525923.62200021836906672 168035.17699992083362304, 525938.84899997687898576 167982.92499983528978191)))</t>
  </si>
  <si>
    <t>E01003449</t>
  </si>
  <si>
    <t>Merton 024B</t>
  </si>
  <si>
    <t>MultiPolygon (((523806.52699987113010138 167191.39699999999720603, 523958.93399995722575113 167092.61099979293067008, 523899.16800012910971418 167015.66399999553686939, 523930.51699989393819124 166948.92100019255303778, 524039.9999999541323632 166670.99999995180405676, 524004.74599983566440642 166649.84699980876757763, 524175.02000015770317987 166465.2980002083349973, 524257.14099978521699086 166534.58200020424555987, 524293.049000000115484 166513.66399978499975987, 524214.449999829987064 166398.72599978861398995, 524154.18799978337483481 166311.26800000004004687, 524126.26100009918445721 166329.82600007540895604, 523976.00000007101334631 166479.99999979193671606, 523943.52999980183085427 166450.04699991800589487, 523856.20199990720720962 166563.18399986284202896, 523794.66000009182607755 166717.71900004870258272, 523836.9950001883553341 166726.36599991450202651, 523802.17500004102475941 166799.9370000135677401, 523843.38999989978037775 166809.47399996613967232, 523816.92800001974683255 166871.54599982337094843, 523852.21500013495096937 166899.74499985453439876, 523757.00000012735836208 167020.99999988995841704, 523836.20499991846736521 167062.13900016952538863, 523754.28899993759114295 167076.35599982694839127, 523730.1749998425366357 167103.13000015675788745, 523748.99999981187283993 167132.00099980251980014, 523678.61699989618500695 167051.77100001770304516, 523649.44299999985378236 167078.20999992667930201, 523736.01400006143376231 167184.62899985813419335, 523779.87900012917816639 167161.68099994302610867, 523806.52699987113010138 167191.39699999999720603)))</t>
  </si>
  <si>
    <t>E01003418</t>
  </si>
  <si>
    <t>Merton 025B</t>
  </si>
  <si>
    <t>E02000713</t>
  </si>
  <si>
    <t>Merton 025</t>
  </si>
  <si>
    <t>MultiPolygon (((523856.20199992804555222 166563.18399993420462124, 523943.52999989734962583 166450.04699998575961217, 523975.99999982921872288 166479.99999986265902407, 524126.26099994470132515 166329.82600001990795135, 524154.18799992563435808 166311.2679998766980134, 524214.44999991211807355 166398.72599993925541639, 524287.70499999995809048 166355.63299984412151389, 524178.19700014824047685 166189.16399982184520923, 524103.87499999406281859 166072.90599995927186683, 523970.11999995930818841 166136.24900008700205944, 523813.32499993673991412 166230.67500004963949323, 523747.55400018172804266 166273.65999990812269971, 523548.68599999998696148 166401.54999994160607457, 523646.92400000873021781 166488.20599995745578781, 523686.0789999047992751 166528.02300014090724289, 523666.15499999810708687 166608.70199997851159424, 523706.25800016504945233 166698.32300001825205982, 523794.65999981912318617 166717.71900004072813317, 523856.20199992804555222 166563.18399993420462124)))</t>
  </si>
  <si>
    <t>E01003420</t>
  </si>
  <si>
    <t>Merton 025D</t>
  </si>
  <si>
    <t>MultiPolygon (((525369.38899987482000142 168419.26400014158571139, 525413.70899982168339193 168247.99100000312319025, 525479.42599991662427783 168287.80500009874231182, 525416.03400019963737577 168398.59799988803570159, 525485.4740000597666949 168426.21099988278001547, 525476.00000009103678167 168512.99999987537739798, 525470.69300010823644698 168548.88999978802166879, 525525.73700023861601949 168573.82599989720620215, 525612.00999982841312885 168545.44399997190339491, 525678.5389997522579506 168702.12599979771766812, 525724.74099982879124582 168714.4249999058956746, 525885.39800005662254989 168727.7250000502972398, 525738.12499982491135597 168612.20300005649914965, 525681.88200023944955319 168519.2689998859714251, 525610.36900009750388563 168070.24000019716913812, 525618.80799988401122391 168055.19499993888894096, 525607.95999986783135682 168010.83999987354036421, 525483.51000002329237759 167802.27400003210641444, 525450.74899999692570418 167747.36400000000139698, 525445.99999980197753757 167770.35899998064269312, 525394.24999988463241607 167759.40600014966912568, 525359.54399983980692923 167868.70100005876156501, 525307.18799983302596956 168006.26599973026895896, 525263.92100011394359171 168116.74400007547228597, 525207.27900015097111464 168255.90800009277882054, 525105.79899989347904921 168458.28199996799230576, 525086.95099990826565772 168484.63500002308865078, 524861.52699994342401624 168725.78799981166957878, 524910.95999980345368385 168743.66599998925812542, 524915.38800017861649394 168797.71599989084643312, 524966.00000004388857633 168829, 524968.6880001676036045 168792.32899994618492201, 525062.50199991825502366 168778.94200003260630183, 525122.47900004766415805 168691.54300006062840112, 525354.65600022487342358 168527.76700021221768111, 525335.62799978477414697 168462.56300006175297312, 525369.38899987482000142 168419.26400014158571139)))</t>
  </si>
  <si>
    <t>E01003427</t>
  </si>
  <si>
    <t>Merton 023A</t>
  </si>
  <si>
    <t>E02000711</t>
  </si>
  <si>
    <t>Merton 023</t>
  </si>
  <si>
    <t>MultiPolygon (((524877.81299999984912574 167154.07799995975801721, 524730.62500004493631423 166944.75000020055449568, 524662.49999979755375534 166988.15599984265281819, 524639.46399997128173709 166941.12300006457371637, 524589.93800015503074974 166871.10900018899701536, 524587.69300003652460873 166866.53100003686267883, 524514.04599987203255296 166745.0849999196943827, 524508.14900021709036082 166734.43300018401350826, 524480.00199981976766139 166687.9949999317759648, 524335.34500014421064407 166422.71199994414928369, 524287.70500009786337614 166355.63299987924983725, 524214.45000003179302439 166398.72600019999663346, 524293.04899998800829053 166513.66400000095018186, 524257.141000144649297 166534.58199996335315518, 524175.01999989175237715 166465.29800021767732687, 524004.74599999998463318 166649.84700002465979196, 524040.00000019581057131 166670.99999993917299435, 524170.60799989709630609 166756.65700011810986325, 524177.05499989510281011 166789.32400020756176673, 524211.78600021789316088 166974.34900007172836922, 524194.9569999462692067 167075.02099996866309084, 524277.58099985338049009 167049.96999992136261426, 524326.4100001627812162 167053.8190000418398995, 524353.897999984677881 167119.07299978192895651, 524398.78800006199162453 167185.75799998838920146, 524491.68799986864905804 167144.29699980141595006, 524754.31300019531045109 167188.87400012073339894, 524877.81299999984912574 167154.07799995975801721)))</t>
  </si>
  <si>
    <t>E01003417</t>
  </si>
  <si>
    <t>Merton 025A</t>
  </si>
  <si>
    <t>MultiPolygon (((523616.74900017259642482 166094.6679998405452352, 523740.07699987263185903 166007.1920000635436736, 523777.91799996461486444 165957.55400012154132128, 523905.46300003601936623 165930.33799991989508271, 523988.78200000000651926 165909.21799999833456241, 523885.34399987471988425 165744.24799987717415206, 523850.62500009464565665 165687.48399987746961415, 523764.08100015815580264 165539.01400002540322021, 523718.89899991638958454 165565.07200005697086453, 523661.64700005011400208 165505.83900000227731653, 523529.34800012450432405 165612.16900011964025907, 523502.92199993360554799 165501.9520000591292046, 523432.00000011775409803 165497.00000015945988707, 523401.78099993057549 165526.9230000116804149, 523331.29900009842822328 165598.34100002696504816, 523284 165644.99999992485390976, 523304.43900008534546942 165702.62299985505524091, 523320.08000007155351341 165765.75099983336986043, 523403.60799996613059193 165807.58100014823139645, 523353.5489999059936963 165830.15999994601588696, 523412.65100001601967961 165852.21200006047729403, 523406.78699987469008192 165905.25599997385870665, 523444.35800009674858302 165904.11300003147334792, 523496.61499990400625393 165982.37300009254249744, 523492.16799991758307442 165981.7499999386491254, 523477.66900014050770551 166079.58299990740488283, 523514.99999989097705111 166066.00000000986619852, 523538.94600014179013669 166056.09100013467832468, 523553.7020000847405754 166088.09499993131612428, 523621.49699986516498029 166069.18299990866216831, 523616.74900017259642482 166094.6679998405452352)))</t>
  </si>
  <si>
    <t>E01004196</t>
  </si>
  <si>
    <t>Sutton 008F</t>
  </si>
  <si>
    <t>MultiPolygon (((525427.92100006237160414 165204.53300003198091872, 525419.9999999541323632 165140.00000008777715266, 525383.34399983996991068 165141.70499985956121236, 525381.9999999487772584 165061.05299993499647826, 525411.40800004277843982 165072.58499997880426235, 525409.36699980427511036 165014.74999991172808222, 525469.52699988335371017 165044.36500006739515811, 525521.92100001312792301 164898.88100006559398025, 525699.39199996565002948 164982.73900009694625624, 525701.40800000005401671 164943.1660001645796001, 525546.87499996006954461 164849.01600017480086535, 525528.11099980550352484 164868.27300005467259325, 525510.12499988486524671 164907.31200014843489043, 525361.60300000954885036 164799.97900013587786816, 525346.87500009848736227 164809.15599984381697141, 525314.43800003069918603 164840.42199997845455073, 525282.68800007051322609 164806.24999981504515745, 525235.9199999658158049 164855.82399992248974741, 525173.21500013349577785 164922.29100006938097067, 525074.18799997377209365 165026.21899986805510707, 525010.87500003085006028 165147.54699984591570683, 525043.24999995611142367 165168.7490001130499877, 525028.12500017101410776 165190.96999998937826604, 524996.4379999031079933 165168.71900018426822498, 524911.25 165268.21899998502340168, 524939.16199987870641053 165304.02399993312428705, 525057.79199983447324485 165463.00300016527762637, 525081.93199994903989136 165502.16399986410397105, 525476.92200010770466179 165265.73099985951557755, 525427.92100006237160414 165204.53300003198091872)))</t>
  </si>
  <si>
    <t>E01004148</t>
  </si>
  <si>
    <t>Sutton 014B</t>
  </si>
  <si>
    <t>E02000853</t>
  </si>
  <si>
    <t>Sutton 014</t>
  </si>
  <si>
    <t>MultiPolygon (((524911.24999981815926731 165268.21899990513338707, 524996.43799980683252215 165168.71900016930885613, 525028.12500008381903172 165190.97000008838949725, 525043.2499998293351382 165168.74899986933451146, 525010.87499985622707754 165147.54700015694834292, 525074.1879998630611226 165026.21900016692234203, 525173.21500015177298337 164922.29100017453311011, 525235.91999994486104697 164855.82399998453911394, 525282.6879998710937798 164806.24999986661714502, 525314.43800002604257315 164840.42199998913565651, 525346.87500000011641532 164809.15600004608859308, 525222.97300009487662464 164670.77999998172163032, 525172.16400019091088325 164627.68700013708439656, 525048.88899985805619508 164480.64700009490479715, 525022.99999996717087924 164528.99999997630948201, 524870.66700013354420662 164508.8419998150493484, 524864.42399982281494886 164543.42200017574941739, 524966.74800007825251669 164563.64100003748899326, 524935.94499996455851942 164703.7490001957048662, 524874.06800001987721771 164704.4229999188974034, 524898.8609999765176326 164617.98399999373941682, 524875.57399994658771902 164582.51500008418224752, 524811.37700019974727184 164571.56100000429432839, 524800.92000000434927642 164600.63999988770228811, 524627.97400004370138049 164539.85700012306915596, 524568.96399999118875712 164518.11700006132014096, 524524.42800009797792882 164584.57200003264006227, 524539.04699979501310736 164609.9220001204230357, 524518.99999996309634298 164630.99999983099405654, 524561.9999998064013198 164668.99999985983595252, 524500.23899999994318932 164728.55300007059122436, 524710.64300013170577586 165020.59199993358924985, 524715.2940000775270164 165026.29200008607585914, 524732.98300012038089335 165048.01599999735481106, 524754.50000006949994713 165074.45299985539168119, 524911.24999981815926731 165268.21899990513338707)))</t>
  </si>
  <si>
    <t>E01004159</t>
  </si>
  <si>
    <t>Sutton 014C</t>
  </si>
  <si>
    <t>MultiPolygon (((524524.42799992370419204 164584.57200008362997323, 524568.96399990993086249 164518.1169998672849033, 524627.97399994730949402 164539.85700014213216491, 524800.92000017524696887 164600.63999993816833012, 524811.37699984724167734 164571.56099983619060367, 524875.57399990619160235 164582.51500010350719094, 524898.86100011458620429 164617.98400020255940035, 524874.06800015969201922 164704.42299989791354164, 524935.94500015350058675 164703.74899993411963806, 524966.74799997301306576 164563.64100011484697461, 524864.42399988987017423 164543.42200004003825597, 524870.66700017906259745 164508.84200003440491855, 524800.33300018275622278 164493.50000002619344741, 524808.3140001418069005 164340.32400006428360939, 524986.08199988142587245 164368.31000005421810783, 525002.99999981361906976 164449.99999984129681252, 525032.14699992176610976 164441.42699987700325437, 525024.8579998059431091 164244.04600002017104998, 524983.86999992374330759 164194.24999999339343049, 524988.97600007243454456 164132.27600000301026739, 525024.37299982272088528 164113.69000016289646737, 524997.33200015127658844 164085.0009998032473959, 524947.51499998825602233 164098.00200002532801591, 524925.49599992006551474 164095.87499986772309057, 524851.00000000803265721 164047.00000018169521354, 524831.46499992231838405 163957.24800014708307572, 524781.91000017418991774 163948.90399984930991195, 524776.20099990931339562 164034.98199979276978411, 524732.67499999096617103 164010.62599986555869691, 524465.80400011711753905 163897.5719999999855645, 524419.46300012478604913 164093.8079998622124549, 524398.65099995920900255 164260.71400014948449098, 524397.81300007819663733 164363.56199981606914662, 524452.06700002332217991 164622.91099998046411201, 524500.23900017060805112 164728.5530000000144355, 524562.00000020256265998 164668.99999999857391231, 524519.00000003888271749 164631.00000004717730917, 524539.04699992691166699 164609.92199995499686338, 524524.42799992370419204 164584.57200008362997323)))</t>
  </si>
  <si>
    <t>E01004161</t>
  </si>
  <si>
    <t>Sutton 014E</t>
  </si>
  <si>
    <t>MultiPolygon (((525941.00000005913898349 166110.00000016193371266, 525876.30400008056312799 165728.26100022424361669, 525751.95500024734064937 165798.06899998878361657, 525654.81299978902097791 165737.58199984085513279, 525661.50299984670709819 165602.05600002151913941, 525620.08899976953398436 165505.37500016475678422, 525611.177999826380983 165464.61800013660104014, 525534.8340001906035468 165498.61699989187764004, 525476.87299991596955806 165407.64399987252545543, 525394.31700011109933257 165486.74200004275189713, 525314.41499992297030985 165485.4759999763336964, 525342.1549999468261376 165394.89199999999254942, 525099.74700024526100606 165538.83000024358625524, 525122.02000003645662218 165607.73699996896903031, 525200.93800008820835501 165823.46900000615278259, 525312.35799980454612523 165949.3659998357470613, 525343.69199989328626543 165977.78200013408786617, 525566.49699977168347687 166175.6940002009505406, 525572.0989999653538689 166180.64099975049612112, 525828.99299991386942565 166405.89700009179068729, 526004.8129997547948733 166417.34400000004097819, 525996.19800017680972815 166366.6260001044429373, 525941.00000005913898349 166110.00000016193371266)))</t>
  </si>
  <si>
    <t>E01004145</t>
  </si>
  <si>
    <t>Sutton 007B</t>
  </si>
  <si>
    <t>E02000846</t>
  </si>
  <si>
    <t>Sutton 007</t>
  </si>
  <si>
    <t>MultiPolygon (((525716.25300006510224193 165576.71599999698810279, 525681.76300019060727209 165393.13299994909903035, 525723.87500016926787794 165359.4190001891402062, 525768.95700000680517405 165395.64999986637849361, 525795.86800014937762171 165375.84300000220537186, 525791.68799990136176348 165318.34800012246705592, 525799.37299986346624792 165315.91500014541088603, 525762.99999987054616213 165129.00000013512908481, 525860.00100000016391277 165066.99999980808934197, 525847.03400004655122757 165027.68699996275245212, 525797.68800002092029899 165030.54699992766836658, 525779.43799986818339676 164944.85900012319325469, 525741.07199986279010773 164948.75100007597939111, 525701.40799986443016678 164943.16600017514429055, 525699.39200013235677034 164982.73899994653766043, 525521.92100012430455536 164898.88100014545489103, 525469.526999989640899 165044.36500001183594577, 525409.36700018681585789 165014.75000001562875696, 525411.40800005395431072 165072.58500009795534424, 525381.99999986868351698 165061.05300019274000078, 525383.34400007908698171 165141.70500013628043234, 525420.00000010675285012 165140.00000003003515303, 525427.92100006761029363 165204.53300009624217637, 525476.9220000192290172 165265.7309999660064932, 525081.93200000002980232 165502.16399993503000587, 525099.74700005957856774 165538.8300000945746433, 525342.15500001306645572 165394.89199998910771683, 525314.41500002983957529 165485.4760001431859564, 525394.31699981261044741 165486.74200010343338363, 525476.87299995694775134 165407.64400002628099173, 525534.83400014403741807 165498.61700005625607446, 525611.17800009751226753 165464.61799984617391601, 525620.08899988164193928 165505.37500005299807526, 525661.50299999583512545 165602.05599985457956791, 525716.25300006510224193 165576.71599999698810279)))</t>
  </si>
  <si>
    <t>E01004146</t>
  </si>
  <si>
    <t>Sutton 007C</t>
  </si>
  <si>
    <t>MultiPolygon (((524710.64300021284725517 165020.5920001111808233, 524500.23899984185118228 164728.5530001413426362, 524452.06699989608023316 164622.91100016242126003, 524397.81299985572695732 164363.56199981633108109, 524398.65099982696119696 164260.71399984046001919, 524288.27000012272037566 164393.07900009557488374, 524290.58999991742894053 164331.71800002740928903, 524103.85300019668648019 164251.59599999999045394, 523952.00000016338890418 164461.99999992904486135, 523991.44399991986574605 164484.18600002053426579, 524088.78199999657226726 164463.51599994653952308, 524114.09399995737476274 164542.8330000480345916, 524198.56200005474966019 164600.27799989961204119, 524198.72000012418720871 164653.92599999246886, 524148.80199999269098043 164668.7530001524137333, 524174.24900013871956617 164702.73399992691702209, 524150.2410000519012101 164718.33100011205533519, 524175.01600015978328884 164742.19800000544637442, 524144.71699983888538554 164776.87900000374065712, 524321.81300018017645925 164879.65600002949940972, 524283.18799977959133685 164993.65499983602785505, 524308.55999982275534421 165051.44100000814069062, 524320.04599996563047171 165014.27600013744086027, 524373.81300007447134703 164986.95299992198124528, 524557.92700002680066973 165054.87400000399793498, 524713.72599987592548132 165135.51000000003841706, 524754.49999983655288815 165074.45300005431636237, 524732.98299977905116975 165048.01599987593363039, 524715.29400011198595166 165026.29199997635441832, 524710.64300021284725517 165020.5920001111808233)))</t>
  </si>
  <si>
    <t>E01004115</t>
  </si>
  <si>
    <t>Sutton 009A</t>
  </si>
  <si>
    <t>MultiPolygon (((526962.02499999990686774 166638.68500014705932699, 526951.47599981760140508 166605.66199973761104047, 526895.49799978767987341 166583.80700007046107203, 526869.76099979388527572 166620.90200026959064417, 526860.00000008929055184 166586.9999999393185135, 526943.18900007463525981 166388.12000001969863661, 526897.6949999324278906 166395.70100004822597839, 526832.95399976323824376 166352.96600028689135797, 526822.10000015574041754 166307.98799978999886662, 526601.69100014527793974 166164.61800008101272397, 526628.65800007584039122 166202.96199992080801167, 526603.61999974597711116 166216.25900014518992975, 526577.27099984872620553 166164.03700014096102677, 526467.9999999834690243 166225.00000021263258532, 526445.00000029883813113 166185.99999971975921653, 526398.23299999686423689 166207.70700022618984804, 526353.59999999217689037 166134.70099977991776541, 526371.58199983043596148 166102.76199998773518018, 526258.12500013399403542 166247.15600022842409089, 526240.10099999350495636 166324.593999765929766, 526049.86799972434528172 166352.86900010812678374, 525996.19800011883489788 166366.62600018075318076, 526004.81299988529644907 166417.34400018054293469, 525828.99299973587039858 166405.89699976742849685, 525828.81900021492037922 166416.95600007142638788, 525827.99999977368861437 166471.00000029141665436, 525750 166582.7000000667758286, 525826.89000000804662704 166636.17400007956894115, 525841.26999971712939441 166612.47600004554260522, 525922.51199971232563257 166582.54500024966546334, 525949.94899990945123136 166509.04500022981665097, 526015.99999972549267113 166574.99999978765845299, 526025.99999985180329531 166545.00000001455191523, 526062.7249997251201421 166580.52300015257787891, 526131.84500016225501895 166574.49100019270554185, 526170.1589999592397362 166688.08499992295401171, 526398.99999971746001393 166549.00000006510526873, 526461.70500029483810067 166620.24899998438195325, 526490.88499970606062561 166653.58299994870321825, 526494.9180001673521474 166658.19200014087255113, 526561.85300011327490211 166739.11599992486299016, 526682.26399991335347295 166886.29100001222104765, 526809.18499991076532751 166761.9560001892677974, 526815.43899982376024127 166708.67200024554040283, 526962.02499999990686774 166638.68500014705932699)))</t>
  </si>
  <si>
    <t>E01004123</t>
  </si>
  <si>
    <t>Sutton 002A</t>
  </si>
  <si>
    <t>E02000841</t>
  </si>
  <si>
    <t>Sutton 002</t>
  </si>
  <si>
    <t>MultiPolygon (((525665.44200001284480095 166879.03400000001420267, 525729.53700003598351032 166767.93499983390211128, 525614.56900002888869494 166797.76300005108350888, 525750.00000001955777407 166582.69999999520950951, 525827.99999984062742442 166471.00000001915032044, 525828.8189998836023733 166416.95600008525070734, 525828.99299986951518804 166405.89699983494938351, 525572.09899996011517942 166180.64099991554394364, 525566.49699989939108491 166175.6939999999885913, 525539.81900000979658216 166241.19600004280800931, 525458.84000010194722563 166383.00199994278955273, 525407.62399983848445117 166468.78799993917346001, 525330.87400013057049364 166638.39099995366996154, 525371.68299984035547823 166673.04899982904316857, 525397.35999991197604686 166693.72100010700523853, 525554.25800015265122056 166815.76199991442263126, 525637.22100017103366554 166867.07999995135469362, 525642.37899997655767947 166869.22200011782115325, 525665.44200001284480095 166879.03400000001420267)))</t>
  </si>
  <si>
    <t>E01004124</t>
  </si>
  <si>
    <t>Sutton 002B</t>
  </si>
  <si>
    <t>MultiPolygon (((526561.85300021560396999 166739.11600004322826862, 526494.91799987549893558 166658.19200005053426139, 526490.88500013027805835 166653.58300010621314868, 526461.7050001957686618 166620.24900000763591379, 526399.00000006845220923 166549.00000016842386685, 526170.15899973420891911 166688.08500015834579244, 526131.8449997374555096 166574.49099998144083656, 526062.72500015585683286 166580.52299981549731456, 526025.99999975739046931 166545.00000004633329809, 526015.99999999231658876 166574.99999988163472153, 525949.94899993529543281 166509.04499985775328241, 525922.51200018124654889 166582.54499980536638759, 525841.26999984227586538 166612.47599993756739423, 525826.89000025147106498 166636.17399987921817228, 525749.99999997613485903 166582.69999981953878887, 525614.56900000001769513 166797.76300003961659968, 525729.53699980780947953 166767.93499974603764713, 525665.44199995405506343 166879.03400011287885718, 525728.64299980259966105 166936.83199993395828642, 525816.39600016933400184 166972.16300017695175484, 525913.81299991486594081 166871.81199985623243265, 525930.75700009928550571 166885.48900007625343278, 525960.54599985608365387 166865.2639997762744315, 526012.62499978800769895 166793.13999994413461536, 526063.93799993919674307 166786.06200000739772804, 526066.71500001568347216 166782.62100001660292037, 526159.71599985542707145 166717.60699977213516831, 526228.26800009608268738 166782.84800019074464217, 526440.82600024365819991 166969.25899984844727442, 526579.4379998731892556 167041.17200014225090854, 526695.03599999996367842 166900.30999983637593687, 526682.26400001964066178 166886.29099993704585359, 526561.85300021560396999 166739.11600004322826862)))</t>
  </si>
  <si>
    <t>E01004129</t>
  </si>
  <si>
    <t>Sutton 002E</t>
  </si>
  <si>
    <t>MultiPolygon (((525539.81899992830585688 166241.19600032118614763, 525566.49699996411800385 166175.69399993531988002, 525343.69199984753504395 165977.78200027847196907, 525312.35800015402492136 165949.3660000192176085, 525200.9379998006625101 165823.46899965481134132, 525122.02000029874034226 165607.73700007903971709, 525099.74700031219981611 165538.82999967280193232, 525081.93200017337221652 165502.16400023963069543, 525057.79199995822273195 165463.00299980462295935, 524939.16200012038461864 165304.02399996301392093, 524911.24999969976488501 165268.21900028362870216, 524754.49999978195410222 165074.45300000003771856, 524713.72600001434329897 165135.50999996645259671, 524778.99999978044070303 165143.99999994217068888, 524700.04499977640807629 165354.058999869186664, 524634.67699988558888435 165418.2019996892195195, 524561.20000029820948839 165592.29999969954951666, 524543.70800015027634799 165559.80100013560149819, 524415.11000003572553396 165690.11699993364163674, 524444.56799989647697657 165723.66200034256326035, 524609.90000000258442014 165853.65500014973804355, 524483.04899971559643745 165915.77200034551788121, 524492.3520001363940537 166060.00000015963451006, 524641.16100006725173444 166087.88399968246812932, 524652.16800007747951895 166094.56199984991690144, 524672.36499979963991791 166152.63499973577563651, 524738.87399990658741444 166159.88700021224212833, 524756.99999985424801707 166125.99999993821256794, 524815.4510001513408497 166157.74500001122942194, 524872.00000033946707845 166100.99999992529046722, 525106.35300009720958769 166241.77800027839839458, 525130.94199973053764552 166209.54600032899179496, 525195.92199965007603168 166258.94699972574017011, 525153.75899992592167109 166314.65100016622454859, 525150.28500010084826499 166387.60400008474243805, 525235.55799977935384959 166493.83699999999953434, 525407.62399971962440759 166468.78800001266063191, 525458.84000021207612008 166383.00200018167379312, 525539.81899992830585688 166241.19600032118614763)))</t>
  </si>
  <si>
    <t>E01004130</t>
  </si>
  <si>
    <t>Sutton 003A</t>
  </si>
  <si>
    <t>MultiPolygon (((525659.23100008175242692 167433.57600000000093132, 525807.42900008975993842 167367.32600007354631089, 525898.54799995897337794 167405.50700011459412053, 525907.70000006700865924 167271.40000001646694727, 525974.98899998667184263 167219.94499988373718224, 526016.92100006609689444 167407.36500009670271538, 526068.5150000867433846 167310.1969998748973012, 526105.5770001036580652 167327.65500006324145943, 526134.41700008895713836 167297.19900003561633639, 526076.38100015872623771 167253.80000000790460035, 526127.12699998077005148 167194.19100014504510909, 526063.93800010916311294 166786.06200000003445894, 526012.62500012037344277 166793.14000013953773305, 525960.54600013478193432 166865.26400004743481986, 525930.75700006971601397 166885.48900012025842443, 525913.81300005596131086 166871.81199994147755206, 525816.39599994418676943 166972.1629999496799428, 525728.64299994427710772 166936.83200008017593063, 525603.48699995339848101 167037.22800004505552351, 525597.39999991795048118 167113.92700008346582763, 525529.9999999109422788 167161.00000005104811862, 525644.28100000554695725 167203.46799991698935628, 525588.76799984916578978 167293.68500015765312128, 525590.12599988060537726 167394.2970001089561265, 525659.23100008175242692 167433.57600000000093132)))</t>
  </si>
  <si>
    <t>E01003450</t>
  </si>
  <si>
    <t>Merton 024C</t>
  </si>
  <si>
    <t>MultiPolygon (((525859.18299994058907032 168333.16499995553749613, 526020.43799997633323073 168114.84400005950010382, 526170.35300012538209558 168202.72400007871328853, 526207.8550001245457679 168194.26600016275187954, 526240.94700005964841694 167995.93100006561144255, 526236.09800001909025013 167944.99000001343665645, 526217.17800016980618238 167944.50300017831614241, 526173.43200009013526142 168135.03399993694620207, 526106.78199986123945564 168117.15000017418060452, 526076.1180001829052344 168039.16800009974394925, 526047.32300016714725643 168050.21499988692812622, 525952.62999990722164512 167930.52399987151147798, 525922.79799984837882221 167966.32200003732577898, 525898.47499992419034243 167954.19400017481530085, 525938.84899993962608278 167982.92499986113398336, 525923.62199981510639191 168035.17700010386761278, 525881.40600013046059757 168035.78199986633262597, 525818.41200006741564721 167971.30500008756644093, 525781.33200000610668212 167977.34700000274460763, 525778.21899996360298246 168027.18800002752686851, 525728.09999996505212039 168018.9059998516459018, 525737.20700006431434304 167948.8090000954689458, 525683.76800007501151413 167947.39300019020447508, 525696.07399997941683978 167841.14600001074722968, 525750.86000015027821064 167807.38400002708658576, 525817.58800010068807751 167866.74199983273865655, 525840.70799980731680989 167825.61000009303097613, 525721.9999998485436663 167742, 525485.87700012605637312 167793.81399983400478959, 525483.50999994028825313 167802.2740000517515, 525607.96000001870561391 168010.84000001044478267, 525618.80799989879596978 168055.19500006746966392, 525610.36899993487168103 168070.23999993514735252, 525681.88199998496565968 168519.268999999971129, 525727.96499999880325049 168515.88300015521235764, 525779.93799992266576737 168499.64099980937317014, 525746.81299986620433629 168413.93700011004693806, 525790.89899994723964483 168365.03600006629130803, 525849.71499997470527887 168334.87800017520203255, 525859.18299994058907032 168333.16499995553749613)))</t>
  </si>
  <si>
    <t>E01003453</t>
  </si>
  <si>
    <t>Merton 023E</t>
  </si>
  <si>
    <t>MultiPolygon (((526405.57300014025531709 167841.13300014357082546, 526389.0640001263236627 167800.83800015185261145, 526350.9999999450519681 167802.00000015925616026, 526340.76699996669776738 167728.48700002144323662, 526339.25100015650968999 167681.45200010825647041, 526378.62999997334554791 167672.06299984487122856, 526506.06800012441817671 167665.33599993647658266, 526586.06799995678011328 167573.46599997239536606, 526615.99999983923044056 167559.99999983911402524, 526604.00099999271333218 167384.99999993614619598, 526579.43399989290628582 167273.42199992047972046, 526464.5710000297985971 167143.4090000000433065, 526262.85900002636481076 167174.06299991745618172, 526277.47300009755417705 167273.95699985019746237, 526189.44199990213382989 167319.62199990637600422, 526148.98199996573384851 167295.54500007841852494, 526181.89800000155810267 167226.45100001635728404, 526138.66999985254369676 167192.21799987248959951, 526127.1270001606317237 167194.19099989370442927, 526155.51699984690640122 167388.07900004673865624, 526168.6390000213868916 167484.74600016267504543, 526202.46599995030555874 167732.52699996475712396, 526308.50099986570421606 167795.97599993459880352, 526346.23900002322625369 167862.87400000001071021, 526405.57300014025531709 167841.13300014357082546)))</t>
  </si>
  <si>
    <t>E01003436</t>
  </si>
  <si>
    <t>Merton 023B</t>
  </si>
  <si>
    <t>MultiPolygon (((526240.94700013101100922 167995.93099978036480024, 526502.60599984636064619 167879.99999982380541041, 526502.02200019743759185 167925.53500024750246666, 526546.50299979152623564 167912.16099977126577869, 526541.32199991447851062 167810.71899992282851599, 526571.31600016437005252 167767.51599983350024559, 526603.0809997592587024 167878.84299982793163508, 526643.71600017510354519 167877.48799998234608211, 526652.68499994091689587 167911.38700006194994785, 526762.69799974525813013 167871.36200008040759712, 526786.00000013364478946 167944.99999999577994458, 526849.00000004912726581 167921.99999998515704647, 526867.66900017729494721 167911.69999974186066538, 527011.99999972665682435 167803.99999987395131029, 527172.05599983141291887 167843.9679999680374749, 527157.23100007732864469 167766.23099994138465263, 527350.84599974111188203 167657.3750001329171937, 527508.87399999983608723 167512.47000018140533939, 527423.56300030625425279 167442.56200021211407147, 527330.56299980892799795 167532.03100001515122131, 527218.00000002048909664 167539.6870002994837705, 527078.31300003337673843 167622.42199987699859776, 527054.54399993689730763 167590.7769997357390821, 526977.61400013882666826 167485.18999984391848557, 526782.02499969734344631 167217.27500021964078769, 526604.0009997074957937 167385.00000002150773071, 526615.99999988486524671 167559.99999993180972524, 526586.0679997990373522 167573.46600027225213125, 526506.06799998937640339 167665.33600030778325163, 526378.63000029337126762 167672.06300014606676996, 526339.25100012496113777 167681.45200028590625152, 526340.76699973281938583 167728.48700008552987128, 526351.00000018859282136 167802.00000027063651942, 526389.06400011165533215 167800.83799999812617898, 526405.57300027646124363 167841.13299989345250651, 526346.23900003230664879 167862.87400014398735948, 526308.50099985511042178 167795.97600013288320042, 526202.46600000001490116 167732.527000198722817, 526236.09799967857543379 167944.99000009574228898, 526240.94700013101100922 167995.93099978036480024)))</t>
  </si>
  <si>
    <t>E01003437</t>
  </si>
  <si>
    <t>Merton 022C</t>
  </si>
  <si>
    <t>E02000710</t>
  </si>
  <si>
    <t>Merton 022</t>
  </si>
  <si>
    <t>MultiPolygon (((526712.16800014674663544 167181.45099999808007851, 526579.43800006725359708 167041.17200010470696725, 526440.82600000861566514 166969.25900012222700752, 526228.26800016488414258 166782.84799992048647255, 526159.71599992318078876 166717.6070000987383537, 526066.71500004909466952 166782.62100005324464291, 526063.93799999996554106 166786.06200007142615505, 526127.12700015516020358 167194.19100010980037041, 526138.66999986302107573 167192.21800006652483717, 526181.89799997361842543 167226.45100006071152166, 526148.98199990182183683 167295.54500016261590645, 526189.44200010679196566 167319.62199985119514167, 526277.47299993329215795 167273.95699988334672526, 526262.85899991972837597 167174.06299995718291029, 526464.57100007170811296 167143.40900014559156261, 526579.43399996357038617 167273.42199993529357016, 526604.00099996023345739 167384.99999990122159943, 526782.02500000002328306 167217.27500001224689186, 526772.29199997207615525 167206.99000004466506653, 526712.16800014674663544 167181.45099999808007851)))</t>
  </si>
  <si>
    <t>E01003438</t>
  </si>
  <si>
    <t>Merton 024A</t>
  </si>
  <si>
    <t>MultiPolygon (((526423.0389998946338892 168822.07700022426433861, 526385.1820000228472054 168599.40799989830702543, 526361.0000000431900844 168710.99999980485881679, 526278.00000020465813577 168734.00000017590355128, 526245.33600010408554226 168708.51599979371530935, 526239.10000013618264347 168594.3999997969949618, 526178.80000007583294064 168562.09999997049453668, 526310.19999983347952366 168447.19999998281127773, 526382.20799987821374089 168289.20800021351897158, 526323.03300023230258375 168285.98399985308060423, 526287.73099998314864933 168197.52399979918845929, 526299.56699988653417677 168078.282000080216676, 526342.50599983881693333 168101.51400013052625582, 526406.24800007825251669 168034.07500018223072402, 526451.99899979936890304 168038.99999975768150762, 526502.02199994842521846 167925.5349999621976167, 526502.60600010072812438 167880, 526240.94699980679433793 167995.93099982669809833, 526207.85499975085258484 168194.26600009517278522, 526170.35300016321707517 168202.72400005732197315, 526020.43799985351506621 168114.84400003650807776, 525859.18299995281267911 168333.16499989570002072, 525849.71499994269106537 168334.87800002505537122, 525790.89900014351587743 168365.03600001541781239, 525746.81300023419316858 168413.9370001177303493, 525779.93799988215323538 168499.6409998455492314, 525727.96500005386769772 168515.883000274625374, 525681.88199989916756749 168519.26899989761295728, 525738.12500009580980986 168612.20300027765915729, 525885.3980001377640292 168727.72499988044728525, 526058.81300013675354421 168766.65600003805593587, 526203.69200006721075624 168993.3090000000083819, 526423.0389998946338892 168822.07700022426433861)))</t>
  </si>
  <si>
    <t>E01003439</t>
  </si>
  <si>
    <t>Merton 023C</t>
  </si>
  <si>
    <t>MultiPolygon (((526173.43200020887888968 168135.03399999998509884, 526217.17799990181811154 167944.50300014798995107, 526236.0979998157126829 167944.98999977207859047, 526202.46599980676546693 167732.52699980905163102, 526168.63900020706932992 167484.74599977259640582, 526155.51699984958395362 167388.07900012089521624, 526127.12700022896751761 167194.1909999999916181, 526076.38100019097328186 167253.79999982981826179, 526134.41699990490451455 167297.19900015962775797, 526105.5769997815368697 167327.65500021693878807, 526068.5149999656714499 167310.19700023223413154, 526016.9209997853031382 167407.36500019271625206, 525974.98899996525142342 167219.94499980169348419, 525907.69999986700713634 167271.39999983724555932, 525898.54799991962499917 167405.50699991526198573, 525918.60000002128072083 167437.20000012082164176, 525891.54100017307791859 167468.55000001640291885, 525919.46300002362113446 167499.89499980185064487, 525886.58200018445495516 167596.50600000779377297, 525909.00399979739449918 167632.20299986691679806, 525910.55999982112552971 167638.87099976793979295, 525991.03999982087407261 167767.3090002141543664, 525938.44799995783250779 167816.1370000644819811, 525937.51999993517529219 167883.50399981078226119, 525917.28400010883342475 167896.12400021380744874, 525952.63000014040153474 167930.52400001446949318, 526047.32300015864893794 168050.21500002482207492, 526076.11800023168325424 168039.16800020812661387, 526106.78199997777119279 168117.14999994714162312, 526173.43200020887888968 168135.03399999998509884)))</t>
  </si>
  <si>
    <t>E01003448</t>
  </si>
  <si>
    <t>Merton 023D</t>
  </si>
  <si>
    <t>MultiPolygon (((529524.90900022978894413 165183.40199993349961005, 529547 165060.03100018855184317, 529418.78600002417806536 165059.87000016300589778, 529382.56299994641449302 165054.51600020020850934, 529362.18799996480811387 165136.90599989166366868, 529272.93800009856931865 165111.60899974722997285, 529307.68799988902173936 165035.93699999316595495, 529235.17900004575494677 165014.4640001597290393, 529113.66300016525201499 164973.88800030475249514, 529102.73800028581172228 164897.72600009699817747, 529080.13600016594864428 164961.87199971513473429, 529039.99999992409721017 164947.99999982488225214, 529091.99999997939448804 164765.99999994016252458, 529051.72999993129633367 164726.30700009092106484, 529004.2530001635896042 164870.65099991229362786, 528937.74800009070895612 164871.76399995453539304, 528926.27100012369919568 164911.10900020514964126, 528750.59399989899247885 164815.99600013421149924, 528687.43400027602910995 164787.77299987486912869, 528515.70500024768989533 164726.38499996901373379, 528445.4140000578481704 164842.76599994828575291, 528499.96499979263171554 164855.70699971774592996, 528477.16400007088668644 164916.73800015784217976, 528415.07700018840841949 164909.94199972465867177, 528311.60300000011920929 165060.13600028576911427, 528314.19600008905399591 165097.8710002810403239, 528344.58400023507419974 165077.20299995757522993, 528366.77399977936875075 165105.24499973165802658, 528316.1340001008938998 165150.25199985963990912, 528336.27200028661172837 165178.14500025464803912, 528365.61200018599629402 165156.42800024824100547, 528455.1510001786518842 165286.34199976857053116, 528489.94499986863229424 165282.11399993061786518, 528540.74899973429273814 165316.23399975546635687, 528622.29200012399815023 165291.05000013922108337, 528736.00000002852175385 165261.99999980244319886, 528700.00000022770836949 165138.0000001457228791, 528751.71599980827886611 165196.30400007279240526, 528871.17700016859453171 165120.77099977681064047, 528952.07300029450561851 165163.63800012940191664, 529074.53000021679326892 165334.98399990904727019, 529189.75000003888271749 165230.87500010343501344, 529524.90900022978894413 165183.40199993349961005)))</t>
  </si>
  <si>
    <t>E01004171</t>
  </si>
  <si>
    <t>Sutton 010A</t>
  </si>
  <si>
    <t>E02000849</t>
  </si>
  <si>
    <t>Sutton 010</t>
  </si>
  <si>
    <t>MultiPolygon (((529051.73000013025011867 164726.30700003102538176, 529009.88999989104922861 164663.3320001456013415, 528994.00099998514633626 164662.65100012833136134, 528938.25099983788095415 164606.25899994798237458, 528942.50800005858764052 164550.49399996659485623, 529120.12300013925414532 164566.26400008052587509, 529146.64899999997578561 164424.44100015753065236, 529134.21400005393661559 164459.48900016356492415, 529083.15700008405838162 164443.65599991529597901, 528798.14100015361327678 164358.12099986843531951, 528783.27200004772748798 164404.16299989781691693, 528771.99999984388705343 164434.00000012267264538, 528734.7699998690513894 164515.98700014111818746, 528726.97099983051884919 164534.9270001701079309, 528684.20600012585055083 164526.00499994700658135, 528626.02999986871145666 164596.90100011459435336, 528632.11199998983647674 164669.63299999150331132, 528579.63699998147785664 164601.45599994828808121, 528562.04299988690763712 164641.18599997635465115, 528517.49000008043367416 164596.92499991835211404, 528453.94399999990127981 164606.96599995470023714, 528524.41999996465165168 164676.67600014968775213, 528515.70500008400995284 164726.38499999942723662, 528687.43399988417513669 164787.77299991479958408, 528750.59400014753919095 164815.99599991412833333, 528926.27100005396641791 164911.10900013154605404, 528937.74800006824079901 164871.7640000008395873, 529004.25300004263408482 164870.65100005196291022, 529051.73000013025011867 164726.30700003102538176)))</t>
  </si>
  <si>
    <t>E01004172</t>
  </si>
  <si>
    <t>Sutton 010B</t>
  </si>
  <si>
    <t>MultiPolygon (((529235.17900001793168485 165014.46400000000721775, 529263.31300003838259727 164894.62499999930150807, 529365.37500009080395103 164886.42199997376883402, 529370.51300010073464364 164859.56599994841963053, 529380.31400002515874803 164808.35900017013773322, 529428.87499987368937582 164820.37500008841743693, 529433.53399983805138618 164786.65399999238434248, 529458.50400001555681229 164600.80999993631849065, 529464.04599994409363717 164561.84700006546336226, 529500.25500017032027245 164353.84099986587534659, 529279.17900009651202708 164317.14899999866611324, 529269.96999987016897649 164315.67499996942933649, 529204.83299996622372419 164305.2529999999969732, 529190.89999987813644111 164407.44399985959171318, 529151.99999992956873029 164400.99999984970781952, 529146.64900009776465595 164424.44099997577723116, 529120.12299985135905445 164566.26399986096657813, 528942.50799985066987574 164550.49400002221227624, 528938.25099982973188162 164606.25899996256339364, 528994.00099995743948966 164662.65099987300345674, 529009.89000008290167898 164663.3319998778461013, 529051.72999983525369316 164726.30699983509839512, 529092.00000004819594324 164766.00000016263220459, 529039.99999989091884345 164948.00000000389991328, 529080.13600000436417758 164961.87200014470727183, 529102.73799997137393802 164897.72599991981405765, 529113.66300004126969725 164973.88800006298697554, 529235.17900001793168485 165014.46400000000721775)))</t>
  </si>
  <si>
    <t>E01004173</t>
  </si>
  <si>
    <t>Sutton 010C</t>
  </si>
  <si>
    <t>MultiPolygon (((528316.13400003360584378 165150.25200000000768341, 528366.77400015783496201 165105.24500005555455573, 528344.5839999170275405 165077.2029999443620909, 528314.19600015168543905 165097.87099991977447644, 528311.60299980943091214 165060.1359999752312433, 528415.076999970828183 164909.94200013970839791, 528477.16399992059450597 164916.7380001483252272, 528499.96499993558973074 164855.70700008523999713, 528445.41399986098986119 164842.76599983492633328, 528515.70500018261373043 164726.3850001112150494, 528524.41999996092636138 164676.67600008906447329, 528453.9439998654415831 164606.96599993266863748, 528517.49000005354173481 164596.92499993069213815, 528562.04300015699118376 164641.18599993255338632, 528579.63699999253731221 164601.45600015489617363, 528632.11199997866060585 164669.63300016350694932, 528626.03000014985445887 164596.90100001214887016, 528684.20600014925003052 164526.00499999246676452, 528726.97099995811004192 164534.92700008052634075, 528734.76999982446432114 164515.98700002493569627, 528772.00000005285255611 164434.00000019260914996, 528783.27200010279193521 164404.16299982662894763, 528748.29199985438026488 164389.81199983053375036, 528723.9859999178443104 164484.49200011213542894, 528598.19199992471840233 164400.24000010977033526, 528575.05099997099023312 164447.21599981491453946, 528450.91099998820573092 164508.28100018037366681, 528404.15399997367057949 164484.76999990778858773, 528424.64400013536214828 164379.03400000001420267, 528378.56300007610116154 164380.42199998113210313, 528306.37500013504177332 164581.42199998805881478, 528340.68800015677697957 164599.42199982755118981, 528324.01599992357660085 164628.97100001407670788, 528293.0630000673700124 164615.359000000404194, 528330.06299995153676718 164700.40600005222950131, 528267.00000010058283806 164800.02700009851832874, 528252.3039999739266932 164833.18900005778414197, 528245.31299980764742941 164872.50000018088030629, 528158.43799985409714282 164875.17199985336628743, 528220.49900011706631631 164918.26600010419497266, 528150.4999998970888555 164991.28099985749577172, 528158.47300004051066935 165020.80900016348459758, 528198.12299983261618763 165126.82400013660662808, 528245.90399997099302709 165106.86699991734349169, 528316.13400003360584378 165150.25200000000768341)))</t>
  </si>
  <si>
    <t>E01004176</t>
  </si>
  <si>
    <t>Sutton 010E</t>
  </si>
  <si>
    <t>MultiPolygon (((526331.18799997330643237 163941.24600000001373701, 526342.00000001222360879 163877.0010000208276324, 526381.46799997915513813 163881.19500004668952897, 526411.01599998888559639 163841.83699996556970291, 526371.85899989446625113 163806.99599992969888262, 526404.35199993115384132 163709.23799986744415946, 526363.69700011168606579 163681.95999989158008248, 526379.99999991478398442 163557.00000012395321392, 526409.14999990584328771 163567.15799993195105344, 526413.08600002469029278 163656.02799994745873846, 526454.23599989572539926 163669.2699999054602813, 526484.39100010273978114 163620.08099999045953155, 526492.52399993105791509 163598.84100008982932195, 526500.33000006771180779 163594.09300011469167657, 526570.56099986273329705 163515.13900010177167132, 526586.36199997598305345 163380.06600001707556657, 526519.94399999594315886 163383.82099992301664315, 526470.30200011935085058 163376.12100000001373701, 526444.52300013974308968 163441.26100002677412704, 526449.45799997739959508 163447.46599990819231607, 526497.58200007257983088 163465.84000001833192073, 526494.84199998702388257 163478.10500000871252269, 526489.63900007295887917 163494.75400013607577421, 526425.13799988152459264 163520.87399993138387799, 526353.03300009400118142 163506.41599988381494768, 526321.93800006585661322 163467.06599999475292861, 526281.75400000426452607 163489.63800008551334031, 526297.82499988877680153 163471.71599994826829061, 526262.60299992456566542 163444.46000000607455149, 526136.5949998622527346 163425.70000002413871698, 526128.87599987164139748 163466.22599989012815058, 526164.80500003218185157 163480.1409998640010599, 526150.1940000201575458 163517.2039999115804676, 526092.53399986203294247 163517.15499990075477399, 526095.76800001051742584 163539.8510000015667174, 526164.07500009599607438 163565.3930001191329211, 526166.96699987503234297 163596.81900007612421177, 526104.18000007339287549 163584.78400002696434967, 526030.0000000239815563 163580.99999988396302797, 526070.9999998965067789 163797.99999997444683686, 526132.99399990949314088 163833.00600012170616537, 526129.08600003900937736 163870.27400011068675667, 526169.37500004307366908 163892.5469999105844181, 526248.93799994816072285 163921.98400004568975419, 526331.18799997330643237 163941.24600000001373701)))</t>
  </si>
  <si>
    <t>E01004150</t>
  </si>
  <si>
    <t>Sutton 021C</t>
  </si>
  <si>
    <t>E02000860</t>
  </si>
  <si>
    <t>Sutton 021</t>
  </si>
  <si>
    <t>MultiPolygon (((526873.40599985653534532 163923.41600005389773287, 526804.00000013841781765 163878.99999996437691152, 526794.7669998308410868 163827.18300000499584712, 526751.61899988085497171 163817.99200014138477854, 526755.86500002420507371 163594.78999989316798747, 526771.51999982947017998 163553.15799993753898889, 526791.4899998726323247 163582.66100009056390263, 526773.29399986565113068 163403.193000160244992, 526712.99199992150533944 163369.53500002835062332, 526714.41900013049598783 163362.83300007725483738, 526649.47800003888551146 163357.72499987090122886, 526662.7469999787863344 163296.1190001389477402, 526599.00699996948242188 163294.57699999999022111, 526586.36200008308514953 163380.06600001140031964, 526570.56099993898533285 163515.13900007412303239, 526500.32999999553430825 163594.09300001183873974, 526492.52399989706464112 163598.8409999770228751, 526484.39100000378675759 163620.08099985541775823, 526454.23599995684344321 163669.26999986518057995, 526413.08600013237446547 163656.02799991771462373, 526409.14999997848644853 163567.15800005302298814, 526380.00000010663643479 163557.00000004176399671, 526363.69700014055706561 163681.96000008066766895, 526404.35200010321568698 163709.23800013356958516, 526371.85900006373412907 163806.99599983257940039, 526411.01600002695340663 163841.83700005177524872, 526381.46799988648854196 163881.19499984505819157, 526342.00000008603092283 163877.00099999096710235, 526331.18800014350563288 163941.24600004917010665, 526570.12499998474959284 163978, 526873.40599985653534532 163923.41600005389773287)))</t>
  </si>
  <si>
    <t>E01004151</t>
  </si>
  <si>
    <t>Sutton 021D</t>
  </si>
  <si>
    <t>MultiPolygon (((525771.67200009548105299 163909.39900017945910804, 525782.54899992246646434 163882.55000006224145181, 525823.87600010214373469 163869.10800010451930575, 525847.59700014290865511 163790.79700015397975221, 526129.52599981031380594 163880.25300017179688439, 526169.37500000011641532 163892.54700007135397755, 526129.08599990140646696 163870.27399994886945933, 526020.68800020788330585 163777.95299994025845081, 525959.9690001345006749 163640.7989998861157801, 525945.99999980337452143 163669.62600004536216147, 525893.87499992828816175 163649.43699998967349529, 525864.63399997923988849 163704.60600008312030695, 525844.41299987572710961 163698.63999990912270732, 525839.93800017912872136 163579.67199995162081905, 525635.1770001306431368 163558.29499988493626006, 525573.83400019409600645 163481.15699990958091803, 525541.31299983430653811 163471.75000016746344045, 525528.68799980089534074 163531.07799985943711363, 525499.16400000383146107 163524.02699994886643253, 525412.50099997606594115 163504.54099988777306862, 525337.83900011877994984 163516.4689998552785255, 525321.00000007019843906 163570.99999982395092957, 525313.40399999998044223 163627.08500016364268959, 525419.10000012023374438 163659.60000016674166545, 525411.90000005380716175 163703.79999981413129717, 525367.69600002595689148 163726.80299982448923402, 525390.06000013742595911 163734.71100004017353058, 525478.00000018870923668 163762.00000006632762961, 525457.5899999764515087 163809.80299992533400655, 525407.73799984890501946 163798.75599997784593143, 525345.68799996539019048 163912.84200015180977061, 525401.70099987636785954 163946.2100000795617234, 525444.40300019946880639 163842.77499984941096045, 525580.40099986246787012 163891.08800006977980956, 525696.21700002870056778 163889.17499989754287526, 525649.02800015150569379 164014.52799997347756289, 525669.00000000314321369 164017.00000013897079043, 525596.24800013960339129 164061.1939998576126527, 525632.16800013848114759 164129.48600006039487198, 525620.39499982760753483 164179.47599983256077394, 525662.30700011970475316 164172.401999981229892, 525771.67200009548105299 163909.39900017945910804)))</t>
  </si>
  <si>
    <t>E01004156</t>
  </si>
  <si>
    <t>Sutton 018C</t>
  </si>
  <si>
    <t>E02000857</t>
  </si>
  <si>
    <t>Sutton 018</t>
  </si>
  <si>
    <t>MultiPolygon (((524915.43699995800852776 163976.5759999348083511, 524993.00000006833579391 163841.99999984211171977, 524851.79900013981387019 163800.5990001744357869, 524911.8050000163493678 163748.29399988625664264, 524949.2969999109627679 163636.78900018837885, 525022.81299985572695732 163648.77800000287243165, 525045.51300019235350192 163681.44000019930535927, 525064.99999980558641255 163623.00000018993159756, 525080.07400004344526678 163554.02499992062803358, 524836.14199981046840549 163477.87999999482417479, 524869.83699984359554946 163413.66799992768210359, 524943.8760001277551055 163438.35300015186658129, 524946.12499980698339641 163377.82800013330415823, 524656.43800003314390779 163293.75, 524642.474999871221371 163335.94799989106832072, 524574.85399983695242554 163554.94299989813589491, 524541.05900008336175233 163648.59599984568194486, 524515.89700018533039838 163708.1449998322641477, 524475.68899982701987028 163857.39599992611329071, 524465.80399995658081025 163897.57199990868684836, 524732.67500008689239621 164010.6260000386973843, 524776.20100013329647481 164034.9819998707389459, 524781.91000009037088603 163948.90400011237943545, 524831.46499984129332006 163957.24799994545173831, 524850.99999981769360602 164047.00000011356314644, 524925.49599999189376831 164095.875, 524915.43699995800852776 163976.5759999348083511)))</t>
  </si>
  <si>
    <t>E01004157</t>
  </si>
  <si>
    <t>Sutton 016E</t>
  </si>
  <si>
    <t>MultiPolygon (((525270.99199991673231125 163936.32899999996880069, 525373.9569999958621338 163767.93300011040992104, 525407.73800006660167128 163798.75599989941110834, 525457.59000010159797966 163809.80299992105574347, 525478.00000003969762474 163761.99999995710095391, 525390.05999999458435923 163734.71100004360778257, 525367.69599983096122742 163726.80300007070763968, 525411.89999993494711816 163703.80000015953555703, 525419.09999982861336321 163659.60000005990150385, 525313.40400014165788889 163627.08500015703612007, 525321.00000012025702745 163570.99999998745624907, 525337.83899988571647555 163516.4689999540860299, 525412.50100015581119806 163504.54100009481771849, 525343.83300001919269562 163457.85700005418038927, 525367.42100013385061175 163352.89400004487833939, 525374.49999998253770173 163324.14099992095725611, 525244.95599989988841116 163294.15899992632330395, 525138.15900013758800924 163267.12100002690567635, 525134.06300016911700368 163287.98400002587004565, 525063.62599992123432457 163278.34399989584926516, 525044.49999999906867743 163250.51600000000325963, 525001.06300012383144349 163268.25000013248063624, 524998.55699998757336289 163318.5160001004987862, 524993.16199990129098296 163454.20300004901946522, 524947.26900011533871293 163439.45700005925027654, 524943.87599996360950172 163438.35299989496706985, 524869.83700010960455984 163413.66800005218829028, 524836.14199996029492468 163477.87999983126064762, 525080.07399986416567117 163554.02500007505295798, 525064.99999986297916621 163622.99999994327663444, 525045.51299997931346297 163681.44000000020605512, 525022.81300013838335872 163648.77799985275487415, 524949.29699990653898567 163636.7890000133193098, 524911.80499985464848578 163748.29400006248033606, 524851.79899999150075018 163800.59899991928250529, 524992.99999989767093211 163841.99999999467399903, 525158.9999999413266778 163878.00000014872057363, 525245.32899987429846078 163922.07200011002714746, 525270.99199991673231125 163936.32899999996880069)))</t>
  </si>
  <si>
    <t>E01004158</t>
  </si>
  <si>
    <t>Sutton 018D</t>
  </si>
  <si>
    <t>MultiPolygon (((525242.73399998887907714 164480.85099996236385778, 525309.50199984502978623 164367.68800008404650725, 525318.81300009530968964 164342.20300006790785119, 525278.31299981288611889 164327.29700012344983406, 525296.81800012674648315 164288.14699985054903664, 525329.87199992581736296 164300.30799994608969428, 525363.99199981160927564 164136.64400017639854923, 525294.78599983779713511 164110.91699992169742472, 525286.52299997780937701 164040.51100015782867558, 525140.43600007134955376 164085.23200013695168309, 525245.32900001131929457 163922.07200011413078755, 525158.99999997904524207 163877.99999998905695975, 524992.99999994225800037 163842, 524915.43700012296903878 163976.57599984455737285, 524925.49599993205629289 164095.87499991460936144, 524947.51499988848809153 164098.00199997570598498, 524997.3319999270606786 164085.00099990924354643, 525024.37300001282710582 164113.69000008390867151, 524988.97599986824207008 164132.27600001325481571, 524983.86999997752718627 164194.24999982194276527, 525024.8579998838249594 164244.04600001833750866, 525032.14700006938073784 164441.42699999077012762, 525003.00000015750993043 164450.00000012063537724, 524986.08199997956398875 164368.30999980436172336, 524808.31400009174831212 164340.32400014414452016, 524800.33300018834415823 164493.50000007468042895, 524870.6669999883743003 164508.84200012750807218, 525023.00000019499566406 164528.99999985654721968, 525048.88900007377378643 164480.64699986838968471, 525172.16399984911549836 164627.68700000003445894, 525171.14299998548813164 164579.52199998291325755, 525190.36200003884732723 164534.72599989414447919, 525242.73399998887907714 164480.85099996236385778)))</t>
  </si>
  <si>
    <t>E01004160</t>
  </si>
  <si>
    <t>Sutton 014D</t>
  </si>
  <si>
    <t>MultiPolygon (((525596.1410000438336283 164336.8590000853582751, 525626.68799985689111054 164276.23400006996234879, 525778.93799984699580818 164326.82899998850189149, 525787.19400012795813382 164282.8100000829435885, 525793.66200000001117587 164195.00100007755099796, 525662.30700005579274148 164172.40199991379631683, 525620.39499988337047398 164179.47600015898933634, 525632.16799997654743493 164129.48599987133638933, 525596.24800009571481496 164061.1940000681206584, 525669.00000003085006028 164016.99999993733945303, 525649.02800015755929053 164014.5280000516504515, 525696.21700001857243478 163889.17499998261337169, 525580.40099993254989386 163891.08800008572870865, 525444.40299989900086075 163842.77500012560631149, 525401.70099996018689126 163946.20999989396659657, 525345.68799988797400147 163912.8420001603954006, 525407.73800001107156277 163798.75599989341571927, 525373.95700009865686297 163767.93300001067109406, 525270.99200003000441939 163936.32899999449728057, 525245.32899987371638417 163922.071999927458819, 525140.43599999998696148 164085.23199995260802098, 525286.52300015604123473 164040.5109999479027465, 525294.78600008005741984 164110.91700010732165538, 525363.99199990811757743 164136.64400008093798533, 525329.87199987110216171 164300.30799989250954241, 525364.25000000873114914 164254.43700008740415797, 525359.12500013143289834 164309.48400007907184772, 525516.08200002834200859 164344.985999989323318, 525555.40600011532660574 164344.85800002800533548, 525577.46700007934123278 164342.05500007650698535, 525596.1410000438336283 164336.8590000853582751)))</t>
  </si>
  <si>
    <t>E01004162</t>
  </si>
  <si>
    <t>Sutton 018E</t>
  </si>
  <si>
    <t>MultiPolygon (((526192.09200008225161582 164561.9000000171654392, 526236.42599996505305171 164543.74700011446839198, 526196.48600003740284592 164533.33999983285320923, 526199.99999988405033946 164505.00000015363912098, 526312.2589999926276505 164515.9539998747932259, 526338.52000015636440367 164479.79500012009521015, 526369.49300004937686026 164491.96800005892873742, 526422.9999998661223799 164311.99999983827001415, 526448.82799989613704383 164311.99999983827001415, 526485.69600003585219383 164256.20900013099890202, 526420.22300008637830615 164210.41899996440042742, 526394.66600000951439142 164245.38399984565330669, 526381.20299997681286186 164222.1459998352220282, 526371.41599997144658118 164261.3829999651061371, 526419.44699983426835388 164261.51099987659836188, 526425.73799984308425337 164287.63799992387066595, 526364.30900000117253512 164266.00000014546094462, 526356.33300004317425191 164290.38799992838175967, 526287.16999984299764037 164240.86199997898074798, 526275.00000000663567334 164227.3110001266177278, 526280.63500003877561539 164197.9159998414979782, 526327.59599993051961064 164193.52199988631764427, 526303.0850001520011574 164142.59799997747177258, 526394.99999982037115842 164163.99999997881241143, 526368.80599990603514016 164076.89800017603556626, 526468.9999999413266778 164054.00000018143327907, 526525.36400010378565639 164046.06099983045714907, 526531.97599998908117414 164019.09900006477255374, 526248.93800001300405711 163921.98399992901249789, 526169.37500002526212484 163892.54700012103421614, 526129.5260000197449699 163880.25300000002607703, 526102.25100001343525946 163947.77300015621585771, 526148.00000018149148673 163977.00000005561742, 526132.00000015541445464 164083.99999984807800502, 526125.4470001186709851 164083.42000004596775398, 526079.68599992303643376 164222.86100004287436604, 526106.16699982713907957 164308.14599997573532164, 526048.00000001816079021 164300.99999982028384693, 526007.99999995273537934 164447.30800000124145299, 525968.53599997085984796 164434.13199995830655098, 525927.62400010589044541 164495.32999993898556568, 525942.99999984656460583 164426.00000002453452908, 525841.44399993447586894 164418.63900004464085214, 525819.9510000110603869 164482.08300001983297989, 525849.00000007532071322 164549.99999984478927217, 525900.00000015867408365 164578.99999989217030816, 525920.94199986860621721 164556.1259999526955653, 525940.32699992321431637 164632.60799984517507255, 525997.99999993643723428 164645, 526041.72900005523115396 164641.66499989514704794, 526190.07900014473125339 164610.97400007594842464, 526192.09200008225161582 164561.9000000171654392)))</t>
  </si>
  <si>
    <t>E01004137</t>
  </si>
  <si>
    <t>Sutton 012A</t>
  </si>
  <si>
    <t>E02000851</t>
  </si>
  <si>
    <t>Sutton 012</t>
  </si>
  <si>
    <t>MultiPolygon (((526729.68800000404007733 164324.85900002799462527, 526738.04100013198330998 164208.5159998899907805, 526740.43100004596635699 164165.04200015199603513, 526869.98899993801023811 164196.17900004397961311, 526902.18799994396977127 164206.42200009999214672, 526911 164162.92200004597543739, 526886.62500012596137822 164156.76599990797694772, 526889.12200004397891462 164071.86899994398117997, 526613.58400008000899106 164024.63500000597559847, 526531.97600002202671021 164019.0990000159945339, 526525.36399996804539114 164046.06099984998581931, 526468.99999997403938323 164053.9999999119900167, 526368.8059998779790476 164076.89800013200147077, 526395.00000013795215636 164164.00000001199077815, 526303.08499998005572706 164142.59799994598142803, 526327.59599986800458282 164193.52200001600431278, 526280.63500006799586117 164197.91599999598111026, 526275 164227.31100002198945731, 526287.1699999199481681 164240.8619998479844071, 526356.3330000180285424 164290.38800004997756332, 526364.30900001595728099 164266.00000001798616722, 526425.73800002399366349 164287.63799996799207292, 526419.44699998199939728 164261.51100008198409341, 526371.41600014199502766 164261.38299999397713691, 526381.20299996400717646 164222.14600013798917644, 526394.66599996795412153 164245.38399991599726491, 526420.22300011804327369 164210.41899997598375194, 526485.69600008404813707 164256.20900007398449816, 526592.60599990794435143 164309.01700004798476584, 526596.62300007604062557 164344.15100013397750445, 526536.97599988197907805 164350.86699986198800616, 526528.93000013404525816 164404.14699992199894041, 526569.59399986802600324 164506.95800009797676466, 526646.33800007996615022 164529.45800010400125757, 526647.79999999201390892 164539.60399998398497701, 526685.36800006194971502 164538.31600013197748922, 526721.87500012805685401 164528.49999998198472895, 526725.50000010605435818 164369.59400014599668793, 526771.85900014801882207 164338.81400009198114276, 526729.68800000404007733 164324.85900002799462527)))</t>
  </si>
  <si>
    <t>E01004139</t>
  </si>
  <si>
    <t>Sutton 013D</t>
  </si>
  <si>
    <t>E02000852</t>
  </si>
  <si>
    <t>Sutton 013</t>
  </si>
  <si>
    <t>MultiPolygon (((525737.9999999146675691 164902.99900018612970598, 525712.00000020279549062 164789.00000022971653379, 525837.31999971682671458 164583.30000024745822884, 525848.99999975308310241 164549.99999971696524881, 525819.95100004854612052 164482.08300025304197334, 525841.4440002009505406 164418.63899992415099405, 525942.99999991350341588 164426.00000002267188393, 525927.62400003476068377 164495.32999980280874297, 525968.53599993081297725 164434.13200005399994552, 526007.99999977194238454 164447.30800023325718939, 526047.99999972945079207 164300.99999993859091774, 526106.16699988034088165 164308.14599982305662706, 526079.68599997239653021 164222.86100000509759411, 526125.44699998374562711 164083.41999984221183695, 526132.00000004528556019 164083.99999989458592609, 526147.99999991245567799 163976.99999987820046954, 526102.25099977839272469 163947.77300006378209218, 526129.52600005955900997 163880.25299991795327514, 525847.5970001065870747 163790.79699999996228144, 525823.87599976896308362 163869.10800010475213639, 525782.54900015995372087 163882.5500002660555765, 525771.67200011538807303 163909.39900027110707015, 525662.30700006021652371 164172.40199997494346462, 525793.66199991432949901 164195.001000205258606, 525787.19400004518684 164282.80999988369876519, 525778.9379999308148399 164326.82899995139450766, 525626.68799979251343757 164276.23399996088119224, 525596.14100015838630497 164336.85900006824522279, 525577.46700022753793746 164342.05500020587351173, 525494.05299990263301879 164533.89400016167201102, 525584.18500004929956049 164567.25900012403144501, 525611.31400027929339558 164598.60500017667072825, 525557.35499975353013724 164641.67799988144543022, 525576.49899989657569677 164714.3369998792768456, 525474.00000007986091077 164640.00000005541369319, 525458.53700022224802524 164629.21799971495056525, 525438.99999975529499352 164683.00099991739261895, 525366.57000021438580006 164679.46499978983774781, 525393.56899984355550259 164709.07399994420120493, 525348.99999999580904841 164737.00000022715539671, 525255.79799978155642748 164663.03400018022512086, 525222.97300008754245937 164670.77999971955432557, 525346.87499981897417456 164809.15600006078602746, 525361.60299995460081846 164799.97899981032242067, 525510.12500019161961973 164907.31200018516392447, 525528.11100001644808799 164868.27300014780485071, 525546.87500018498394638 164849.01599990573595278, 525701.40799984964542091 164943.16600026944070123, 525741.07199976872652769 164948.75099999998928979, 525737.9999999146675691 164902.99900018612970598)))</t>
  </si>
  <si>
    <t>E01004142</t>
  </si>
  <si>
    <t>Sutton 012D</t>
  </si>
  <si>
    <t>MultiPolygon (((527615.99999992433004081 164220.99899982428178191, 527747.91100003209430724 164161.60900010462501086, 527808.9999999423744157 164186.00000008693314157, 527808.83800005738157779 164181.6350001553655602, 527875.90400011895690113 164109.214999980176799, 527876.80999999714549631 163855.4809998802957125, 527969.48200005828402936 163904.06999990154872648, 528005.10199999995529652 163839.54600005116662942, 527896.24999992083758116 163805.23399994993815199, 527893.32400000828783959 163730.32599999435478821, 527680.00099985708948225 163708.10999998642364517, 527495.19700017257127911 163612.06200017570517957, 527301.30700000002980232 163668.0980000737181399, 527330.00000005634501576 163742.99999982502777129, 527366.00000003236345947 163831.00000000098953024, 527442.1960000857943669 163878.28000008911476471, 527518.63199986470863223 163907.4719999497756362, 527495.63200002664234489 163939.08699989982414991, 527548.68300017341971397 163962.53599983401363716, 527483.92999985790811479 163989.9429999778221827, 527535.41400008520577103 164039.33599992358358577, 527572.6649998965440318 164018.36000013884040527, 527538.72599988454021513 164046.57000011447235011, 527551.95800006203353405 164114.86399999077548273, 527599.39099990471731871 164184.55800014178385027, 527621.5729999280301854 164184.84300016754423268, 527615.99999992433004081 164220.99899982428178191)))</t>
  </si>
  <si>
    <t>E01004098</t>
  </si>
  <si>
    <t>Sutton 015B</t>
  </si>
  <si>
    <t>E02000854</t>
  </si>
  <si>
    <t>Sutton 015</t>
  </si>
  <si>
    <t>MultiPolygon (((528330.0630001260433346 164700.40599981544073671, 528293.06300023011863232 164615.35900017799576744, 528324.0160000454634428 164628.97100016314652748, 528340.68799994606524706 164599.4220001770008821, 528306.37499993329402059 164581.4220001035137102, 528378.56299994117580354 164380.4220000485656783, 528424.64400013873819262 164379.0340002276643645, 528431.38100000005215406 164341.47699994951835833, 528340.99100013391580433 164324.05100023519480601, 528286.64300011715386063 164389.76299984601791948, 528228.00000015564728528 164375.99900003790389746, 528190.85700015432666987 164502.09100021680933423, 528187.99900002381764352 164544.00000018195714802, 528045.00000017427373677 164495.99999998600105755, 527944.64400022081099451 164499.99900003371294588, 527876.00000024994369596 164495.00000023713801056, 527777.99999984982423484 164412.00000015349360183, 527702.45999990380369127 164524.84999996339320205, 527640.00800005614291877 164430.91200018578092568, 527588.45200019993353635 164430.54399999644374475, 527524.41500007908325642 164522.99100012349663302, 527425.91899993421975523 164500.80800016282591969, 527410.48400000017136335 164602.19399994431296363, 527662.099999810452573 164835.09900004914379679, 527698.51600017154123634 164855.60300013489904813, 527898.99900011997669935 164945.57699978709570132, 527931.87599977664649487 164966.10200023459037766, 528183.85399996477644891 165197.74999997977283783, 528193.93799992115236819 165209.54699976480333135, 528198.12299974553752691 165126.82400017461623065, 528158.47299982619006187 165020.80900021267007105, 528150.4999999669380486 164991.28100007784087211, 528220.49899977364111692 164918.26599999540485442, 528158.43799990380648524 164875.17199996288400143, 528245.31299984373617917 164872.50000011941301636, 528252.30399989965371788 164833.18899976825923659, 528267.0000000597210601 164800.02699986920924857, 528330.0630001260433346 164700.40599981544073671)))</t>
  </si>
  <si>
    <t>E01004099</t>
  </si>
  <si>
    <t>Sutton 015C</t>
  </si>
  <si>
    <t>MultiPolygon (((527529.68800006120000035 165138.71900028141681105, 527496.56300021044444293 165093.84399994608247653, 527556.99999972572550178 165063.96899979814770631, 527599.24999980302527547 164929.51599989263922907, 527644.11000011104624718 164927.21299988098326139, 527662.10000009252689779 164835.0990001016180031, 527410.48400011914782226 164602.19399984113988467, 527425.91899996949359775 164500.80799990630475804, 527524.4149997285567224 164522.99099995006690733, 527588.4520001447526738 164430.54399979172740132, 527524.17899975087493658 164303.89999986483599059, 527458.99999985296744853 164290.59499993739882484, 527460.95500002161134034 164244.8179999926360324, 527422.73600005055777729 164193.94699992748792283, 527383.20499972603283823 164216.99899974605068564, 527385.99999972945079207 164251.00000017258571461, 527347.70000006188638508 164253.52000024009612389, 527325.70699979981873184 164159.98000001316540875, 527273.91000019432976842 164146.58300025665084831, 527269.32400020724162459 164071.15100000001257285, 527175.16000008699484169 164079.20099996542558074, 527173.00000010954681784 164170.00000017436104827, 527214.00000017124693841 164252.99999985969043337, 527177.07299995410721749 164252.99999985969043337, 527127.89600003440864384 164300.87500000724685378, 527192.00000023422762752 164370.99999998224666342, 527194.51800007291603833 164538.81400027926429175, 527195.00000004644971341 164575.00000016545527615, 527166.06399980036076158 164580.30900011284393258, 527170.58300000370945781 164624.04799996365909465, 527115.05699993891175836 164632.29399983421899378, 527061.10099990735761821 164826.96699976216768846, 527105.66400001442525536 164844.95799985807389021, 527103.95999985071830451 164877.10200006861123256, 527323.95900023204740137 164991.17000015193480067, 527215.84199979691766202 165098.3609999205218628, 527150.68799994431901723 165090.47199979674769565, 527341.86400005931500345 165150.31899993077968247, 527395.93800007971003652 165197.40600000001722947, 527428.91999989619944245 165183.76700014228117652, 527450.71899991889949888 165173.60899995590443723, 527529.68800006120000035 165138.71900028141681105)))</t>
  </si>
  <si>
    <t>E01004100</t>
  </si>
  <si>
    <t>Sutton 015D</t>
  </si>
  <si>
    <t>MultiPolygon (((528190.85700008203275502 164502.09099996599252336, 528228.00000002805609256 164375.99900024398812093, 528286.64299987198319286 164389.76300015597371385, 528340.9910002020187676 164324.05100011397735216, 528431.38099995395168662 164341.47699979599565268, 528439.6259997560409829 164295.5160000619944185, 528399.50000007601920515 164287.71899996799766086, 528394.87500016402918845 164240.64100003798375838, 528429.87499995203688741 164075.1869997939793393, 528401.62499986204784364 164058.56199986999854445, 528431.62499989196658134 164063.00099988997681066, 528438.03900005598552525 164017.07199999399017543, 528447 163970.46899983598268591, 528410.3750000559957698 163956.9839997619856149, 528396.62500010395888239 163994.24999977997504175, 528169.68799994396977127 163904.00000012197415344, 528165.37500005797483027 163868.93700001999968663, 528047.61700016597751528 163855.57700022397330031, 528005.10200018400792032 163839.54600022599333897, 527969.48199976794421673 163904.06999992197961546, 527876.81000011402647942 163855.48100021597929299, 527875.90400016203057021 164109.21500024199485779, 527808.83799996599555016 164181.63500010198913515, 527808.9999998559942469 164185.9999999099818524, 527747.91100001404993236 164161.60899987397715449, 527615.99999991001095623 164220.99899984197691083, 527621.57300014805514365 164184.84300003998214379, 527599.39100015198346227 164184.55800007798825391, 527541.66500015801284462 164174.48200014399481006, 527544.02299998397938907 164222.32599993198527955, 527460.95500006002839655 164244.81800024199765176, 527459 164290.59499979598331265, 527524.17900022398680449 164303.90000010197400115, 527588.45200000202748924 164430.54399986998760141, 527640.00799976999405771 164430.91200022998964414, 527702.4599999519996345 164524.84999986598268151, 527778.00000007194466889 164412.00000013597309589, 527876.00000016996636987 164494.99999997197301127, 527944.6439998799469322 164499.99899987399112433, 528045.00000009196810424 164496.00000021999585442, 528187.9990001319674775 164543.99999977397965267, 528190.85700008203275502 164502.09099996599252336)))</t>
  </si>
  <si>
    <t>E01004102</t>
  </si>
  <si>
    <t>Sutton 015E</t>
  </si>
  <si>
    <t>MultiPolygon (((526714.18500015686731786 164787.73099999997066334, 526778.75400012673344463 164717.65700013222522102, 526877.84699989878572524 164772.02599994884803891, 526905.8870001754257828 164730.54900005229865201, 526938.00000002724118531 164739.0000000822765287, 526954.00600000517442822 164598.90100002687540837, 526956.89600004267413169 164551.21699982622521929, 526900.64899998076725751 164540.15199999496689998, 526906.50499990279786289 164461.31300011646817438, 526921.01099982671439648 164415.97000001650303602, 526965.35499983048066497 164421.0120000590395648, 526968.61899982218164951 164381.94199987611500546, 527024.58400000852998346 164436.42600005958229303, 527065.97099994483869523 164374.25000004816683941, 527153.11900003522168845 164369.58400007837917656, 527141.83699988212902099 164527.56800005835248157, 527194.51799996616318822 164538.81399986939504743, 527192.00000012258533388 164371.00000016955891624, 527127.89600012660957873 164300.8750001453445293, 527177.07299996679648757 164253.00000008862116374, 527111.70300017145927995 164194.74000001995591447, 527030.54600012244191021 164211.24900007431278937, 526916.99899992626160383 164143.9999999743886292, 526931.31100017437711358 164087.51099989993963391, 526889.12199999531731009 164071.8690000000060536, 526886.62499996356200427 164156.76599995006108657, 526911.00000012700911611 164162.92200009769294411, 526902.18799983861390501 164206.42199987726053223, 526869.98899990553036332 164196.17900004130206071, 526740.43100015120580792 164165.04199999757111073, 526738.04100001242477447 164208.51600002727354877, 526729.68800005852244794 164324.85900006370502524, 526771.85899988759774715 164338.81399993240484037, 526725.50000011653173715 164369.59399995466810651, 526721.87499986647162586 164528.5000001244188752, 526685.36800004413817078 164538.31600008910754696, 526647.80000003380700946 164539.60400011742603965, 526664.99999984295573086 164594.39099998827441595, 526727.24999994097743183 164614.40600004693260416, 526718.64899997715838253 164728.49099988641683012, 526714.18500015686731786 164787.73099999997066334)))</t>
  </si>
  <si>
    <t>E01004103</t>
  </si>
  <si>
    <t>Sutton 013B</t>
  </si>
  <si>
    <t>MultiPolygon (((527383.20500024559441954 164216.99899969098623842, 527422.73599996755365282 164193.94699993412359618, 527460.95500016340520233 164244.81799995477194898, 527544.02300026721786708 164222.3259999709262047, 527541.66499994252808392 164174.48199983619269915, 527599.39099999994505197 164184.55799975979607552, 527551.95800010731909424 164114.86400027081253938, 527538.72600030072499067 164046.5699998767231591, 527572.66499967535492033 164018.36000025493558496, 527535.4140001384075731 164039.33599993211100809, 527483.92999979108572006 163989.94299982118536718, 527548.68300033162813634 163962.53599981000297703, 527495.63199982012156397 163939.0869999572460074, 527518.63199970894493163 163907.47199987689964473, 527442.1960000132676214 163878.28000012505799532, 527366.0000001237494871 163830.99999980509164743, 527330.00000015087425709 163743.00000017159618437, 527301.3070002100430429 163668.09800029537291266, 527265.74800011760089546 163684.43300010665552691, 526965.04900001909118146 163884.8140001846186351, 526873.40600014175288379 163923.41600033018039539, 526570.12500007951166481 163977.99999997555278242, 526331.18800033652223647 163941.2460002287698444, 526248.93799999996554106 163921.98400022578425705, 526531.97599993960466236 164019.09899987219250761, 526613.58400032168719918 164024.63500030976138078, 526889.12200023885816336 164071.86900014916318469, 526931.3110000432934612 164087.51100014851544984, 526916.99899975804146379 164144.00000011289375834, 527030.546000229078345 164211.24899971878039651, 527111.70299995120149106 164194.74000011550378986, 527177.07300018495880067 164252.99999967426992953, 527213.99999971326906234 164252.99999967426992953, 527173.00000017555430532 164170.00000028082286008, 527175.15999978233594447 164079.20099976708297618, 527269.32400033681187779 164071.15100007606088184, 527273.91000030329450965 164146.5830000871210359, 527325.70699986908584833 164159.98000026700901799, 527347.70000004186294973 164253.51999970464385115, 527385.99999973352532834 164250.99999971329816617, 527383.20500024559441954 164216.99899969098623842)))</t>
  </si>
  <si>
    <t>E01004097</t>
  </si>
  <si>
    <t>Sutton 015A</t>
  </si>
  <si>
    <t>MultiPolygon (((530001.24199990322813392 165257.9110000322398264, 530139.33399983611889184 165186.64600013676681556, 530186.51299995474983007 165211.79900014854501933, 530252.42800012754742056 165110.475000193255255, 530248.9169998646248132 165109.56099989148788154, 530265.320999929565005 165025.11200005825958215, 530341.89599987189285457 165017.69200005670427345, 530365.97799995704554021 164889.40100018086377531, 530416.21100018767174333 164881.76499987934948877, 530424.99999981047585607 164836.99999993314850144, 530335.00000007951166481 164834.00000019179424271, 530338.99999999743886292 164737.00000001300941221, 530243.03100006934255362 164730.26999984154826961, 530244.62999989686068147 164692.10399981736554764, 530190.58899992716033012 164676.05300003639422357, 530190.24500003352295607 164490.94800000000395812, 530113.55199992377310991 164509.84399994043633342, 530114.00000007858034223 164568.99999991062213667, 530089.79900000151246786 164522.30499993107514456, 529973.57699998083990067 164530.14699992357054725, 530023.06699983507860452 164614.67300002981210127, 530132.77499998430721462 164689.71599980877363123, 530125.99999983247835189 164747.99900016016908921, 530002.00000001036096364 164700.00000018053106032, 530036.20700001111254096 164721.02099980635102838, 530008.46600003424100578 164785.03299993398832157, 529934.49900009203702211 164795.96599984713247977, 529936.46599993400741369 164702.32399999804329127, 529863.94100019452162087 164686.37799990837811492, 529836.97700014116708189 164909.28500004031229764, 529759.99999984877649695 164902.99899993781582452, 529757.08800002525094897 164943.3489999282755889, 529753.00000018952414393 165019.00000014263787307, 529800.99999999348074198 165006.99999999449937604, 529800.01099985581822693 165037.6450000174518209, 529892.98299990990199149 165109.96499989030417055, 529895.97400004940573126 165179.55899998976383358, 529924.28700008313171566 165178.80499996858998202, 529899.54200015601236373 165228.28599982673767954, 529945.51400018844287843 165279.45300000000861473, 530001.24199990322813392 165257.9110000322398264)))</t>
  </si>
  <si>
    <t>E01004077</t>
  </si>
  <si>
    <t>Sutton 011B</t>
  </si>
  <si>
    <t>E02000850</t>
  </si>
  <si>
    <t>Sutton 011</t>
  </si>
  <si>
    <t>MultiPolygon (((529604.19100000604521483 165003.16199990510358475, 529609.39600014302413911 164886.06499983227695338, 529692.76700018928386271 164892.75499981519533321, 529693.56499994115438312 164918.8810001045349054, 529757.08800020243506879 164943.34899988162214868, 529759.99999984016176313 164902.99900013857404701, 529836.97700012184213847 164909.28500000693020411, 529863.94099995191209018 164686.37799996821559034, 529936.46600003307685256 164702.32399993552826345, 529934.49899991182610393 164795.96599985522334464, 530008.46599986462388188 164785.03300002080504782, 530036.20699984370730817 164721.02100004072417505, 530001.9999998863786459 164700.00000020425068215, 530125.99999997322447598 164747.9990000301040709, 530132.77499998442362994 164689.7160000920703169, 530023.06699988292530179 164614.67300001042895019, 529973.57699983986094594 164530.14700017817085609, 530089.79899992072023451 164522.3050001707742922, 530029.01499990304000676 164368.9239998581178952, 529921.92300006898585707 164331.91699984145816416, 529852.69599989883136004 164310.08400009377510287, 529557.86599984462372959 164210.73600000000442378, 529546.27600007585715503 164262.78700001782272011, 529507.93799984536599368 164251.74999996914993972, 529500.25499992095865309 164353.84099998863530345, 529464.04600008018314838 164561.84700010868255049, 529458.50400001567322761 164600.80999984880327247, 529505.82100019801873714 164619.008000181929674, 529515.63999995577614754 164743.52700014723814093, 529473.64200017775874585 164802.73700018442468718, 529532.39099996676668525 164902.38399983401177451, 529520.33099981676787138 165022.62899986762204207, 529570.17100002628285438 165023.46900009748060256, 529553.06700008735060692 165058.84500000000116415, 529601.52599981694947928 165054.95599999697878957, 529604.19100000604521483 165003.16199990510358475)))</t>
  </si>
  <si>
    <t>E01004079</t>
  </si>
  <si>
    <t>Sutton 011D</t>
  </si>
  <si>
    <t>MultiPolygon (((530721.99999992933589965 165167.98400001128902659, 530796.66500006290152669 164844.58700015585054643, 530809.19899997545871884 164801.86099994901451282, 530828.24999990977812558 164644.89100011458504014, 530690.43199999316129833 164590.21399992358055897, 530578.85299994261004031 164552.87099994695745409, 530493.00099990074522793 164523.93700019424431957, 530286.07000010425690562 164453.9570001021202188, 530136.77599981159437448 164403.86699999999837019, 530113.55200009036343545 164509.84399994247360155, 530190.24500010930933058 164490.94800015189684927, 530190.58899982133880258 164676.05299996369285509, 530244.62999980163294822 164692.10399990784935653, 530243.03099997597746551 164730.26999990743934177, 530338.99999986891634762 164737.00000014193938114, 530335.00000001443549991 164834.00000008675851859, 530425.000000114669092 164837.00000007686321624, 530416.2109998072264716 164881.7650000179419294, 530365.97800008219201118 164889.40100007320870645, 530341.89599984453525394 165017.69200000719865784, 530396.49199999368283898 165084.32299981635878794, 530438.87700012256391346 165080.9530001106322743, 530531.87500005995389074 165091.68199992467998527, 530684.86800001258961856 165197.73600000000442378, 530721.87200006411876529 165179.71300008668913506, 530721.99999992933589965 165167.98400001128902659)))</t>
  </si>
  <si>
    <t>E01004080</t>
  </si>
  <si>
    <t>Sutton 011E</t>
  </si>
  <si>
    <t>MultiPolygon (((524515.89700016193091869 163708.14500030005001463, 524541.05900019081309438 163648.59600026308908127, 524574.85399978270288557 163554.94300024036783725, 524642.47500023327302188 163335.9479998319002334, 524656.43799974233843386 163293.75000028105569072, 524726.20799993933178484 163143.21299987941165455, 524656.88500002468936145 163133.24900000001071021, 524604.34099998115561903 163187.0639996963145677, 524481.52499968989286572 163142.20699979789787903, 524450.13699980021920055 163234.13199998490745202, 524345.89799978001974523 163175.38999980231164955, 524328.0000000053551048 163244.00000018838909455, 524303.32400018617045134 163333.378999849781394, 524462.33300017600413412 163380.66699984186561778, 524445.51099978724960238 163469.73699973931070417, 524402.95199972938280553 163457.93400018240208738, 524354.63199991418514401 163549.61399996947147883, 524333.41900001175235957 163524.12600003066472709, 524285.92700015718583018 163563.88100023701554164, 524298.00000018056016415 163481.99999976428807713, 524184.99999997962731868 163453.0000000806467142, 524171.06799984758254141 163493.92499999859137461, 524066.96400006063049659 163457.24400011019315571, 524097.97799988742917776 163560.51399999612476677, 524159.00000008946517482 163566.00000028157955967, 524140.59899995912564918 163691.00800020695896819, 524220.02600025176070631 163709.18599971878575161, 524234.4630000896868296 163665.45400029409211129, 524301.86600018700119108 163679.77800031015067361, 524308.56999970704782754 163724.61099981714505702, 524246.41000010538846254 163763.09800002595875412, 524202.52499999641440809 163858.50900021617417224, 524236.57699986902298406 163869.85900018032407388, 524194.69200004235608503 163962.73900001079891808, 524129.57600020989775658 164063.5309999551391229, 524116.17700013547437266 164110.99399978297878988, 524325.62499998509883881 164246.53600022252066992, 524290.59000011743046343 164331.71799970223219134, 524288.26999986555892974 164393.07899999996880069, 524398.65099995129276067 164260.71399979968555272, 524419.46299974422436208 164093.80799986186320893, 524465.80400001327507198 163897.57199974029208533, 524475.68899973295629025 163857.39600025309482589, 524515.89700016193091869 163708.14500030005001463)))</t>
  </si>
  <si>
    <t>E01004110</t>
  </si>
  <si>
    <t>Sutton 016A</t>
  </si>
  <si>
    <t>MultiPolygon (((525078.39299990446306765 163098.42099977153702639, 525069.0200001752236858 162770.15199974121060222, 525118.36899975186679512 162770.88899989021592773, 525123.3380001331679523 162739.569999860948883, 525173.56600005109794438 162753.13500004031811841, 525159.71599992318078876 162926.11399979857378639, 525187.05499996582511812 163012.71099977733683772, 525155.46299997484311461 163095.54899996216408908, 525214.10199998063035309 163093.19300010908045806, 525208.12799991806969047 163032.99599989742273465, 525276.06299982441123575 162941.42699980156612583, 525374.49799987487494946 162964.00699975460884161, 525444.59199993719812483 162980.16200005251448601, 525534.10499985108617693 163001.57000007244641893, 525606.25000018789432943 163017.20299989863997325, 525611.13299996755085886 162991.52899985763360746, 525560.70000018738210201 162908.62900008875294589, 525576.44699988863430917 162718.75899996949010529, 525686.39300010830629617 162729.49800011506886221, 525634.99999981466680765 162687.00000024857581593, 525619.89899975329171866 162625.12899978418136016, 525674.76499980641528964 162592.87599990886519663, 525647.58599993633106351 162443.65600011608330533, 525635.64800014824140817 162448.26900019173626788, 525612.39699997380375862 162448.19500009887269698, 525489.232000065385364 162457.06800020218361169, 525494.3089998064097017 162390.76299990087863989, 525440.80300017620902508 162360.05099981513922103, 525452.47600016777869314 162322.42499982737354003, 525445.60699995548930019 162269.27800023858435452, 525406.31599996611475945 162243.81299988145474344, 525331.69100008613895625 162253.16100007301429287, 525344.50299978605471551 162110.06900000001769513, 525325.4249999956227839 162160.77499974190141074, 525284.1370001946343109 162168.5090001369244419, 525286.99999975285027176 162130.99999975989339873, 525164.36700013116933405 162120.61400018425774761, 525041.47300001268740743 162464.98699978544027545, 525004.99999989185016602 163154, 525078.39299990446306765 163098.42099977153702639)))</t>
  </si>
  <si>
    <t>E01004093</t>
  </si>
  <si>
    <t>Sutton 025A</t>
  </si>
  <si>
    <t>E02006836</t>
  </si>
  <si>
    <t>Sutton 025</t>
  </si>
  <si>
    <t>MultiPolygon (((525489.23199994850438088 162457.06800021353410557, 525612.39700011687818915 162448.19499986755545251, 525635.64799980167299509 162448.26900000983732753, 525547.67700008268002421 162118.13200004558893852, 525639.12200022430624813 162140.61799996710033156, 525717.4519999778131023 162262.96600009768735617, 525731.88499990862328559 162190.67899983545066789, 525797.61699985689483583 162150.67700018783216365, 525810.17600014817435294 162100.99999989857315086, 526034.29700019850861281 162124.11799996337504126, 526086.83200000005308539 162018.04799987084697932, 526070.70700000692158937 161917.34700021741446108, 526026.86400000378489494 161897.78000011251424439, 525837.73100013134535402 161970.63699980042292736, 525736.93799981486517936 162009.25000008044298738, 525725.62500021187588573 161983.48400012185447849, 525647.0620000974740833 162043.18699990771710873, 525568.12499992456287146 161897.28200000253855251, 525500.9629998067393899 161849.39999991146032698, 525390.68800020462367684 161624.20299978647381067, 525328.43799983407370746 161650.28000005640205927, 525212.28299984475597739 161982.96899990440579131, 525164.36699999996926636 162120.6140000564919319, 525286.99999984342139214 162130.99999982153531164, 525284.13700010953471065 162168.50899998558452353, 525325.42499991157092154 162160.77499992260709405, 525344.50299993623048067 162110.06900007298099808, 525331.69099978182930499 162253.16100015348638408, 525406.31600003980565816 162243.81299997860332951, 525445.60700010287109762 162269.27800006893812679, 525452.47600012295879424 162322.42500005010515451, 525440.80299979029223323 162360.05100013996707276, 525494.30900008790194988 162390.76300006083329208, 525489.23199994850438088 162457.06800021353410557)))</t>
  </si>
  <si>
    <t>E01004094</t>
  </si>
  <si>
    <t>Sutton 025B</t>
  </si>
  <si>
    <t>MultiPolygon (((525001.06300006539095193 163268.25000023955362849, 525044.4999998991843313 163250.51600005009095185, 525063.62600011343602091 163278.343999872187851, 525134.06299976294394583 163287.98399981085094623, 525138.15899996098596603 163267.1210001050203573, 525244.95599979790858924 163294.15900015892111696, 525374.4999997919658199 163324.14100001513725147, 525393.81400001246947795 163244.78300020593451336, 525381.29099978145677596 163240.09000023815315217, 525395.61699999554548413 163181.34600012391456403, 525444.59199997480027378 162980.16200006438884884, 525374.49800009187310934 162964.00699980856734328, 525276.06299989367835224 162941.42700008564861491, 525208.12800003716256469 163032.99599991558352485, 525214.10200010240077972 163093.19300005922559649, 525155.46299982583150268 163095.54899997898610309, 525187.05500016128644347 163012.7110001077526249, 525159.71599997906014323 162926.11400021007284522, 525173.56599984061904252 162753.13500008240225725, 525123.3380000174511224 162739.56999978033127263, 525118.36899988271761686 162770.88900024094618857, 525069.02000008581671864 162770.15200019301846623, 525078.39300023927353323 163098.4210001893225126, 525005.00000011350493878 163153.99999975468381308, 525041.47299992840271443 162464.98699999999371357, 525025.55600009602494538 162507.89199996349634603, 524898.34900014998856932 162819.28599982761079445, 524726.20800001302268356 163143.2129999071767088, 524656.43800002499483526 163293.74999990078504197, 524946.1250001029111445 163377.82799983388395049, 524943.87600021564867347 163438.35299976737587713, 524947.26900021417532116 163439.4569999405357521, 524993.16199981304816902 163454.20300000000861473, 524998.55699988291598856 163318.51599980620085262, 525001.06300006539095193 163268.25000023955362849)))</t>
  </si>
  <si>
    <t>E01004095</t>
  </si>
  <si>
    <t>Sutton 025C</t>
  </si>
  <si>
    <t>MultiPolygon (((524450.13699976319912821 163234.13200000001234002, 524481.5250003858236596 163142.20700030561420135, 524604.34099993982817978 163187.06399971360224299, 524656.88500035787001252 163133.2490004088031128, 524726.20799983746837825 163143.21299984681536444, 524898.34899972064886242 162819.28600029161316343, 525025.5560002326965332 162507.89200025500031188, 525041.47299964027479291 162464.98699969419976696, 525164.3669998386176303 162120.61399974039522931, 525212.28300040145404637 161982.96900030280812643, 525328.4380002582911402 161650.27999975660350174, 525160.71199990320019424 161540.93200000000069849, 525120.50099991308525205 161591.70100023280247115, 525187.99999969266355038 161648.99999981859582476, 525113.18299967225175351 161671.80500032121199183, 525124.77300023520365357 161714.63100040299468674, 525070.10099960281513631 161797.95100022980477661, 525027.21000011288560927 162017.7159998698043637, 524973.95200011308770627 162111.11200008160085417, 524923.39200002222787589 162180.97499998481362127, 524813.52399992046412081 162145.96999991440679878, 524823.82799984468147159 162093.11099995480617508, 524788.66899984783958644 162022.06500015521305613, 524813.49399980285670608 161783.77400002360809594, 524770.48000033863354474 161768.35899970540776849, 524781.99999978067353368 161713.99999979199492373, 524671.5979999559931457 161669.458999760216102, 524586.61900022940244526 161869.56500005480484106, 524586.16199962329119444 162000.1089997636154294, 524530.35899980622343719 162066.57400040020002052, 524438.27799966966267675 162023.2149995836080052, 524433.41300007060635835 161922.22499991161748767, 524345.55599972943309695 161921.54999980540014803, 524329.00000018742866814 161964.00000027581700124, 524272.12200038944138214 161924.95200010359985754, 524191.34499986405717209 161941.88599977281410247, 524262.27900040982058272 161986.3799999589973595, 524188.67899974185274914 162299.21399971420760266, 524392.18999983847606927 162361.24700024799676612, 524389.56499970762524754 162415.2170001603954006, 524279.60799993423279375 162418.00500042221392505, 524403.41300014802254736 162513.89999959361739457, 524382.81500033882912248 162615.94300034560728818, 524442.46100032026879489 162659.68799996620509773, 524435.00000002689193934 162762.00000024880864657, 524424.51299989328254014 162868.84199966379674152, 524511.08399959560483694 162882.39999981402070262, 524608.71100013819523156 162775.78500010361312889, 524683.16400025563780218 162748.63600018181023188, 524718.99900019320193678 162787.99999973020749167, 524500.00000000023283064 162986.00000040460145101, 524345.89799988479353487 163175.39000034521450289, 524450.13699976319912821 163234.13200000001234002)))</t>
  </si>
  <si>
    <t>E01032623</t>
  </si>
  <si>
    <t>Sutton 025E</t>
  </si>
  <si>
    <t>MultiPolygon (((536378.17799994582310319 181601.71799987659323961, 536400.99999997077975422 181545.99999989088973962, 536445.99999986786860973 181547.00000005037873052, 536445.14499991643242538 181477.89200009268824942, 536522.91000000003259629 181560.08400006731972098, 536521.06300009542610496 181537.61000013398006558, 536425.77399995061568916 181322.78100013700895943, 536410.43100003432482481 181292.24399988769437186, 536352.04500012286007404 181123.95300006051547825, 536351.49900009459815919 181120.90200012340210378, 536190.85300006996840239 181130.16599992127157748, 536019.60299991152714938 181142.70699987810803577, 536032.04400005622301251 181177.95899987334269099, 535988.16199993970803916 181192.2910000380652491, 535992.15700004831887782 181225.79399996198480949, 536051.4449999948265031 181292.69100009324029088, 536016.99799989943858236 181335.81100014474941418, 536124.40600011241622269 181311.84700001162127592, 536122.99999989464413375 181344.11599993033451028, 536028.89699997333809733 181360.15100007227738388, 536028.67699997907038778 181421.89900011409190483, 536055.00000011478550732 181458.00000012447708286, 535993.00000012712553144 181465.00000007610651664, 535940.50500000000465661 181544.78699995396891609, 535944.00600011076312512 181558.51600011310074478, 536076.02200002735480666 181538.69399998421431519, 536117.65700011723674834 181477.11599988507805392, 536169.70899999642278999 181458.15399994576000609, 536188.44000005815178156 181424.05599993132636882, 536237.63000003236811608 181425.64299997506896034, 536272.63999997568316758 181528.42100012238370255, 536314.94299996353220195 181523.11499995228950866, 536316.00000010046642274 181549.00000007817288861, 536341.00000001094304025 181547.9989999292884022, 536344.57499991857912391 181594.04700005875201896, 536378.17799994582310319 181601.71799987659323961)))</t>
  </si>
  <si>
    <t>E01004286</t>
  </si>
  <si>
    <t>Tower Hamlets 019C</t>
  </si>
  <si>
    <t>E02000882</t>
  </si>
  <si>
    <t>Tower Hamlets 019</t>
  </si>
  <si>
    <t>MultiPolygon (((535443.52499991259537637 181540.76100006513297558, 535460.17699996149167418 181444.61800005030818284, 535492.1870000233175233 181446.83399993897182867, 535435.88499995018355548 181432.44299994045286439, 535442.90499999164603651 181348.46900001392350532, 535401.60399999422952533 181316.63800001854542643, 535450.61800002411473542 181233.94100006693042815, 535445.45999994501471519 181213.85999999998603016, 535298.92699995415750891 181249.10799997026333585, 535279.58600004715844989 181253.90200008713873103, 535182.62499997660052031 181263.45299999575945549, 535183.97900003590621054 181329.97900008893338963, 535184.32299992628395557 181346.8889999114908278, 535186.46499993361067027 181407.51699995782109909, 535190.12700001988559961 181509.76599999793688767, 535190.5789999138796702 181527.26100000014412217, 535191.93399997684173286 181598.25500000000465661, 535261.01700003049336374 181591.552999947743956, 535277.44000002555549145 181589.6520000375167001, 535406.79199998895637691 181574.55299999404815026, 535410.99999992270022631 181573.99999992939410731, 535410.14499992621131241 181542.38099992685602047, 535443.52499991259537637 181540.76100006513297558)))</t>
  </si>
  <si>
    <t>E01004287</t>
  </si>
  <si>
    <t>Tower Hamlets 016B</t>
  </si>
  <si>
    <t>MultiPolygon (((535911.00000002922024578 181576, 535940.50499998894520104 181544.78699998042429797, 535993.00000007776543498 181464.99999995017424226, 536055.0000000880099833 181458.00000009927316569, 536028.67699992994312197 181421.89900008207769133, 536028.8969999011605978 181360.15100003089173697, 536123.00000000139698386 181344.11600010827532969, 536124.40600003977306187 181311.84700005376362242, 536016.99800004321150482 181335.81099995077238418, 536051.44500000728294253 181292.69099996794830076, 535992.15699994890019298 181225.79400003113551065, 535988.16199992585461587 181192.29099992758710869, 536032.04400002746842802 181177.95900008021271788, 536019.60300002188887447 181142.70699999999487773, 535846.99999990686774254 181174.58300005382625386, 535853.0000000266591087 181228.99999993210076354, 535813.65599991928320378 181228.80099993947078474, 535817.92300005641300231 181261.6410000087635126, 535778.99999999336432666 181260.00000004554749466, 535774.99999998579733074 181293.00100009475136176, 535849.99999996670521796 181299.99999990541255102, 535848.51200009474996477 181326.78000004004570656, 535742.42999994999263436 181329.70199999396572821, 535742.42999994999263436 181365.27700007418752648, 535719.75599997257813811 181362.20599997337558307, 535715.29500004404690117 181363.68300005260971375, 535746.66800000332295895 181430.69299998742644675, 535713.76399995817337185 181431.69600005590473302, 535709.46400000946596265 181517.40500009997049347, 535704.99999996018595994 181567.99999998469138518, 535778.99999999336432666 181559.99999996941187419, 535899.26500005531124771 181574.1949999361531809, 535911.00000002922024578 181576)))</t>
  </si>
  <si>
    <t>E01004288</t>
  </si>
  <si>
    <t>Tower Hamlets 019D</t>
  </si>
  <si>
    <t>MultiPolygon (((535572.13599994743708521 181449.99700003225007094, 535603.83400005148723722 181420.72600003716070205, 535617.97199992870446295 181499.26100009318906814, 535675.22800002433359623 181488.11399999129935168, 535709.46400009363424033 181517.4049999889684841, 535713.76399996958207339 181431.69600009371060878, 535746.66799995792098343 181430.6929999872809276, 535715.29500000842381269 181363.68299994635162875, 535719.75599997269455343 181362.20599995952215977, 535742.42999999970197678 181365.27699997078161687, 535742.42999999970197678 181329.70200002263300121, 535848.51200000965036452 181326.77999996283324435, 535850.00000006554182619 181299.99999990442302078, 535774.99999989988282323 181293.00099997484358028, 535778.99999996297992766 181259.9999999514548108, 535817.92299998051021248 181261.64100000451435335, 535813.65600008622277528 181228.80100006956490688, 535853 181229.00000002744491212, 535846.99999990547075868 181174.58300000347662717, 535803.08999990113079548 181173.32700011279666796, 535747.64899992605205625 181171.1730000163661316, 535578.05099991813767701 181184.5110000163258519, 535445.45999995234888047 181213.86000011171563528, 535450.61800002888776362 181233.94100005345535465, 535401.60400000005029142 181316.63800010306295007, 535442.90499996230937541 181348.46899997597211041, 535435.88499996229074895 181432.44299998664064333, 535492.18699989013839513 181446.83400009945034981, 535460.17700006195809692 181444.61800008532009088, 535443.52500004204921424 181540.76100001332815737, 535410.1450000376207754 181542.3809999959776178, 535411.0000000346917659 181573.99999993189703673, 535483.59699991391971707 181575.63099998363759369, 535503.24999993608798832 181510.36600005425862037, 535572.13599994743708521 181449.99700003225007094)))</t>
  </si>
  <si>
    <t>E01004289</t>
  </si>
  <si>
    <t>Tower Hamlets 016C</t>
  </si>
  <si>
    <t>MultiPolygon (((535298.92700003308709711 181249.10799988606595434, 535290.15200004912912846 181141.16500002550310455, 535351.96700009889900684 181159.00600005430169404, 535421.44400000001769513 181102.66599995052092709, 535415.9669999728212133 181042.51099995849654078, 535387.81899995706044137 181039.79699996014824137, 535356.82399993028957397 180967.39400002377806231, 535343.87499992980156094 181035.55900003874558024, 535280.09599996835459024 181029.40900011290796101, 535161.99400000798050314 181012.92500008331262507, 535161.00000005459878594 181033.99999991885852069, 535065.26299990224651992 181029.74799991870531812, 535035.44200003577861935 181031.80900009593460709, 535036.71400001214351505 181126.30699989740969613, 535066.98700010974425822 181130.42400004863156937, 534945.71700008353218436 181135.30099995751515962, 534933.98000007204245776 181132.91500005326815881, 534931.22800000000279397 181134.99999998029670678, 534939.22800010675564408 181291.4009999762638472, 535000.19399996823631227 181283.35800008283695206, 535005.79200001072604209 181282.47399994282750413, 535182.62499993736855686 181263.45300000003771856, 535279.58600007614586502 181253.90200009846012108, 535298.92700003308709711 181249.10799988606595434)))</t>
  </si>
  <si>
    <t>E01004298</t>
  </si>
  <si>
    <t>Tower Hamlets 022A</t>
  </si>
  <si>
    <t>E02000885</t>
  </si>
  <si>
    <t>Tower Hamlets 022</t>
  </si>
  <si>
    <t>MultiPolygon (((535847.00000006530899554 181174.58300010490347631, 535849.39000001805834472 181096.59200007363688201, 535896.65499977965373546 181096.35200007454841398, 535906.00000014284159988 181000.99999989330535755, 535963.00099983671680093 180990.00000008751521818, 535965.99899999995250255 180907.9999997942650225, 535955.00000010675285012 180905.99999995392863639, 535886.30199996766168624 180888.85299979554838501, 535734.00000019487924874 180852.00000016114790924, 535754.0360000116052106 180749.66399982434813865, 535642.62099977431353182 180697.59499997476814315, 535444.91200017964001745 180576.75599989513284527, 535231.36800020874943584 180597.08799983232165687, 535072.50799998245202005 180591.92699993951828219, 535056.01299983682110906 180724.25300012322259136, 535054.08600000001024455 180755.49199978678370826, 535105.48500004212837666 180764.50699980917852372, 535097.46199995512142777 180859.669000181107549, 535092.09700010868255049 180923.29999996352125891, 535164.00000010256189853 180901.0000001250882633, 535239.84100018010940403 180898.69199984517763369, 535198.12899979297071695 180914.71799994327011518, 535204.2300000621471554 180966.23199996593757533, 535161.99399987468495965 181012.92500001852749847, 535280.09599977859761566 181029.40900021366542205, 535292.99099993810523301 180886.92400013349833898, 535290.84400017815642059 180878.71300006244564429, 535306.7320000259205699 180793.83299978022114374, 535262.94599988241679966 180810.50900006579468027, 535238.94199986814055592 180781.53899998698034324, 535376.9989998284727335 180782.9999999699939508, 535634.80600020324345678 180808.90299998837872408, 535598.29999987978953868 180841.27599994392949156, 535580.68500004231464118 180900.9440000037138816, 535574.61600016825832427 180920.23000016529113054, 535567.42700014647562057 180941.78599982417654246, 535560.40100001380778849 180964.3250002050481271, 535617.03200012701563537 180977.18799996949383058, 535665.33499990752898157 180981.99100014485884458, 535672.93300020508468151 180982.58600012355600484, 535648.99999991315416992 181042.00000003995955922, 535686.99900015874300152 181046.00000017657293938, 535752.00000012584496289 181045.00099994105403312, 535747.4059999231249094 181130.9420000558020547, 535804.54300004197284579 181117.50800003894255497, 535803.08999981579836458 181173.32699998814496212, 535847.00000006530899554 181174.58300010490347631)))</t>
  </si>
  <si>
    <t>E01004303</t>
  </si>
  <si>
    <t>Tower Hamlets 025D</t>
  </si>
  <si>
    <t>MultiPolygon (((534750.29800008283928037 180955.52600010033347644, 534651.95999996678438038 180913.23999999999068677, 534643.93799999740440398 180961.51600003559724428, 534617.1460000314982608 181109.02499990552314557, 534579.97899991658050567 181315.39100000000325963, 534690.62299999198876321 181312.60299992034561001, 534810.07300004677381366 181305.57100000104401261, 534939.22799999511335045 181291.40099999535595998, 534931.22800009837374091 181134.99999995366670191, 534933.9800000226823613 181132.9150000371155329, 534942.99900008353870362 181092.00000005608308129, 534860.23500000021886081 181061.88100004129228182, 534858.54599998309276998 180996.5430000523920171, 534746.49199998867698014 180985.73300000338349491, 534750.29800008283928037 180955.52600010033347644)))</t>
  </si>
  <si>
    <t>E01004304</t>
  </si>
  <si>
    <t>Tower Hamlets 022C</t>
  </si>
  <si>
    <t>MultiPolygon (((535578.05100008787121624 181184.5110000116401352, 535747.64900000346824527 181171.17300007128505968, 535803.0899999993853271 181173.32700003840727732, 535804.54299999983049929 181117.5080000733723864, 535747.40599989471957088 181130.94200003446894698, 535751.99999993899837136 181045.00099997455254197, 535686.99899999925401062 181046.00000002162414603, 535649.00000012328382581 181041.99999992889934219, 535672.93299996585119516 180982.58599996668635868, 535665.3349999476922676 180981.99100003906642087, 535617.03199990279972553 180977.18800010235281661, 535560.40100005164276809 180964.32500012798118405, 535567.42700010701082647 180941.78599989536451176, 535392.78299988864455372 180892.68399991089245304, 535402.1659999469993636 180941.3350001274375245, 535397.85800001269672066 180968.90599996849778108, 535356.82399987475946546 180967.39400009188102558, 535387.81899994122795761 181039.79700010392116383, 535415.96699988283216953 181042.51100006344495341, 535421.44399991701357067 181102.66600006519001909, 535351.96699994243681431 181159.00599992580828257, 535290.15200000000186265 181141.16500008138245903, 535298.9269999269163236 181249.10800008912337944, 535445.46000009099952877 181213.86000006008544005, 535578.05100008787121624 181184.5110000116401352)))</t>
  </si>
  <si>
    <t>E01004305</t>
  </si>
  <si>
    <t>Tower Hamlets 022D</t>
  </si>
  <si>
    <t>MultiPolygon (((534521.7370001224335283 181643.82600000000093132, 534538.99999997497070581 181550.99999992712400854, 534643.00000004435423762 181569.0000001072185114, 534635.00000007858034223 181615.99999990616925061, 534754.74199999717529863 181637.29999991788645275, 534760.87500011851079762 181542.02699994135764427, 534767.02599988086149096 181498.83400006082956679, 534721.77199996856506914 181489.62299987964797765, 534738.82600010430905968 181389.6349999824014958, 534674.99999990744981915 181382.9999998745333869, 534690.623000044724904 181312.60299997875699773, 534579.97900004708208144 181315.39099988044472411, 534549.99999992793891579 181316.99999989979551174, 534543.99999995366670191 181240.99999996781116351, 534584.04499991342891008 181144.80700005692779087, 534473.77099987817928195 181129.62400000001071021, 534521.04899990325793624 181150.74999996824772097, 534460.77600003406405449 181163.09400002652546391, 534458.48399989574681967 181223.00999998822226189, 534422.99999995704274625 181228.61300002440111712, 534422.99999995704274625 181186.99999994173413143, 534387.81100001966115087 181182.11299996622256003, 534378.48700009251479059 181249.13500006927642971, 534333.36000010406132787 181221.85299998134723864, 534325.00000011920928955 181317.99999989551724866, 534354.9999999909196049 181317.99999989551724866, 534468.00000002165324986 181318.99999989123898558, 534499.77899997879285365 181320.52599999474477954, 534485.08599997637793422 181421.82500005554175004, 534478.22700010798871517 181349.59900010022101924, 534452.56999994884245098 181347.74100007629022002, 534402.12800009362399578 181445.15099991150782444, 534422.13900007435586303 181469.50599998471443541, 534498.19800005806609988 181453.80900000920519233, 534493.58599993993993849 181481.48299993501859717, 534458.00000006449408829 181582.0000000516010914, 534509.63600010273512453 181592.72699987870873883, 534521.7370001224335283 181643.82600000000093132)))</t>
  </si>
  <si>
    <t>E01004321</t>
  </si>
  <si>
    <t>Tower Hamlets 021C</t>
  </si>
  <si>
    <t>MultiPolygon (((534812.3829999779118225 181551.03200009147985838, 534840.29699998255819082 181500.79000011499738321, 534902.70700011379085481 181517.92700012598652393, 534904.76799998921342194 181473.32499988988274708, 534985.49500001012347639 181473.10399995508487336, 534994.10899994196370244 181412.87099996127653867, 535024.34999998204875737 181393.93099989916663617, 535060.99999992072116584 181390.00000010343501344, 535083.99999994656536728 181438.99999990258947946, 535186.46499999985098839 181407.51699994096998125, 535184.32299992383923382 181346.88899987511103973, 535183.97900007280986756 181329.97900005054543726, 535182.62500005692709237 181263.45299990850617178, 535005.79200008604675531 181282.47399991549900733, 535000.19400006136856973 181283.35799991033854894, 534939.22799988463521004 181291.40100006051943637, 534810.07300001615658402 181305.57100004571839236, 534690.62299993354827166 181312.6030001170001924, 534675 181383.00000009560608305, 534738.82599993434268981 181389.63500001095235348, 534721.77199995203409344 181489.6229998753988184, 534767.02599991473834962 181498.83399991231271997, 534760.87500009615905583 181542.02699999953620136, 534812.3829999779118225 181551.03200009147985838)))</t>
  </si>
  <si>
    <t>E01004326</t>
  </si>
  <si>
    <t>Tower Hamlets 017D</t>
  </si>
  <si>
    <t>MultiPolygon (((534325.00000008149072528 181318.00000003050081432, 534333.36000002699438483 181221.85299995698733255, 534309.23699997004587203 181134.94499996700324118, 534338.30100008402951062 181149.26300000250921585, 534345 181115.00000005500623956, 534296.69599998148623854 181106.8510000245005358, 534248.9269999124808237 181094.04600004651001655, 534253.88500001700595021 181064.53800001650233753, 534229.99900003348011523 181059.00000003300374374, 534190.99999993946403265 181033.99999997849226929, 534187.30199994600843638 181060.37800009350758046, 534113.93800003651995212 181072.00000005299807526, 534019.68800009996630251 181125.78100004399311729, 533993.06699990702327341 181220.55199998899479397, 533971.99999998754356056 181206.9999999720021151, 533928 181294.99999994700192474, 533954.61699991195928305 181311.56199999750242569, 534043.51199989800807089 181267.20600002098944969, 534073.15999996347818524 181333.00000002150773071, 534220.22799989848863333 181324.02399996150052175, 534263.87199989694636315 181318.35699998549534939, 534325.00000008149072528 181318.00000003050081432)))</t>
  </si>
  <si>
    <t>E01032766</t>
  </si>
  <si>
    <t>Tower Hamlets 021E</t>
  </si>
  <si>
    <t>MultiPolygon (((523589.20999989844858646 173645.84299991760053672, 523120.97000000614207238 173337.81599974937853403, 522794.0010000437614508 173194.00000004071625881, 522511.00000027904752642 173069.99999997648410499, 522491.99600000004284084 173135.99799980269744992, 522577.00100008823210374 173197.99999971885699779, 522568.23900003667222336 173262.25200004235375673, 522588.00000020250445232 173355.0000001089356374, 522580.17200028826482594 173410.1389998629456386, 522559.9999999450519681 173468.00000027375062928, 522610.44199979351833463 173517.19500008804607205, 522594.57599990186281502 173545.66600018224562518, 522529.8209997140802443 173491.16800013673491776, 522509.91299975506262854 173591.55199995226575993, 522591.55299990769708529 173642.44699973962269723, 522535.99999999336432666 173685.00000022925087251, 522591.99999988067429513 173754.99999993146047927, 522538.99999990890501067 173810.00000005611218512, 522615.97000000264961272 173842.45399971574079245, 522649.00000015820842236 173857.99999995951657183, 522615.99999983236193657 173937.99999979848507792, 522646.55099983449326828 173952.19699995953124017, 522882.7210001727216877 174033.51900003451737575, 522984.02200001280289143 174061.96600026494706981, 523086.06400003982707858 174090.56600025444640778, 523219.31100012210663408 174127.72700018130126409, 523274.15300030686194077 174143.02199975785333663, 523423.01200025819707662 174181.8450002918834798, 523649.75699991517467424 174190.72400030688731931, 523671.41100000450387597 174204.27299975312780589, 523747.21900000004097819 174248.78100002347491682, 523673.01100012683309615 174051.74199993530055508, 523576.71900030400138348 173727.73299969709478319, 523589.20999989844858646 173645.84299991760053672)))</t>
  </si>
  <si>
    <t>E01004572</t>
  </si>
  <si>
    <t>Wandsworth 016A</t>
  </si>
  <si>
    <t>E02000938</t>
  </si>
  <si>
    <t>Wandsworth 016</t>
  </si>
  <si>
    <t>MultiPolygon (((524894.62499987706542015 174932.01700005878228694, 524941.31700003228615969 174638.16100014431867748, 524951.35499998752493411 174611.55400014886981808, 524967.15699990489520133 174610.61100012884708121, 525012.38199998845811933 174612.70200002851197496, 525066.1790000171167776 174554.17599994916236028, 525079.12799991585779935 174596.99499988375464454, 525140.412999999942258 174577.69500004264409654, 525112.26300011482089758 174505.58499986460083164, 525039.37399998598266393 174500.21099990862421691, 524972.5229999755974859 174557.56900009253877215, 524895.53600005339831114 174497.77500003852765076, 524939.45300013071391732 174437.52400010704877786, 524917.08900004345923662 174418.07800008985213935, 524884.48799990396946669 174409.24099993510753848, 524832.51399998657871038 174482.56799998687347397, 524750.53899986913893372 174384.55299988479237072, 524649.12999986507929862 174386.50799991897656582, 524658.9379999409429729 174352.27599994122283533, 524623.99999994912650436 174429.99999996257247403, 524626.99999990256037563 174432.00000003233435564, 524535.04899999988265336 174563.77700004278449342, 524602.84400009177625179 174639.17899992104503326, 524639.89500012167263776 174568.92799994332017377, 524669.85300010617356747 174609.07100012051523663, 524670.23800010827835649 174696.12600002172985114, 524631.51900008972734213 174709.23500004710513167, 524654.00100014929194003 174744.00000002302112989, 524768.00000013108365238 174635.00000000299769454, 524830.06499992462340742 174617.99499985983129591, 524826.53900009975768626 174650.01199990027816966, 524797.29700013715773821 174647.59200010338099673, 524773.09399986546486616 174707.88800007046665996, 524764.08900000143330544 174842.74199991358909756, 524660.88199990591965616 174822.64899986851378344, 524619.62699993804562837 174849.14600007954868488, 524595.78899995528627187 174877.16299998041358776, 524797.22200007783249021 174895.17599989238078706, 524801.67999985348433256 174910.631000019289786, 524894.62499987706542015 174932.01700005878228694)))</t>
  </si>
  <si>
    <t>E01004499</t>
  </si>
  <si>
    <t>Wandsworth 020A</t>
  </si>
  <si>
    <t>E02000942</t>
  </si>
  <si>
    <t>Wandsworth 020</t>
  </si>
  <si>
    <t>MultiPolygon (((524472.63799987605307251 174605.52600007003638893, 524535.04899995354935527 174563.77699984834180214, 524627.00000000768341124 174431.99999993792152964, 524624.00000011560041457 174429.99999989932985045, 524533.18800007470417768 174380.80599995105876587, 524584.73799993377178907 174199.55200004394282587, 524488.4969999345485121 174143.73600000000442378, 524401.6879999409429729 174294.4530000471859239, 524325.69900013296864927 174240.50500003332854249, 524192.31300014891894534 174143.85199994716094807, 524155.29399990075035021 174189.89799993354245089, 524096.00100008479785174 174268.00000008897040971, 524054.91100002627354115 174186.71499987886636518, 524014.67099999240599573 174216.53999999442021362, 524102.75300009839702398 174383.26299995885347016, 524078.74999999668216333 174406.46500009929877706, 524092.01700006891041994 174468.72899998640059493, 524146.70500010036630556 174470.79899987875251099, 524165.22399990836856887 174501.19800012183259241, 524197.99999985250178725 174555.00000015640398487, 524153.55400002974784002 174579.32799988699844107, 524199.61600007745437324 174564.70099990797461942, 524234.98400000791298226 174617.42199990293011069, 524369.12699995038565248 174622.01399992790538818, 524399.70399996370542794 174676.63699983453261666, 524332.77900007728021592 174744.85000001516891643, 524363.31299996713642031 174807.22599999999511056, 524446.40700002259109169 174759.810999864974292, 524422.62099996511824429 174716.59500003111315891, 524495.39100007794331759 174641.53299992109532468, 524472.63799987605307251 174605.52600007003638893)))</t>
  </si>
  <si>
    <t>E01004503</t>
  </si>
  <si>
    <t>Wandsworth 014C</t>
  </si>
  <si>
    <t>E02000936</t>
  </si>
  <si>
    <t>Wandsworth 014</t>
  </si>
  <si>
    <t>MultiPolygon (((524884.48799994960427284 174409.24099997529992834, 524858.39300009817816317 174374.03699984491686337, 524908.55600002990104258 174307.76799990781000815, 524872.97599990665912628 174244.47499993548262864, 524737.99999988812487572 174223.99999994938843884, 524767.38600014278199524 174181.24899999011540785, 524792.19599986344110221 174198.51400014988030307, 524850.2750000050291419 174162.45000014861579984, 524963.12100005464162678 174208.25199984555365518, 524998.39699988742358983 174173.8430001585802529, 525151.49600000004284084 174158.61700005191960372, 525064.0059999005170539 174084.11499986163107678, 525000.73999989952426404 173863.75299988713231869, 524841.9930001477478072 173871.31899994137347676, 524834.14399996481370181 173870.99199988407781348, 524643.00600008585024625 173841.64200014361995272, 524642.25200016365852207 173844.57800005274475552, 524599.6889998692786321 173960.75499989822856151, 524500.42000008455943316 174119.86299995350418612, 524488.49699999997392297 174143.73600009389338084, 524584.73800014541484416 174199.55200000325567089, 524533.18800000718329102 174380.80599985073786229, 524624.00000002258457243 174429.99999989254865795, 524658.93799998168833554 174352.27599992547766306, 524649.12999985704664141 174386.50800009543308988, 524750.53899996809195727 174384.55300002664444037, 524832.51400001684669405 174482.56799985634279437, 524884.48799994960427284 174409.24099997529992834)))</t>
  </si>
  <si>
    <t>E01004504</t>
  </si>
  <si>
    <t>Wandsworth 020C</t>
  </si>
  <si>
    <t>MultiPolygon (((524102.75299983669538051 174383.26299982288037427, 524014.67099994386080652 174216.54000003178953193, 524054.91099985566688702 174186.71500016484060325, 524096.00100017688237131 174268.00000009883660823, 524155.29400007356889546 174189.89800014876527712, 524192.31300008698599413 174143.8519998497213237, 524088.10900003969436511 174065.65899984422139823, 523999.84599987353431061 173994.23699983605183661, 523805.43000010220566764 173822.23299997774302028, 523698.63100004906300455 173732.42399984734947793, 523589.20999981055501848 173645.84299999999348074, 523576.71899991302052513 173727.732999813684728, 523673.01100002822931856 174051.74199989263433963, 523747.21899983269395307 174248.78100006718887016, 523766.33100012509385124 174306.64099990547401831, 523849.65899994591018185 174296.37999995442805812, 523864.41499981115339324 174256.02000013244105503, 523898.25200005859369412 174229.29700009140651673, 523927.0469998411135748 174349.57899983166134916, 523997.59200002113357186 174405.61799986410187557, 524078.75000004068715498 174406.46499999996740371, 524102.75299983669538051 174383.26299982288037427)))</t>
  </si>
  <si>
    <t>E01004505</t>
  </si>
  <si>
    <t>Wandsworth 014D</t>
  </si>
  <si>
    <t>MultiPolygon (((524599.68900002050213516 173960.75500007200753316, 524642.25199999997857958 173844.57800013606902212, 524576.35500014224089682 173832.79899994048173539, 524553.60899993684142828 173886.86999991341144778, 524349.72899999830406159 173810.0859998106607236, 524103.74699988076463342 173782.69999985839240253, 524101.62000003090361133 173780.30999982461798936, 524067.93899988901102915 173768.46199988943408243, 523972.73199985711835325 173775.83100002800347283, 523912.24299983138917014 173738.81400019649299793, 523805.43000000005122274 173822.23300001217285171, 523999.8460000233608298 173994.23700017656665295, 524088.10900005314033478 174065.65900013424106874, 524192.31300018599722534 174143.85200011628330685, 524325.69900019990745932 174240.50500011222902685, 524401.68800015572924167 174294.45299980349955149, 524488.49700020311865956 174143.73599985064356588, 524500.41999989165924489 174119.86299999331822619, 524599.68900002050213516 173960.75500007200753316)))</t>
  </si>
  <si>
    <t>E01004628</t>
  </si>
  <si>
    <t>Wandsworth 022A</t>
  </si>
  <si>
    <t>E02000944</t>
  </si>
  <si>
    <t>Wandsworth 022</t>
  </si>
  <si>
    <t>MultiPolygon (((523805.42999998474260792 173822.2330000538204331, 523912.24299997981870547 173738.81399986628093757, 523972.73200003249803558 173775.83100005690357648, 524067.93899988906923681 173768.46200006303843111, 524101.62000014283694327 173780.30999988419353031, 524148.02200013975379989 173766.14599984799860977, 524181.17200004972983152 173654.444000060291728, 524408 173661.99999995541293174, 524367.04799985757563263 173613.46900000277673826, 524382.09599991526920348 173516.49000016474747099, 524357.89199984422884881 173524.38400005755829625, 524218.33499996608588845 173520.31300004740478471, 524148.99999996990663931 173583.00000015913974494, 524096.83900012273807079 173554.88000011289841495, 524077.90000015328405425 173543.90099991712486371, 524132.89499995345249772 173461.88499992122524418, 524068.58699995663482696 173432.2049998581642285, 524019.64499996445374563 173492.22800008990452625, 523971.00000015244586393 173415.99999994618701749, 523948.99999986926559359 173475.99999990477226675, 523994.00000010675285012 173519.00000008396455087, 523938.4099998720921576 173581.16800002552918158, 523912.65699988376582041 173612.09500017113168724, 523900.99999990238575265 173624.99999995110556483, 523749.00000012665987015 173719.9999998557032086, 523691.87100000004284084 173694.01300006176461466, 523698.63099995360244066 173732.42400013477890752, 523805.42999998474260792 173822.2330000538204331)))</t>
  </si>
  <si>
    <t>E01004630</t>
  </si>
  <si>
    <t>Wandsworth 022B</t>
  </si>
  <si>
    <t>MultiPolygon (((523698.63099997688550502 173732.42399999999906868, 523691.87100010231370106 173694.01299999241018668, 523749.00000004324829206 173719.99999992165248841, 523901.00000000675208867 173624.99999987435876392, 523912.65699991444125772 173612.09499986475566402, 523938.40999987709801644 173581.16800008108839393, 523993.9999999733408913 173519.00000008425558917, 523948.99999998044222593 173475.99999989170464687, 523971.00000002683373168 173415.9999999946448952, 524019.64500012394273654 173492.22799992223735899, 524068.5869999845745042 173432.20499989905511029, 524029.85399989364668727 173415.58099990358459763, 524081.50300007889745757 173336.3760001212649513, 523971.18000008736271411 173224.12699993065325543, 523929.29399990802630782 173238.41400013084057719, 523926.40499988978262991 173236.14000013246550225, 523921.4539999506669119 173245.11599999215104617, 523817.6309998708893545 173171.75300000002607703, 523781.73600004269974306 173218.46800007118145004, 523739.76200002693803981 173281.99299993872409686, 523617.00399987236596644 173300.00000008151982911, 523638.27799993625376374 173435.98400009199394844, 523650.61600009159883484 173521.92900005367118865, 523589.20999992109136656 173645.84300008614081889, 523698.63099997688550502 173732.42399999999906868)))</t>
  </si>
  <si>
    <t>E01004631</t>
  </si>
  <si>
    <t>Wandsworth 022C</t>
  </si>
  <si>
    <t>MultiPolygon (((521829.59400024003116414 169881.15600008709589019, 521944.79900049656862393 169517.16000002465443686, 522008.5629995547933504 169291.34399960286100395, 521860.52500028134090826 169430.63899969999329187, 521745.84700050007086247 169588.88599987459019758, 521700.28100018616532907 169466.76600046615931205, 521551.32599981786916032 169321.55099999890080653, 521201.15600033884402364 169275.53099999998812564, 521175.60900049825431779 169382.35799995472189039, 521107.32199972489615902 169674.00099981942912564, 521087.87500022794120014 169815.74899990542326123, 520979.68500001117354259 170074.82000000408152118, 520985.00000018824357539 170078.0000002131855581, 520960.9370004452066496 170129.76199997658841312, 520998.67900001478847116 170155.70699993913876824, 520970.56599985220236704 170243.64399951390805654, 521075.42299998394446447 170254.8640002325118985, 521047.17299996560905129 170465.06500041307299398, 521148.39299962832592428 170773.72600032389163971, 521422.3020003194687888 170930.88100038841366768, 521345.6420002025552094 171238.67099989709095098, 521526.95700032298918813 171306.37700000000768341, 521602.62500020221341401 171108.65600035269744694, 521566.18699974130140617 170816.85900042037246749, 521688.40599984599975869 170723.65599990540067665, 521792.3840000731870532 170346.64699971533264033, 521808.33700010675238445 170294.10499972820980474, 521812.218999806442298 170281.59499953786144033, 521798.75699993665330112 170108.05899966074503027, 521826.33600031316746026 169904.69999987259507179, 521829.59400024003116414 169881.15600008709589019)))</t>
  </si>
  <si>
    <t>E01002953</t>
  </si>
  <si>
    <t>Kingston upon Thames 002B</t>
  </si>
  <si>
    <t>E02000599</t>
  </si>
  <si>
    <t>Kingston upon Thames 002</t>
  </si>
  <si>
    <t>E09000021</t>
  </si>
  <si>
    <t>Kingston upon Thames</t>
  </si>
  <si>
    <t>MultiPolygon (((521655.93800023361109197 172024.54700021015014499, 521672.00000003428431228 171846.48399982808041386, 521518.40599989745533094 171659.9059998408483807, 521463.0339998283307068 171534.99100026735686697, 521526.95699998846976086 171306.37699994182912633, 521345.64199974352959543 171238.67099978699116036, 521288.04899992782156914 171212.93699999997625127, 521256.3520000756252557 171317.67500014678807929, 521339.42100012046284974 171349.91899983625626191, 521325.33599996363045648 171420.98699983910773881, 521227.95499977696454152 171440.43299994422704913, 521252.32199988985667005 171488.65600024434388615, 521223.66900028369855136 171648.6040002838417422, 521143.88599976303521544 171646.36100008085486479, 521128.35299984383163974 171692.4529998391517438, 521118.21299985813675448 171644.0990000840392895, 521050.27899988030549139 171635.66599983087508008, 521023.08499997755279765 171687.16100020002340898, 520877.86199979949742556 171703.68700007363804616, 520914.29499976284569129 171772.14800025685690343, 521019.37799973244545981 171820.78900004099705257, 520988.45399986440315843 171905.11399993681698106, 520805.9999997682753019 171738.00000001050648279, 520812.7279999649617821 171687.03599977315752767, 520766.06299998657777905 171674.78100009966874495, 520738.88200027524726465 171741.15400024165865034, 520700.00000016810372472 171693.00000025067129172, 520695.9779998351004906 171722.26299982654745691, 520613.77299996576039121 171758.5639999225968495, 521212.38400027016177773 172192.83999982554814778, 521300.97400018939515576 172255.11799997332855128, 521303.90600019996054471 172288.0460002803010866, 521454.49999985506292433 172361.51600000000325963, 521468.3979998649447225 172341.53099991037743166, 521526.37500007764901966 172146.93699989028391428, 521655.93800023361109197 172024.54700021015014499)))</t>
  </si>
  <si>
    <t>E01002955</t>
  </si>
  <si>
    <t>Kingston upon Thames 002C</t>
  </si>
  <si>
    <t>MultiPolygon (((522130.83999995398335159 168963.26000002372893505, 522181.82899969717254862 168757.27600004314444959, 521974.12599976384080946 168772.35199978260789067, 521976.00000015931436792 168687.99999970698263496, 521938.32599968888098374 168674.92499982708250172, 521913.00599981710547581 168599.61000028948183171, 521869.94200018106494099 168549.58100002593710087, 521834.25100007688160986 168558.08999973710160702, 521840.99999978794949129 168607.99999981667497195, 521811.64599989634007215 168598.70300009535276331, 521459.92600011598551646 168490.95699999845237471, 521479.02899978961795568 168401.49499973090132698, 521552.88000004121568054 168424.78999999462394044, 521565.47799999080598354 168387.77700007031671703, 521573.24800029135076329 168349.74199972598580644, 521485.06500013556797057 168316.83699999999953434, 521462.54699983826139942 168349.16399974111118354, 521448.15000013826647773 168393.3889997715014033, 521406.00000014598481357 168381.99999971321085468, 521366.20000001293374225 168549.47999997134320438, 521568.05699983524391428 168630.23700003768317401, 521618.92600020003737882 168594.56000010480056517, 521613.1140000507584773 168647.97900014091283083, 521785.00400020444067195 168722.99500010890187696, 521773.3070001938031055 168785.25399972646846436, 521429.24199985206359997 168662.77900022873654962, 521366.09599983075167984 168773.75499986691283993, 521348.15099978790385649 168793.25300001219147816, 521317.70300023083109409 168772.21800023288233206, 521303.15400021569803357 168841.31300008081598207, 521282.83000014047138393 168928.64699975264375098, 521265.72900015686172992 169001.28100019675912336, 521259.53199974913150072 169027.59999993452220224, 521201.15600030281348154 169275.53099996774108149, 521551.32600010832538828 169321.5509997904591728, 521700.28100004163570702 169466.7660001210460905, 521745.84699985204497352 169588.88599999999860302, 521860.52499980927677825 169430.63900013390230015, 522008.56299997126916423 169291.34400009285309352, 521979.68800030701095238 169237.24999997537815943, 521994.98199998796917498 169157.54900029071723111, 522023.93799991643754765 169103.57800031526130624, 522127.31299986806698143 169052.09399987634969875, 522131.85099969420116395 168996.02199981728335842, 522130.83999995398335159 168963.26000002372893505)))</t>
  </si>
  <si>
    <t>E01002929</t>
  </si>
  <si>
    <t>Kingston upon Thames 007A</t>
  </si>
  <si>
    <t>E02000604</t>
  </si>
  <si>
    <t>Kingston upon Thames 007</t>
  </si>
  <si>
    <t>MultiPolygon (((522601.47800016158726066 170282.94499986141454428, 522687.44799992884509265 170280.1399998071428854, 522694.65099986450513825 170315.06000012555159628, 522727.99999994831159711 170280.99999982654117048, 522823.50600012083305046 170287.37599990781745873, 522827.24499999999534339 170150.00500015969737433, 522616.35900019702967256 170120.75899989347090013, 522647.91300024336669594 169950.48900005366886035, 522424.35599988320609555 169922.70099992741597816, 522304.93800005450611934 169877.85900019021937624, 522297.21899979677982628 169736.37500024525797926, 522331.15300007729092613 169605.27499995933612809, 522296.4060000593890436 169619.21900010781246237, 522038.94800010113976896 169739.44400006718933582, 521829.59400024369824678 169881.15600007024477236, 521826.33600013528484851 169904.70000005021574907, 521798.7570000191917643 170108.05899994392530061, 521812.21900020370958373 170281.59499988509924151, 521808.33700012695044279 170294.10499987247749232, 521792.38399999996181577 170346.64699981946614571, 522238.55299980548443273 170477.38000010492396541, 522405.30000009352806956 170494.80000004061730579, 522588.45699978299671784 170450.66400007024640217, 522601.03900022443849593 170340.66400010386132635, 522641.29999991791555658 170336.49999988719355315, 522602.70099992625182495 170321.3999999797961209, 522601.47800016158726066 170282.94499986141454428)))</t>
  </si>
  <si>
    <t>E01003463</t>
  </si>
  <si>
    <t>Merton 010E</t>
  </si>
  <si>
    <t>E02000698</t>
  </si>
  <si>
    <t>Merton 010</t>
  </si>
  <si>
    <t>MultiPolygon (((522732.66099994629621506 169948.79900004604132846, 522729.54100022197235376 169902.51699984181323089, 522601.18699999054661021 169904.4179999535845127, 522595.45599988976027817 169864.7379997773678042, 522654.90600023482693359 169836.82099980942439288, 522532.74900010123383254 169818.37800000986317173, 522551.45500008144881576 169731.91600013390416279, 522594.70700009632855654 169737.63000023257336579, 522603.99999997502891347 169691.99999983981251717, 522475.89399983320618048 169667.8109998484433163, 522470.53400016413070261 169601.19400009093806148, 522615.19799978751689196 169514.27500007027992979, 522712.19400019850581884 169436.01200020793476142, 522697.05300011561485007 169401.12199978026910685, 522573.94000004441477358 169463.21899991124519147, 522593.22799991676583886 169449.6720002003130503, 522569.19199994398513809 169402.72899982662056573, 522824.39699977828422561 169293.66999991459306329, 522827.53599992132512853 169240.59100001564365812, 522824.43300019908929244 169199.08700009394669905, 522813.72799994074739516 169147.67199998057913035, 522840.92700000002514571 169138.61200010040192865, 522697.6530002182116732 169097.38999976674676873, 522503.26100000209407881 169031.01400015747640282, 522369.82299995661014691 168985.0079998082946986, 522348.53500007942784578 169010.68700024820282124, 522210.72699980100151151 169275.68399975405191071, 522144.3009998882189393 169324.46599996427539736, 522099.2019998871255666 169276.40299987109028734, 522062.29800007760059088 169305.59199987445026636, 521994.98199981881771237 169157.54900016813189723, 521979.68800022301729769 169237.24999975884566084, 522008.56300003954675049 169291.34399975123233162, 521944.79900000372435898 169517.15999988504336216, 521829.59400000004097819 169881.15599992603529245, 522038.94799992040498182 169739.44399991736281663, 522296.40599987941095605 169619.21899978027795441, 522331.1529998435289599 169605.27499978319974616, 522297.21899985912023112 169736.37500019921571948, 522304.93799999292241409 169877.85900023972499184, 522424.35599988332251087 169922.70099979321821593, 522647.91300015937304124 169950.48900019167922437, 522732.66099994629621506 169948.79900004604132846)))</t>
  </si>
  <si>
    <t>E01003445</t>
  </si>
  <si>
    <t>Merton 010D</t>
  </si>
  <si>
    <t>MultiPolygon (((522144.30099976697238162 169324.46600013395072892, 522210.72700004937360063 169275.68400014779763296, 522348.53500001225620508 169010.68699999278760515, 522369.82300004427088425 168985.0080001849855762, 522503.26099990663351491 169031.01400011076475494, 522697.65300010296050459 169097.38999990263255313, 522840.92700017994502559 169138.61199993320042267, 522927.34500004991423339 169180.83000001710024662, 522917.8699999877717346 169122.5909999820869416, 522966.62800012639490888 169087.18499992648139596, 523015.79599999997299165 168976.40899991759215482, 522840.62300023948773742 168830.76499996593338437, 522830.8429998392239213 168795.26700006940518506, 522740.5759998555877246 168497.18299986602505669, 522467.63799980457406491 168600.45799990612431429, 522395.53899976593675092 168649.88799985928926617, 522195.40599982003914192 168664.67199986314517446, 522181.82900008163414896 168757.27599986729910597, 522130.84000022750115022 168963.25999992742436007, 522131.8510001216782257 168996.02199984976323321, 522127.31300006748642772 169052.09400010298122652, 522023.93800006713718176 169103.57799981141579337, 521994.98199999995995313 169157.54899999115150422, 522062.29800003068521619 169305.59200012241490185, 522099.20200022589415312 169276.40299977012909949, 522144.30099976697238162 169324.46600013395072892)))</t>
  </si>
  <si>
    <t>E01003447</t>
  </si>
  <si>
    <t>Merton 016D</t>
  </si>
  <si>
    <t>E02000704</t>
  </si>
  <si>
    <t>Merton 016</t>
  </si>
  <si>
    <t>MultiPolygon (((523587.57900038064690307 173111.90900036133825779, 523565.77799982635769993 172970.89300010015722364, 523559.30000006698537618 172928.99700009744265117, 523531.64899998664623126 172756.07799964505829848, 523515.08200049900915474 172638.30700001303921454, 523503.13699945178814232 172560.02699971233960241, 523433.4059999858145602 172576.20300051118829288, 523047.93799988168757409 172504.452999604458455, 522830.89200032001826912 172390.73900035533006303, 522737.54400013567646965 172342.36000003715162165, 521672.00000042619649321 171846.48399967048317194, 521655.93800000892952085 172024.54699996364070103, 521526.37500053527764976 172146.93700033769709989, 521468.39800041768467054 172341.53100028692279011, 521454.5 172361.51599957910366356, 521849.72700046165846288 172637.33099994421354495, 522203.42400012287544087 172880.79200024605961516, 522299.87500021333107725 173031.8119995656888932, 522202.79400032595731318 173198.00700012888410129, 522254.90200012183049694 173246.78400035362574272, 522247.99999954056693241 173275.99999991207732819, 522351.52999947551870719 173114.53000002191402018, 522385.52099977800389752 173176.06999960099346936, 522458.39900053024757653 173112.304999606218189, 522491.99600005336105824 173135.99800021294504404, 522510.99999981862492859 173070.00000044994521886, 522794.00100029003806412 173193.99999981702421792, 523120.9699999742442742 173337.81599966363864951, 523589.20999973284779117 173645.84300032950704917, 523650.61600000003818423 173521.92899976694025099, 523638.27799960237462074 173435.9840001069533173, 523617.0039999065338634 173299.99999996667611413, 523587.57900038064690307 173111.90900036133825779)))</t>
  </si>
  <si>
    <t>E01004573</t>
  </si>
  <si>
    <t>Wandsworth 023D</t>
  </si>
  <si>
    <t>E02000945</t>
  </si>
  <si>
    <t>Wandsworth 023</t>
  </si>
  <si>
    <t>MultiPolygon (((519034.43599990720394999 165740.60400036993087269, 518961.00000005727633834 165683.00000029659713618, 519247.97400033514713868 165435.09099969052476808, 519286.53300008695805445 165459.46699978987453505, 519313.92400036315666512 165432.07600043245474808, 519124.18400039826519787 165278.90299980092095211, 519095.55099973391043022 165204.35199978965101764, 519266.99999954487429932 165267.00000035073026083, 519540.58099973667412996 165491.80800008206279017, 519739.92600016877986491 165250.38299980136798695, 520013.86699986067833379 165484.47600003605475649, 520236.3439999352558516 165176.49999976067920215, 520336.59400000004097819 165105.42200003535253927, 520266.00000035791890696 165022.32800019500427879, 520238.09400031209224835 164924.20300006281468086, 520113.71900003927294165 164849.87499990008655004, 520076.50000036600977182 164727.18700013752095401, 520019.85800025309436023 164680.89999960342538543, 519841.90599992370698601 164599.92199984603212215, 519693.47399994044099003 164406.20699981262441725, 519625.64100002142367885 164342.69600039388751611, 519552.1880000471137464 164294.78099999745609239, 519363.62499961646972224 164430.54699959448771551, 519344.21900021994952112 164514.85899991763290018, 519447.46900040586479008 164695.06199991283938289, 519369.51299968751845881 164717.46499978681094944, 519291.00100008846493438 164726.00000025989720598, 519126.80000019515864551 164722.01000013560405932, 519035.34199978207470849 164722.98000037073506974, 518983.34400020202156156 164720.19200017984258011, 518822.00700035330373794 164853.18899977902765386, 518914.00000030413502827 164959.99999959781416692, 518927.99999964417656884 165174.9999997001432348, 518902.8499996091122739 165196.99999997555278242, 518972.96099966170731932 165223.65899992082268, 518947.40599995944648981 165253.40299969050101936, 518840.61000019637867808 165346.36199973910697736, 518846.27100028155837208 165534.38200035729096271, 518837.05499985080678016 165615.55000020810985006, 518723.00000025168992579 165511.00000039848964661, 518700.17600016103824601 165528.37799997776164673, 518738.15799985162448138 165565.54600019651115872, 518525.55499983497429639 165700.73899986964534037, 518538.96599962044274434 165798.80599984756554477, 518499.14000000001396984 165818.22599972484749742, 518507.83899967366596684 165848.67599985131528229, 518697.48999979783548042 165762.00200018496252596, 518738.09400041005574167 165753.65600023031583987, 518918.19600015255855396 165720.17100015899632126, 518945.91000003623776138 165715.0090002127981279, 518998.59400020499015227 165763.03100014931987971, 519072.44599964050576091 165944.08600000251317397, 519121.00000038981670514 165931.57200024224584922, 519107.00000013102544472 165881.00000001909211278, 519048.23000044183572754 165867.36499989140429534, 519077.15099997125798836 165828.98799995830631815, 519034.43599990720394999 165740.60400036993087269)))</t>
  </si>
  <si>
    <t>E01003000</t>
  </si>
  <si>
    <t>Kingston upon Thames 017C</t>
  </si>
  <si>
    <t>E02000614</t>
  </si>
  <si>
    <t>Kingston upon Thames 017</t>
  </si>
  <si>
    <t>MultiPolygon (((519673.99999995203688741 165821.99999991859658621, 519710.00000007811468095 165799.00099997397046536, 519722.00000012014061213 165835.99999979214044288, 519741.00000009889481589 165808.00000004505272955, 519699.78200007026316598 165720.95699986250838265, 519778.00000014074612409 165685.99999979336280376, 519824.99999986658804119 165732.00000012991949916, 519802.80399999913061038 165777.23100009691552259, 519881.14000013860641047 165668.96599993851850741, 520013.86699999996926636 165484.47600008131121285, 519739.92599995248019695 165250.38300004630582407, 519540.58100009633926675 165491.80800004274351522, 519267.00000001856824383 165266.99999981783912517, 519095.5509998130146414 165204.35200014669680968, 519124.18400004634167999 165278.90299974958179519, 519313.92400011932477355 165432.0759997574496083, 519286.5330002288101241 165459.46700017439434305, 519247.97400001564528793 165435.09100022731581703, 518961 165683.00000004607136361, 519034.43599976261612028 165740.60399977362249047, 519174.9490000472869724 165672.45899992063641548, 519320.85499989084200934 165673.81399974069790915, 519371.51500009803567082 165781.90199979557655752, 519337.31200020230608061 165954.64699978669523261, 519368.18999978591455147 166029.31900012955884449, 519418.26500023977132514 166018.50800015847198665, 519465.90699983260128647 165823.19900012030848302, 519533.97799998137634248 165816.85699994384776801, 519578.91800014401087537 165846.96499998716171831, 519509.8090000037336722 165998.70500010257819667, 519535.28300020046299323 166015.0640000800776761, 519500.99999978503910825 166058.99999995878897607, 519529.00000005855690688 166078.9999998533166945, 519660.00000007852213457 165908.00000004423782229, 519673.99999995203688741 165821.99999991859658621)))</t>
  </si>
  <si>
    <t>E01003001</t>
  </si>
  <si>
    <t>Kingston upon Thames 017D</t>
  </si>
  <si>
    <t>MultiPolygon (((518203.73899990355130285 165759.21900014963466674, 518239.06100008671637625 165748.61899982759496197, 518275.99999985948670655 165901.12500007433118299, 518472.82900013530161232 165856.79400004423223436, 518507.83899992203805596 165848.67599986956338398, 518499.13999993790639564 165818.22599996914505027, 518538.96600000001490116 165798.80599991377675906, 518525.55500010965624824 165700.73899995474494062, 518470.84800014243228361 165697.7000000010302756, 518462.60700004053069279 165619.29200003977166489, 518503.00000008806819096 165587.00000007581547834, 518504.99999999452847987 165494.71600007443339564, 518507.97799985134042799 165292.99999995838152245, 518500.00000005058245733 165286.00000010794610716, 518264.31600010651163757 165327.23699991049943492, 518270.68099996267119423 165354.20000015405821614, 518161.99999985750764608 165383.00000001609441824, 518158.0000000445288606 165346.99999992191442288, 518129.99999993178062141 165346.99999992191442288, 518127.12399991054553539 165430.91100015965639614, 518061.94899999408517033 165400.3739999811805319, 517920.87400008935946971 165430.40499991559772752, 517829.59399986395146698 165447.01599986961809918, 517866.98500005149981007 165653.36499997042119503, 517862.50100017513614148 165726.45299994581728242, 517897.46800004516262561 165729.49100016601732932, 517827.91799999994691461 165916.80300017274566926, 517857.94099993334384635 165926.87299989207531326, 517890.47400001774076372 165903.39300001590163447, 518037.2809999622986652 165801.10900012659840286, 518203.73899990355130285 165759.21900014963466674)))</t>
  </si>
  <si>
    <t>E01003002</t>
  </si>
  <si>
    <t>Kingston upon Thames 016E</t>
  </si>
  <si>
    <t>E02000613</t>
  </si>
  <si>
    <t>Kingston upon Thames 016</t>
  </si>
  <si>
    <t>MultiPolygon (((519501.3349998623598367 166165.50299987103790045, 519686.48500011919531971 165948.51699998322874308, 519724.98199990077409893 165894.47100008596316911, 519802.80399983160896227 165777.2310000333818607, 519825 165731.99999981670407578, 519778.00000017799902707 165685.99999981428845786, 519699.78200001973891631 165720.95699986291583627, 519741.00000013306271285 165807.99999994103563949, 519722.00000000314321369 165836.00000002843444236, 519710.00000019156141207 165799.00100004699197598, 519673.99999996623955667 165822.00000018239370547, 519660.00000012019881979 165908.00000008381903172, 519529.00000003591412678 166079.00000006705522537, 519500.99999994848622009 166059.00000011757947505, 519535.28299991553649306 166015.0639998629631009, 519509.80900003889109939 165998.70500012661796063, 519578.9180000422638841 165846.96500017103971913, 519533.97800010949140415 165816.8569999152678065, 519465.90699996548937634 165823.19899998148321174, 519418.26500011619646102 166018.50799982825992629, 519368.19000002869870514 166029.31900008005322888, 519337.31199992372421548 165954.64700003553298302, 519371.51499995263293386 165781.90199999354081228, 519320.85499989753589034 165673.81400005760951899, 519174.94900018360931426 165672.45899984549032524, 519034.43599999998696148 165740.60399994210456498, 519077.15099984995322302 165828.9880001344718039, 519048.22999981761677191 165867.3649998111941386, 519106.99999987613409758 165880.99999981600558385, 519121.00000011746305972 165931.57199982056044973, 519072.44600010383874178 165944.08599983746535145, 519074.62999995646532625 165949.80499989632517099, 519153.06000012863660231 166269.68099991546478122, 519158.68900001002475619 166278.22400012263096869, 519176.09400011342950165 166304.64100015448639169, 519282.50000003579771146 166261.17199988954234868, 519472.24199998279800639 166181.08799989958060905, 519501.3349998623598367 166165.50299987103790045)))</t>
  </si>
  <si>
    <t>E01003003</t>
  </si>
  <si>
    <t>Kingston upon Thames 017E</t>
  </si>
  <si>
    <t>MultiPolygon (((518700.1760001519578509 165528.37800011323997751, 518722.99999973428202793 165511.00000004196772352, 518837.05499995459103957 165615.54999994160607457, 518846.27100023155799136 165534.38200004151440226, 518840.60999973129946738 165346.36200000214739703, 518947.40600024443119764 165253.40299982752185315, 518972.96100000001024455 165223.65900003197020851, 518902.8500001112697646 165196.99999979374115355, 518705.31799972924636677 165229.25400024646660313, 518646.69599987351102754 165146.4779999301827047, 518697.4209998247679323 165068.98500002655782737, 518629.46200017584487796 165006.67000019631814212, 518643.00100020685931668 165055.00099977615172975, 518598.74299983156379312 165090.61000000580679625, 518560.99999988981289789 165051.99999993294477463, 518511.9710000028135255 165087.04299987730337307, 518493.56399999849963933 165063.26700005403836258, 518466.31499987078132108 165043.05399987555574626, 518445.00000000116415322 165058.99999992622178979, 518390.93399976723594591 164996.43500009621493518, 518321.90000011934898794 164998.56199978635413572, 518287.81400019599823281 165015.28599992420640774, 518299.11899996531428769 165095.23000022122869268, 518203.269000057305675 165150.25100023436243646, 518164.64499994047218934 165134.39699976588599384, 518172.26200006512226537 165160.58000015848665498, 518106.05900004069553688 165207.60900004737777635, 518104.63499988819239661 165220.77300007871235721, 517873.625 165282.56200006339349784, 517920.87400010856799781 165430.40499989947420545, 518061.9489999731304124 165400.37399975239532068, 518127.12399991054553539 165430.91100007487693802, 518129.99999975389800966 165347.00000019939034246, 518157.99999972700607032 165347.00000019939034246, 518162.0000002728193067 165383.00000016484409571, 518270.68099979474209249 165354.20000019250437617, 518264.31599991075927392 165327.23700002048281021, 518499.99999994836980477 165286.00000025797635317, 518507.97800002864096314 165293.00000025125336833, 518504.99999994353856891 165494.71599979375605471, 518502.99999994545942172 165586.99999996900442056, 518462.60700000624638051 165619.29200006992323324, 518470.84799973451299593 165697.69999986272887327, 518525.55500025360379368 165700.73899990378413349, 518738.15800013748230413 165565.54600005556130782, 518700.1760001519578509 165528.37800011323997751)))</t>
  </si>
  <si>
    <t>E01003004</t>
  </si>
  <si>
    <t>Kingston upon Thames 018D</t>
  </si>
  <si>
    <t>E02000615</t>
  </si>
  <si>
    <t>Kingston upon Thames 018</t>
  </si>
  <si>
    <t>MultiPolygon (((518927.99999998795101419 165174.99999990069773048, 518914.00000015064142644 164959.99999977694824338, 518822.00700017058989033 164853.1889998548431322, 518983.34400000004097819 164720.19200011366046965, 518785.38199988001724705 164708.67800016034743749, 518471.05499981646426022 164777.5100000960228499, 518359.2980000032694079 164866.49900013228761964, 518320.38600021199090406 164909.67400004738010466, 518151.12499997159466147 165090.85899994013016112, 518077.04599999997299165 165097.07099980386556126, 518081.86999994522193447 165117.47900004190159962, 518106.0590002165408805 165207.60899980552494526, 518172.26200003817211837 165160.5799998189904727, 518164.64499991806223989 165134.39699984629987739, 518203.26899995614076033 165150.2509999077883549, 518299.11899985396303236 165095.22999997140141204, 518287.81399992300430313 165015.28599988907808438, 518321.90000002249144018 164998.56199996880604886, 518390.93400018790271133 164996.43500012962613255, 518444.99999993550591171 165059.00000014796387404, 518466.31500010134186596 165043.05399996391497552, 518493.56400001666042954 165063.26700021798023954, 518511.97099985438399017 165087.04300003754906356, 518561.00000014138640836 165052.00000000273576006, 518598.74300012865569443 165090.61000000243075192, 518643.00099987105932087 165055.00100010007736273, 518629.46199984016129747 165006.67000017175450921, 518697.42100007063709199 165068.98500015251920559, 518646.69599992770235986 165146.47800022011506371, 518705.31800005154218525 165229.25399983968236484, 518902.84999983513262123 165197.00000003349850886, 518927.99999998795101419 165174.99999990069773048)))</t>
  </si>
  <si>
    <t>E01003005</t>
  </si>
  <si>
    <t>Kingston upon Thames 018E</t>
  </si>
  <si>
    <t>MultiPolygon (((521408.4810002674930729 167435.93099996948149055, 521411.29799977736547589 167336.90100023409468122, 521311.72100020752986893 167343.50200026738457382, 521230.93600025726482272 167305.33299971293308772, 521319.11900015245191753 167232.44300025870325044, 521397.45900019025430083 167227.66699999538832344, 521391.57700001518242061 167171.36500029568560421, 521270.96600009000394493 167178.62300005095312372, 521082.56999995524529368 167152.3719998111773748, 520987.65599993779323995 167143.73400019141263328, 520938.52599998144432902 167189.51700018142582849, 520889.34999980591237545 167222.3480001819843892, 520824.96799988253042102 167179.71500018780352548, 520479.96800019347574562 166909.76799995417241007, 520477.9369998131878674 166912.97699987303349189, 520470.37499980302527547 167002.05600000568665564, 520398.65599999995902181 167209.03199994351598434, 520528.56700023240409791 167226.83399996531079523, 520590.3060002017300576 167306.12900016357889399, 520771.06700001831632107 167400.21000015095341951, 520754.3769997245981358 167472.33600020897574723, 520732.31899979524314404 167554.13699977481155656, 520809.26600026473170146 167545.12699994750437327, 520802.73200011299923062 167454.28899985531461425, 520839.92200002120807767 167407.17200021998723969, 521119.10599974461365491 167578.71700020911521278, 521326.48400019208202139 167731.92600004584528506, 521459.37499992863740772 167725.86499995953636244, 521587.99900019593769684 167646.00000012229429558, 521618.99899999995250255 167632.00000007299240679, 521609.99999973428202793 167591.00000023376196623, 521537.03300029778620228 167539.37900014570914209, 521550.19299981935182586 167510.83599988688365556, 521544.75500008882954717 167471.23199982923688367, 521408.4810002674930729 167435.93099996948149055)))</t>
  </si>
  <si>
    <t>E01002981</t>
  </si>
  <si>
    <t>Kingston upon Thames 012D</t>
  </si>
  <si>
    <t>E02000609</t>
  </si>
  <si>
    <t>Kingston upon Thames 012</t>
  </si>
  <si>
    <t>MultiPolygon (((521802.56999984319554642 167614.44100023215287365, 521823.3540001061046496 167567.23599991173250601, 521874.92399978113826364 167585.18500020261853933, 521905.68299985688645393 167532.38399988057790324, 521907.26099998113932088 167466.43500007523107342, 521829.74299999151844531 167432.17799999073031358, 521835.34899990749545395 167387.91100015310803428, 521834.90700004313839599 167300.37800021300790831, 521788.97800022445153445 167272.10099981885286979, 521806.75800018571317196 167198.41900001681642607, 521845.84899978624889627 167196.08599987541674636, 521825.15299992234213278 167116.08600020423182286, 521842.90600006689783186 167006.01500003965338692, 521700.11200022289995104 167006.90699989191489294, 521695.81099993572570384 166959.78499977319734171, 521651.69199998310068622 166955.42399999999906868, 521646.60599993576761335 167160.93800007423851639, 521537.27500015700934455 167165.35700002306839451, 521526.02200005180202425 167165.81200020835967734, 521391.57700011547422037 167171.36500014603370801, 521397.45899997279047966 167227.66699992271605879, 521319.11900001158937812 167232.44300022389506921, 521230.93599987542256713 167305.33299979736329988, 521311.72099978709593415 167343.50199980262550525, 521411.29799992544576526 167336.90100000405800529, 521408.48099999129772186 167435.93099997664103284, 521544.75499996729195118 167471.23199986020335928, 521550.19300016958732158 167510.83599982172017917, 521537.03300002048490569 167539.3789997625281103, 521609.99999994307290763 167591.00000010550138541, 521618.99900004675146192 167632.00000002107117325, 521641.77199993934482336 167653.65500017206068151, 521769.99999976583058015 167692.00000001463922672, 521931.69299992854939774 167815.23000019279425032, 522052.37299985479330644 167916.16899999999441206, 522087.74899981642374769 167868.1189999530906789, 522102.22500012454111129 167841.97099991075810976, 522027.89000020013190806 167806.44999999037827365, 521995.66300001856870949 167740.47799994971137494, 521897.0259999938425608 167726.60100013046758249, 521902.00000023207394406 167651.50000013905810192, 521802.56999984319554642 167614.44100023215287365)))</t>
  </si>
  <si>
    <t>E01002982</t>
  </si>
  <si>
    <t>Kingston upon Thames 015D</t>
  </si>
  <si>
    <t>E02000612</t>
  </si>
  <si>
    <t>Kingston upon Thames 015</t>
  </si>
  <si>
    <t>MultiPolygon (((521268.47299996117362753 168101.26999984672875144, 521390.59399983787443489 168060.90600005141459405, 521458.19799996295478195 168074.20700014891917817, 521493.9890001121093519 168079.44099984169588424, 521512.59000001230742782 168081.67500018866849132, 521493.36999992467463017 167979.26799995740293525, 521513.8239999589859508 167959.53000006126239896, 521525.93799980863695964 167867.98699987490545027, 521660.39200002601137385 167898.6519998365547508, 521730.26000000000931323 167861.84499989286996424, 521692.41799985076067969 167799.80999984970549121, 521629.85000001621665433 167791.91200014797504991, 521596.29199987510219216 167750.23299984948243946, 521641.77200017857830971 167653.65500017523299903, 521618.99900020373752341 167631.99999978535925038, 521587.99899985291995108 167645.99999982409644872, 521459.3750000677537173 167725.8650000014458783, 521326.48400000756373629 167731.92599989075097255, 521119.10600003984291106 167578.71699998050462455, 520839.92199990677181631 167407.17200002112076618, 520802.73199999995995313 167454.28900005691684783, 520809.26600021310150623 167545.12700012340792455, 521026.45499994797864929 167673.95300020280410536, 521059.65799987741047516 167622.40099999171798117, 521092.2539999766740948 167647.75299991827341728, 521050.92299983603879809 167689.54299981132498942, 521112.53899977175751701 167749.2779998613987118, 521082.51699978462420404 167789.36400003702146932, 521006.35200016078306362 167810.41300000809133053, 520965.90800014795968309 167887.96700017401599325, 520989.53100023110164329 167906.2030001831590198, 520968.01500011479947716 167935.59499996452359483, 521005.55800001916941255 167983.355999849998625, 521114.56299989559920505 168148.14099997884477489, 521250.63199980871286243 168107.16699980024714023, 521268.47299996117362753 168101.26999984672875144)))</t>
  </si>
  <si>
    <t>E01002984</t>
  </si>
  <si>
    <t>Kingston upon Thames 012E</t>
  </si>
  <si>
    <t>MultiPolygon (((522052.37299991684267297 167916.16900013035046868, 521931.69299986812984571 167815.23000003828201443, 521770.00000010471558198 167692.00000009895302355, 521641.77200011740205809 167653.65500010605319403, 521596.29199988016625866 167750.23300007509533316, 521629.84999995824182406 167791.91199991022585891, 521692.4179998625186272 167799.81000010235584341, 521730.25999985955422744 167861.84500000532716513, 521660.39199996634852141 167898.65200010046828538, 521525.9379998990916647 167867.98700007007573731, 521513.82399999047629535 167959.52999988928786479, 521493.36999999999534339 167979.26800013065803796, 521512.58999995747581124 168081.67500001273583621, 521833.99199988617328927 168118.75899996780208312, 522034.93999990215525031 168141.40699987960397266, 522063.875 168144.64099989391979761, 522014.68800004327204078 167969.67199991672532633, 522052.37299991684267297 167916.16900013035046868)))</t>
  </si>
  <si>
    <t>E01002985</t>
  </si>
  <si>
    <t>Kingston upon Thames 007E</t>
  </si>
  <si>
    <t>MultiPolygon (((521041.04999989626230672 166996.98600017061107792, 521013.99999997392296791 166967.00000004685716704, 520986.65299998153932393 166992.27899990437435918, 521040.92100015818141401 166935.88699984853155911, 521200.54599983006482944 166790.53099982853746042, 521058.91000009514391422 166722.96200013329507783, 521041.19799984851852059 166674.08800000365590677, 521001.00000008841743693 166607.99899983094655909, 521058.90500000026077032 166507.04500010597985238, 521028.36199999926611781 166489.62599999998928979, 520985.9999999669380486 166557.99999995782854967, 520887.98700017191004008 166497.78399998709210195, 520806.39099985064240173 166575.7710000789957121, 520624.3740001053083688 166599.03200001822551712, 520522.29400010494282469 166591.24899982349597849, 520479.96800016990164295 166909.7680001629923936, 520824.96800003357930109 167179.71500017144717276, 520889.35000011092051864 167222.34799999999813735, 520938.52600003912812099 167189.51700008363695815, 520907.38600013422546908 167155.07000011432683095, 521041.04999989626230672 166996.98600017061107792)))</t>
  </si>
  <si>
    <t>E01002975</t>
  </si>
  <si>
    <t>Kingston upon Thames 012A</t>
  </si>
  <si>
    <t>MultiPolygon (((518070.33500025392277166 164531.16299990395782515, 518008.10599989368347451 164411.96199993544723839, 517972.9360000382293947 164422.68100001907441765, 517984.03700020653195679 164383.75500007643131539, 517950.74600021349033341 164372.23099999997066334, 517954.82299988792510703 164425.260999915888533, 517753.53999987832503393 164525.18199979327619076, 517743.4429999073036015 164500.92200006381608546, 517685.9999999554711394 164375.99900006171083078, 517643.26099977793637663 164404.78199977273470722, 517597.83999992010649294 164425.70899986047879793, 517580.27300022286362946 164511.74600019323406741, 517626.96200025489088148 164567.39400010439567268, 517507.29599993006559089 164630.08799974620342255, 517354.9999999106512405 164732.00000014383113012, 517186.40300019329879433 164758.41300004959339276, 517186.6879998569493182 164763.11199983666301705, 517186.9000001234235242 164875.44799977983348072, 517194.81299989437684417 164917.96900024104979821, 517235.50000012904638425 165082.67200016413698904, 517310.59400013717822731 165200.93699997011572123, 517423.1559999588644132 165301.79699973497190513, 517538.90600017784163356 165317.09399977294378914, 517676.98399992869235575 165358.52399995288578793, 517814.09399994317209348 165400.95299989290651865, 517829.59399999806191772 165447.01600000000325963, 517920.87399985868250951 165430.4050000645511318, 517873.62499976152321324 165282.56199981700046919, 518104.63499980675987899 165220.77299977655638941, 518081.87000021745916456 165117.47899998410139233, 518077.04600024793762714 165097.0710001380648464, 518030.03000010398682207 164882.2680001693952363, 518009.75899987755110487 164794.95600012506474741, 518048.29000021092360839 164794.82000005553709343, 518065.74900013743899763 164730.92599973687902093, 518024.37999991758260876 164637.08199976637843065, 517988.99999997054692358 164634.00000003961031325, 517985.00000004307366908 164609.00000008981442079, 517975.99999980319989845 164543.99999979039421305, 518070.33500025392277166 164531.16299990395782515)))</t>
  </si>
  <si>
    <t>E01002941</t>
  </si>
  <si>
    <t>Kingston upon Thames 018B</t>
  </si>
  <si>
    <t>MultiPolygon (((520277.99999990628566593 166190.00000016123522073, 520239.99999978800769895 166149, 520173.2730002065654844 166157.80900003755232319, 520041.84999984770547599 166207.13400014754734002, 520058.82500000577419996 166257.10299995623063296, 519988.28599983395542949 166267.73499985956004821, 520021.50299983925651759 166310.14999983637244441, 519976.1590000968426466 166332.92699981143232435, 520011.67199989961227402 166440.35800021188333631, 520066.2909998603281565 166470.73400000244146213, 520127.61499993415782228 166579.30700011900626123, 520152.84800016967346892 166617.16599989059614018, 520170.47199978766730055 166688.71799979713978246, 520115.39900001155911013 166727.08299997181165963, 520330.2519997920608148 166941.72399998130276799, 520345.08099981356645003 166971.0429998351901304, 520470.37500010500662029 167002.05599999998230487, 520477.93699989607557654 166912.97700019364128821, 520479.96799997979542241 166909.76800015103071928, 520522.2940001975512132 166591.24900016054743901, 520607.67399990314152092 166492.15199987613596022, 520532.27099981851642951 166406.92399982130154967, 520526.25600002234568819 166354.95400020229863003, 520303.33199984970269725 166249.02699980293982662, 520264.13900006242329255 166192.62900017845095135, 520277.99999990628566593 166190.00000016123522073)))</t>
  </si>
  <si>
    <t>E01002915</t>
  </si>
  <si>
    <t>Kingston upon Thames 014A</t>
  </si>
  <si>
    <t>E02000611</t>
  </si>
  <si>
    <t>Kingston upon Thames 014</t>
  </si>
  <si>
    <t>MultiPolygon (((520054.24899996159365401 167126.91199988013249822, 520104.56799991708248854 167017.62600018398370594, 520252.40999999718042091 167081.04300004240940325, 520281.33799983147764578 167042.65599985979497433, 520311.3000001641921699 167062.29999979949207045, 520275.79499997588573024 167030.10999991613789462, 520330.25200003536883742 166941.72399984637740999, 520115.39899989758851007 166727.08299988604267128, 520170.47199993004323915 166688.71800006501143798, 520152.84799981379183009 166617.16600000887410715, 520127.61499991617165506 166579.30700004476238973, 520066.29099985049106181 166470.73400003169081174, 520011.67200016614515334 166440.35800004671909846, 519976.15899992332560942 166332.92699999999604188, 519858.0259998245164752 166334.11000014032470062, 519888.0079998706933111 166490.10200020321644843, 519947.2119998536654748 166524.00600014868541621, 519932.00000012037344277 166583.00000017927959561, 519881.28500000102212653 166614.74000016480567865, 519787.94600008276756853 166534.48899986979085952, 519745.11100000754231587 166573.42099985820823349, 519732.35900013882201165 166562.51900013349950314, 519733.20799990376690403 166565.53000005625654012, 519739.36499993014149368 166656.25100008942536078, 519791.68399999558459967 166688.79199993540532887, 519734.64200017042458057 166728.15999993763398379, 519998.37500006868503988 166922.63599989327485673, 519964.55600017443066463 166954.76800001537776552, 519768.22699994861613959 166800.25099997012875974, 519702.08899981959257275 166834.65800006926292554, 519672.63099996466189623 166941.38499996563768946, 519715.58799981483025476 166955.09499981426051818, 519705.44399997446453199 167002.94899997682659887, 519825.68699987628497183 167093.45900015658116899, 519829.98100019863341004 167178.86699999999837019, 519934.99999986233888194 167143.00000009126961231, 520054.24899996159365401 167126.91199988013249822)))</t>
  </si>
  <si>
    <t>E01002917</t>
  </si>
  <si>
    <t>Kingston upon Thames 014C</t>
  </si>
  <si>
    <t>MultiPolygon (((520995.95099972997559234 166163.0549997991474811, 521080.99999996263068169 166046.65600024646846578, 521110.59900000004563481 165939.90599996130913496, 521024.81300002435455099 165676.89099988763337024, 520910.46800004038959742 165551.38100018221302889, 520619.71499991184100509 165880.73399980098474771, 520661.56400003854651004 165960.01699993602233008, 520525.54099997068988159 166124.54000011773314327, 520279.85799976828275248 165956.17099971530842595, 520273.99999979638960212 165988.99999996498809196, 520272.70700011297594756 165889.46600027161184698, 520201.64199975057272241 165890.30900001985719427, 520160.57599987922003493 165852.30700028757564723, 520082.33399994706269354 165920.28300019496236928, 520105.55699977016774938 165942.48700018526869826, 520000.0000002053566277 166066.99999985276372172, 520044.08099975757068023 166094.02700007901876234, 519981.99500020343111828 166071.61100007835193537, 519960.31299999996554106 166093.02100020344369113, 520041.84999993059318513 166207.13400015429942869, 520173.27299995784414932 166157.80899971612961963, 520239.99999977159313858 166149.00000025096233003, 520277.99999973166268319 166190.00000016248668544, 520264.13899994338862598 166192.62900009576696903, 520303.33200004859827459 166249.02699987078085542, 520526.25599991885246709 166354.95399985523545183, 520532.27100012631854042 166406.92400012983125634, 520607.67399988707620651 166492.15199981778278016, 520756.29800003964919597 166359.35799978853901848, 520827.12499990209471434 166262.24999985576141626, 520995.95099972997559234 166163.0549997991474811)))</t>
  </si>
  <si>
    <t>E01002918</t>
  </si>
  <si>
    <t>Kingston upon Thames 017A</t>
  </si>
  <si>
    <t>MultiPolygon (((520058.82500031380914152 166257.1030000695027411, 520041.85000011022202671 166207.13399967350414954, 519960.31299984385259449 166093.02100020050420426, 519981.99500028230249882 166071.61099977308185771, 520044.08100006851600483 166094.02699997706804425, 519999.99999991117510945 166067.00000024671317078, 520105.55700027040438727 165942.48700035217916593, 520082.33400016580708325 165920.28299998067086563, 520160.57600007840665057 165852.30699969150009565, 520201.64200024568708614 165890.30900008685421199, 520272.70699973532464355 165889.46599965635687113, 520273.99999974365346134 165988.99999990354990587, 520279.85800024529453367 165956.1710000261082314, 520525.54099967872025445 166124.54000028903828934, 520661.56400012783706188 165960.01700027007609606, 520619.71499970863806084 165880.73399983084527776, 520910.46799999999348074 165551.38099973642965779, 520866.64400033745914698 165484.9220001692592632, 520616.58000006596557796 165286.30499973718542606, 520336.59399972663959488 165105.42200011198292486, 520236.34399997885338962 165176.50000026266206987, 520013.86700016498798504 165484.47599971084855497, 519881.13999984943075106 165668.96600005470099859, 519802.80400019721128047 165777.23100034752860665, 519724.98200012545567006 165894.47099981518113054, 519686.48500019445782527 165948.51700033238739707, 519501.3349999999627471 166165.50299987968173809, 519518.00000010296935216 166189.99999994781683199, 519638.99999972298974171 166189.00000025957706384, 519661.20100005035055801 166224.88399977644439787, 519667.2989998571574688 166292.97500011429656297, 519712.08199977874755859 166281.68499974478618242, 519677.40200013457797468 166275.03399978345260024, 519688.88099976314697415 166255.68899992411024868, 519858.02599970524897799 166334.10999988802359439, 519976.15899986959993839 166332.92700032447464764, 520021.50300029834033921 166310.14999997374252416, 519988.28599987673806027 166267.73500014815363102, 520058.82500031380914152 166257.1030000695027411)))</t>
  </si>
  <si>
    <t>E01002919</t>
  </si>
  <si>
    <t>Kingston upon Thames 017B</t>
  </si>
  <si>
    <t>MultiPolygon (((520398.65599998243851587 167209.03200026371632703, 520470.375 167002.05599975277436897, 520345.0810000422061421 166971.04299993647146039, 520330.25200014002621174 166941.72399976328597404, 520275.79500026575988159 167030.10999996430473402, 520311.29999998392304406 167062.30000006506452337, 520281.33799982402706519 167042.65600026684114709, 520252.41000005480600521 167081.04299973274464719, 520104.56799979496281594 167017.62600006820866838, 520054.24900018301559612 167126.91200002410914749, 519935.00000024936161935 167142.9999998846615199, 519829.98100006981985644 167178.86700017654220574, 519825.68700027838349342 167093.45899977683438919, 519705.44400016230065376 167002.94900006480747834, 519715.58799986907979473 166955.09499996807426214, 519672.63099989999318495 166941.38500013205339201, 519656.10700016823830083 167003.57100003981031477, 519391.33800015400629491 166804.70799977652495727, 519354.71799999999348074 166851.78999981464585289, 519620.09099997917655855 167152.538999997836072, 519629.41099997021956369 167254.1210001201252453, 519645.30100027821026742 167385.76200008450541645, 519646.55100023146951571 167395.53499977034516633, 519667.0309997521690093 167535.65599981517880224, 519717.54399984423071146 167613.84000009109149687, 519933.15400014957413077 167846.77000020031118765, 519959.99999987339833751 167853.43400019773980603, 520034.43799991975538433 167866.48400022351415828, 520144.31299983221106231 167574.37499983809539117, 520275.06700004573212937 167392.05000024414039217, 520292.38900022255256772 167367.00500003714114428, 520398.65599998243851587 167209.03200026371632703)))</t>
  </si>
  <si>
    <t>E01002920</t>
  </si>
  <si>
    <t>Kingston upon Thames 014D</t>
  </si>
  <si>
    <t>MultiPolygon (((522442.08100012911017984 168173.62800008675549179, 522385.49999979580752552 167945.04599971705465578, 522351.79900026950053871 167986.74500010765041225, 522297.36499985819682479 167943.51800018173526041, 522321.0020003016688861 167903.99999997962731868, 522268.02699980075703934 167851.95699979990604334, 522353.12899989390280098 167743.05700013847672381, 522442.52400009031407535 167629.53900030703516677, 522475.66899976192507893 167667.81299999411567114, 522574.25300015899119899 167644.96200010136817582, 522577.00099994492484257 167587.99999994930112734, 522527.79600021842634305 167543.68999993070610799, 522494.46099985903128982 167367.14999999999417923, 522491.43800001661293209 167369.09499975072685629, 522418.68799999525072053 167569.82799997960682958, 522213.68800005770754069 167656.36100010716472752, 522102.22499999962747097 167841.9709999545593746, 522087.74899988080142066 167868.11900000553578138, 522052.37300001044059172 167916.16900014359271154, 522014.68800005508819595 167969.67199997440911829, 522063.87499990762444213 168144.64099984194035642, 522051.62499998655403033 168292.85900031315395609, 522161.87200005439808592 168442.91699986477033235, 522195.40600006544264033 168664.67199999999138527, 522395.53900017106207088 168649.88799994764849544, 522391.99999983340967447 168376.99999981967266649, 522309.00000030174851418 168214.00000007502967492, 522442.08100012911017984 168173.62800008675549179)))</t>
  </si>
  <si>
    <t>E01003469</t>
  </si>
  <si>
    <t>Merton 020D</t>
  </si>
  <si>
    <t>E02000708</t>
  </si>
  <si>
    <t>Merton 020</t>
  </si>
  <si>
    <t>MultiPolygon (((522429.0000001042499207 168390.00000007229391485, 522539.00000013038516045 168359.00000024092150852, 522579.99900001141941175 168446.00000003530294634, 522707.14299989416031167 168398.89000012242468074, 522706.13900020875735208 168250.48100022118887864, 522754.95100023614941165 168235.27700008492683992, 522727.99999979807762429 168129.00000013608951122, 522707.15199992107227445 168042.8650001642818097, 522660.41700002399738878 168055.16399990525678732, 522631.80300014122622088 167992.12899991130689159, 522593.64499991090269759 167823.47100026594125666, 522565.94600000034552068 167730.11300025382661261, 522729.80700022674864158 167720.59099997204612009, 522761.08299977768911049 167689.57700009876862168, 522607.41400017839623615 167546.1600001999468077, 522527.79599979391787201 167543.69000000000232831, 522577.0009998909663409 167587.99999983175075613, 522574.25299996545072645 167644.96199990756576881, 522475.66899980389280245 167667.81300024656229652, 522442.52400019182823598 167629.53900022225570865, 522353.12899986881529912 167743.05700026534032077, 522268.02700022229691967 167851.95699976570904255, 522321.00199998408788815 167904.00000005756737664, 522297.36500005883863196 167943.51799993222812191, 522351.79899976117303595 167986.74499984225258231, 522385.49999993055826053 167945.04600007922272198, 522442.08099997258977965 168173.62799981309217401, 522309.00000002549495548 168214.00000003052991815, 522392.00000002008164302 168376.99999989321804605, 522395.53900009987410158 168649.8879999999771826, 522467.63800011150306091 168600.45799978286959231, 522429.0000001042499207 168390.00000007229391485)))</t>
  </si>
  <si>
    <t>E01003470</t>
  </si>
  <si>
    <t>Merton 020E</t>
  </si>
  <si>
    <t>MultiPolygon (((523288.59700022189645097 169052.68699999997625127, 523336.50800012791296467 168587.778999928093981, 523352.00099982949905097 168569.99999982287408784, 523276.61700010910863057 168560.33600005251355469, 523273.99999984912574291 168590.00000015142722987, 523237.32600013300543651 168593.94299995788605884, 522988.05600009160116315 168538.2299998918606434, 522966.09799997310619801 168586.49700022916658781, 522942.90799989708466455 168622.43299985569319688, 522875.82299991685431451 168598.91099986279732548, 522912.14399985288036987 168510.34000017761718482, 522891.8190000313334167 168421.07300012928317301, 522917.69200013868976384 168352.62699989145039581, 522884.68399988679448143 168331.31299980409676209, 522899.00000014458782971 168295.99999987598857842, 522863.45400019135558978 168239.92000012099742889, 522804.40999982057837769 168120.56600017999880947, 522774.40200001705670729 168149.12899980353540741, 522757.77200000750599429 168113.66300000000046566, 522727.99999994126847014 168129.00000011397060007, 522754.95100007008295506 168235.27700017858296633, 522706.1390000629471615 168250.48100021979189478, 522707.14299982861848548 168398.89000000062515028, 522579.99899998476030305 168446.0000002273300197, 522538.9999998647836037 168358.99999990145443007, 522429.00000017054844648 168390.00000015250407159, 522467.63800004002405331 168600.45800011622486636, 522740.57599999534431845 168497.1830001515627373, 522830.84300003666430712 168795.26699985173763707, 522840.62299978930968791 168830.76500018467777409, 523015.79600011208094656 168976.4090001328731887, 523081.09399985935306177 169024.20299999605049379, 523200.3460001964122057 169047.69999988347990438, 523243.08099980838596821 169049.14999989673378877, 523288.59700022189645097 169052.68699999997625127)))</t>
  </si>
  <si>
    <t>E01003471</t>
  </si>
  <si>
    <t>Merton 016E</t>
  </si>
  <si>
    <t>MultiPolygon (((517412.27000000345287845 163926.10700071160681546, 517412.99999959947308525 163824.00000098865712062, 517453.00400039838859811 163837.04899943753844127, 517473.3370010145008564 163787.43900041244341992, 517422.33300039020832628 163755.20699908307869919, 517435.29299987369449809 163701.11300008289981633, 517410.68299912504153326 163679.34299956215545535, 517451.62999990198295563 163631.16599938709987327, 517485.55000006878981367 163657.91899956398992799, 517499.78199921973282471 163632.89100016056909226, 517547.31099952483782545 163652.14000063392450102, 517514.79200019652489573 163677.73799915073323064, 517580.25599961710395291 163764.71499961987137794, 517619.99200064997421578 163745.00500010134419426, 517678.26199973857728764 163708.65000066783977672, 517723.31100090185645968 163771.09900011448189616, 517789.41800043790135533 163757.64899967398378067, 517698.00000038405414671 163548.00000025084591471, 517688.64799927541753277 163439.93400001229019836, 517765.72300062532303855 163466.53300024583586492, 517794.16800069424789399 163406.61200008579180576, 517885.19500035041710362 163410.49600033578462899, 517928.792998960649129 163366.39400020506582223, 517877.60399908135877922 163260.2529992583731655, 517928.6609996049082838 163272.25699898521997966, 517943.51799933827714995 163204.5719993798120413, 518020.14900039124768227 163245.48500057536875829, 518030.49699929216876626 163092.23799981782212853, 517874.73299954179674387 162985.15300019318237901, 517739.22699992067646235 163114.32200076460139826, 517741.00000083894701675 163157.00000076930155046, 517647.00000081426696852 163172.99999899906106293, 517606.00000013812677935 162877.00000047404319048, 517631.00000049953814596 162871.99999998477869667, 517618.99999974225647748 162730.99999994778772816, 517680.99999913747888058 162723.00000083289342001, 517693.48400031239725649 162772.76700007100589573, 517872.95799913874361664 162745.12200033059343696, 518074.62200079538160935 162631.89599912008270621, 518590.405000647646375 162452.30000044693588279, 518484.18800051417201757 162306.20300093112746254, 518403.71899987122742459 162059.48399965683347546, 518219.57400024501839653 161800.6280006000015419, 518133.09500075702089816 161406.29699914873344824, 518174.18799936817958951 161103.62499926026794128, 518090.21899963374016806 160916.31200050160987303, 517992.57500008313218132 160861.07599961996311322, 517767.15599947539158165 160609.07799988149781711, 517616.24900056474143639 160530.44300008023856208, 517219.34499995171790943 160103.31199975602794439, 516870.78400053578661755 159954.90400030513410456, 516641.25100054789800197 159948.59399951252271421, 516623.094000241428148 159907.375, 516572.78099987737368792 159922.26500061477418058, 516443.00000058714067563 160036.71900031750556082, 516401.592000765085686 160201.76599914403050207, 516507.31299940223107114 160343.53099914328777231, 516462.43799928511725739 160741.87499993058736436, 516495.02999961550813168 161513.1409993494162336, 516563.03800045599928126 161858.42699904952314682, 516586.29200024128658697 161874.43999914283631369, 516537.81099914910737425 161877.1929998901032377, 516362.59399935242254287 162360.53100011602509767, 516533.218999890726991 162783.29700004227925092, 516819.56300055992323905 163037.59400072210701182, 517050.90599923202535138 163564.29700015843263827, 517109.10899994283681735 163788.86600080810603686, 517176.0629991673049517 164077.31200000003445894, 517346.41500018513761461 164069.10400025764829479, 517345.58499924489296973 164026.44500057087861933, 517509.36099918885156512 164001.18899943711585365, 517418.74099997867597267 163989.05199956963770092, 517412.27000000345287845 163926.10700071160681546)))</t>
  </si>
  <si>
    <t>E01002948</t>
  </si>
  <si>
    <t>Kingston upon Thames 020C</t>
  </si>
  <si>
    <t>E02000617</t>
  </si>
  <si>
    <t>Kingston upon Thames 020</t>
  </si>
  <si>
    <t>MultiPolygon (((517855.44500009686453268 164044.00799997468129732, 517953.9260000457870774 164038.19700003630714491, 518233.48899989138590172 164062.09100006215157919, 518237.07099999999627471 164022.37500011431984603, 518196.62900015263585374 164006.80000020668376237, 518209.09599993767915294 163964.19999981179716997, 518107.00000018865102902 163946.00000021021696739, 517918.54700014571426436 163742.37700012078857981, 517898.09799978020600975 163684.91700011779903434, 517950.84499991394113749 163668.64299985559773631, 518003.87700009846594185 163623.91700014041271061, 518081.53600015648407862 163625.245999833161477, 518056.99899980641203001 163588.99999993329402059, 517928.79299985058605671 163366.39400006510550156, 517885.19500004569999874 163410.49600014291354455, 517794.1679998182808049 163406.61199979120283388, 517765.72299986763391644 163466.53299994059489109, 517688.64799980743555352 163439.93400005012517795, 517697.99999996752012521 163547.99999983157613315, 517789.41800015984335914 163757.64899998376495205, 517723.31100005214102566 163771.09899992690770887, 517678.26199980388628319 163708.65000000077998266, 517619.99200007872423157 163745.00500011086114682, 517580.25600008823676035 163764.7150000364636071, 517514.79199985903687775 163677.73800020292401314, 517547.31099989812355489 163652.14000001864042133, 517499.78200015379115939 163632.89099998443271033, 517485.54999983502784744 163657.91900006704963744, 517451.6300001279450953 163631.165999981778441, 517410.68300020613241941 163679.34299994955654256, 517435.29299988731509075 163701.1129998124379199, 517422.33299987518694252 163755.20700007845880464, 517473.33700001239776611 163787.43900001788279042, 517453.00399980525253341 163837.04899998940527439, 517412.99999995622783899 163823.99999980969005264, 517412.26999995898222551 163926.10700005022226833, 517418.74099996814038604 163989.05200005383812822, 517509.36099983984604478 164001.18899980350397527, 517345.5849999999627471 164026.44500010507181287, 517346.41500021051615477 164069.10399993491591886, 517654.85100020666141063 164054.33799994789296761, 517855.44500009686453268 164044.00799997468129732)))</t>
  </si>
  <si>
    <t>E01002949</t>
  </si>
  <si>
    <t>Kingston upon Thames 020D</t>
  </si>
  <si>
    <t>MultiPolygon (((518147.63799984351499006 163731.91300022124778479, 518243.45000006031477824 163712.22499986103503034, 518285.49699969787616283 163734.26599983294727281, 518417.21100010792724788 163689.36200033631757833, 518455.74500029516639188 163686.73000034230062738, 518536.38500002352520823 163567.43200025684200227, 518540.23700004915008321 163513.57999991299584508, 518572.08800032077124342 163522.28799998812610283, 518581.11899977474240586 163489.39999975828686729, 518535.18099981429986656 163445.41299983381759375, 518595.39600018929922953 163390.73000007995869964, 518541.2039996677194722 163306.37700002884957939, 518980.02399999997578561 162891.90400010225130245, 518638.50599975424120203 162504.79199985769810155, 518590.40500022080959752 162452.30000022490276024, 518074.62199968012282625 162631.89599997911136597, 517872.95799969538347796 162745.12199976728879847, 517693.48400021909037605 162772.76699990496854298, 517681.00000013376120478 162722.99999970657518134, 517618.99999968428164721 162731.00000025212648325, 517630.99999981559813023 162871.99999973419471644, 517606 162877.00000024691689759, 517647.00000021967571229 163172.9999998222629074, 517741.00000010343501344 163157.00000010518124327, 517739.22700006753439084 163114.32199986893101595, 517874.73300031019607559 162985.15299968828912824, 518030.49700034223496914 163092.23799981595948339, 518020.14900025830138475 163245.48500016669277102, 517943.51799997291527689 163204.57199971162481233, 517928.66099998255958781 163272.25699972870643251, 517877.60400009981822222 163260.25299981352873147, 517928.79299972020089626 163366.39400011039106175, 518056.99900006619282067 163589.0000000238942448, 518081.53599982359446585 163625.24600017874035984, 518003.87700012419372797 163623.91700019716518, 517950.84500012826174498 163668.64299969369312748, 517953.04100032267160714 163725.76499990845331922, 518013.53799988731043413 163811.34199977508978918, 518045.63300002791220322 163810.09099970094393939, 518082.34900020621716976 163746.53899998374981806, 518147.63799984351499006 163731.91300022124778479)))</t>
  </si>
  <si>
    <t>E01002950</t>
  </si>
  <si>
    <t>Kingston upon Thames 020E</t>
  </si>
  <si>
    <t>MultiPolygon (((518785.3819998626713641 164708.67799974803347141, 518744.42900013335747644 164664.13299983978504315, 518704.18599996040575206 164597.65500022697960958, 518731.79300006426637992 164550.94600003297091462, 518690.87099995883181691 164462.43700022296980023, 518797.10999976156745106 164319.96599993063136935, 518727.98200005653779954 164152.61200004487182014, 518721.01499989914009348 164141.98999979664222337, 518702.3839998523471877 164111.96299993566935882, 518411.19900003221118823 164087.51799999998183921, 518394.36400007491465658 164116.94699989617220126, 518494.02900008845608681 164302.51499995272024535, 518462.99999995483085513 164354.49699996417621151, 518451.85599978850223124 164360.97600011999020353, 518443.57299989619059488 164393.26699982112040743, 518476.57499981793807819 164400.32699998345924541, 518530.4169999283622019 164522.9499999510589987, 518485.87599984358530492 164683.22799981373827904, 518416.01199974602786824 164664.70600019927951507, 518408.00000022153835744 164725.00000009845825844, 518048.29000001557869837 164794.81999987078597769, 518009.75900023838039488 164794.95600010346970521, 518030.02999989106319845 164882.26799988633138128, 518077.04599999781930819 165097.07100018212804571, 518151.12499984441092238 165090.85900000398396514, 518320.38599988032365218 164909.67400021714274772, 518359.29799998854286969 164866.49900021115900017, 518471.0550002736854367 164777.51000004663364962, 518785.3819998626713641 164708.67799974803347141)),((518106.05900011555058882 165207.60899999423418194, 518081.87000021786661819 165117.47900016503990628, 518104.63500004587695003 165220.77299999998649582, 518106.05900011555058882 165207.60899999423418194)))</t>
  </si>
  <si>
    <t>E01002939</t>
  </si>
  <si>
    <t>Kingston upon Thames 018A</t>
  </si>
  <si>
    <t>MultiPolygon (((518097.99999995360849425 164477.00000007165363058, 518044.00000013376120478 164390.99999984027817845, 518100.99400010803947225 164349.15600011695642024, 518129.38200013770256191 164372.83300002675969154, 518336.27100002072984353 164248.50099990307353437, 518350.00000012142118067 164192.00000003492459655, 518286.9999998903949745 164130.00000001763692126, 518394.36400011117802933 164116.94699993435642682, 518411.19900000002235174 164087.51799995673354715, 518341.84000017726793885 164078.00800013993284665, 518233.4889998520957306 164062.09099986191722564, 517953.92599984991829842 164038.196999929175945, 517855.44499981182161719 164044.00800005724886432, 517654.85100000002421439 164054.33799985269433819, 517656.86899999727029353 164085.28500009884010069, 517713.84299986140104011 164111.48899989761412144, 517731.97500004939502105 164301.35699992615263909, 517682.51799995347391814 164358.82600005870335735, 517737.28699996264185756 164382.13700014591449872, 517716.44400008232332766 164436.58700017543742433, 517778.00600010732887313 164465.06300016035675071, 517743.44299991108709946 164500.92200000735465437, 517753.53999989799922332 164525.1820001408632379, 517954.82299983670236543 164425.26100011263042688, 517950.74600010801805183 164372.23099996309611015, 517984.03699995367787778 164383.75499983073677868, 517972.93600018473807722 164422.68099989389884286, 518008.10599990491755307 164411.9620001113798935, 518070.33500016247853637 164531.16300007081008516, 518097.99999995360849425 164477.00000007165363058)))</t>
  </si>
  <si>
    <t>E01002940</t>
  </si>
  <si>
    <t>Kingston upon Thames 020A</t>
  </si>
  <si>
    <t>MultiPolygon (((518407.99999999883584678 164724.99999985686736181, 518416.01199993881164119 164664.70599985064473003, 518485.87600014050258324 164683.22800003542215563, 518530.41699999576667324 164522.95000001438893378, 518476.57499994867248461 164400.32699983572820202, 518443.57300002838019282 164393.26699999184347689, 518451.85600003629224375 164360.97600004720152356, 518462.99999998474959284 164354.49700006755301729, 518494.02900003705872223 164302.51500015408964828, 518394.36399993835948408 164116.9469999999855645, 518286.9999999618739821 164130.00000013189855963, 518349.99999984103487805 164192.0000000667932909, 518336.27100001118378714 164248.50100000132806599, 518129.3820000299019739 164372.833000035607256, 518100.99399996438296512 164349.15600006180466153, 518043.99999994377139956 164391.00000016391277313, 518097.99999998544808477 164477.00000011731754057, 518070.33499994233716279 164531.16300014485022984, 517976.00000000424915925 164544.00000011257361621, 517984.99999984173336998 164608.99999988029594533, 517988.99999995779944584 164633.99999984310125001, 518024.38000005402136594 164637.08199993913876824, 518065.74899997079046443 164730.92599985544802621, 518048.28999989118892699 164794.82000000000698492, 518407.99999999883584678 164724.99999985686736181)))</t>
  </si>
  <si>
    <t>E01002942</t>
  </si>
  <si>
    <t>Kingston upon Thames 018C</t>
  </si>
  <si>
    <t>MultiPolygon (((517643.26099995052209124 164404.78200014401227236, 517685.99999998603016138 164375.99900014791637659, 517743.44299983594100922 164500.92200015249545686, 517778.00600004551233724 164465.06299993745051324, 517716.4439998603775166 164436.58699987581348978, 517737.28699998592492193 164382.13699996849754825, 517682.51799988985294476 164358.82600011286558583, 517731.9749998330953531 164301.35699982932419516, 517713.84300001076189801 164111.48899988122866489, 517656.8690000080387108 164085.28499985529924743, 517654.85099995712516829 164054.33799999998882413, 517346.41499996447237208 164069.10399995479383506, 517176.06300006626406685 164077.31199998946976848, 517163.49899995449231938 164227.02599999937228858, 517186.40300010342616588 164758.41300000000046566, 517355.00000012625241652 164731.99999988678609952, 517507.29600016988115385 164630.0880000690522138, 517626.96199989633169025 164567.39400006824871525, 517580.27300005604047328 164511.74600000263308175, 517597.84000010904856026 164425.70899993742932566, 517643.26099995052209124 164404.78200014401227236)))</t>
  </si>
  <si>
    <t>E01002943</t>
  </si>
  <si>
    <t>Kingston upon Thames 020B</t>
  </si>
  <si>
    <t>MultiPolygon (((522175.8080001255730167 174474.56500012980541214, 522133.44899976497981697 174243.39200005633756518, 522114.31899990810779855 174033.93300015144632198, 522122.28900016739498824 174006.41800004482502118, 522154.26399983174633235 173952.48299982454045676, 522128.54000004049157724 173958.81700009843916632, 522095.99999990395735949 173910.00000000538420863, 522068.9999997733393684 173850.00000010666553862, 522199.99999999691499397 173813.99999976469553076, 522195.00000021513551474 173774, 522172.50400001840898767 173779.69400006424984895, 521973.96099986718036234 173857.03900012781377882, 522014.24699981207959354 173863.78000023224740289, 521960.99999975424725562 173903.00000000881846063, 521956.09799991804175079 173961.60299991787178442, 521905.52699999755714089 173980.477999962575268, 521872.25699986569816247 173942.2030002006504219, 521840.9999999568099156 173990.99999989385833032, 521926.76500021474203095 174017.00000016880221665, 521948.13999989861622453 174069.58300004052580334, 521999.90399975766194984 174074.14999997543054633, 522004.67300020711263642 174114.00700015341863036, 521976.5110000025597401 174160.74500021425774321, 521982.78100000380072743 174235.76600012995186262, 521880.08699984318809584 174248.19899975523003377, 521841.83199997764313594 174253.23300021677277982, 521783.12500000308500603 174292.94100018471363001, 521851.20699988317210227 174285.70599976897938177, 521859.47000021097483113 174354.59800023696152493, 521811.43399987427983433 174665.30399981659138575, 522159.71299978031311184 174780.8159999999916181, 522175.8080001255730167 174474.56500012980541214)))</t>
  </si>
  <si>
    <t>E01004568</t>
  </si>
  <si>
    <t>Wandsworth 013A</t>
  </si>
  <si>
    <t>E02000935</t>
  </si>
  <si>
    <t>Wandsworth 013</t>
  </si>
  <si>
    <t>MultiPolygon (((522603.0319998724735342 174130.62000002749846317, 522646.55099984747357666 173952.19699999751173891, 522616.00000013748649508 173938.00000020250445232, 522649 173858.00000003998866305, 522615.97000019502593204 173842.4540000100096222, 522538.99999983498128131 173809.99999994249083102, 522516.5940001750132069 173744.99400012000114657, 522441.28299976751441136 173740.85800003749318421, 522431.0000002000015229 173775.99999981501605362, 522327.00000022252788767 173793.00000011251540855, 522306.93299983500037342 173758.75600004749139771, 522308.08299981249729171 173690.90799993750988506, 522300.99899989500408992 173622.00000014499528334, 522201.24299997999332845 173635.50399991250014864, 522208.81600022251950577 173587.28499990751151927, 522148.00000000500585884 173541.00000018501305021, 522129.99999991001095623 173544.00000004499452189, 522063.0390001725172624 173557.35999999500927515, 522022.07699986250372604 173492.49899997250759043, 521945.28000021498883143 173607.27299980749376118, 521889.03100001747952774 173700.39099994749994949, 521731.41000013501616195 173815.64199984999140725, 521768.31899984501069412 173864.79299990751314908, 521714 173894.0000002300075721, 521758.81500020250678062 173939.73800017501343973, 521740.55300001747673377 174026.61600012000417337, 521769.72000010497868061 174006.42500003249733709, 521806.22499987250193954 174052.88499996499740519, 521840.99999999499414116 173991.00000022249878384, 521872.25699997250922024 173942.20300004750606604, 521905.52699978498276323 173980.47800016248947941, 521956.09799977001966909 173961.60299995250534266, 521961.00000000500585884 173902.99999981001019478, 522014.2469999099848792 173863.7799998699920252, 521973.96099992498056963 173857.03900002749287523, 522172.50399988249409944 173779.69400015249266289, 522194.99999983748421073 173774.00000021999585442, 522200.00000022747553885 173814.00000006749178283, 522069.00000010750954971 173849.99999979001586325, 522095.99999978247797117 173909.99999979499261826, 522128.54000021499814466 173958.81700008749612607, 522154.2639997799997218 173952.48300013499101624, 522122.28900021250592545 174006.41800015501212329, 522221.99999997997656465 174047.36800020749797113, 522412.06300014001317322 174067.73400003751157783, 522405.40600022999569774 174107.29700005249469541, 522603.0319998724735342 174130.62000002749846317)))</t>
  </si>
  <si>
    <t>E01004569</t>
  </si>
  <si>
    <t>Wandsworth 023A</t>
  </si>
  <si>
    <t>MultiPolygon (((522460.08599992759991437 173687.14700011847889982, 522399.37199993530521169 173617.22799994645174593, 522370.00000011356314644 173533.00000006772461347, 522405.37599987623980269 173494.37399986700620502, 522378.97000003152061254 173467.97000005393056199, 522372.14500006265006959 173461.24099987561930902, 522316.00000006216578186 173408.00000002339947969, 522360.00100004515843466 173350.00000005355104804, 522336.02200000250013545 173352.73500012024305761, 522349.20099997724173591 173289.73299993254477158, 522413.57700001302873716 173233.6589999032439664, 522404.62999988283263519 173215.29399996798019856, 522385.52099998580524698 173176.0700000993674621, 522351.52999995712889358 173114.52999999996973202, 522248.00000000809086487 173276.00000012182863429, 522254.90200004307553172 173246.78399988773162477, 522202.79399997036671266 173198.00700009433785453, 522126.2529998729005456 173327.69700002859462984, 522094.48000008432427421 173377.96100001787999645, 522022.07700007245875895 173492.49899986924719997, 522063.03900007565971464 173557.3600000896549318, 522130.00000010913936421 173544.00000013157841749, 522148.00000003026798368 173540.99999990456853993, 522208.81599990808172151 173587.28500001967768185, 522201.2429999141022563 173635.50399991378071718, 522300.99900006403913721 173621.99999998169369064, 522308.08300009823869914 173690.90799999999580905, 522460.08599992759991437 173687.14700011847889982)))</t>
  </si>
  <si>
    <t>E01004570</t>
  </si>
  <si>
    <t>Wandsworth 023B</t>
  </si>
  <si>
    <t>MultiPolygon (((522592.00000016088597476 173754.99999987342744134, 522536.00000007008202374 173684.99999993434175849, 522591.55299988173646852 173642.44700000673765317, 522509.91299982857890427 173591.55200004385551438, 522529.82100000424543396 173491.1679999660118483, 522594.57599998783553019 173545.66600016772281379, 522610.44200011406792328 173517.19499983289279044, 522559.99999990966171026 173468.00000001853914, 522580.17199984984472394 173410.13900002985610627, 522587.99999995506368577 173354.99999987269984558, 522568.23899992974475026 173262.25200016648159362, 522577.00100014527561143 173197.99999990465585142, 522491.99600001360522583 173135.99800008567399345, 522458.39899997785687447 173112.30499999999301508, 522385.52100014028837904 173176.07000008175964467, 522404.63000000192550942 173215.2939999463269487, 522413.57699997717281803 173233.65899983738199808, 522349.20100012724287808 173289.73299990181112662, 522336.02199996286071837 173352.73500003392109647, 522360.00099988066358492 173350.00000005145557225, 522315.99999991268850863 173408.00000007075141184, 522372.14499986224109307 173461.24100016881129704, 522378.96999991475604475 173467.96999983122805133, 522405.37599991529714316 173494.37399988906690851, 522370.00000007497146726 173533.00000013640965335, 522399.37199989554937929 173617.22800002165604383, 522460.08599997544661164 173687.14700001318124123, 522308.08300008898368105 173690.90799991288804449, 522306.93299988593207672 173758.7560000907687936, 522326.99999986821785569 173792.99999991012737155, 522430.99999998701969162 173776.00000016912235878, 522441.28300007077632472 173740.85799990606028587, 522516.59400016808649525 173744.99400005399365909, 522538.99999996280530468 173810, 522592.00000016088597476 173754.99999987342744134)))</t>
  </si>
  <si>
    <t>E01004571</t>
  </si>
  <si>
    <t>Wandsworth 023C</t>
  </si>
  <si>
    <t>MultiPolygon (((522079.0999998546903953 175490.7029999999795109, 522093.17900013836333528 175295.13499997180770151, 522126.08000014809658751 174944.54799995225039311, 522157.71899997763102874 174791.56299983410281129, 522159.71299994271248579 174780.81599981425097212, 521811.43400019319960847 174665.30400005378760397, 521779.46899979305453598 174680.52599983819527552, 521613.39299976080656052 174509.68799974769353867, 521587.08000016020378098 174318.11499999999068677, 521443.27499977592378855 174336.67500018104328774, 521354.00000008376082405 174353.0000001442967914, 521526.40300002507865429 174811.82700020639458671, 521623.51700025849277154 175075.35800020204624161, 521547.86300028942059726 175110.45200008628307842, 521627.59799990180181339 175208.7560000789235346, 521669.18899974448140711 175195.93500027773552574, 521685.81099983194144443 175245.6830000780755654, 521624.69400012085679919 175229.99599996898905374, 521585.00099987734574825 175315.31599987513618544, 521464.86399996385443956 175312.91900017586885951, 521483.71599976759171113 175210.89699977971031331, 521414.24399982066825032 175222.47000010145711713, 521326.14900005725212395 175250.08600000795559026, 521329.57599988311994821 175336.00300022884039208, 521431.09300004644319415 175451.38700028322637081, 521458.18899997440166771 175474.38999971604789607, 521588.99999985547037795 175477.00000002549495548, 521603.5080002534086816 175474.31799988137208857, 521721.67599977791542187 175462.81899982944014482, 521870.63900019065476954 175474.1420002855011262, 522079.0999998546903953 175490.7029999999795109)))</t>
  </si>
  <si>
    <t>E01004575</t>
  </si>
  <si>
    <t>Wandsworth 013C</t>
  </si>
  <si>
    <t>MultiPolygon (((522703.41599989833775908 174997.59400009803357534, 522720.99999996111728251 174844.00000000849831849, 522696.03699984349077567 174809.82999987085349858, 522635.00000017508864403 174834.99999983722227626, 522649.99999986990587786 174724.99999983064481057, 522609.92999991134274751 174688.48399987185257487, 522571.42800005321623757 174713.72100003235391341, 522544.00599999324185774 174677.1539999310625717, 522434.00000001164153218 174662.00100016317446716, 522407.86100017308490351 174608.32600002954131924, 522328.49000001413514838 174594.43000000040046871, 522278.71000011725118384 174617.10700004760292359, 522304.5150001622387208 174510.50300010660430416, 522258.10199986083898693 174529.2270000398857519, 522234.67899984179530293 174474.05100000003585592, 522175.80800003360491246 174474.56500010887975805, 522159.71299992693820968 174780.81600016463198699, 522157.71899982454488054 174791.56299992886488326, 522126.08000003884080797 174944.54800006799632683, 522241.35700009221909568 174963.59099985717330128, 522233.6650001565576531 175019.56200013781199232, 522268.36299987236270681 174994.6999998367682565, 522264.59499993483768776 174849.17599988431902602, 522290.964000117208343 174851.13000003475463018, 522340.30300007440382615 174879.25700000059441663, 522324.99999986658804119 175015.00000007351627573, 522378.0640001762076281 175020.36400011321529746, 522377.90400001406669617 175059.29399984687916003, 522411.00000000704312697 175061.00000008268398233, 522415.53599994309479371 175026.58600013193790801, 522472.25599982868880033 175031.39699987045605667, 522475.00000000442378223 174992.99999993044184521, 522505.45299999264534563 174998.3430000573862344, 522499.16400013415841386 175068.04099988806410693, 522537.19599993689917028 175095.18800014554290101, 522547.64399999839952216 175160.04099990645772777, 522603.79300001199590042 175182.84899999998742715, 522669.60600003687432036 175140.8890000976389274, 522713.00000000576255843 175071.00000011551310308, 522703.41599989833775908 174997.59400009803357534)))</t>
  </si>
  <si>
    <t>E01004642</t>
  </si>
  <si>
    <t>Wandsworth 016B</t>
  </si>
  <si>
    <t>MultiPolygon (((522756.6470000843401067 174689.47700011022971012, 522790.95799988962244242 174494.80899992553167976, 522809.0000000330619514 174396.99999984874739312, 522852.18599997507408261 174403.90900011410121806, 522852.19500001869164407 174374.62199993600370362, 522887.41899999999441206 174183.03500000524218194, 522845.26400003320304677 174186.69399997009895742, 522882.72100002114893869 174033.51900002046022564, 522646.55099994427291676 173952.19699988976935856, 522603.03199993347516283 174130.62000014240038581, 522405.40600009134504944 174107.2969998984481208, 522412.0629999075899832 174067.73400013326318003, 522222.00000002380693331 174047.36799992842134088, 522122.28899999952409416 174006.41800000760122202, 522114.31900000001769513 174033.93300009559607133, 522133.44900000852067024 174243.39200011835782789, 522175.80800019163871184 174474.5649999258457683, 522234.6790000555338338 174474.05100013880291954, 522258.10200001136399806 174529.22699986325460486, 522304.51500014233170077 174510.50299989109043963, 522278.70999984373338521 174617.1070001031330321, 522328.4900000694906339 174594.42999989990494214, 522407.86100001505110413 174608.32600003579864278, 522434.00000000081490725 174662.0009998248424381, 522544.00600009091431275 174677.1539998723892495, 522599.25100014999043196 174652.6799998443457298, 522756.6470000843401067 174689.47700011022971012)))</t>
  </si>
  <si>
    <t>E01004644</t>
  </si>
  <si>
    <t>Wandsworth 016D</t>
  </si>
  <si>
    <t>MultiPolygon (((522499.16400007321499288 175068.04100004440988414, 522505.45299991761567071 174998.34299999763607047, 522474.99999999016290531 174993.00000003736931831, 522472.25600008148467168 175031.39699993707472458, 522415.5360001478693448 175026.58600003438186832, 522411.00000009586801752 175061.00000000523868948, 522377.90400002530077472 175059.29400008468655869, 522378.06400006671901792 175020.36399998678825796, 522324.99999995727557689 175014.99999996094265953, 522340.30300009110942483 174879.25699991130386479, 522290.96399988379562274 174851.13000014517456293, 522264.59499997150851414 174849.17600000000675209, 522268.36300014541484416 174994.70000007664202712, 522233.66500002081738785 175019.56200013996567577, 522241.35699984763050452 174963.59099997935118154, 522126.07999992574332282 174944.54800007978337817, 522093.17900000588269904 175295.13500003464287147, 522079.10000002855667844 175490.70300000000861473, 522168.1820001233718358 175484.02100007387343794, 522250.16899996448773891 175474.72999997329316102, 522387.35599998716497794 175454.63100012100767344, 522435.83499989158008248 175447.51399998198030517, 522429.95099989144364372 175407.96700006513856351, 522573.86199997138464823 175386.99899992765858769, 522539.92899994464823976 175333.54400001766043715, 522557.87400008109398186 175259.63599988303030841, 522517.82599997433135286 175253.91899994618142955, 522510.85299987258622423 175212.41799988414277323, 522547.64400011824909598 175160.04100013303104788, 522537.19599997863406315 175095.18799995767767541, 522499.16400007321499288 175068.04100004440988414)))</t>
  </si>
  <si>
    <t>E01004641</t>
  </si>
  <si>
    <t>Wandsworth 011E</t>
  </si>
  <si>
    <t>E02000933</t>
  </si>
  <si>
    <t>Wandsworth 011</t>
  </si>
  <si>
    <t>MultiPolygon (((522827.78200019244104624 176226.67199992859968916, 522812.32399974146392196 175768.63500027469126508, 522849.40599999995902181 175665.45299978266120888, 522794.18800024798838422 175598.25000019496656023, 522807.28100017266115174 175516.68700002849800512, 522830.53099989704787731 175368.28099993465002626, 522688.32099981000646949 175409.63899992368533276, 522608.86300017160829157 175422.12600011742324568, 522595.25300019013229758 175424.11500026076100767, 522587.59000020514940843 175425.24199975933879614, 522435.83499992883298546 175447.5139997070946265, 522387.35599992709467188 175454.63100000892882235, 522250.16900022816844285 175474.72999995914869942, 522168.18200001632794738 175484.02100002966471948, 522079.1000001048669219 175490.70300029826466925, 521870.63899989373749122 175474.14199986669700593, 521721.67600012884940952 175462.81900009885430336, 521717.35899976012296975 175506.57100024056853727, 521596.56000000005587935 175586.24700009438674897, 521609.28699975850759074 175737.74800025191507302, 521635.75999969028634951 175781.03199977031908929, 521790.68499977677129209 175768.38400009565521032, 521793.43400010780896991 175830.21800018899375573, 521843.42400003923103213 175873.31400014233076945, 521930.21599979733582586 175809.91599972214316949, 522083.99900006013922393 175979.00000003940658644, 522020.99999976978870109 176050.99999975168611854, 522103.44799970142776147 176142.33599991316441447, 522189.58399989764438942 176074.18799988605314866, 522297.2079997094697319 176111.94600014004390687, 522326.34299984032986686 176036.69900007598334923, 522278.000000030384399 176020.24599998100893572, 522278.000000030384399 175983.00000030183582567, 522369.0000000495929271 175979.00000003940658644, 522350.80800021917093545 176039.90100007870933041, 522371.99999993317760527 176067.00000017494312488, 522492.00000028888462111 176022.00000004156026989, 522523.00000013021053746 176060.99999978131381795, 522550.84799979982199147 176233.26700006530154496, 522827.78200019244104624 176226.67199992859968916)))</t>
  </si>
  <si>
    <t>E01003852</t>
  </si>
  <si>
    <t>Richmond upon Thames 003A</t>
  </si>
  <si>
    <t>E02000786</t>
  </si>
  <si>
    <t>Richmond upon Thames 003</t>
  </si>
  <si>
    <t>E09000027</t>
  </si>
  <si>
    <t>Richmond upon Thames</t>
  </si>
  <si>
    <t>MultiPolygon (((524569.26599998876918107 175213.79900012596044689, 524596.71900013147387654 175169.99700009080697782, 524651.99299995764158666 175178.44499995408114046, 524656.99900010996498168 175203.99999984164605848, 524741.00000007206108421 175182.99999994458630681, 525060.46199996792711318 175067.23100005518062972, 525130.74800005787983537 175026.2269998507690616, 525145.75 175016.54800001112744212, 524919.92300016630906612 174989.56299989394028671, 524792.93799983966164291 174976.14099988300586119, 524512.64000005112029612 174974.68599987402558327, 524498.46700013382360339 175057.72700003811041825, 524462.200999999884516 175068.53900011751102284, 524519.7479998474009335 175200.52300002946867608, 524534.93299986945930868 175165.63100003168801777, 524569.26599998876918107 175213.79900012596044689)))</t>
  </si>
  <si>
    <t>E01033135</t>
  </si>
  <si>
    <t>Wandsworth 010G</t>
  </si>
  <si>
    <t>MultiPolygon (((524079.68600004678592086 175002.89899987206445076, 524305.36199999996460974 174933.31999986639129929, 524247.97299994231434539 174895.73599996487610042, 524178.99999999080318958 174912.9019998534640763, 524182.82700014428701252 174855.50599999315454625, 524082.04799979401286691 174878.9929999562446028, 524056.0000001807929948 174882.99999988914350979, 524047.30700016161426902 174849.59899987259996124, 524034.84900003875372931 174785.25200008082902059, 524129.21599994372809306 174754.55499993756529875, 524118.67200003331527114 174714.78900006818003021, 524099.3649999798508361 174652.22899999446235597, 524008.69099993124837056 174676.6599998910096474, 523897.39100004074862227 174707.21700020585558377, 523936.89200013008667156 174745.01300018306938, 523899.52400013158330694 174774.05599979523685761, 523831.10299983900040388 174779.82900003809481859, 523827.85400010942248628 174786.3150000151945278, 523852.88299998600268736 174854.15300020453287289, 523678.65700009290594608 174842.20299996231915429, 523613.46199999842792749 174867.01500008389120921, 523622.28700019133975729 174918.16299996894667856, 523520.74499995843507349 174916.29700020095333457, 523517.78699993510963395 174957.57600008224835619, 523470.87400020676432177 174949.15800004056654871, 523467.76799986156402156 175042.07499983548768796, 523466.56000000005587935 175078.20999989827396348, 523489.09400010365061462 175086.39100020946352743, 523475.74999985046451911 175242.04700000549200922, 523702.7100001591606997 175144.79999985572067089, 523766.31999999447725713 175114.74300018622307107, 523854.95199990359833464 175084.32499984779860824, 523872.09900008811382577 175079.70800003342446871, 524079.68600004678592086 175002.89899987206445076)))</t>
  </si>
  <si>
    <t>E01004506</t>
  </si>
  <si>
    <t>Wandsworth 011A</t>
  </si>
  <si>
    <t>MultiPolygon (((524792.93799992394633591 174976.14100013169809245, 524801.67999986617360264 174910.63099989035981707, 524797.22199988504871726 174895.17599999162484892, 524595.78899988473858684 174877.16300015791784972, 524619.62699986016377807 174849.14600014453753829, 524660.88199998869094998 174822.6489998500328511, 524764.08900000166613609 174842.74200005241436884, 524773.09400014113634825 174707.88800001726485789, 524797.29699988686479628 174647.59200007768231444, 524826.53899993002414703 174650.01199981843819842, 524830.06499999982770532 174617.99500010538031347, 524767.99999992188531905 174635.00000004182220437, 524654.00099991681054235 174743.99999990942887962, 524631.5189998788991943 174709.23500009771669284, 524670.23800012085121125 174696.12599992204923183, 524669.85299987287726253 174609.07099987246328965, 524639.89500006672460586 174568.92799997766269371, 524602.84399997675791383 174639.17900007983553223, 524535.04899983899667859 174563.77699986830702983, 524472.63800008653197438 174605.52600010432070121, 524495.39100019447505474 174641.53300007345387712, 524422.62099993566516787 174716.59500011766795069, 524446.4069999415660277 174759.81100011899252422, 524363.31299981335178018 174807.2259998407389503, 524332.77900000917725265 174744.84999993009842001, 524399.70400004636030644 174676.63700006835279055, 524369.1270001296652481 174622.01399990095524117, 524234.98399993689963594 174617.4220000596542377, 524295.8950000504264608 174680.8819998535036575, 524238.44299987790873274 174719.0490001137368381, 524239.44199991808272898 174753.53399999815155752, 524210.08700007892912254 174789.2479998488270212, 524163.39799996133660898 174700.730999954539584, 524118.67200008232612163 174714.78900016919942573, 524129.21600003656931221 174754.55500008660601452, 524034.84899999998742715 174785.25200008566025645, 524047.30700017575873062 174849.59900010784622282, 524056.00000010087387636 174883.00000010902294889, 524082.04799997096415609 174878.99300012292223983, 524182.82699997263262048 174855.50600014015799388, 524178.99999991134973243 174912.9020000092277769, 524247.97300003014970571 174895.73599984621978365, 524305.36200001032557338 174933.31999982189154252, 524389.69899988255929202 174896.41099986262270249, 524390.30800015176646411 174899.84600018474156968, 524399.27700006775557995 174974.78199984418461099, 524512.63999983470421284 174974.6860001758323051, 524792.93799992394633591 174976.14100013169809245)))</t>
  </si>
  <si>
    <t>E01004507</t>
  </si>
  <si>
    <t>Wandsworth 014E</t>
  </si>
  <si>
    <t>MultiPolygon (((523186.68300016998546198 175406.67500018479768187, 523165.00000018795253709 175288.0000001507869456, 523110.09299984312383458 175298.8779999110265635, 523062.10099981783423573 175308.38600015529664233, 522949.06099987681955099 175332.30599996430100873, 522958.00000005954643711 175017.99999993338133208, 522929.94899991666898131 175016.09300017976784147, 522921.41899991070386022 174972.00099997775396332, 522874.68599985679611564 174953.19200003621517681, 522900.29099994763964787 174892.97000013338401914, 522822.20400007429998368 174819.74100009677931666, 522853.67299994255881757 174781.86600006147637032, 522745.97299993620254099 174751.26000000000931323, 522720.99999990698415786 174843.99999986981856637, 522703.41600005223881453 174997.59400008679949678, 522712.99999992607627064 175071.00000014191027731, 522669.60599987691966817 175140.88900014344835654, 522603.79300006944686174 175182.84899988074903376, 522547.64399988687364385 175160.04100017048767768, 522510.85299986525205895 175212.41799982532393187, 522517.82600003306288272 175253.91900016338331625, 522557.87399986485252157 175259.63600006818887778, 522539.9290001432527788 175333.54400006326613948, 522573.86199984495760873 175386.99899993222788908, 522429.95099982997635379 175407.96700001045246609, 522435.83499983220826834 175447.51399993267841637, 522587.59000006481073797 175425.24200004700105637, 522595.25300014246022329 175424.1149998753098771, 522608.86299983970820904 175422.12599992717150599, 522688.32100002485094592 175409.63899989740457386, 522830.53100003744475543 175368.28100007589091547, 522807.28099991346243769 175516.68700000003445894, 522812.16699983534635976 175515.36199993739137426, 522853.79899994272273034 175504.0619999882474076, 523058.93600012321257964 175444.4070000862411689, 523186.68300016998546198 175406.67500018479768187)))</t>
  </si>
  <si>
    <t>E01004639</t>
  </si>
  <si>
    <t>Wandsworth 011C</t>
  </si>
  <si>
    <t>MultiPolygon (((523363.42299995489884168 175339.67899992925231345, 523366.39999991154763848 175254.5079999128356576, 523475.7500000431900844 175242.04700008383952081, 523489.09400000004097819 175086.39100010399124585, 523466.56000007642433047 175078.20999995453166775, 523467.76799989410210401 175042.07499998944695108, 523427.52200006664497778 175044.71499991291784681, 523427.21099992224480957 174940.15699988781125285, 523258.20400007779244334 174908.97799995093373582, 523227.00099999434314668 175054.41799990780418739, 523144.54600009554997087 175049.29500007472233847, 523125.76099998346762732 175065.1920000987011008, 523044.19200009584892541 175022.67900006077252328, 523013.21799992595333606 175079.86600007835659198, 522990.34600009804125875 175019.41399996518157423, 522957.99999991880031303 175017.99999996935366653, 522949.06099999998696148 175332.30600012457580306, 523062.10099998785881326 175308.38600010611116886, 523110.09299987310077995 175298.87800008716294542, 523165.00000000582076609 175288.00000007112976164, 523186.68299999710870907 175406.67500004905741662, 523317.72300002776319161 175368.52700007485691458, 523363.42299995489884168 175339.67899992925231345)))</t>
  </si>
  <si>
    <t>E01004640</t>
  </si>
  <si>
    <t>Wandsworth 011D</t>
  </si>
  <si>
    <t>MultiPolygon (((524406.29999985196627676 175438.33700000366661698, 524452.33799996180459857 175298.81400014503742568, 524508.82999996887519956 175329.91199985277489759, 524565.68700013856869191 175284.00599988832254894, 524558.00000001676380634 175248.00000009796349332, 524656.99899999995250255 175203.99999997083796188, 524651.99300011119339615 175178.44500001182314008, 524596.71899992693215609 175169.99699990410590544, 524569.26600010227411985 175213.79899996647145599, 524534.93300013185944408 175165.63099989353213459, 524519.7480000612558797 175200.52300010554608889, 524462.20100003713741899 175068.5389999738545157, 524498.46700013219378889 175057.72699996564188041, 524512.64000011014286429 174974.68599999631987885, 524399.27700013609137386 174974.78199996275361627, 524291.28499990701675415 175010.58699992872425355, 524265.58300008566584438 175017.02099996886681765, 524268.84000011725584045 175069.81299990465049632, 524251.13500008592382073 175113.45799998685833998, 524071.46600008563837036 175167.82499993644887581, 524044.30299999995622784 175234.57000001647975296, 524071.92400014877784997 175264.54099996216245927, 524051.99999993323581293 175275.00000007153721526, 524095.44600003084633499 175350.59499990803305991, 524219.90199986059451476 175306.28100012690993026, 524233.91600001853657886 175389.31400012454832904, 524322.46999999601393938 175314.65699987689731643, 524363.97999990300741047 175299.35400007097632624, 524375.00100001355167478 175325.0000000906875357, 524271.00000012741656974 175404.99999987622140907, 524284.83799998956965283 175433.48900001493166201, 524406.29999985196627676 175438.33700000366661698)))</t>
  </si>
  <si>
    <t>E01004602</t>
  </si>
  <si>
    <t>Wandsworth 010C</t>
  </si>
  <si>
    <t>MultiPolygon (((523142.99999974982347339 176174.99999987735645846, 523158.24999977560946718 176117.03199994575697929, 522975.62799984047887847 176121.91599999848403968, 523055.65399977879133075 175969.30700008649728261, 523208.00000003504101187 175977.109999777370831, 523221.99999990849755704 175869.99999987063347362, 523163.00000015087425709 175868.00000003416789696, 523164.0000000690924935 175776.99999983853194863, 523220.09700014250120148 175691.38800002503558062, 523202.46599988272646442 175648.84199975084629841, 523147.83699977892683819 175638.78299994309782051, 523144.66300020745256916 175540.28200001359800808, 523170.00000008760252967 175564.99999986391048878, 523263.12799975083908066 175648.91200012186891399, 523273.22899988299468532 175841.16199992955080234, 523332.8409997861017473 175850.83699982572579756, 523364.43199978000484407 175849.23099980840925127, 523431.46500015654601157 175848.54100007863598876, 523417.82100014813477173 175738.33200016157934442, 523475.99300012819003314 175772.76100018614670262, 523462.16199986316496506 175730.53700019314419478, 523438.2540001604356803 175676.92499979949207045, 523468.36200006894068792 175662.25500001135515049, 523449.73499975213780999 175574.02399982250062749, 523420.3080000129994005 175579.41300004263757728, 523405.80800018040463328 175560.74999995686812326, 523428.4249997534789145 175457.57400023145601153, 523385.75099984818371013 175463.92600025373394601, 523375.79399981012102216 175425.94900014458107762, 523385.99500003590947017 175350.47899993148166686, 523363.42299979226663709 175339.67900000000372529, 523317.72299976169597358 175368.52699984863284044, 523186.68300015199929476 175406.67499975138343871, 523058.93600018444703892 175444.40699983475496992, 522853.79899993684375659 175504.06199990026652813, 522812.16699976508971304 175515.36199979085358791, 522807.28100003628060222 175516.68700001342222095, 522794.18799987179227173 175598.24999994516838342, 522849.40599977370584384 175665.45299976819660515, 522812.32399978989269584 175768.63500004904926755, 522827.78200023446697742 176226.67199987982166931, 522848.40599985548760742 176330.8589997781382408, 522952.40600000630365685 176357.84400000004097819, 523190.91700010513886809 176235.32300018146634102, 523142.99999974982347339 176174.99999987735645846)))</t>
  </si>
  <si>
    <t>E01004604</t>
  </si>
  <si>
    <t>Wandsworth 006A</t>
  </si>
  <si>
    <t>E02000928</t>
  </si>
  <si>
    <t>Wandsworth 006</t>
  </si>
  <si>
    <t>MultiPolygon (((523606.99999985966132954 175610.99999988634954207, 523597.06599997694138438 175534.7370000013615936, 523649.39599996351171285 175547.76699987921165302, 523679.77499999065184966 175619.75799990890664048, 523691.39700013911351562 175640.64099997744779103, 523717.99999991059303284 175630.0000000606814865, 523899.00000012782402337 175568.99999996169935912, 523921.42099987249821424 175533.07100000494392589, 523944.6730001347605139 175526.9529999126389157, 523947 175456.99999987083720043, 523894.86700014385860413 175459.32000002174754627, 523815.62299994734348729 175403.2589999855554197, 523786.36499998241197318 175321.08599998152931221, 523737.09699991956586018 175341.07400010191486217, 523719.56599990307586268 175310.0209998611244373, 523693.89699994708644226 175242.68199993527377956, 523646.53500000695930794 175232.91100011157686822, 523725.5590001362725161 175185.99600002003717236, 523702.71000005933456123 175144.79999996407423168, 523475.7499998762505129 175242.04699988078209572, 523366.3999998911167495 175254.50799992849351838, 523363.42299999995157123 175339.6790001337940339, 523385.99500000162515789 175350.47899998104549013, 523375.79399992735125124 175425.94900013200822286, 523385.75100003858096898 175463.92599996036733501, 523428.42499988508643582 175457.57400008049444295, 523405.80799996916903183 175560.74999992438824847, 523420.30799996398855001 175579.41300013780710287, 523449.73500003485241905 175574.02400005707750097, 523468.36199996672803536 175662.25499997593578883, 523438.253999967884738 175676.92500003590248525, 523606.99999985966132954 175610.99999988634954207)))</t>
  </si>
  <si>
    <t>E01004607</t>
  </si>
  <si>
    <t>Wandsworth 006D</t>
  </si>
  <si>
    <t>MultiPolygon (((524104.99999999010469764 175491.00000018539140001, 524146.42100003600353375 175474.63299990227096714, 524185.30000013357494026 175459.6609999121283181, 524239.24500000767875463 175555.98799995030276477, 524284.83799994899891317 175433.48899987945333123, 524271.0000001362641342 175405.00000012779491954, 524375.00100011867471039 175325.00000003920285963, 524363.97999986552167684 175299.35399993218015879, 524322.4700001219753176 175314.65700015105539933, 524233.91599990305257961 175389.31399988653720357, 524219.90199997782474384 175306.28100016870303079, 524095.44600017857737839 175350.59499999388935976, 524051.99999995023244992 175275.00000017203274183, 524071.92400012910366058 175264.54100010707043111, 524044.30299997422844172 175234.57000002395943739, 524071.46599990472896025 175167.8249999399704393, 524251.13499987538671121 175113.45800010408856906, 524268.83999981620581821 175069.81300010776612908, 524265.58299997536232695 175017.02099999558413401, 524291.28499994706362486 175010.58699985180282965, 524399.27700000000186265 174974.78200011106673628, 524390.30800003209151328 174899.84599994061863981, 524389.69900013890583068 174896.41099995179683901, 524305.36199986131396145 174933.32000009025796317, 524079.68600012949900702 175002.89900003554066643, 523872.09900000237394124 175079.70799994908156805, 523854.95200017868774012 175084.3249998381070327, 523766.32000008103204891 175114.74299995033652522, 523702.70999993098666891 175144.80000005420879461, 523725.55900008062599227 175185.99599987076362595, 523646.53500000003259629 175232.91099993861280382, 523693.89700009702937678 175242.68199983751401305, 523719.56599985947832465 175310.02099992483272217, 523737.09700009966036305 175341.0740000152727589, 523786.36500014906050637 175321.08599982972373255, 523815.62299999879905954 175403.25900009268661961, 523894.86699984362348914 175459.31999988234019838, 523949.82299997046357021 175412.05099993036128581, 523993.18300017807632685 175409.85800015376298688, 524021.00000004761386663 175504.00000018096761778, 524055.00000012293457985 175482.00000004368484952, 524127.00100014510098845 175639.00000004816683941, 524145.0000000344007276 175617.99999996848055162, 524104.99999999010469764 175491.00000018539140001)))</t>
  </si>
  <si>
    <t>E01004609</t>
  </si>
  <si>
    <t>Wandsworth 010E</t>
  </si>
  <si>
    <t>MultiPolygon (((521696.24099998822202906 176129.48199999457574449, 521745.03200007404666394 176072.21999989124014974, 521720.20399991277372465 176050.11800008337013423, 521757.72700010880362242 176040.54899993928847834, 521705.39100010361289605 176002.2470000253233593, 521723.39999988977797329 175984.59900006547104567, 521691.25700003997189924 175937.17300007829908282, 521652.45600004895823076 175963.39599987195106223, 521606.53199992177542299 175924.66100012336391956, 521575.46399986319011077 175822.38300003667245619, 521600.1590001069707796 175782.15100005679414608, 521635.75999992480501533 175781.03199986909748986, 521609.28700002405093983 175737.74799992883345112, 521596.55999982909997925 175586.24700005882186815, 521717.35900015238439664 175506.57099999420461245, 521721.67599988676374778 175462.8189999999885913, 521603.50799992546672001 175474.31799985771067441, 521589.00000001443549991 175477.00000016688136384, 521458.18900010263314471 175474.38999986601993442, 521345.38399991800542921 175469.47400008217664436, 521393.99199992400826886 175528.57200004486367106, 521372.27200000360608101 175556.97600014865747653, 521396.24499989015748724 175570.58899993693921715, 521398.45999993022996932 175695.39200005639577284, 521334.57999988598749042 175836.57699987236992456, 521357.77299991744803265 175847.18799986256635748, 521327.49399989109952003 175867.35699989774730057, 521493.00000010343501344 175977.99999991146614775, 521480.13600014708936214 175997.79000011825701222, 521601.99999994732206687 176049.00000003277091309, 521634.99999999377178028 176064.99999984179157764, 521592.96399996255058795 176093.90999992561410181, 521557.50100004312116653 176128.48699989943997934, 521593.76499987870920449 176162.23399985587457195, 521624.27799993206281215 176137.77600005042040721, 521656.08700013480847701 176107.15999996563186869, 521723.92699993099085987 176167.38899999999557622, 521696.24099998822202906 176129.48199999457574449)))</t>
  </si>
  <si>
    <t>E01003857</t>
  </si>
  <si>
    <t>Richmond upon Thames 003F</t>
  </si>
  <si>
    <t>MultiPolygon (((521322.56099997565615922 175980.93699986534193158, 521323.47400009736884385 175947.52999985954375006, 521467.00000000098953024 176017.99999994793324731, 521480.13599997153505683 175997.79000010888557881, 521493.00000011688098311 175977.9999998921121005, 521327.49400012288242579 175867.35699988607666455, 521357.77300006855512038 175847.18800006399396807, 521334.580000035231933 175836.57699994265567511, 521398.46000000491039827 175695.39199995971284807, 521396.24500006652669981 175570.58899985425523482, 521372.27200005197664723 175556.97599997365614399, 521393.99200004246085882 175528.57200010522501543, 521345.38399987906450406 175469.47399991724523716, 521187.65199997357558459 175459.26900005733477883, 521096.71900010452372953 175453.85899999999674037, 521074.23099985811859369 175602.97100007266271859, 521026.91200012760236859 175607.52699993169517256, 520986.61099995486438274 175732.17899999013752677, 520984.37399988307151943 175743.14699990188819356, 521011.00000000186264515 175745.99999988696072251, 521084.00000014354009181 175751.00000009304494597, 521079.66500000306405127 175772.23600001516751945, 521157.32600014825584367 175790.79100015552830882, 521216.42699994903523475 175799.73199996590847149, 521161.91000000335043296 175994.31400005225441419, 521217.22700010938569903 176026.42999998954473995, 521249.51299997727619484 176090.98999999999068677, 521432.58700009132735431 176055.88000012023258023, 521424.5229999526636675 176022.82999990487587638, 521322.56099997565615922 175980.93699986534193158)))</t>
  </si>
  <si>
    <t>E01003858</t>
  </si>
  <si>
    <t>Richmond upon Thames 003G</t>
  </si>
  <si>
    <t>MultiPolygon (((520134.56300007301615551 175619.84399986430071294, 520130.94600005197571591 175574.41500008970615454, 520158.18800013815052807 175579.12500006449408829, 520164.25 175539.54699988962966017, 520130.43800008547259495 175535.31199987238505855, 520150.20100013172486797 175366.36099985078908503, 520154.24999982520239428 175325.50000011513475329, 520121.20100015122443438 175326.60400007187854499, 519857.09999996674014255 175333.0960001525527332, 519824.99399986409116536 175334.63999985228292644, 519783.16000010457355529 175335.42599982558749616, 519706.6239999164827168 175328.62499993477831595, 519412.29299999994691461 175212.48600000937585719, 519413.10200008196989074 175216.60100009670713916, 519429.46099982294254005 175277.07099983695661649, 519568.23700012738117948 175331.46199984743725508, 519545.85299981676507741 175498.67699998064199463, 519586.83700016676448286 175509.79399994478444569, 519581.00000012648524716 175624.00000003108289093, 519726.39500003319699317 175645.58299995420384221, 519737.88900003093294799 175597.43699982090038247, 519790.665999912598636 175611.48099992709467188, 519985.92800017877016217 175664.27100001735379919, 520158.7709999197977595 175707.65399999063811265, 520163.18799984955694526 175620.75000014345278032, 520134.56300007301615551 175619.84399986430071294)))</t>
  </si>
  <si>
    <t>E01003859</t>
  </si>
  <si>
    <t>Richmond upon Thames 005E</t>
  </si>
  <si>
    <t>E02000788</t>
  </si>
  <si>
    <t>Richmond upon Thames 005</t>
  </si>
  <si>
    <t>MultiPolygon (((520296.61299982719356194 175361.87099998552002944, 520304.99999996804399416 175329.99999993768869899, 520340.5990001042955555 175337.6969998539716471, 520365.45499999675666913 175310.8790000747248996, 520428.79699989344226196 175324.21300017787143588, 520399.99600010475842282 175240.16599982007755898, 520436 175170.99999984324676916, 520383.00000009010545909 175048.00000014191027731, 520355.90900017600506544 175063.66800016729393974, 520360.780000111379195 175102.0919998615863733, 520218.27300006500445306 175205.31299987065722235, 520173.38899991224752739 175221.34800000654649921, 520116.10900002619018778 175138.45599982645944692, 520091.00000006350455806 175159.00000007706694305, 520003.0000000754953362 175058.99999995797406882, 520009.06599995313445106 175029.17700003858772106, 519939.19499997678212821 174990.11300009896513075, 519898.40700008085696027 175058.98099995127995498, 519844.25099993532057852 175057.20499989978270605, 519876.7220000991364941 175029.3680001636967063, 519838.11299989785766229 174978.19999990263022482, 519784.61600000434555113 174981.92699993305723183, 519721.08000017353333533 174986.48299985317862593, 519749.40600015927338973 175028.12499999327701516, 519709.59399991692043841 175052.3279999814403709, 519706.2970000000204891 175253.86800009166472591, 519706.62399998115142807 175328.62500014313263819, 519783.15999989310512319 175335.42599993481417187, 519824.99399985146010295 175334.63999998351209797, 519857.10000002069864422 175333.09599987955880351, 520121.20100000128149986 175326.60400012024911121, 520154.2500001005246304 175325.49999997977283783, 520150.20100001391256228 175366.36100009354413487, 520242.25999993848381564 175376.09900009736884385, 520296.61299982719356194 175361.87099998552002944)))</t>
  </si>
  <si>
    <t>E01003804</t>
  </si>
  <si>
    <t>Richmond upon Thames 005A</t>
  </si>
  <si>
    <t>MultiPolygon (((520712.99999995017424226 175728.00000002168235369, 520701.48300005064811558 175700.88499999907799065, 520609.36099986376939341 175709.00900009239558131, 520606.67899995192419738 175660.10299986688187346, 520562.99999988690251485 175627.00000007636845112, 520514.66400000895373523 175634.84300002548843622, 520530.96900014276616275 175446.5699999584176112, 520583.29200006002793089 175413.63999995135236531, 520599.24799998465459794 175458.6090001424017828, 520678.4070000140927732 175458.52300001727417111, 520714.10699999995995313 175392.68900012236554176, 520586.84599999873898923 175381.1199999843374826, 520565.02399996790336445 175305.36299993708962575, 520464.00000013696262613 175284.99900010711280629, 520428.79700014129048213 175324.21300002772477455, 520365.45500013965647668 175310.87900000906665809, 520340.59899992914870381 175337.6970000610454008, 520305.00000006990740076 175329.999999951076461, 520296.61299989250255749 175361.8709999714337755, 520242.26000006875256076 175376.09899996069725603, 520150.20099994633346796 175366.36100011828239076, 520130.43799999996554106 175535.31200010696193203, 520164.25000003486638889 175539.54699993703979999, 520158.18800008465768769 175579.12500006833579391, 520130.9460001079714857 175574.41499990000738762, 520134.56300011114217341 175619.84400013598497026, 520163.1879999894881621 175620.75000004941830412, 520158.77099990809801966 175707.65399995999177918, 520201.12400001869536936 175720.3120000877243001, 520264.07499986537732184 175736.57100010031717829, 520451.45300013682572171 175765.5870001335570123, 520502.99900003656512126 175767.30599989293841645, 520712.85100005235290155 175744.55600000492995605, 520712.99999995017424226 175728.00000002168235369)))</t>
  </si>
  <si>
    <t>E01003807</t>
  </si>
  <si>
    <t>Richmond upon Thames 005B</t>
  </si>
  <si>
    <t>MultiPolygon (((520986.61099989095237106 175732.17900002317037433, 521026.91199998743832111 175607.52699992537964135, 521022.23299990291707218 175595.34099990368122235, 521038.86800000001676381 175490.19499994759098627, 520931.08100000850390643 175488.41599992132978514, 520910.00000011752126738 175453.00000002468004823, 520876.35099990712478757 175452.21699991723289713, 520876.52700008958345279 175489.11599992634728551, 520850.03200005640974268 175482.4830000763759017, 520836.84599991515278816 175411.97100009070709348, 520767.44400006480282173 175381.04699993730173446, 520714.10700001538498327 175392.68899991913349368, 520678.40700002084486187 175458.52300000149989501, 520599.24800002988195047 175458.60900012342608534, 520583.29200006346218288 175413.64000010120798834, 520530.96900004980852827 175446.57000000841799192, 520514.66399999998975545 175634.84299987609847449, 520563.00000005692709237 175627.00000011478550732, 520606.67900008481228724 175660.10299992290674709, 520609.36099994985852391 175709.0090000138443429, 520701.48300003097392619 175700.88499991202843376, 520712.99999989959178492 175728.00000012939563021, 520712.85099989251466468 175744.55600006270105951, 520811.93599987088236958 175732.98399992409395054, 520986.61099989095237106 175732.17900002317037433)))</t>
  </si>
  <si>
    <t>E01003808</t>
  </si>
  <si>
    <t>Richmond upon Thames 005C</t>
  </si>
  <si>
    <t>MultiPolygon (((521074.23100005899323151 175602.97099986288230866, 521096.71900006267242134 175453.85900023940484971, 521187.65200013411231339 175459.26900017831940204, 521345.3840001150383614 175469.47399976328597404, 521458.18899979529669508 175474.39000011055031791, 521431.09300017094938084 175451.3869999606104102, 521329.57599995378404856 175336.00300019921269268, 521229.88300006050849333 175192.0569999665603973, 521132.71799980843206868 174962.80100016223150305, 521116.37400000455090776 174919.65600013450603001, 521202.53199982427759096 174874.35900019109249115, 521096.92300023464486003 174549.21799999999348074, 520937.03200015320908278 174711.77799981823773123, 520891.83999980811495334 174955.76000000769272447, 520877.43599999014986679 174924.51399985700845718, 520816.43100003199651837 174960.23300014488631859, 520761.34000009536975995 174893.15999980203923769, 520690.94000009907176718 174894.62600011980975978, 520686.6250002040178515 174947.374999809457222, 520669.50100020942045376 174964.92800017353147268, 520753.44699981389567256 175143.63599991056253202, 520706.7399999734479934 175162.35299994869274087, 520709.02800000377465039 175204.46899978589499369, 520655.95399997010827065 175213.54899997092434205, 520639.51799977739574388 175127.81100013179820962, 520597.37400025897659361 175155.74899992137216032, 520565.89099974505370483 175175.61199991407920606, 520565.02400020469212905 175305.36299995248555206, 520586.84600000479258597 175381.11999977295636199, 520714.10700004489626735 175392.68899985426105559, 520767.4439999190508388 175381.04700026390491985, 520836.84600024111568928 175411.97099984739907086, 520850.03200016834307462 175482.48300015600398183, 520876.5269998696167022 175489.1159999665687792, 520876.35099990799790248 175452.2169999600155279, 520910.00000017817365006 175452.99999992761877365, 520931.08100006164750084 175488.41599999892059714, 521038.86800010240403935 175490.19499996580998413, 521022.23300024773925543 175595.34099995100405067, 521026.91200023173587397 175607.52700000000186265, 521074.23100005899323151 175602.97099986288230866)))</t>
  </si>
  <si>
    <t>E01003809</t>
  </si>
  <si>
    <t>Richmond upon Thames 005D</t>
  </si>
  <si>
    <t>MultiPolygon (((519385.67399996711174026 175732.52600000001257285, 519398.87499996350379661 175644.46899999171728268, 519564.99999997991835698 175685.99999999170540832, 519573.95800006599165499 175654.66499998784274794, 519580.99999999697320163 175624.0000000967993401, 519586.83699987834552303 175509.79400016702129506, 519545.85300001339055598 175498.67700001990306191, 519568.23700004676356912 175331.46200014176429249, 519429.46099991886876523 175277.07099995866883546, 519413.10200013360008597 175216.60100000465172343, 519412.29300012101884931 175212.48600015469128266, 519138.90300014900276437 175050.84799997112713754, 519132.48799996293382719 175048.05199999996693805, 519112.93700016947695985 175085.49799996096407995, 519275.83399992546765134 175206.42399998003384098, 519276.50700008781859651 175290.85900006609153934, 519338.00000016600824893 175266.9999999733408913, 519315.99999997147824615 175427.99999988809577189, 519303.93099984596483409 175482.31100011902162805, 519241.76499994762707502 175465.89500007691094652, 518980.83900012174854055 175396.82899985465337522, 518981.00100005912827328 175676.00000015215482563, 519002.35599986923625693 175701.82200014937552623, 519047.85199997993186116 175709.06599999385070987, 519231.47300007735611871 175705.39699997991556302, 519250.46999996248632669 175706.68600004777545109, 519357.73399990145117044 175725.22599991521565244, 519385.67399996711174026 175732.52600000001257285)))</t>
  </si>
  <si>
    <t>E01003862</t>
  </si>
  <si>
    <t>Richmond upon Thames 004D</t>
  </si>
  <si>
    <t>E02000787</t>
  </si>
  <si>
    <t>Richmond upon Thames 004</t>
  </si>
  <si>
    <t>MultiPolygon (((518818.14899996633175761 176017.33999987231800333, 518807.15600016433745623 175927.76600018271710724, 518964.02999988978262991 175808.81500018341466784, 518973.15500020020408556 175801.92800013531814329, 519029.9059998068260029 175765.53100015560630709, 519002.35599999770056456 175701.82199995443806984, 518981.0009999968460761 175675.99999998678686097, 518838.0000001136213541 175610.0000000926957, 518751.99999986425973475 175560.00000011760857888, 518771.05500007077353075 175520.57599996295175515, 518744.70499993598787114 175496.55500000002211891, 518704.55800000380259007 175514.46500003599794582, 518681.58700015535578132 175569.9580001262947917, 518582.68699986860156059 175752.49199981999117881, 518607.09799996542278677 175780.27899986499687657, 518614.81800016830675304 175798.35500004692585208, 518587.00000012904638425 175834.99999998064595275, 518547.77800006949109957 175786.57799983068252914, 518457.84199990215711296 175698.55300004527089186, 518457.96399980585556477 175786.10399981553200632, 518382.26000007690163329 175853.97099984931992367, 518313.42500019317958504 176021.64699991291854531, 518620.6249999160063453 175989.60900005255825818, 518676.1569998370250687 176282.57100003032246605, 518703.80999999528285116 176409.6220000000030268, 518876.15599992906209081 176373.9370000796916429, 518857.78599993418902159 176243.96300009248079732, 518818.14899996633175761 176017.33999987231800333)))</t>
  </si>
  <si>
    <t>E01003864</t>
  </si>
  <si>
    <t>Richmond upon Thames 002F</t>
  </si>
  <si>
    <t>E02000785</t>
  </si>
  <si>
    <t>Richmond upon Thames 002</t>
  </si>
  <si>
    <t>MultiPolygon (((520158.77100011036964133 175707.65399986298871227, 519985.92799997748807073 175664.27100018571945839, 519790.66600016190204769 175611.48099988780450076, 519737.88900017563719302 175597.43699992369511165, 519726.39500002237036824 175645.58299983211327344, 519581.00000000116415322 175623.9999998970888555, 519573.95800008851801977 175654.66500000117230229, 519565.0000001005246304 175685.99999991964432411, 519398.8749999858555384 175644.4690001322014723, 519385.67399999999906868 175732.52599994820775464, 519548.52700005832593888 175797.52500000657164492, 519756.91300017811590806 175856.84600010549183935, 519786.31900011736433953 175863.69500012756907381, 519834.12500018690479919 175887.10900007627788, 519972.83799986110534519 175838.80100001677055843, 520057.88899981853319332 175830.03700006878352724, 520132.99400016025174409 175828.11999984399881214, 520179.4070000204956159 175807.31499996001366526, 520201.12399999995250255 175720.31199984837439843, 520158.77100011036964133 175707.65399986298871227)))</t>
  </si>
  <si>
    <t>E01003865</t>
  </si>
  <si>
    <t>Richmond upon Thames 004F</t>
  </si>
  <si>
    <t>MultiPolygon (((518051.10500016208970919 174646.59699996252311394, 518027.10700018663192168 174589.42999984795460477, 517955.24800005101133138 174608.41699983211583458, 517927.38400000560795888 174572.68099980906117707, 517978.40700022166129202 174524.51299981834017672, 517952.03900014446116984 174442.16900017680018209, 517907.71899995621060953 174503.39099996999721043, 517881.25099992461036891 174481.64100003367639147, 517898.24999984964961186 174444.20299988027545623, 517859.69099980330793187 174416.0440000184753444, 517646.53200004732934758 174680.38799993635620922, 517570.82500010926742107 174696.15399999974761158, 517291.3629999115364626 174836.32300012549967505, 517235.71699999994598329 174877.58000000598258339, 517405.34499988751485944 175069.82800012268126011, 517708.81799978896742687 175268.51100011361995712, 517961.12500000221189111 175350.24999998151906766, 518143.19800007797311991 175347.12599988860893063, 518155.53099980525439605 175321.82800001310533844, 518114.306000126816798 175280.69399990924284793, 518028.56799982622032985 175142.87799982400611043, 518094.87300018832320347 174979.9769999926793389, 518091.00000015110708773 174949.00000015451223589, 518144.0000001261360012 174939.99999982441659085, 518220.1720000000204891 174932.88300004429765977, 518182.79399991774698719 174892.6559999899182003, 518078.80799997563008219 174837.77499987752526067, 518098.34500020148698241 174788.74400005349889398, 518122.67400003597140312 174658.0259997668908909, 518051.10500016208970919 174646.59699996252311394)))</t>
  </si>
  <si>
    <t>E01003876</t>
  </si>
  <si>
    <t>Richmond upon Thames 008B</t>
  </si>
  <si>
    <t>E02000791</t>
  </si>
  <si>
    <t>Richmond upon Thames 008</t>
  </si>
  <si>
    <t>MultiPolygon (((519129.21999986848095432 176258.0330001633556094, 519103.79800005740253255 176038.16799984590034001, 519148.74899986205855384 176029.53900016564875841, 519234.13699989806627855 176062.84700017495197244, 519340.81399995880201459 175878.98400000823312439, 519374.42200014158152044 176216.14700003480538726, 519424.21200014767237008 176169.20499997030128725, 519366.49499993020435795 175844.76599993076524697, 519423.65100004529813305 175836.50000000596628524, 519422.57099991402355954 175808.98000015850993805, 519527.79699995671398938 175850.53000005055218935, 519548.52700000000186265 175797.52500010552466847, 519385.67399989755358547 175732.52599992626346648, 519357.73400001862319186 175725.22599993291078135, 519250.47000004473375157 175706.68599985240143724, 519231.47300016146618873 175705.39700011815875769, 519047.85199983167694882 175709.06600003069615923, 519002.35599983524298295 175701.82199990065419115, 519029.90600008750334382 175765.53099993299110793, 518973.15500015375437215 175801.92800001267460175, 518993.11900002893526107 175832.21400012771482579, 518844.01100000005681068 175945.99200012665824033, 518874.21000013878801838 176149.1140001660969574, 518956.55600012803915888 176170.76499988586874679, 519039.7740000014891848 176159.50200016933376901, 519046.67300005536526442 176216.0179999848769512, 519055.10099991178140044 176289.08199991285800934, 519092.15499990980606526 176303.39400009936071001, 519133.22899990709265694 176297.43400010577170178, 519129.21999986848095432 176258.0330001633556094)))</t>
  </si>
  <si>
    <t>E01003848</t>
  </si>
  <si>
    <t>Richmond upon Thames 004A</t>
  </si>
  <si>
    <t>MultiPolygon (((520668.06699985219165683 176023.66200015955837443, 520670.99300012766616419 176014.66000021499348804, 520828.34600015392061323 176023.13000020000617951, 520797.67400022834772244 175975.75600020770798437, 520829.68799987219972536 175972.06400000920984894, 520815.42500019096769392 175929.27499996972619556, 520829.87800000002607703 175902.40399984689429402, 520821.51399991335347295 175776.1239999347308185, 520749.83100007515167817 175769.3079999512701761, 520755.38599986810004339 175883.73099981958512217, 520689.76499990973388776 175917.76699990121414885, 520712.85099998902296647 175744.55600005105952732, 520502.99900017847539857 175767.30600020827841945, 520451.45300024130847305 175765.58699994027847424, 520264.07499976299004629 175736.57099998611374758, 520201.12399994977749884 175720.3119999737245962, 520179.40699992928421125 175807.31499976656050421, 520132.99400016153231263 175828.12000006978632882, 520057.88900004437891766 175830.03699984730337746, 519972.83799975126748905 175838.80099988856818527, 519834.125 175887.1089997649542056, 519945.01800021901726723 175983.75500006193760782, 520068.08800014690496027 176122.24400019706808962, 520213.77499999315477908 176273.52300002623815089, 520405.10000006848713383 176120.10000010178191587, 520665.42000010772608221 176030.7310000694997143, 520668.06699985219165683 176023.66200015955837443)))</t>
  </si>
  <si>
    <t>E01003855</t>
  </si>
  <si>
    <t>Richmond upon Thames 003D</t>
  </si>
  <si>
    <t>MultiPolygon (((518457.96399997168919072 175786.10399984737159684, 518457.84199981938581914 175698.55299992670188658, 518547.77799995895475149 175786.57799953251378611, 518586.99999977857805789 175834.99999988023773767, 518614.81799968390259892 175798.35500036552548409, 518607.09799989673774689 175780.27899980582878925, 518582.68700017995433882 175752.49199967036838643, 518681.587000000057742 175569.95800017085275613, 518642.15600031137000769 175553.4460002726118546, 518592.47100042295642197 175673.84299989053397439, 518551.02100003504892811 175698.44499976118095219, 518439.24599988589761779 175558.60199980949983001, 518379.26699970179470256 175573.45599980468978174, 518376.99999990663491189 175570.99999971993383951, 518387.71900040248874575 175530.2489996743388474, 518367.52200044499477372 175502.79600029368884861, 518404.93400037154788151 175469.66600019589532167, 518330.97799969674088061 175432.61600006051594391, 518350.05499977734871209 175400.15399959811475128, 518401.2750004215631634 175292.99999969312921166, 518217.15499987982911989 175201.60700006264960393, 518187.34999991435324773 175246.82499956106767058, 518114.30600011651404202 175280.69400009722448885, 518155.53099984728032723 175321.82800038269488141, 518143.19800020998809487 175347.12599986221175641, 517961.12500034103868529 175350.24999958236003295, 517708.81800015614135191 175268.51099964856985025, 517405.34500034688971937 175069.82799997410620563, 517235.71700000920100138 174877.58000016532605514, 516989.09999965887982398 175095.69999984736205079, 516807.30000000004656613 175329.39999990834621713, 516841.30000007746275514 175716.30000032926909626, 516879.70000040752347559 175913.79999971791403368, 516928.14699999522417784 176000.61599986584042199, 517451.08200022421078756 176299.88999983464600518, 517794.0320003479719162 176170.64100043018697761, 518019.43800022802315652 176170.42200030281674117, 518313.4250001814798452 176021.64700037258444354, 518382.25999988062540069 175853.97099965956294909, 518457.96399997168919072 175786.10399984737159684)))</t>
  </si>
  <si>
    <t>E01003860</t>
  </si>
  <si>
    <t>Richmond upon Thames 002E</t>
  </si>
  <si>
    <t>MultiPolygon (((518592.47099982807412744 175673.84299991099396721, 518642.15599994565127417 175553.44600013899616897, 518681.58699997770600021 175569.9579999229463283, 518704.55800018802983686 175514.46500011783791706, 518744.70500005240319297 175496.55499983663321473, 518771.05499984219204634 175520.57599994511110708, 518752.00000013579847291 175560.00000009243376553, 518838.00000014033867046 175609.99999998847488314, 518981.00100000004749745 175676.00000018734135665, 518980.8390001030638814 175396.82900000707013533, 518855.5119999909074977 175361.37800007994519547, 518815.56199982919497415 175351.38999981584493071, 518833.68099983368301764 175274.98300003190524876, 518758.00000015390105546 175270.99999992179800756, 518748.35899985069409013 175335.73099984548753127, 518684.03700012189801782 175319.29100018550525419, 518581.55800000834278762 175272.85700006355182268, 518515.37099999678321183 175270.8280001349048689, 518389.73899999604327604 175230.15099999457015656, 518264.49200014898087829 175190.74099999867030419, 518217.15500000002793968 175201.60699999207281508, 518401.27499986992916092 175292.99999986079637893, 518350.05500003765337169 175400.1539998754451517, 518330.97800003876909614 175432.61600013074348681, 518404.93400018604006618 175469.66600013733841479, 518367.5219998107641004 175502.79600014231982641, 518387.71900008292868733 175530.24900004878873006, 518376.99999996065162122 175571.00000006190384738, 518379.26700017176335678 175573.45599983455031179, 518439.24599993450101465 175558.60199997707968578, 518551.02100013918243349 175698.44500000131665729, 518592.47099982807412744 175673.84299991099396721)))</t>
  </si>
  <si>
    <t>E01003861</t>
  </si>
  <si>
    <t>Richmond upon Thames 004C</t>
  </si>
  <si>
    <t>MultiPolygon (((512705.14400008367374539 172895.81299974769353867, 512718.71900012588594109 172813.29700026073260233, 512824.13700028270250186 172741.95700005482649431, 512885.03099996218224987 172747.23400017846142873, 512934.59399976657005027 172809.40600001951679587, 513105.469000224606134 172812.74999978166306391, 513146.40600012405775487 172879.40499993789126165, 513203.70600023842416704 172872.57600010427995585, 513247.29099977406440303 172850.92700007781968452, 513585.06299999996554106 172677.48399971262551844, 513459.80400027672294527 172564.41400014917599037, 513249.67100023140665144 172410.09499995259102434, 513062.8630000512348488 172274.23399991361657158, 513050.96000017889309675 172265.55100025230785832, 513032.63100016908720136 172388.24499996443046257, 513029.72699978289892897 172454.9269997620722279, 513079.59200028260238469 172470.27200023419572972, 512846.00099997798679397 172605.00000008966890164, 512773.83800019900081679 172646.73000002480694093, 512757.51200024143327028 172580.00500017785816453, 512726.02300004713470116 172574.15100003776024096, 512713.29900014732265845 172611.89100027640233748, 512666.589999959920533 172618.16399994297535159, 512658.0020000851363875 172587.69300006903358735, 512546.98199971433496103 172590.54899980922346003, 512448.26599994406569749 172692.55599983161664568, 512429.92399999999906868 172761.16399984841700643, 512553.90300001599825919 172693.05800013823318295, 512562.7019998908508569 172799.19199992009089328, 512603.8310000640922226 172846.63500026357360184, 512643.52400016324827448 172817.80799999012378976, 512705.14400008367374539 172895.81299974769353867)))</t>
  </si>
  <si>
    <t>E01002604</t>
  </si>
  <si>
    <t>Hounslow 026A</t>
  </si>
  <si>
    <t>E02000551</t>
  </si>
  <si>
    <t>Hounslow 026</t>
  </si>
  <si>
    <t>E09000018</t>
  </si>
  <si>
    <t>Hounslow</t>
  </si>
  <si>
    <t>MultiPolygon (((513050.96000017260666937 172265.55099980958038941, 512847.20000008371425793 172114.90000004909234121, 512845.67799990699859336 172068.88999996133497916, 512972.18099999421974644 171977.09799991294858046, 512784.00799996592104435 171844.79699979833094403, 512781.5630000401288271 171842.32599980296799913, 512748.97300018701935187 171809.48999999996158294, 512716.90199996787123382 171825.79700008744839579, 512725.15499991562683135 171865.92700002496712841, 512542.91300009348196909 171904.39499986192095093, 512543.93099979090038687 171840.88299991816165857, 512513.22199983551399782 171861.81200017040828243, 512430.29700015438720584 171952.5319997972692363, 512294.37900016544153914 172099.77800015421235003, 512350.77699987677624449 172178.07100009461282752, 512432.51200020528631285 172131.40499986137729138, 512523.72800006467150524 172259.32599984700209461, 512586.11099986906629056 172368.02699982281774282, 512569.68700009642634541 172419.69399993095430546, 512622.81700007850304246 172428.26399987368495204, 512682.99999982386361808 172465.0000000667932909, 512706.41699981107376516 172527.68599995755357668, 512715.06799979344941676 172548.45499987824587151, 512726.02300011325860396 172574.15099979779915884, 512757.51200006291037425 172580.00499987846706063, 512773.83800005633383989 172646.73000000001047738, 512846.00099998246878386 172605.00000009563518688, 513079.59199983457801864 172470.27199987799394876, 513029.7270001694560051 172454.92699985328363255, 513032.63100018043769524 172388.24499995951191522, 513050.96000017260666937 172265.55099980958038941)))</t>
  </si>
  <si>
    <t>E01002605</t>
  </si>
  <si>
    <t>Hounslow 026B</t>
  </si>
  <si>
    <t>MultiPolygon (((516342.89299990504514426 175382.11899978923611343, 516313.50699999462813139 175339.24399987142533064, 516519.63900012557860464 175334.60200016613816842, 516413.5650000722380355 175147.4630001570621971, 516386.92100006924010813 175057.92300013432395644, 516336.54100003582425416 174943.16599996222066693, 516331.03099978202953935 174902.96899978388682939, 516367.59500012348871678 174866.60800003694021143, 516350.26599992130650207 174798.0540001162153203, 516375.58900022529996932 174755.65599990601185709, 516363.87500024365726858 174704.15599989812471904, 516403.89200019661802799 174616.37700023496290669, 516426.28100008930778131 174552.15599976447992958, 516339.21399982395814732 174445.35600015302770771, 516314.49999982106965035 174437.6720000000204891, 516232.62499983969610184 174544.17200005950871855, 516137.04799984785495326 174543.83800004771910608, 516081.14899984590010718 174771.35700003590318374, 515973.99999987438786775 174823.00000023379107006, 515986.49999981874134392 174836.25099998718360439, 515982.07499987998744473 174980.80400003388058394, 516145.99800023494753987 175011.77600002993131056, 516131.19299998582573608 175056.47900005077826791, 516205.47200004511978477 175261.01099993582465686, 516223.74099999642930925 175297.35399975907057524, 516257.69399984768824652 175375.8000001918990165, 516295.9999999429564923 175375.00099976273486391, 516321.99999998533166945 175426, 516342.89299990504514426 175382.11899978923611343)))</t>
  </si>
  <si>
    <t>E01002671</t>
  </si>
  <si>
    <t>Hounslow 020C</t>
  </si>
  <si>
    <t>E02000545</t>
  </si>
  <si>
    <t>Hounslow 020</t>
  </si>
  <si>
    <t>MultiPolygon (((516081.1490000679041259 174771.35700007533887401, 516137.04799999995157123 174543.83799999582697637, 516075.13699997088406235 174517.49199986606254242, 515963.40599991811905056 174363.24999988821218722, 515945.52699996216688305 174287.13400011032354087, 515882.62500004004687071 174236.35899987097945996, 515709.98800016927998513 174271.97799985657911748, 515645.43800006527453661 174161.31500011545722373, 515615.76800007611745968 174173.00200006706290878, 515587.31300012650899589 174254.34399995396961458, 515521.15599982155254111 174332.04699985857587308, 515503.24299985356628895 174320.18800018142792396, 515492.92799989657942206 174319.78900005109608173, 515396.28099998255493119 174429.45300009762286209, 515376.71900000004097819 174498.98399987714947201, 515433.38099996786331758 174678.2369998802896589, 515676.00000016944250092 174755.00099993270123377, 515684.26499993621837348 174721.93799984725774266, 515690.00000001327134669 174678.00000000870204531, 515669.5220001307898201 174610.10199988025124185, 515702.99999994970858097 174480.00000009959330782, 515735.36699981073616073 174462.2999998381419573, 515920.30100018490338698 174501.86100003647152334, 515905.8980001198942773 174570.19199992713402025, 515961.29999997629784048 174589.94899996765889227, 515944.3270000732736662 174645.77600016485666856, 515893.42600001289974898 174629.00699995405739173, 515830.24299997993512079 174602.14600010009598918, 515796.56899989023804665 174632.19699981066514738, 515782.21799986605765298 174678.45200001244666055, 515811.2600000350503251 174711.88500013967859559, 515780.9869998432113789 174736.74400013341801241, 515884.45100008381996304 174750.37199989004875533, 515874.00000007858034223 174797.00000001167063601, 515973.99999994051177055 174822.99999988454510458, 516081.1490000679041259 174771.35700007533887401)))</t>
  </si>
  <si>
    <t>E01002672</t>
  </si>
  <si>
    <t>Hounslow 020D</t>
  </si>
  <si>
    <t>MultiPolygon (((513823.33900015079416335 173009.4229997907532379, 513696.00000002409797162 172964.99999988585477695, 513691.0000001274747774 172996.00000021848245524, 513642.94700017105787992 172939.62000012915814295, 513548.81900001002941281 172998.09199978687684052, 513568.00000019237631932 173030.99999993736855686, 513427.51700009097112343 173119.50099988310830668, 513302.99999991845106706 173192.99999986268812791, 513068.99999997718259692 173335.00000020151492208, 512978 173391.0010001553746406, 513163.89400018658488989 173429.60600001260172576, 513132.11100011237431318 173474.76499980458174832, 513234.66199994907947257 173569.8979998390423134, 513215.47299998922972009 173654.95100009255111217, 513468.1420001913793385 173708.31099987082416192, 513477.50699988845735788 173706.41399980234564282, 513485.6349999689264223 173704.770999860833399, 513674.84899986739037558 173664.17100011609727517, 513863.0779999999795109 173627.43099988976609893, 513849.13199987180996686 173569.39199986137100495, 513856.63900001993170008 173534.8649999869230669, 513846.43499992607394233 173376.34999999709543772, 513762.46299986622761935 173246.23600021316087805, 513784.37199985131155699 173125.05700002631056122, 513823.33900015079416335 173009.4229997907532379)))</t>
  </si>
  <si>
    <t>E01003842</t>
  </si>
  <si>
    <t>Richmond upon Thames 013C</t>
  </si>
  <si>
    <t>E02000796</t>
  </si>
  <si>
    <t>Richmond upon Thames 013</t>
  </si>
  <si>
    <t>MultiPolygon (((513937.26199995417846367 172925.6549999458657112, 513867.70300018432317302 172877.83800017126486637, 513823.33900010731304064 173009.42299982637632638, 513784.3720001801266335 173125.05699980628560297, 513762.46299999998882413 173246.23600017768330872, 513846.43499983084620908 173376.35000008088536561, 513856.63900019321590662 173534.86500011125463061, 513849.13199992058798671 173569.3919998696364928, 513863.07800000853603706 173627.43099982870626263, 513900.91299997980240732 173620.02300015086075291, 514147.38799988845130429 173570.17200002682511695, 514192.76099995704134926 173560.89099985049688257, 514235.90500003023771569 173552.07100009985151701, 514539.3929998122039251 173491.57999985839705914, 514549.03099999995902181 173489.71900002786424011, 514497.75599992170464247 173452.60999996087048203, 514290.00000016251578927 173294.99900017320760526, 514230.98600000696023926 173229.75699982128571719, 514059.37499987846240401 173018.59400004104827531, 513937.26199995417846367 172925.6549999458657112)))</t>
  </si>
  <si>
    <t>E01003844</t>
  </si>
  <si>
    <t>Richmond upon Thames 013E</t>
  </si>
  <si>
    <t>MultiPolygon (((513302.99999992281664163 173192.99999987267074175, 513427.51699974463554099 173119.50100009251036681, 513567.99999996705446392 173030.99999978981213644, 513548.81900020054308698 172998.09200023487210274, 513642.94700012682005763 172939.62000013465876691, 513691.00000008952338248 172995.99999999010469764, 513695.99999996909173205 172964.99999970843782648, 513823.3389999846694991 173009.42299976627691649, 513867.7029999999795109 172877.83800014245207421, 513764.79799992183689028 172802.31899979905574583, 513708.29399990075035021 172763.52900008810684085, 513689.36699990334454924 172749.5880002107587643, 513585.06300021091010422 172677.4840002054697834, 513247.29099997377488762 172850.92699982423800975, 513203.70600002992432564 172872.57600017203367315, 513146.40599981613922864 172879.40500008492381312, 513105.4690003001014702 172812.75000009773066267, 512934.59399982041213661 172809.40599996334640309, 512885.03099971666233614 172747.23399987514130771, 512824.13700008153682575 172741.95700002461671829, 512718.71899978187866509 172813.29699983852333389, 512705.14400032098637894 172895.81299978020251729, 512696.59399989707162604 172955.53099968945025466, 512582.20100000000093132 172999.00599986989982426, 512671.28100004477892071 173106.23899980058195069, 512607.0000002333545126 173144.99999987191404216, 512624.81700010574422777 173174.92900023108813912, 512784.13000020117033273 173081.21399995987303555, 512858.20299976336536929 173199.92200007050996646, 512915.16599984309868887 173225.97700003292993642, 512978.99999975704122335 173187.99999999310239218, 512980.99999983742600307 173190.0000000734871719, 513048.53599998052231967 173300.01899971440434456, 513069.00000016018748283 173334.99999979452695698, 513302.99999992281664163 173192.99999987267074175)))</t>
  </si>
  <si>
    <t>E01003845</t>
  </si>
  <si>
    <t>Richmond upon Thames 013F</t>
  </si>
  <si>
    <t>MultiPolygon (((516576.25200005923397839 174827.80799999998998828, 516578.94799993821652606 174786.85799986607162282, 516623.0000001264270395 174801.00000004738103598, 516624.0000000805594027 174662.00100012181792408, 516574.04600016440963373 174646.04599999924539588, 516583.8819999533588998 174508.27800016172113828, 516625.0000000346917659 174498.60299989624763839, 516633.9999999517458491 174465.99999990925425664, 516559.64500013284850866 174461.13299994578119367, 516596.8259999243891798 174427.03299992650863715, 516624.4320000396692194 174370.70400005532428622, 516621.99999984243186191 174405.00000006824848242, 516669.04999996046535671 174412.70700000700890087, 516725.49399991543032229 174325.48599989814101718, 516684.69899983704090118 174289.75600003940053284, 516676.39599985704990104 174215.88400011061457917, 516618.53299988072831184 174195.8969999302062206, 516604.90900005964795128 174223.85200016209273599, 516443.95599992317147553 174167.98199999998905696, 516431.00000002660090104 174205.00000000550062396, 516359.74100013432325795 174217.26799999168724753, 516314.32400008453987539 174224.79300012486055493, 516335.70700007159030065 174337.06300007505342364, 516395.00000002852175385 174321.99999991685035639, 516412.66300000145565718 174384.95700012531597167, 516375.41900002345209941 174395.33400015931692906, 516374.00000000209547579 174428.00000000291038305, 516339.21400000510038808 174445.35600009351037443, 516426.28100002469727769 174552.15599994492367841, 516403.89199995581293479 174616.3770001191587653, 516363.87500005419133231 174704.15599990024929866, 516375.58899990346981212 174755.65599984713480808, 516576.25200005923397839 174827.80799999998998828)))</t>
  </si>
  <si>
    <t>E01003866</t>
  </si>
  <si>
    <t>Richmond upon Thames 007A</t>
  </si>
  <si>
    <t>E02000790</t>
  </si>
  <si>
    <t>Richmond upon Thames 007</t>
  </si>
  <si>
    <t>MultiPolygon (((515396.28100023232400417 174429.45300017052795738, 515492.92800019285641611 174319.78899983543669805, 515503.24299989792052656 174320.18799997979658656, 515521.1559998580487445 174332.0470000673958566, 515587.31299996952293441 174254.34399991552345455, 515615.76800007250858471 174173.00200012308778241, 515645.43799992563435808 174161.3150002297188621, 515709.98800009384285659 174271.97800021842704155, 515882.62500016600824893 174236.35899976070504636, 515945.52700004971120507 174287.13400024094153196, 516049.8679998746374622 174317.09100004390347749, 516084.60299994656816125 174280.97200007634819485, 516061.0939999166294001 174258.98300003889016807, 516074.74600004410604015 174210.13299979295697995, 515927.03899984859162942 174151.03699998793308623, 515877.24099980242317542 174097.46400020437431522, 516090.68200006277766079 174116.3659998181683477, 516093.518999999971129 174085.52200006839120761, 516090.66599996533477679 174045.92600016682990827, 516016.28299979702569544 174033.32000013170181774, 516018.41499998152721673 173946.88700002303812653, 516050.92199977184645832 173955.99300007551210001, 516079.78099977533565834 173918.21199992109904997, 516058.75600012327777222 173872.39999995278776623, 516035.09300019161310047 173911.28700019925599918, 515914.27700020442716777 173871.19600005628308281, 515879.17200013430556282 173915.8710000790306367, 515888.48599999066209421 173969.83999995817430317, 515837.52600024291314185 174019.07299976324429736, 515734.55700011854059994 174044.8519997819676064, 515711.51700023259036243 174119.77400009392295033, 515652.81600018177414313 174089.01500009986921214, 515630.61499995022313669 174029.81499990518204868, 515728.37899985647527501 173971.95900009400793351, 515456.17099993582814932 173946.75199977983720601, 515434.00000019191065803 173896.99999983102316037, 515458.35300012014340609 173848.29499982824199833, 515489.81800020823720843 173784.06599999984609894, 515393.82099975674645975 173749.98099992470815778, 515254.49700005620252341 173783.68600000173319131, 515225.93400014884537086 173747.06600018302560784, 515177.00000000087311491 173776.99999993728124537, 515166.00000005529727787 173873.99999994487734511, 515131.23400012985803187 173897.11800012306775898, 515133.24000021751271561 173908.47999977419385687, 515118.05200000002514571 174005.81599987763911486, 515141.84400007734075189 174319.43700012983754277, 515240.90599978208774701 174539.28099991951603442, 515318.87500003015156835 174649.85900015250081196, 515419.49999977595871314 174674.81200007777079009, 515433.38100004865555093 174678.23699981693062, 515376.71900013403501362 174498.98400016775121912, 515396.28100023232400417 174429.45300017052795738)))</t>
  </si>
  <si>
    <t>E01003867</t>
  </si>
  <si>
    <t>Richmond upon Thames 011A</t>
  </si>
  <si>
    <t>E02000794</t>
  </si>
  <si>
    <t>Richmond upon Thames 011</t>
  </si>
  <si>
    <t>MultiPolygon (((516754.99900014000013471 174346.99999994796235114, 516818.69799992290791124 174264.85600005689775571, 516869.58200005767866969 174327.26200001713004895, 516904.09500004857545719 174266.70700008902349509, 516989.9999999976134859 174219.00000000614090823, 517004.00000013562384993 174154.00000010782969184, 517041.9670000656042248 174150.12600010106689297, 517011.90599986800225452 174119.4690000356931705, 517038.53099991905037314 174089.04700005284394138, 516949.97300003824057057 174031.47400011430727318, 516944.60300014243694022 174028.97599993602489121, 516921.60300008073681965 173997.16399990112404339, 516738.17799998546252027 173888.9289998676686082, 516713.9390000561834313 173876.10800000000745058, 516685.5990000416059047 173941.71799998969072476, 516674.46200001356191933 174000.14400010617100634, 516667.40299995086388662 174035.05199997164891101, 516657.61599995469441637 174092.69199990795459598, 516583.61600013263523579 174017.8030000341241248, 516504.51700008247280493 174053.05500007324735634, 516493.99999993434175849 174114.00000012601958588, 516623.35999998525949195 174163.41200009518070146, 516618.53299989446531981 174195.89700007284409367, 516676.39600005152169615 174215.88400002112030052, 516684.69900002039503306 174289.75600006722379476, 516725.49400007870281115 174325.48599998676218092, 516669.05000002437736839 174412.70699987836997025, 516672.46399994334205985 174453.41300000000046566, 516754.99900014000013471 174346.99999994796235114)))</t>
  </si>
  <si>
    <t>E01003868</t>
  </si>
  <si>
    <t>Richmond upon Thames 007B</t>
  </si>
  <si>
    <t>MultiPolygon (((516232.62500015285331756 174544.17199999999138527, 516314.4999999413266778 174437.67200000074808486, 516339.21399994741659611 174445.35599986842134967, 516374.0000000920263119 174428.00000013306271285, 516375.41899979289155453 174395.33400012701167725, 516412.66300013271393254 174384.95699996646726504, 516394.99999977700645104 174321.99999991338700056, 516335.70699984353268519 174337.06300007388927042, 516314.32400005467934534 174224.79299998021451756, 516359.74099988117814064 174217.26799983225646429, 516431.00000000343425199 174205.00000007165363058, 516443.95599988999310881 174167.98199982001096942, 516604.9089998101699166 174223.85200018488103524, 516618.53300009976373985 174195.89700005599297583, 516623.35999980056658387 174163.41200009084423073, 516493.99999995261896402 174113.99999994633253664, 516504.51699996198294684 174053.05499991844408214, 516583.61600011575501412 174017.80299988089245744, 516419.01299979258328676 173859.68600010560476221, 516363.77600009209709242 173820.45800006808713078, 516254.33799984096549451 173747.28399987335433252, 516095.6119998735957779 173649.85000000000582077, 516029.00000015745172277 173763.99999998029670678, 516011.82700016704620793 173805.45199996742303483, 516058.7559997919597663 173872.40000003622844815, 516079.78099980123806745 173918.21199997921939939, 516050.92200021399185061 173955.99299998840433545, 516018.41499992762692273 173946.88699996957438998, 516016.2829997765365988 174033.31999992171768099, 516090.66599989880342036 174045.92600018615485169, 516093.51900021050823852 174085.52199986466439441, 516090.68200021371012554 174116.36599989593378268, 515877.24100019945763052 174097.46400002832524478, 515927.03900000388966873 174151.03700006889994256, 516074.74600003118393943 174210.13300009365775622, 516061.09399986121570691 174258.98299979732837528, 516084.60299979493720457 174280.97200022227480076, 516049.86800015100743622 174317.09099982838961296, 515945.52699988405220211 174287.13399998290697113, 515963.40600001934217289 174363.24999983751331456, 516075.13699984538834542 174517.49199986792518757, 516137.04799999296665192 174543.83799979844479822, 516232.62500015285331756 174544.17199999999138527)))</t>
  </si>
  <si>
    <t>E01003869</t>
  </si>
  <si>
    <t>Richmond upon Thames 011B</t>
  </si>
  <si>
    <t>MultiPolygon (((515879.17200016736751422 173915.87099982670042664, 515914.27699985733488575 173871.1959999828832224, 516035.0929999525542371 173911.28699986526044086, 516058.75599986931774765 173872.39999976783292368, 516011.82700014126021415 173805.45200006716186181, 516029.0000000522704795 173763.99999988815397955, 516095.61199999996460974 173649.84999982241424732, 515997.78499994362937286 173594.88499997113831341, 515892.40999990300042555 173543.70800003461772576, 515883.31700025533791631 173540.02599999401718378, 515835.37500007054768503 173520.60899991384940222, 515693.99500025494489819 173470.40200021199416369, 515515.2900002179085277 173427.11400013824459165, 515467.26200012507615611 173417.98899990131030791, 515264.61799978063208982 173398.22699973493581638, 515023.31400000001303852 173404.19100004126084968, 515092.49899990856647491 173749.20200011227279902, 515131.23400015605147928 173897.11799990938743576, 515165.99999980319989845 173873.99999974033562467, 515176.99999994930112734 173776.99999986580223776, 515225.93400017061503604 173747.0660001891956199, 515254.49699983559548855 173783.68599986148183234, 515393.82100012886803597 173749.9809999464196153, 515489.81799979775678366 173784.0659997544134967, 515458.35299984423909336 173848.29500022393767722, 515433.99999975506216288 173896.99999994825338945, 515456.17099994537420571 173946.75200001816847362, 515728.37900017341598868 173971.95900021665147506, 515630.61499976913910359 174029.81500018748920411, 515652.81600017676828429 174089.01500024247798137, 515711.51699992368230596 174119.77400026511168107, 515734.55700006388360634 174044.85200017539318651, 515837.52599983417894691 174019.07299976557260379, 515888.48599989671492949 173969.83999996990314685, 515879.17200016736751422 173915.87099982670042664)))</t>
  </si>
  <si>
    <t>E01003870</t>
  </si>
  <si>
    <t>Richmond upon Thames 011C</t>
  </si>
  <si>
    <t>MultiPolygon (((516834.94300018972717226 175133.89799999998649582, 517121.73600016813725233 174856.69599984167143703, 517231.43999976955819875 174766.27099979971535504, 517000.48899985238676891 174485.40599985796143301, 516924.53800015733577311 174392.34899997498723678, 516905.93800003232900053 174369.45299984328448772, 516928.37600019056117162 174348.50000007581547834, 517019.15599976945668459 174347.70300014133681543, 517035.77399985684314743 174256.95000018496648408, 517041.96700003283331171 174150.12599999998928979, 517003.99999997537815943 174154.00000018576974981, 516990.0000001615844667 174219.00000019959406927, 516904.09500009188195691 174266.70700021673110314, 516869.58199991588480771 174327.26200008433079347, 516818.69800020748516545 174264.85600024234736338, 516754.99899980460759252 174347.0000001133303158, 516672.46400024415925145 174453.41300003218930215, 516669.05000004026805982 174412.70700017214403488, 516621.99999985622707754 174404.99999997433042154, 516624.43199983343947679 174370.704000226163771, 516596.82599990809103474 174427.03299989184597507, 516559.64500023040454835 174461.13299979316070676, 516634.00000004796311259 174465.99999976030085236, 516624.99999978119740263 174498.60300020372960716, 516583.88200014265021309 174508.27799988797050901, 516574.04599977610632777 174646.04599988006521016, 516623.99999997013946995 174662.00100010898313485, 516623.00000015913974494 174800.9999999073043, 516578.94799989153398201 174786.85799998362199403, 516576.25199977931333706 174827.8079998939356301, 516599.08900015283143148 174872.0449999617994763, 516651.82099982292857021 174861.02199997549178079, 516683.2629997730255127 174809.72199997969437391, 516724.9040001523680985 174870.36500022024847567, 516704.99999991175718606 174938.99999989886418916, 516727.99999999231658876 174989.43000014265999198, 516797.35899978794623166 174979.57300017902161926, 516834.94300018972717226 175133.89799999998649582)))</t>
  </si>
  <si>
    <t>E01003872</t>
  </si>
  <si>
    <t>Richmond upon Thames 007D</t>
  </si>
  <si>
    <t>MultiPolygon (((514426.78899998887209222 173118.4060000829922501, 514445.22100000863429159 173094.93199993076268584, 514618.87799978308612481 173248.50199994139256887, 514637.36899999994784594 173197.52299996707006358, 514598.48599980684230104 173125.24699991525267251, 514508.8209999940590933 173031.58600012803799473, 514478.48800017865141854 172948.51299979668692686, 514506.04000016511417925 172906.51200020217220299, 514454.57300002535339445 172894.97200004442129284, 514422.00000007270136848 172939.99999991964432411, 514325.01399999315617606 172794.71799993683816865, 514072.0079998483415693 172670.60200007472303696, 513955.99999996018595994 172706.00000012153759599, 513843.45999991754069924 172670.73000013243290596, 513821.21699980896664783 172771.54700006436905824, 513764.79799999995157123 172802.31899994812556542, 513867.7029999460792169 172877.83799999623443, 513937.26200019777752459 172925.6549998676055111, 514059.37499980453867465 173018.59399994288105518, 514230.98599989735521376 173229.75699997818446718, 514290.00000011950032786 173294.99900014483137056, 514497.75600000272970647 173452.60999992527649738, 514537.72399991465499625 173412.33100000268314034, 514500.99600009992718697 173386.22700017818715423, 514549.55599984951550141 173319.83199996215989813, 514481.68999980884836987 173275.84899984224466607, 514528.26400004012975842 173217.92300011057523079, 514449.37100003892555833 173153.47599981832900085, 514426.78899998887209222 173118.4060000829922501)))</t>
  </si>
  <si>
    <t>E01003901</t>
  </si>
  <si>
    <t>Richmond upon Thames 015D</t>
  </si>
  <si>
    <t>E02000798</t>
  </si>
  <si>
    <t>Richmond upon Thames 015</t>
  </si>
  <si>
    <t>MultiPolygon (((513821.21699999051634222 172771.54699983869795687, 513843.45999998622573912 172670.729999848670559, 513956.00000013964017853 172706.0000001285225153, 514072.00799998035654426 172670.60199983231723309, 514325.01400008704513311 172794.71800013611209579, 514384.81399998493725434 172727.92000018028193153, 514441.05000000004656613 172677.57899983608513139, 514276.1530001608771272 172561.57000014983350411, 514299.23799981758929789 172527.9880000397679396, 514062.86400014063110575 172440.50699987533153035, 513962.21100010286318138 172439.58599995804252103, 513829.16499988362193108 172370.87199987200438045, 513816.3650000806665048 172413.89000015676720068, 513855.00500016123987734 172436.69899993852595799, 513764.00700018304632977 172501.55599996130331419, 513795.63500016945181414 172543.6719999591296073, 513762.99999999144347385 172605.99999999668216333, 513742.00000001140870154 172759.99999997255508788, 513708.29399999999441206 172763.52900013132602908, 513764.79800002643605694 172802.31900012798723765, 513821.21699999051634222 172771.54699983869795687)))</t>
  </si>
  <si>
    <t>E01003902</t>
  </si>
  <si>
    <t>Richmond upon Thames 015E</t>
  </si>
  <si>
    <t>MultiPolygon (((513816.36499986291164532 172413.89000023729749955, 513829.16499971505254507 172370.87200017244322225, 513962.2109997111838311 172439.58599972754018381, 514012.5719999999855645 172398.36300002984353341, 513950.7989998513367027 172240.82700007868697867, 513854.16099991538794711 171666.48399971245089546, 513739.43299995036795735 171695.72799992130603641, 513545.43800025345990434 171751.89100021767080761, 513433.03899993892991915 171771.71900017571169883, 513202.59300013800384477 171872.11999988291063346, 512972.18100012757349759 171977.09800011094193906, 512845.6780000000144355 172068.89000011986354366, 512847.20000026485649869 172114.89999983363668434, 513050.96000012115109712 172265.55100020481040701, 513062.86299980379408225 172274.234000236436259, 513249.67100016871700063 172410.09500014848890714, 513459.80399977427441627 172564.41399994964012876, 513585.06299988005775958 172677.48399990441976115, 513689.3669997999095358 172749.58799981328775175, 513708.29400005924981087 172763.5290002875844948, 513741.99999988451600075 172760.00000010398798622, 513763.00000017072306946 172605.99999995008693077, 513795.6350001780083403 172543.67199992685345933, 513764.00699993694433942 172501.55600017227698117, 513855.0049997593741864 172436.69900011798017658, 513816.36499986291164532 172413.89000023729749955)))</t>
  </si>
  <si>
    <t>E01003903</t>
  </si>
  <si>
    <t>Richmond upon Thames 015F</t>
  </si>
  <si>
    <t>MultiPolygon (((514939.56299994530854747 173286.03199985667015426, 515091.89600012038135901 173119.1220001534675248, 515099.73600003944011405 173104.84100015976582654, 515043.48799995600711554 173106.12100016785552725, 515025.68399991426849738 173152.80699993812595494, 515006.97199993743561208 173136.35400002312962897, 515004.52699983911588788 173134.28999998833751306, 514980.18599993950920179 173115.03300015890272334, 515005.37699991243425757 173096.54599994569434784, 515009.76400009641656652 173096.25000006341724657, 515010.67799990921048447 173082.39900000448687933, 515001.79600000259233639 173070.42299983100383542, 514898.63300011894898489 173027.71199994315975346, 514920.12399999785702676 172988.23499990452546626, 514888.32199993560789153 172960.3450001387973316, 514847.18600013246759772 172938.7710000379011035, 514826.43799989816034213 172972.66699987143510953, 514798.57099983771331608 172961.64199997441028245, 514842.99999985325848684 172897.0000001288135536, 514850.98000005044741556 172870.93200011097360402, 514857.66199991054600105 172849.10399996771593578, 514816.28100005554733798 172835.53300011710962281, 514803.4030001726350747 172876.3800000692717731, 514781.99999989208299667 172864.99999992674565874, 514678.02999992860713974 172793.95999999999185093, 514644.93400014360668138 172821.24700005134218372, 514672.9389998271362856 172854.85299988035694696, 514508.82099993503652513 173031.58599997035344131, 514598.48600004595937207 173125.2470000576286111, 514637.36900001292815432 173197.52299984541605227, 514618.87799988122424111 173248.50199997573508881, 514445.2210000769700855 173094.93200013390742242, 514426.78899996058316901 173118.40600013264338486, 514449.37100004608510062 173153.47600004696869291, 514528.264000148861669 173217.92299986552097835, 514481.68999983574030921 173275.84899984809453599, 514549.55600008217152208 173319.83199990703724325, 514500.99599988426780328 173386.22700003682984971, 514537.72400010528508574 173412.33100001685670577, 514497.75600015732925385 173452.6100000632868614, 514549.03100016992539167 173489.71900000001187436, 515000.06300000660121441 173408.00000008326605894, 515006.79299993225140497 173406.89599996758624911, 515023.31399985309690237 173404.19099994914722629, 514939.56299994530854747 173286.03199985667015426)))</t>
  </si>
  <si>
    <t>E01003904</t>
  </si>
  <si>
    <t>Richmond upon Thames 015G</t>
  </si>
  <si>
    <t>MultiPolygon (((514545.79400005447678268 174387.27300003374693915, 514583.10899981099646538 174376.7400001269124914, 514873.28100012190407142 174381.06200024773715995, 514964.28500022832304239 174435.37700016077724285, 515005.63600019237492234 174433.21399994657258503, 515077.5310001841862686 174509.39100010035326704, 515240.90599999995902181 174539.28099997036042623, 515141.84399977576686069 174319.43700007000006735, 515118.0519999639946036 174005.81599995773285627, 514902.01300004153745249 173999.92100005410611629, 514795.50400005729170516 174009.84799985770951025, 514724.83200020872754976 174008.58600022218888626, 514654.96900009852834046 174006.62800005663302727, 514610.9459998729871586 174002.66300024351221509, 514610.11800010222941637 173967.03200010352884419, 514341.00000024074688554 173947.00000005625770427, 514323.20600007066968828 174026.81099989649374038, 514222.57499985175672919 173983.82900010544108227, 514220.00000016571721062 174027.99999976300750859, 514382.79099975171266124 174108.12400016403989866, 514381.2860000028158538 174185.43799982234486379, 514477.43499974615406245 174247.55699980305507779, 514202 174330.99999995515099727, 514215.40599990938790143 174363.32600012185866944, 514320.77400008152471855 174378.191000139224343, 514305.14400007273070514 174550.60699994370224886, 514477.50999992870492861 174532.77800006943289191, 514545.79400005447678268 174387.27300003374693915)))</t>
  </si>
  <si>
    <t>E01003905</t>
  </si>
  <si>
    <t>Richmond upon Thames 010A</t>
  </si>
  <si>
    <t>E02000793</t>
  </si>
  <si>
    <t>Richmond upon Thames 010</t>
  </si>
  <si>
    <t>MultiPolygon (((514341.00000018923310563 173947.00000008335337043, 514344.14100000582402572 173908.00200019610929303, 514390.96300017507746816 173910.44400014152051881, 514402.14300011744489893 173728.10499981173779815, 514466.35100013861665502 173692.97200014704139903, 514429.00000000436557457 173871.99999982604640536, 514474.99999981123255566 173889.00000003154855222, 514477.29199994460213929 173930.00800011691171676, 514560.15699979854980484 173914.31500011880416423, 514547.44799980812240392 173719.91999999349354766, 514630.40800016565481201 173718.41399999585701153, 514666.53399999544490129 173686.29700002138270065, 514750.01500000001396984 173657.17300011124461889, 514660.81900011014658958 173580.77000017440877855, 514539.39300005341647193 173491.5800000392482616, 514235.90500008955132216 173552.07100001469370909, 514192.76099986210465431 173560.89099991452530958, 514147.38799989782273769 173570.17199979137512855, 513900.91300000005867332 173620.02299982699332759, 513909.87499989737989381 173666.74999991714139469, 513957.98099979903781787 173658.5460001680185087, 513949.03999989235308021 173757.33699997709481977, 514155.22600017354125157 173802.79000020909006707, 514132.53299989103106782 173854.32500004192115739, 514131.61500005656853318 173901.07699981771293096, 514168.55900012917118147 173915.29399986550561152, 514185.34699994372203946 173891.1069999439350795, 514195.74100017483578995 173964.6259998892492149, 514222.57500001136213541 173983.8289999038388487, 514323.20600003347499296 174026.81099996069679037, 514341.00000018923310563 173947.00000008335337043)))</t>
  </si>
  <si>
    <t>E01003909</t>
  </si>
  <si>
    <t>Richmond upon Thames 010E</t>
  </si>
  <si>
    <t>MultiPolygon (((514795.50400004157563671 174009.84800012462073937, 514902.01299995061708614 173999.92100000608479604, 515118.05199983797501773 174005.81600001256447285, 515133.23999999999068677 173908.48000006237998605, 515131.23399999336106703 173897.11800018316716887, 515092.49900016648462042 173749.20199992338893935, 515023.3140000460552983 173404.19099987536901608, 515006.79299983498640358 173406.8959999680519104, 515000.06299986288649961 173407.99999987610499375, 514549.03099993977230042 173489.71900011974503286, 514539.39299986249534413 173491.58000000426545739, 514660.81899998121662065 173580.77000011742347851, 514750.01500012405449525 173657.17299984782584943, 514666.5339998907293193 173686.2969999288325198, 514630.40800007845973596 173718.41399994076346047, 514547.44799984409473836 173719.91999985411530361, 514560.15699984156526625 173914.31500016860081814, 514477.2919998784782365 173930.00799985442426987, 514475.0000000434811227 173889.00000008835922927, 514429.00000017636921257 173872.00000008579809219, 514466.35099990031449124 173692.97199982730671763, 514402.14300000492949039 173728.10500008182134479, 514390.96299983642529696 173910.44399986154166982, 514344.14099986979272217 173908.00200007780222222, 514341 173946.99999981746077538, 514610.11800006421981379 173967.03200014168396592, 514610.9460001933039166 174002.66300008347025141, 514654.9689999989932403 174006.62800006262841634, 514724.83199990366119891 174008.58599983213935047, 514795.50400004157563671 174009.84800012462073937)))</t>
  </si>
  <si>
    <t>E01003910</t>
  </si>
  <si>
    <t>Richmond upon Thames 011D</t>
  </si>
  <si>
    <t>MultiPolygon (((518016.11200009833555669 178732.48800006503006443, 518035.21599999046884477 178642.99299997219350189, 518070.69999987323535606 178651.37099993065930903, 518076.99999980791471899 178585.00000011990778148, 518119.15900007029995322 178537.33299988711951301, 518110.11300001229392365 178506.6770000823889859, 518150.10600016574608162 178488.24499981966800988, 518161.42300002416595817 178423.27900011977180839, 518247.31200000003445894 178327.4500000775733497, 518187.99999995605321601 178325.00000005841138773, 518076.46399983618175611 178300.53399988138698973, 517930.56700020015705377 178305.65999982852372341, 517848.00000002986053005 178298.00000010908115655, 517792.08499980031047016 178291.76399987170589156, 517765.64499980956315994 178284.94100004163919948, 517756.02399995166342705 178327.96299994504079223, 517641.15999992919387296 178278.91299982322379947, 517627.06800014729378745 178307.36199992598267272, 517592.68899993924424052 178373.24600002201623283, 517545.08199987385887653 178344.55099995466298424, 517567.0190000919974409 178302.65299989929189906, 517534.05599990516202524 178276.52699990244582295, 517498.31699991237837821 178308.93100001322454773, 517529.46899997832952067 178384.66899985534837469, 517586.06400010024663061 178511.87499998981365934, 517470.79199990164488554 178446.84399990798556246, 517445.16000000003259629 178481.23400002642301843, 517713.96400008589262143 178643.78400005400180817, 517721.35900006844894961 178679.98099996132077649, 517695.74999987008050084 178822.06200009759049863, 517738.82300019660033286 178814.53199993880116381, 517901.33499987743562087 178767.48200018459465355, 518016.11200009833555669 178732.48800006503006443)))</t>
  </si>
  <si>
    <t>E01002564</t>
  </si>
  <si>
    <t>Hounslow 003B</t>
  </si>
  <si>
    <t>E02000528</t>
  </si>
  <si>
    <t>Hounslow 003</t>
  </si>
  <si>
    <t>MultiPolygon (((517586.063999860198237 178511.87499996501719579, 517529.46899987396318465 178384.66899970834492706, 517498.31700031756190583 178308.93100000114645809, 517534.05599985778098926 178276.52699989374377765, 517567.01899983221665025 178302.65299990747007541, 517545.08199998352210969 178344.55099973001051694, 517592.68900022195884958 178373.24600026055122726, 517627.06799970741849393 178307.36199990380555391, 517641.15999971400015056 178278.91299974720459431, 517756.02399973117280751 178327.96300001721829176, 517765.64500000886619091 178284.94100005834479816, 517792.08500001247739419 178291.76400015506078489, 517847.99999997136183083 178298.00000001196167432, 517908 178157.99999994511017576, 517760.96399974066298455 178083.85300030579674058, 517785.9169997715507634 178054.31199979424127378, 517627.5389996922458522 177978.63699979759985581, 517601.9670002848142758 178014.37500013035605662, 517584.15799995022825897 177998.76000031645526178, 517613.64500006521120667 177971.00299970235209912, 517568.36500002298271284 177947.69799969234736636, 517501.93200025463011116 178134.13500021590152755, 517460.24500017892569304 178111.97099976270692423, 517340.78900027245981619 178035.15200000815093517, 517335.72400004940573126 178031.84500030340859666, 516948.49999975133687258 177772.50000003498280421, 516702.3949997509480454 177818.61899980387534015, 516634.12500018539140001 177927.92200008619693108, 516618.69999999995343387 178193.93299981168820523, 516738.34600017953198403 178340.27699988390668295, 516785.00000014062970877 178320.99999999071587808, 516785.00000014062970877 178369.99999991740332916, 516878.98899994237581268 178255.03999991150340065, 516962.59400010685203597 178246.33799978080787696, 517000.89999981503933668 178194.62599985100678168, 517067.18600004387553781 178092.60799969159415923, 517089.39100023708306253 178126.58499994961312041, 517053.65900030650664121 178190.44799999360111542, 517132.24599974550073966 178288.48100012514623813, 517197.92900016624480486 178210.55299995050881989, 517244.67199986166087911 178220.79000004826229997, 517223.23699992703041062 178289.44100001215701923, 517292.90499973093392327 178355.52899986141710542, 517289.28899994166567922 178359.99499968491727486, 517319.72899968933779746 178382.46699972581700422, 517445.16000000719213858 178481.23400028131436557, 517470.79200021334690973 178446.84399984360788949, 517586.063999860198237 178511.87499996501719579)))</t>
  </si>
  <si>
    <t>E01002565</t>
  </si>
  <si>
    <t>Hounslow 006B</t>
  </si>
  <si>
    <t>E02000531</t>
  </si>
  <si>
    <t>Hounslow 006</t>
  </si>
  <si>
    <t>MultiPolygon (((519360.90599999995902181 178342.79699975319090299, 519308.3360000352258794 178314.79700007574865595, 519018.43699975655181333 178096.95799989558872767, 518989.28099975973600522 178052.39099971335963346, 518999.58199978846823797 177916.20500017105950974, 518688.19999984657624736 177894.49999989758362062, 518538.26299990579718724 177835.32499971377546899, 518417.92000000871485099 177767.0179997241939418, 518398.999999935971573 177797.00000000500585884, 518349.54999971919460222 177771.48400000733090565, 518295.4070002700900659 177962.44500004386645742, 518268.10399998317006975 177963.16699992574285716, 518258.05900017730891705 177983.71300017274916172, 518311.6239997599623166 178028.45199998241150752, 518357.90000022307503968 178019.76299973545246758, 518362.80300006427569315 178093.53599972432130016, 518423.15999978833133355 178116.07400018480257131, 518386.64999998087296262 178145.11700007176841609, 518397.46999977203086019 178215.5029999909165781, 518291.74799978022929281 178188.40500021463958547, 518252.16600023000501096 178186.73600013353279792, 518188 178325.00000028949580155, 518247.31199970981106162 178327.44999977012048475, 518558.01299987197853625 178322.21199979522498325, 518562.99999972223304212 178367.99999981507426128, 518413.8100001547136344 178612.54200021788710728, 518618.28199997759656981 178622.09599987335968763, 518819.49500013532815501 178810.99900027579860762, 518987.89999970950884745 178705.72900013698381372, 518980.96199974790215492 178505.0339998392155394, 519106.30900018120883033 178479.87699997774325311, 519187.23100005654850975 178448.8659998798975721, 519360.90599999995902181 178342.79699975319090299)))</t>
  </si>
  <si>
    <t>E01002566</t>
  </si>
  <si>
    <t>Hounslow 003C</t>
  </si>
  <si>
    <t>MultiPolygon (((517998.00000005727633834 178064.99999995157122612, 517966.45100010978057981 177959.96500010069576092, 518042.3610001023625955 177912.43399993606726639, 518085.00099991622846574 177912.00000004630419426, 518136.23400002426933497 177762.42099989060079679, 518077.81099991785595194 177728.30700006548431702, 517977.12500008789356798 177684.03100002816063352, 517920.43799985857913271 177636.65599993383511901, 517928.01899989246157929 177609.60699998351628892, 517834.06400001916335896 177551.99999995119287632, 517801.21899987908545882 177602.62500007884227671, 517777.78999992087483406 177588.3980000960000325, 517721.58200010913424194 177555.15300006922916509, 517717.48400003626011312 177553.04000010175514035, 517661.10200013389112428 177522.05799999996088445, 517605.22300014627398923 177700.96299997612368315, 517558.65599997574463487 177753.20299993248772807, 517569.6540000019595027 177943.08200011975714006, 517568.36499994102632627 177947.69800007139565423, 517613.64500008820323274 177971.00299992482177913, 517584.15800010348903015 177998.76000014520832337, 517601.96700000017881393 178014.37500014191027731, 517627.53899985377211124 177978.63700000094831921, 517785.91700004175072536 178054.31200002829427831, 517760.96400005737086758 178083.85300007401383482, 517908.00000011303927749 178158, 517964.70500004471978173 178099.04400005089701153, 517998.00000005727633834 178064.99999995157122612)))</t>
  </si>
  <si>
    <t>E01002567</t>
  </si>
  <si>
    <t>Hounslow 006C</t>
  </si>
  <si>
    <t>MultiPolygon (((518187.9999999008141458 178325, 518252.16600005654618144 178186.73599992840900086, 518291.74800014501670375 178188.40499987074872479, 518397.47000009869225323 178215.50299996125977486, 518386.65000002406304702 178145.11700016938266344, 518423.15999998588813469 178116.07399999161134474, 518362.80299990519415587 178093.53599983843741938, 518357.89999998616985977 178019.7630001146462746, 518311.62399998999899253 178028.45199995135772042, 518258.05899991147452965 177983.71300016180612147, 518268.10400017187930644 177963.16699985644663684, 518295.4069999972707592 177962.44499996516969986, 518349.54999990668147802 177771.4840000533440616, 518398.99999999965075403 177797.00000011452357285, 518417.91999989881878719 177767.0179999859246891, 518206.37299987795995548 177627.54999999998835847, 518175.01100007112836465 177680.01800015338812955, 518144.11099986248882487 177752.07599996880162507, 518136.23399991117184982 177762.42099997733021155, 518085.00099992973264307 177911.99999991719960235, 518042.36099997715791687 177912.43400003632996231, 517966.45099985308479518 177959.96499993195175193, 517997.99999995389953256 178065.00000012770760804, 517964.70500003581400961 178099.04399997016298585, 517907.99999985058093444 178158.00000015311525203, 517848.0000000141444616 178298.00000000387080945, 517930.56699997471878305 178305.65999989557894878, 518076.46399990492500365 178300.53400010336190462, 518187.9999999008141458 178325)))</t>
  </si>
  <si>
    <t>E01002568</t>
  </si>
  <si>
    <t>Hounslow 003D</t>
  </si>
  <si>
    <t>MultiPolygon (((511714.90600000001722947 176323.9219998660555575, 511680.32400007621617988 176056.03099994387594052, 511675.37900009378790855 176021.54099987936206162, 511664.93800009012920782 175954.11099990151706152, 511618.00799995276611298 175946.35000013106036931, 511612.56799994083121419 175907.16799996985355392, 511559.48299982969183475 175875.52799985479214229, 511513.13700004830025136 175876.40399984308169223, 511520.23899986612377688 175933.97899986174888909, 511470.94800001569092274 175955.22099982437794097, 511451.27300010313047096 175931.36400005492032506, 511436.8940000748843886 175992.52400014401064254, 511476.00200012000277638 176003.80600013019284233, 511481.54300004470860586 176057.45700012659654021, 511399.00000012567033991 176073.99999999135616235, 511388.04500014131190255 176138.6789998801832553, 511326.03799991286359727 176173.0930001400411129, 511216.00000004126923159 176119.99999981978908181, 511132.00000003835884854 176109.99999988870695233, 511128.20099982881220058 176037.19900006611715071, 511109.93899994093226269 176074.74200011347420514, 511049.76399996201507747 176055.82999996276339516, 510987.48200000001816079 176086.30499999001040123, 511049.10500000941101462 176149.06300003034994006, 511061.8519999249256216 176192.90899991994956508, 511121.64399989281082526 176216.71099988819332793, 511183.72999982256442308 176446.43199991961591877, 511067.76100001408485696 176512.69199986080639064, 511090.35299999103881419 176556.72700014521251433, 511445.2510001512710005 176413.29599997401237488, 511486.99999995552934706 176398.24199993861839175, 511614.86899990384699777 176358.0020001228840556, 511639.15600000385893509 176353.51599995617289096, 511714.90600000001722947 176323.9219998660555575)))</t>
  </si>
  <si>
    <t>E01002587</t>
  </si>
  <si>
    <t>Hounslow 016A</t>
  </si>
  <si>
    <t>E02000541</t>
  </si>
  <si>
    <t>Hounslow 016</t>
  </si>
  <si>
    <t>MultiPolygon (((512724.69499992550117895 177338.75800000000162981, 512765.63700001238612458 177306.25300018006237224, 512796.66399998485576361 177326.43800001402269118, 512870.99999992793891579 177204.00100005025160499, 512843.78599997801939026 177187.8730000200739596, 512860.35200016899034381 177142.32899982223170809, 512814.47799987613689154 177090.08599998487625271, 512908.30399999645305797 177046.82099989976268262, 512893.51700017892289907 177003.98800007771933451, 513066.08000015671132132 176992.14500015971134417, 513124.26500001677777618 176936.58900003915186971, 513114.56600003386847675 176727.37000000599073246, 513048.71099986170884222 176779.88599995657568797, 513060.49900001822970808 176829.86199985805433244, 513030.55100002116523683 176847.49899990647099912, 512994.02500016504200175 176819.33300004087504931, 512824.8849999934900552 176807.03100012944196351, 512831.67999990336829796 176913.08199988468550146, 512659.90000011632218957 176950.5790000318957027, 512643.21599990292452276 176855.21599986215005629, 512621.61399988073389977 176811.61799992393935099, 512772.99499992252094671 176757.24399986618664116, 512805.14199999772245064 176702.00699996462208219, 512750.77699997730087489 176616.83200002260855399, 512748.13600006094202399 176615.5609998879081104, 512717.31899994082050398 176661.47300016859662719, 512640.09299994033062831 176663.69200015999376774, 512584.1650000594672747 176628.20599999057594687, 512567.93100018374389037 176575.75200000000768341, 512502.28900000359863043 176625.83800018747569993, 512544.5460001106839627 176739.54200009963824414, 512412.78599998319987208 176811.57499995778198354, 512414.99900007696123794 176815.99999984438181855, 512459.00099986558780074 177069.00399999675573781, 512504.418999923102092 177062.33700006589060649, 512532.34299984620884061 177118.48699997595394962, 512587.19899995025480166 177088.68699987116269767, 512637.53399989724857733 177095.9650001281988807, 512670.93099989305483177 177303.25099999795202166, 512724.69499992550117895 177338.75800000000162981)))</t>
  </si>
  <si>
    <t>E01002618</t>
  </si>
  <si>
    <t>Hounslow 011A</t>
  </si>
  <si>
    <t>E02000536</t>
  </si>
  <si>
    <t>Hounslow 011</t>
  </si>
  <si>
    <t>MultiPolygon (((512831.68000015459256247 176913.0819999625091441, 512824.88500023557571694 176807.0309999400342349, 512994.0250000967644155 176819.33300014503765851, 513030.5510000204667449 176847.49899977853056043, 513060.49899994506267831 176829.86200015764916316, 513048.71100002928869799 176779.88600021999445744, 513114.56600020150654018 176727.36999996739905328, 513119.4879998475080356 176696.41400005802279338, 513231.37500012759119272 176722.79699992417590693, 513224.97800013481173664 176614.3650000469351653, 513127.28100017638644204 176614.90600015094969422, 513102.67599980888189748 176490.31799978215713054, 513074.25000015826663002 176387.78100006093154661, 512999.03100002225255594 176424.37499998172279447, 512908.28099977812962607 176324.35899993937346153, 513061.18800001440104097 176231.07799996016547084, 513029.593999792879913 176202.23399978980887681, 513114.03099984244909137 176194.65599994704825804, 513098.56299994391156361 175988.15599999998812564, 513046.59100014908472076 176008.79100019915495068, 512792.5640001161955297 176162.23700014327187091, 512819.99999997939448804 176211.00000014741090126, 512796.06599996506702155 176224.82899993268074468, 512815.03399979742243886 176261.15999996388563886, 512721.81200019782409072 176282.50299990602070466, 512756.14499997557140887 176319.8629999918921385, 512709.23500013205921277 176384.09599980953498743, 512635.02699985331855714 176381.81999982285196893, 512597.85699987248517573 176414.22700013665598817, 512608.87399983569048345 176501.03599994230899028, 512781.21700022381264716 176561.00600001472048461, 512748.13600016559939831 176615.56100022175814956, 512750.77700003742938861 176616.83200009612482972, 512805.14200013945810497 176702.0070000572304707, 512772.9949998427182436 176757.24400014991988428, 512621.61400019162101671 176811.61799986942787655, 512643.21600019338075072 176855.21599996913573705, 512659.89999989786883816 176950.57899999999790452, 512831.68000015459256247 176913.0819999625091441)))</t>
  </si>
  <si>
    <t>E01002621</t>
  </si>
  <si>
    <t>Hounslow 011B</t>
  </si>
  <si>
    <t>MultiPolygon (((512030.85099985165288672 176896.2170000349287875, 512064.26100016926648095 176884.28499998230836354, 512025.11599988245870918 176895.31199991554603912, 512007.44300003111129627 176858.41100012822425924, 512267.72900008043507114 176812.95100012482726015, 512226.36000002379296347 176753.11299998627509922, 512196.73800008365651593 176761.14199994309456088, 512173.40200016461312771 176658.71799992557498626, 512125.48100011539645493 176658.2529998965037521, 512069.79299993487074971 176737.58600017361459322, 512010.21799985290272161 176704.32200012131943367, 512008.92900012905010954 176619.36899998268927447, 512073.9989999893005006 176576.00000015270779841, 512185.99999998760176823 176597.00000010905205272, 512220.00000002817250788 176494.99999998739804141, 512105.75999990745913237 176467.77399986292584799, 512178.79500011494383216 176417.32699992708512582, 512110.9999999210704118 176381.93000011570984498, 512154.09600010822759941 176307.39700015119160526, 512135.05100003548432142 176230.19499994951183908, 512103.06400004791794345 176250.11600005693617277, 512066.94099983444903046 176177.55999999999767169, 511923.04000010271556675 176241.41000012308359146, 511714.90600009582703933 176323.92200016690185294, 511639.15599991957424209 176353.51599986420478672, 511774.69300012569874525 176384.50799995282432064, 511785.15600011660717428 176427.15400007419520989, 511806.27799985202727839 176513.18199991577421315, 511888.32100011012516916 176754.19000015157507733, 511912.1839999842341058 176760.69899993800208904, 511931.96000005747191608 176789.85000001956359483, 511987.6240001410478726 176956.25299999996786937, 512035.31700004794402048 176941.56600007656379603, 512030.85099985165288672 176896.2170000349287875)))</t>
  </si>
  <si>
    <t>E01002622</t>
  </si>
  <si>
    <t>Hounslow 010B</t>
  </si>
  <si>
    <t>E02000535</t>
  </si>
  <si>
    <t>Hounslow 010</t>
  </si>
  <si>
    <t>MultiPolygon (((512544.54599993751617149 176739.54199995804810897, 512502.289000098942779 176625.83799987594829872, 512567.93099989602342248 176575.75199994328431785, 512584.16499989078147337 176628.20600015358650126, 512640.09299981570802629 176663.69200009127962403, 512717.31899988552322611 176661.47300004048156552, 512748.13599988567875698 176615.56100012102979235, 512781.21699999994598329 176561.00600006032618694, 512608.87399997061584145 176501.03599997333367355, 512597.85700003238162026 176414.22700015557347797, 512567.00099987437715754 176375.00000007604830898, 512370.1319999712286517 176434.74199989368207753, 512323.37200002541067079 176357.59599997929763049, 512257.18600017495919019 176339.74300013453466818, 512223.62099983438383788 176220.59499983943533152, 512171.00000006693881005 176246.99999997197301127, 512135.05099995824275538 176230.19499996307422407, 512154.09600007318658754 176307.3970000249100849, 512111.0000000664149411 176381.93000017496524379, 512178.79500018182443455 176417.32700009894324467, 512105.76000011479482055 176467.77399987893295474, 512220.00000011886004359 176495.00000007706694305, 512186.00000006705522537 176596.9999998462444637, 512073.99900005612289533 176576.00000015497789718, 512008.92900000000372529 176619.36900010830140673, 512010.21800002915551886 176704.32199994850088842, 512069.79299990349682048 176737.58599988266360015, 512125.48100013419752941 176658.25300005695316941, 512173.40199993766145781 176658.71800006774719805, 512196.73800015327287838 176761.1419998501369264, 512226.35999993048608303 176753.11299994654837064, 512318.98400016583036631 176718.21399989959900267, 512377.63600003701867536 176826.53900016052648425, 512414.99900000757770613 176816.00000015704426914, 512412.7859998622443527 176811.57499997937702574, 512544.54599993751617149 176739.54199995804810897)))</t>
  </si>
  <si>
    <t>E01002623</t>
  </si>
  <si>
    <t>Hounslow 011C</t>
  </si>
  <si>
    <t>MultiPolygon (((512370.13200014864560217 176434.7419998372788541, 512567.00100008625304326 176375.00000018696300685, 512597.85699995385948569 176414.22700013325084001, 512635.02700003859354183 176381.81999994927900843, 512709.23499988479306921 176384.09599991081631742, 512756.14499993599019945 176319.86299999908078462, 512721.81200015149079263 176282.5030001163831912, 512815.0339998672134243 176261.15999999290215783, 512796.06599985365755856 176224.82899988384451717, 512820 176210.99999987060436979, 512792.56399988406337798 176162.23699987574946135, 512747.71899981668684632 176187.84299997598282062, 512711.68799996329471469 176142.54700002755271271, 512670.21899991628015414 175922.92199997094576247, 512716.77699985826620832 175899.02800005947938189, 512706.75799981597810984 175846.59500016272068024, 512682.34900017478503287 175859.30199987499509007, 512611.19900010054698214 175897.74900013551814482, 512548.02700007514795288 175931.86100007180357352, 512398.1409998454619199 176010.54299987250124104, 512336.93199984490638599 176042.80500005211797543, 512269.56399987847544253 176076.6700000251585152, 512066.9409999999916181 176177.56000004010275006, 512103.0639999418053776 176250.11600004986394197, 512135.05099991848692298 176230.19500010649790056, 512170.99999993044184521 176247.0000000502623152, 512223.62099987693363801 176220.59499983265413903, 512257.18599997088313103 176339.74300002172822133, 512323.37200003699399531 176357.59600017077173106, 512370.13200014864560217 176434.7419998372788541)))</t>
  </si>
  <si>
    <t>E01002624</t>
  </si>
  <si>
    <t>Hounslow 017A</t>
  </si>
  <si>
    <t>E02000542</t>
  </si>
  <si>
    <t>Hounslow 017</t>
  </si>
  <si>
    <t>MultiPolygon (((513056.00000003247987479 177554.9999998843704816, 513057.80599990917835385 177522.48699975767522119, 513168.70699975086608902 177542.85899993675411679, 513226.07399974018335342 177463.68499988064286299, 513301.05199983238708228 177549.32899975069449283, 513297.68899997335392982 177492.64199980386183597, 513417.12600001896498725 177498.11300011142157018, 513537.25000011682277545 177473.23400013850186951, 513563.65600025653839111 177229.74999988358467817, 513432.78100011154310778 177228.68700013714260422, 513524.84999980824068189 177106.68499976047314703, 513508.79600021569058299 177063.62399986953823827, 513558.06900023994967341 176975.60100000310922042, 513449.00000000942964107 177014.9999999200226739, 513436.00000022252788767 176951.00000011589145288, 513407.8489999893354252 176956.80900014017242938, 513404.08100024476880208 176918.35900003713322803, 513356.76099977403646335 176941.11099983679014258, 513312.16299977782182395 176922.57499987800838426, 513341.14499981130938977 176871.49300004832912236, 513314.33700024284189567 176807.13100004143780097, 513370.6450000386685133 176761.09899978165049106, 513374.88599998981226236 176691.36100020312005654, 513480.057000219123438 176685.88899974329979159, 513488.14599995093885809 176658.38199987960979342, 513441.13600021402817219 176622.77999989854288287, 513294.10199980210745707 176570.93600021384190768, 513234.96299983258359134 176506.64199999999254942, 513224.97800024948082864 176614.36500016503850929, 513231.37500003713648766 176722.79700003578909673, 513119.48800002824282274 176696.4140002298518084, 513114.56599988229572773 176727.36999984615249559, 513124.26499974576290697 176936.58899987119366415, 513066.07999982335604727 176992.14499975048238412, 513048.56600023282226175 177025.18099977626116015, 513014.24300014844629914 177133.0499999939056579, 513066.2809998017619364 177472.84399989672238007, 512972.00399974349420518 177537.1550000588176772, 512975.31200020480901003 177562.768999999971129, 513056.00000003247987479 177554.9999998843704816)))</t>
  </si>
  <si>
    <t>E01002628</t>
  </si>
  <si>
    <t>Hounslow 011D</t>
  </si>
  <si>
    <t>MultiPolygon (((513905.08799974201247096 177067.15399978865752928, 513878.18900026840856299 176930.93699970215675421, 513826.71899985842173919 176936.01600004470674321, 513827.79600000934442505 176903.9959999721031636, 513690.15100019879173487 176909.38699973531765863, 513652.00099973438773304 176871.00000005116453394, 513699.1969997197156772 176765.36499976672348566, 513710.92499985365429893 176679.83999990878510289, 513749.96700025320751593 176672.04999994693207555, 513691.68500019883504137 176503.6569997776823584, 513683.79599980381317437 176485.29600000716163777, 513638.46800020162481815 176346.22400010746787302, 513533.46000006183749065 176173.12200002721510828, 513510.84400012547848746 175960.29699992973473854, 513232.11799994215834886 175955.77199999999720603, 513098.5629999753437005 175988.15600029620691203, 513114.03100001474376768 176194.65599983924767002, 513029.59399988944642246 176202.23399984880234115, 513061.18800018797628582 176231.07799977590912022, 512908.28100008238106966 176324.35900001629488543, 512999.03099974652286619 176424.37499983076122589, 513074.25000018591526896 176387.78099972914787941, 513102.6759998167399317 176490.31800017302157357, 513127.28099973278585821 176614.90599995903903618, 513224.97800012264633551 176614.36500019670347683, 513234.96299980854382738 176506.64200009906198829, 513294.10199998412281275 176570.93599985336186364, 513441.13600001065060496 176622.77999983410700224, 513488.14600014529423788 176658.38199993257876486, 513480.05700021394295618 176685.88899989172932692, 513374.88600022112950683 176691.36100006382912397, 513370.64499974099453539 176761.09900001916685142, 513314.33699974609771743 176807.13099983640131541, 513341.14500006329035386 176871.49299994876491837, 513312.16300015023443848 176922.57499990292126313, 513356.76100003544706851 176941.11099994240794331, 513404.08099972136551514 176918.35899988954770379, 513407.84900019760243595 176956.80899995836080052, 513436.00000009103678167 176950.9999998988059815, 513448.99999993888195604 177015.0000002566666808, 513558.06899971677921712 176975.60100007601431571, 513508.79600009962450713 177063.6239999660756439, 513524.85000026179477572 177106.68499974726000801, 513644.40599993511568755 177149.64100008670357056, 513828.34400021418696269 177155.09400000004097819, 513926.12499991757795215 177113.56200024543795735, 513905.08799974201247096 177067.15399978865752928)))</t>
  </si>
  <si>
    <t>E01002629</t>
  </si>
  <si>
    <t>Hounslow 011E</t>
  </si>
  <si>
    <t>MultiPolygon (((514477.66299999988405034 177016.23099993605865166, 514442.79099988465895876 176804.39100008833338507, 514447.81299982819473371 176526.09400006395298988, 514365.13499982660869136 176547.21400013857055455, 514347.06800017680507153 176552.90999994476442225, 514116.06299984827637672 176648.35800012576510198, 514043.97299994016066194 176639.12500013297540136, 513935.99999991629738361 176618.13999992364551872, 513916.19400004443014041 176618.37000004586298019, 513849.59400016331346706 176633.81200015870854259, 513766.6950001681689173 176732.18100011645583436, 513749.96700011513894424 176672.05000008069328032, 513710.92499984853202477 176679.84000009120791219, 513699.19699997507268563 176765.36499991282471456, 513652.00099999998928979 176871.00000009807990864, 513690.15100004035048187 176909.38699981026002206, 513827.79599989362759516 176903.99599995970493183, 513829.66500018478836864 176868.15599990813643672, 514235.69000020163366571 176956.86699985369341448, 514374.97800014348467812 176990.23400020139524713, 514477.66299999988405034 177016.23099993605865166)))</t>
  </si>
  <si>
    <t>E01002630</t>
  </si>
  <si>
    <t>Hounslow 012A</t>
  </si>
  <si>
    <t>E02000537</t>
  </si>
  <si>
    <t>Hounslow 012</t>
  </si>
  <si>
    <t>MultiPolygon (((511642.01000003726221621 177118.57700015633599833, 511611.52000006433809176 176945.79700004073674791, 511708.29499975853832439 176932.89400017505977303, 511696.1389999984530732 176871.41899976783315651, 511630.35300016176188365 176838.25499982153996825, 511668.16500004346016794 176780.94200021421420388, 511888.32100024714600295 176754.19000021190731786, 511806.27800017484696582 176513.18199981597717851, 511785.15600018523400649 176427.15400003248942085, 511774.69299980218056589 176384.50799979973817244, 511639.1560000324388966 176353.51600000000325963, 511614.86900003079790622 176358.00200005699298345, 511487.00000000261934474 176398.2420001522405073, 511445.25099998502992094 176413.2960000692110043, 511090.3530001922044903 176556.7270002253644634, 510927.9059999649762176 176624.08800021250499412, 510934.82700010068947449 176727.34100007882807404, 510923.13699986127903685 176995.92500009917421266, 510912.52999975287821144 177023.16099977522389963, 511235.35600005683954805 177081.81000013806624338, 511176.37700005277292803 177283.11999999493127689, 511215.84699998557334766 177285.20699977959156968, 511275.44500006182352081 177096.27999980858294293, 511505.85800011828541756 177076.93200013469322585, 511495.06500009400770068 177044.19599994117743336, 511505.33400021545821801 177045.26799978435155936, 511516.99999991763615981 177115.99999981402652338, 511535.69400019344175234 177352.99700000003213063, 511627.0890000574872829 177352.97599990473827347, 511622.02700009965337813 177251.47199983618338592, 511660.77399996441090479 177225.87900000042282045, 511642.01000003726221621 177118.57700015633599833)))</t>
  </si>
  <si>
    <t>E01002635</t>
  </si>
  <si>
    <t>Hounslow 010D</t>
  </si>
  <si>
    <t>MultiPolygon (((514447.81299984734505415 176526.09399999942979775, 514505.08700010657776147 176521.10499997998704202, 514672.24500006361631677 176529.31200012940098532, 514672.58799999998882413 176485.37200016915448941, 514590.31400009075878188 176395.92700008369865827, 514586.52300005313009024 176346.82800001313444227, 514658.42799986177124083 176330.64599989028647542, 514611.06599988345988095 176268.88100012912764214, 514622.18399986013537273 176224.6500000306405127, 514568.16900006041396409 176243.65899985350552015, 514510.05400008393917233 176187.70899995107902214, 514420.92499993339879438 176188.1310000553203281, 514376.99600017833290622 176156.52500005447654985, 514419.39899989328114316 176339.04399988616933115, 514380.86199997446965426 176346.16100005953921936, 514277.90899982629343867 176220.8540000336652156, 514170.42299992847256362 176332.53900011358200572, 514141.0580000466434285 176366.01800013205502182, 514111.00000012799864635 176343.00000005535548553, 514045.00000018283026293 176423.99999993783421814, 514026.74100015428848565 176442.85600012086797506, 513936 176618.1399998547276482, 514043.97299984184792265 176639.12500010992516764, 514116.06299998768372461 176648.3579999455541838, 514347.06799993925960734 176552.9099999095487874, 514365.13499983481597155 176547.21399989348719828, 514447.81299984734505415 176526.09399999942979775)))</t>
  </si>
  <si>
    <t>E01002639</t>
  </si>
  <si>
    <t>Hounslow 012B</t>
  </si>
  <si>
    <t>MultiPolygon (((514169.86499980353983119 176206.24599991115974262, 514184.94300004938850179 176163.0000001851003617, 514201.32900018920190632 176163.0000001851003617, 514223.71200014959322289 176080.64099986231303774, 514146.11799992062151432 176035.03299999531009234, 514224.00000016757985577 175956.99999984833993949, 514249.79800008138408884 175969.68799993899301626, 514099.99999989056959748 175871.00099992376635782, 514103.37400003208313137 175832.10500000001047738, 513974.24299995723413303 175928.83499987141112797, 513910.76300012657884508 175973.17500012193340808, 513947.61799986375262961 176051.15500019368482754, 513822.39400018553715199 176002.68899980478454381, 513748.15899988153250888 175985.2409999925584998, 513711.35299983172444627 176108.2080001457943581, 513702.99999977683182806 176136.9999998148996383, 513732.86499984719557688 176142.98099988448666409, 513731.83900006453040987 176205.64499981433618814, 513954.10700012749293819 176287.88300022020121105, 513892.18399991566548124 176317.6130001415440347, 513844.46899998927256092 176372.73799994849832729, 513950.41899992269463837 176446.61699994280934334, 513923.00000003597233444 176492.00000016146805137, 513774.29000001295935363 176503.44399981206515804, 513691.68499991862336174 176503.65700009724241681, 513749.96700009418418631 176672.04999979984131642, 513766.69499986158916727 176732.1810000000114087, 513849.59399988048244268 176633.8119999858608935, 513916.19400020560715348 176618.37000000485568307, 513936.00000022107269615 176618.13999998426879756, 514026.74100014741998166 176442.85599997409735806, 514044.99999993829987943 176424.00000002409797162, 514111.00000015104888007 176343.00000015166006051, 514198.99999998469138518 176223.99999991123331711, 514169.86499980353983119 176206.24599991115974262)))</t>
  </si>
  <si>
    <t>E01002640</t>
  </si>
  <si>
    <t>Hounslow 012C</t>
  </si>
  <si>
    <t>MultiPolygon (((512066.94099985819775611 176177.55999991987482645, 512269.56399992672959343 176076.67000009870389476, 512252.21800000057555735 176029.14100010774563998, 512189.20600019110133871 175995.06399989512283355, 512117.85599988797912374 176094.8029999082791619, 512089.00000018626451492 176002.00000001792795956, 511987.59200011380016804 176016.18200001295190305, 511973.51400015776744112 175901.07100002316292375, 512006.85199998319149017 175849.25100004125852138, 512012.13400004827417433 175712.71700004345620982, 511994.94100005313521251 175674.34699989619548433, 511864.00300018111011013 175622.05300011966028251, 511911.29899995017331094 175476.12899999998626299, 511669.66999983828281984 175509.19800019331160001, 511622.96100007329368964 175531.33899990809732117, 511647.61700018908595666 175844.19499997128150426, 511664.9379999713273719 175954.11099998978897929, 511675.37900017347419634 176021.54100002942141145, 511680.32399997767060995 176056.03100005860324018, 511714.90599995985394344 176323.92199999999138527, 511923.04000000399537385 176241.40999987241229974, 512066.94099985819775611 176177.55999991987482645)))</t>
  </si>
  <si>
    <t>E01002661</t>
  </si>
  <si>
    <t>Hounslow 016D</t>
  </si>
  <si>
    <t>MultiPolygon (((514914.54100003751227632 177131.35799993315595202, 514949.32799985108431429 177109.56899994809646159, 515019.88299993192777038 177133.71999995413352735, 515090.17800012568477541 177030.63399983901763335, 515025.55100005294661969 177007.01300004843506031, 515040.09299995453329757 176972.18700003667618148, 515039.80899986904114485 176963.32200012356042862, 515101.24099997314624488 176790.46600014055729844, 515101.06400004104943946 176746.11300006770761684, 515031.54200012661749497 176700.32399998686742038, 515026.64699995389673859 176663.0930001089873258, 514991.24200008023763075 176667.57400008715922013, 515000.92099996330216527 176770.54999998267157935, 514911.15800011483952403 176732.39199984911829233, 514900.94500003836583346 176679.34000010424642824, 514869.14299986459081993 176678.40700004718382843, 514864.3549998453236185 176594.69300011734594591, 514815.95799994451226667 176601.004999989294447, 514804.86100011941744015 176684.49699998751748353, 514727.27299993095220998 176701.6310001285164617, 514713.08799995965091512 176531.62799985276069492, 514672.24499985238071531 176529.31200007404549979, 514505.08699999010423198 176521.10500000001047738, 514447.81299991143168882 176526.09400014972197823, 514442.79100002686027437 176804.39099989377427846, 514477.66299994994187728 177016.23099991396884434, 514584.9989999130484648 177048.0000000218860805, 514600.0000000087893568 177006.00000010250369087, 514689.08900010655634105 177028.23399986253934912, 514715.12399996176827699 177039.20399997569620609, 514710.14700007671490312 177094.27899987727869302, 514822.49099983635824174 177139.49000000790692866, 514844.08299999986775219 177089.53300012237741612, 514884.0000000941217877 177105.00000012526288629, 514861.71300004771910608 177166.88300013664411381, 514911.06599996128352359 177183.07899999999790452, 514914.54100003751227632 177131.35799993315595202)))</t>
  </si>
  <si>
    <t>E01002674</t>
  </si>
  <si>
    <t>Hounslow 012D</t>
  </si>
  <si>
    <t>MultiPolygon (((515580.99999978748383 177298, 515614.51599978748708963 177219.53300000500166789, 515702.28699991502799094 177222.06300015249871649, 515725.09699985251063481 177183.0100000599923078, 515793.5399999400251545 177135.90399992500897497, 515828.25600013503571972 177012.0609999549924396, 515794.06800006004050374 176982.12099983499501832, 515806.99999988998752087 176948.00000012500095181, 515878.00000017002457753 176994.00000004749745131, 515938.25300014502136037 176977.1430000250111334, 515977.68800013000145555 176908.00700020749354735, 516085.8449999550357461 177018.82899997750064358, 516139.23400008003227413 177016.49199983500875533, 516037.11699984001461416 176903.90900017000967637, 516075.02199998253490776 176866.77000008500181139, 515952.22700001753401011 176748.86900002750917338, 515900.56600020750192925 176699.50799980750889517, 515787.22700013749999925 176590.58999996501370333, 515754.65199988498352468 176630.3090001700038556, 515687.70500013750279322 176556.09600009251153097, 515606.98200013500172645 176536.79199990248889662, 515606.18599983752937987 176491.8820001500134822, 515569.28600004001054913 176492.62300000750110485, 515573.83399983000708744 176456.55999989499105141, 515614.99999989749630913 176452.00000018000719137, 515537.00000004749745131 176443, 515499.99999987753108144 176607.99999988000490703, 515537.674999890034087 176617.32199990001390688, 515555.18700002250261605 176573.87599997498909943, 515563.21700013749068603 176659.58199982749647461, 515527.81000005750684068 176675.27800005249446258, 515586.79499997751554474 176699.74499982249108143, 515445.49399996502324939 176844.53400012251222506, 515468.16900010500103235 176869.02199997499701567, 515444.88600006001070142 176897.01500007999129593, 515413.64499987749150023 176878.20400015750783496, 515395.99999979248968884 176899.00000014249235392, 515330.72099987999536097 177046.33600012751412578, 515290.54099991999100894 177150.90199995250441134, 515366.02399989753030241 177186.01600008251261897, 515491.33100012253271416 177147.01499980749213137, 515550.87100020749494433 177242.23899988000630401, 515548.87500014249235392 177294.43100000498816371, 515580.99999978748383 177298)))</t>
  </si>
  <si>
    <t>E01002675</t>
  </si>
  <si>
    <t>Hounslow 009A</t>
  </si>
  <si>
    <t>E02000534</t>
  </si>
  <si>
    <t>Hounslow 009</t>
  </si>
  <si>
    <t>MultiPolygon (((513487.74299976334441453 177772.70399970858125016, 513838.24700013396795839 177693.65700012561865151, 514254.96100015024421737 177749.3140001907304395, 514550.14199983124854043 177688.15600031192298047, 514770.73300022649345919 177766.45399963104864582, 514896.20900032069766894 177617.62100018915953115, 515138.03600000002188608 177545.25699970932328142, 515000.00000022357562557 177452.99999983029556461, 514749.18900021474109963 177394.02099984485539608, 514822.49099989916430786 177139.48999989722506143, 514710.14699985535116866 177094.27900011261226609, 514715.12399978312896565 177039.20399976315093227, 514689.08900031575467438 177028.23399959676316939, 514600.00000042346073315 177005.9999998600105755, 514584.99900004442315549 177048.00000014019315131, 514477.66300040110945702 177016.23099997057579458, 514374.97800009977072477 176990.23399991690530442, 514235.68999957788037136 176956.86699972083442844, 513829.66500007815193385 176868.15600029140478, 513827.79599974944721907 176903.99599978476180695, 513826.71900006278883666 176936.01599984060158022, 513878.18900028424104676 176930.93699985620332882, 513905.0879998262389563 177067.15400034398771822, 513926.12499996152473614 177113.56199973000911996, 513828.34400030667893589 177155.09400025659124367, 513644.40600031154463068 177149.64100006461376324, 513524.85000031423987821 177106.68499986123060808, 513432.78100038768025115 177228.68699979886878282, 513563.65600023895967752 177229.74999988268245943, 513537.25000011012889445 177473.23400012732599862, 513417.12599999998928979 177498.11299981357296929, 513459.85900038329418749 177668.24799974029883742, 513440.49300041620153934 177705.53599958174163476, 513469.40599986119195819 177704.65600020688725635, 513487.74299976334441453 177772.70399970858125016)))</t>
  </si>
  <si>
    <t>E01002676</t>
  </si>
  <si>
    <t>Hounslow 012E</t>
  </si>
  <si>
    <t>MultiPolygon (((516516.00000003608874977 177854.00000021315645427, 516627.12099962658248842 177762.87900023287511431, 516702.3949999965261668 177818.61899966030614451, 516948.50000022171298042 177772.4999997653067112, 517071.3750000981381163 177759.85899990954203531, 517134.21100000001024455 177688.88600026589119807, 517061.83499998960178345 177647.16200011922046542, 516671.18099991441704333 177413.26199985350831412, 516441.31399986398173496 177218.65300030252547003, 516274.99600014567840844 177058.12399989311234094, 516211.78599963581655174 176997.67099964345106855, 516195.01500027405563742 176981.63200006441911682, 516075.02200010715750977 176866.76999978686217219, 516037.11699980276171118 176903.90899961252580397, 516139.23400030675111338 177016.49200015564565547, 516085.84500001464039087 177018.8290003864094615, 515977.68799964716890827 176908.00700016794144176, 515938.25300013064406812 176977.14299972774460912, 515877.99999978311825544 176993.99999974443926476, 515807.00000007043126971 176948.00000032768002711, 515794.06799999286886305 176982.12100000915233977, 515828.25600019370904192 177012.06100031532696448, 515793.53999968740390614 177135.90399996860651299, 515725.09700033278204501 177183.00999977608444169, 515702.2869996307999827 177222.06300031751743518, 515614.51599977316800505 177219.53300002848845907, 515581.00000024592736736 177297.9999997717095539, 515567.90000000002328306 177331.78800016827881336, 515661.29500004998408258 177404.7430003534827847, 515908.47500023856991902 177413.68899972675717436, 515964.4169997472781688 177367.4459996888472233, 515970.14000019273953512 177310.01900029994430952, 516127.00000009912764654 177329.99999977456172928, 516125.435000101395417 177268.58799977102898993, 516178.89499970484757796 177212.51099991725641303, 516156.00000000384170562 177193.99999976236722432, 516261.87100000987993553 177106.41400002961745486, 516203.03300032077822834 177229.97300008815363981, 516308.99399977375287563 177326.13100015258532949, 516279.99999962333822623 177363.00000007121707313, 516506.99899965204531327 177444.99999988276977092, 516504.99999993719393387 177537.9999997932172846, 516444.32600025384454057 177627.51999968377640471, 516382.999000032490585 177716.99999990718788467, 516408.99999992863740772 177782.99999971731449477, 516516.00000003608874977 177854.00000021315645427)))</t>
  </si>
  <si>
    <t>E01002679</t>
  </si>
  <si>
    <t>Hounslow 009C</t>
  </si>
  <si>
    <t>MultiPolygon (((515176.82900018786313012 177466.48400009114993736, 515200.82800001924624667 177414.00600028145709075, 515358.76100000349106267 177429.40400003106333315, 515249.7980000606039539 177283.44700025519705378, 515290.54100010602269322 177150.90199982497142628, 515330.72099994448944926 177046.33599977669655345, 515395.99999986682087183 176898.99999981393921189, 515413.6450001061311923 176878.20400022517424077, 515444.88600004441104829 176897.01500016188947484, 515468.16899981518508866 176869.02200008777435869, 515445.49399987293872982 176844.53399980720132589, 515586.79500003170687705 176699.74500009205075912, 515527.81000020611099899 176675.27800020508584566, 515563.21700027101906016 176659.58199992054142058, 515555.18700013885973021 176573.87600015717907809, 515537.67500011145602912 176617.32200027862563729, 515499.99999973335070536 176607.99999979807762429, 515466.04200002684956416 176599.16300018050242215, 515455.44500000536208972 176538.07400018302723765, 515403.74599972646683455 176584.0590002391836606, 515378.00000014208490029 176576.99999973367084749, 515410.99999973241938278 176429.00100021492107771, 515235.99899997818283737 176407.99999987927731127, 515212.93099991983035579 176404.79899999999906868, 515210.08600027771899477 176565.31300013593863696, 515096.52799982466967776 176567.28800025224336423, 515103.07800023927120492 176628.349999906582525, 515066.62699983105994761 176635.54399984690826386, 515059.94999972422374412 176596.40499980674940161, 514984.93399977043736726 176590.17199995735427365, 515026.64699983113678172 176663.09300023384275846, 515031.54200009920168668 176700.32399978427565657, 515101.0639998807455413 176746.11300015833694488, 515101.24100010277470574 176790.46600025467341766, 515039.80899994884384796 176963.32199980173027143, 515040.0930002213572152 176972.18699994412600063, 515025.5509997351327911 177007.01299995349836536, 515090.17799981881398708 177030.63400011285557412, 515019.88299988576909527 177133.71999987331219018, 514949.32800004864111543 177109.56899979966692626, 514914.54100028151879087 177131.3580001606605947, 514911.06600023567443714 177183.07899987438577227, 514861.7130001840996556 177166.88299999348237179, 514883.9999997781123966 177105.00000002112938091, 514844.08299981860909611 177089.53300028163357638, 514822.49099989159731194 177139.49000000522937626, 514749.18899996834807098 177394.02099976426688954, 515000.00000022142194211 177453.00000021059531718, 515138.03600027889478952 177545.25699999998323619, 515150.51500005839625373 177533.89899972607963718, 515221.46899996121646836 177525.80699973518494517, 515176.82900018786313012 177466.48400009114993736)))</t>
  </si>
  <si>
    <t>E01002680</t>
  </si>
  <si>
    <t>Hounslow 009D</t>
  </si>
  <si>
    <t>MultiPolygon (((517529.2179999842774123 177254.37199990029330365, 517525.99999974790262058 177213.99999996821861714, 517488.05499976762803271 177194.47799981653224677, 517495.77599989692680538 177138.90400010030134581, 517454.90500006166985258 177121.14999985118629411, 517350.06999977986561134 177223.69800024514552206, 517244.10399986081756651 177237.5489999997371342, 517242.97800024406751618 177197.77199995631235652, 517303.65499976236606017 177163.57599994051270187, 517246.54499976790975779 177112.57600000000093132, 517150.63300015701679513 177212.86700011845096014, 517271.00000004534376785 177286.99999981294968165, 517105.50100009428570047 177483.45800007833167911, 517138.90500023000640795 177527.16600001612096094, 517061.83500002243090421 177647.16199981165118515, 517134.21099996165139601 177688.88599987953784876, 517071.37499985506292433 177759.85899988218443468, 516948.50000009103678167 177772.49999977738480084, 517335.72400003636721522 178031.84499995008809492, 517340.78899988671764731 178035.15199993891292252, 517460.24500001937849447 178111.97100003546802327, 517501.93200024188263342 178134.13500000000931323, 517568.36499999539228156 177947.69800011164625175, 517569.65400007693096995 177943.08199995919130743, 517558.65600008197361603 177753.20300003857119009, 517605.2229999061091803 177700.96300011553103104, 517661.10199985286453739 177522.05800019353046082, 517696.99999990896321833 177417.00000022214953788, 517583.97000020806444809 177384.1279999207763467, 517554.22099975310266018 177372.60400021827081218, 517615.21999977598898113 177322.79299994875327684, 517609.58000011910917237 177291.93000013069831766, 517529.2179999842774123 177254.37199990029330365)))</t>
  </si>
  <si>
    <t>E01002684</t>
  </si>
  <si>
    <t>Hounslow 006D</t>
  </si>
  <si>
    <t>MultiPolygon (((533602.43800025922246277 180815.17299996674410067, 533649.06299993547145277 180733.85899981355760247, 533807.94600024935789406 180767.76999976922525093, 533771.00000004237517715 180701.9999997417035047, 533816.35099982202518731 180641.38800009046099149, 533929.00000000488944352 180583.99999985078466125, 534007.37100011389702559 180597.09399984657648019, 534020.28900003840681165 180501.56200009220628999, 534100.73199982091318816 180589.30000017533893697, 534150.91099997679702938 180517.35499981499742717, 534252.29299987782724202 180576.7849997767189052, 534270.99999986973125488 180498.99999996554106474, 534369.01100006303749979 180498.90100012574112043, 534385.19300004641991109 180420.25399992929305881, 534338.86199989437591285 180417.0120000128808897, 534311.39700001105666161 180375.56999978242674842, 534267.99999991781078279 180395.99300020182272419, 534300.59399986837524921 180325.16400017178966664, 534322.69600006320979446 180304.80700017960043624, 534394.00000003667082638 180243.99999977587140165, 534407.06200026220176369 180206.88899983582086861, 534463 180208.00099999460508116, 534450.46599998814053833 180104.07600011420436203, 534443.50199986388906837 180075.85300003326847218, 534321.02699991560075432 180112.94300000730436295, 534186.80000011413358152 180159.2999999392486643, 534187.40000021131709218 180216.40000011093798093, 534155.09999978495761752 180171.99999986053444445, 533966.88400011823978275 180277.55799994672997855, 533946.50000016973353922 180328.10000004930770956, 533860.00000004156026989 180312.80000024085165933, 533395.00600000005215406 180515.23899985669413581, 533434.12500007310882211 180623.17200019411393441, 533403.37500016496051103 180649.85900009030592628, 533420.1249999413266778 180691.78100007813191041, 533483.87499985517933965 180758.20299976272508502, 533556.31300012988504022 180777.99999977101106197, 533551.19400022446643561 180812.7970000731293112, 533602.43800025922246277 180815.17299996674410067)))</t>
  </si>
  <si>
    <t>E01004293</t>
  </si>
  <si>
    <t>Tower Hamlets 027B</t>
  </si>
  <si>
    <t>E02000890</t>
  </si>
  <si>
    <t>Tower Hamlets 027</t>
  </si>
  <si>
    <t>MultiPolygon (((534326.09200012998189777 180812.1149997659958899, 534324.94299998204223812 180709.99999982002191246, 534563.88200001197401434 180713.88499978999607265, 534692.03900017403066158 180729.01399997400585562, 534710.0719999719876796 180732.14299992402084172, 534727 180666.99999981801374815, 534665.73000015201978385 180654.74599994401796721, 534467.47800018801353872 180641.49800002601114102, 534516.28599989600479603 180601.06100017399876378, 534479.79899988800752908 180515.54999990601208992, 534369.01100016396958381 180498.90099987399298698, 534271.00000018998980522 180498.9999998880084604, 534252.29299983801320195 180576.78500011601136066, 534150.9109999859938398 180517.35500008400413208, 534100.73200019996147603 180589.2999999400053639, 534020.28900018997956067 180501.56200006199651398, 534007.37100000004284084 180597.09399978199508041, 533928.99999997403938323 180583.99999999199644662, 533816.3509999819798395 180641.38799979799659923, 533771 180702.0000001419975888, 533807.94599998602643609 180767.77000001800479367, 533842.3130002060206607 180789.31300018201000057, 533837.93800004594959319 180857.85899987601442263, 533955.0600002360297367 180872.75100001200917177, 534105.00000005995389074 180891.35899987199809402, 534125.32399984402582049 180894.15900007000891492, 534208.07000002998393029 180905.52600020001409575, 534245.07100013003218919 180910.78199976999894716, 534283.49699996795970947 180916.06500012602191418, 534326.09200012998189777 180812.1149997659958899)))</t>
  </si>
  <si>
    <t>E01004294</t>
  </si>
  <si>
    <t>Tower Hamlets 026B</t>
  </si>
  <si>
    <t>E02000889</t>
  </si>
  <si>
    <t>Tower Hamlets 026</t>
  </si>
  <si>
    <t>MultiPolygon (((534563.88200009509455413 180713.8849998987861909, 534324.94300005072727799 180709.99999998189741746, 534326.09199991321656853 180812.11499995714984834, 534283.49699999997392297 180916.06500003012479283, 534347.57400009257253259 180924.61300008065882139, 534483.00000007834751159 180939.88500007739639841, 534578.88699991896282881 180953.34199994572554715, 534643.93800009123515338 180961.51600001810584217, 534651.96000006981194019 180913.23999991809250787, 534652.99999990535434335 180907.00000008786446415, 534692.03899999987334013 180729.01399998195120133, 534563.88200009509455413 180713.8849998987861909)))</t>
  </si>
  <si>
    <t>E01004295</t>
  </si>
  <si>
    <t>Tower Hamlets 026C</t>
  </si>
  <si>
    <t>MultiPolygon (((535032.44900000328198075 180403.15100004978012294, 535020.82599987357389182 180318.51399987665354274, 535056.51699995924718678 180268.96499995593330823, 535005.99999997799750417 180261.00000005139736459, 534954.1129998650867492 180221.38899999999557622, 534939.36200011719483882 180229.92700011559645645, 534895.87099996046163142 180239.88000006903894246, 534831.99999996810220182 180376.99999996696715243, 534778.00000010617077351 180371.9999999494466465, 534771.42199997347779572 180371.78800003431388177, 534676.07299995759967715 180362.19799993294873275, 534711.45600013574585319 180478.78599987068446353, 534672.67600010451860726 180479.56100003176834434, 534686.13600007304921746 180526.9689998643589206, 534665.73000000056345016 180654.74600013648159802, 534726.99999987264163792 180666.99999989243224263, 534710.07200010772794485 180732.14299992160522379, 534836.67199987475760281 180755.57099992778967135, 534947.17199988034553826 180767.49199999999837019, 534954.83700001309625804 180549.90699994310853072, 535005.34300011477898806 180505.86199986390420236, 535009.19900008547119796 180500.98299988807411864, 535063.84099999943282455 180452.42700007723760791, 535051.00000013585668057 180417.9999998924031388, 535032.44900000328198075 180403.15100004978012294)))</t>
  </si>
  <si>
    <t>E01004296</t>
  </si>
  <si>
    <t>Tower Hamlets 026D</t>
  </si>
  <si>
    <t>MultiPolygon (((535056.01299990643747151 180724.25299991006613709, 535072.5079999283188954 180591.92700010730186477, 535231.36799986485857517 180597.08800005784723908, 535444.91199986531864852 180576.75599991614581086, 535468.79999995185062289 180544.50000010879011825, 535358.25599986349698156 180473.25199994293507189, 535209.22899987944401801 180327.55800001771422103, 535193.36799998208880424 180312.54900000232737511, 535185.54299990413710475 180305.14599995379103348, 535155.09999987611081451 180299.20000004046596587, 535106.3250000310363248 180225.26400000453577377, 535081.91100002825260162 180259.86900003781192936, 535041.99999986856710166 180221, 535006.00000003725290298 180260.99999993405072019, 535056.51699996751267463 180268.96500005931011401, 535020.82600010198075324 180318.51400007624761201, 535032.44899989827536047 180403.15099986613495275, 535051.00000009965151548 180417.99999986647162586, 535063.84099995228461921 180452.4270000777032692, 535009.19899998442269862 180500.98300008499063551, 535005.34299997717607766 180505.86200005339924246, 534954.83700011111795902 180549.90699988091364503, 534947.17200004821643233 180767.49199999996926636, 535005.67700003925710917 180761.7160000855801627, 535054.08599998324643821 180755.4919999651319813, 535056.01299990643747151 180724.25299991006613709)))</t>
  </si>
  <si>
    <t>E01004297</t>
  </si>
  <si>
    <t>Tower Hamlets 027C</t>
  </si>
  <si>
    <t>MultiPolygon (((535343.87499998928979039 181035.55899997241795063, 535356.824000014225021 180967.39399991909158416, 535397.85800004180055112 180968.90600009189802222, 535402.16599991836119443 180941.33500000127241947, 535392.78300000785384327 180892.68400003772694618, 535567.42699999257456511 180941.78599993919488043, 535574.61600008478853852 180920.22999993123812601, 535580.68499997572507709 180900.94400008744560182, 535598.30000007944181561 180841.27599990201997571, 535634.80600000009872019 180808.90300006157485768, 535376.9989999559475109 180783.00000005163019523, 535238.94200000003911555 180781.53900002758018672, 535262.94600002397783101 180810.50899992257473059, 535306.73200006550177932 180793.83299991526291706, 535290.84400000900495797 180878.71299990339321084, 535292.99100008211098611 180886.92399990718695335, 535280.09600006346590817 181029.40899997326778248, 535343.87499998928979039 181035.55899997241795063)))</t>
  </si>
  <si>
    <t>E01004300</t>
  </si>
  <si>
    <t>Tower Hamlets 022B</t>
  </si>
  <si>
    <t>MultiPolygon (((534915.34299994853790849 180970.60199998141615652, 534919.87299994321074337 180923.00000010803341866, 534983.99999999010469764 180923.99900003414950334, 534956.13900003465823829 180862.65599993529031053, 534988.15499989048112184 180859.59099997897283174, 534983.00799999549053609 180808.79699999708100222, 535030.91000008035916835 180807.73399998352397233, 535029.70400000608060509 180889.40400010644225404, 535071.02000006556045264 180886.38500005708192475, 535055.60099997138604522 180809.58499991134158336, 535097.46199988957960159 180859.66899992962135002, 535105.48499999998603016 180764.50699999931384809, 535054.08599993563257158 180755.49199989443877712, 535005.67699994484428316 180761.71599989291280508, 534947.17200010875239968 180767.49199995971866883, 534836.67200010281521827 180755.57100009446730837, 534710.07200001494493335 180732.14299997992930003, 534692.03899996401742101 180729.01399993619997986, 534652.99999994656536728 180907.00000002098386176, 534651.95999999984633178 180913.23999992795870639, 534750.29799990355968475 180955.52599993770127185, 534746.49199996248353273 180985.73299990891246125, 534858.545999979483895 180996.5430000351916533, 534860.23500009707640857 181061.88100004268926568, 534942.99900002777576447 181092.00000006376649253, 534952.99999999150168151 181008.00000006027403288, 534915.34299994853790849 180970.60199998141615652)))</t>
  </si>
  <si>
    <t>E01004301</t>
  </si>
  <si>
    <t>Tower Hamlets 025B</t>
  </si>
  <si>
    <t>MultiPolygon (((510218.12499966897303239 177541.98400044487789273, 510142.52899927948601544 177406.81600062540383078, 510072.64499990956392139 177197.19000028300797567, 510030.09899960341863334 177124.71200011036125943, 510056.21999935543863103 177095.61000048910500482, 510040.64300015394110233 176996.18499939897446893, 510041.8130001564277336 176907.95299988219630904, 510143.72199961397564039 176625.58199968570261262, 510176.90599961049156263 176423.51599959016311914, 510130.26999926997814327 176299.31999932762118988, 510124.87400052981683984 176183.54900012753205374, 510197.37499953497899696 176127.71899981613387354, 510450.39399989182129502 175753.46300037828041241, 510452.99999943346483633 175742.00000018850550987, 509869.49999949510674924 175443.23399928418803029, 509820.84400050883414224 175380.88799997387104668, 509707.64400028000818565 175358.90700000000651926, 509647.99999941961141303 175490.99999983212910593, 509738.00000007310882211 175660.00000052610994317, 509737.00000069895759225 175684.0000005004403647, 509693.03700060636037961 175681.06800023015239276, 509685.33200035284971818 176431.24600046532577835, 509383.0000003277673386 176422.99999983512680046, 509373.99999996251426637 176647.0000005952315405, 509347.99999974039383233 176741.00000024479231797, 509294.99999992205994204 176775.99999933267827146, 508484.00000066438224167 176772.99899956592707895, 508485.99999941268470138 176878.99999934749212116, 508395.68699991324683651 176881.82200018141884357, 508388.36100056656869128 176928.64300032364553772, 508710.11300004355143756 176917.77599947896669619, 508944.00000067229848355 176909.00000006513437256, 508964.00000015104888007 177040.00000054982956499, 509049.91199956036871299 177039.66900059653562494, 509073.38299939641728997 177278.29400063812499866, 509154.55200016818707809 177359.35000003964523785, 509030.50200005719671026 177423.12799980925046839, 508991.07500011275988072 177415.09199960241676308, 509061.73499940487090498 177736.38299979225848801, 509115.56399932369822636 177991.98699964839033782, 509183.22400049341376871 178357.84200000000419095, 509246.03900024946779013 178351.92300049104960635, 509421.13600073981797323 178335.42099928186507896, 509529.63499941688496619 178325.5349995580909308, 509829.04300033021718264 178298.69300035177730024, 509966.50499949074583128 178286.08899986094911583, 510278.77799970749765635 178257.43999986769631505, 510349.96999957237858325 178251.03099987067980692, 510349.16000072407769039 178241.82399951654952019, 510346.80099946691188961 178215.1019996952963993, 510307.31299968506209552 177820.03099970679613762, 510260.09400038269814104 177671.50000043681939133, 510221.06299930874956772 177668.09400049620307982, 510180.49999978730920702 177588.56199988297885284, 510176.21900058176834136 177552.75000015771365725, 510218.12499966897303239 177541.98400044487789273)))</t>
  </si>
  <si>
    <t>E01002443</t>
  </si>
  <si>
    <t>Hillingdon 032A</t>
  </si>
  <si>
    <t>E02000525</t>
  </si>
  <si>
    <t>Hillingdon 032</t>
  </si>
  <si>
    <t>E09000017</t>
  </si>
  <si>
    <t>Hillingdon</t>
  </si>
  <si>
    <t>MultiPolygon (((505800.64000107726315036 178396.79600098807713948, 505715.18100057053379714 178176.36799987163976766, 505781.86299874918768182 177830.55399993812898174, 505851.46900147391716018 177765.92199933729716577, 505886.22499914694344625 177766.93500026615220122, 505854.57100150105543435 177698.72800103295594454, 505892.99999933532672003 177676.99999974417733029, 505906.51300143060507253 177240.61699883206165396, 505959.82999988581286743 177240.23999851680127904, 505904.63699901982909068 177221.09300104581052437, 505902.00000005186302587 177184.99999858424416743, 506337.99199954973300919 177191.24999916745582595, 506377.40900097333360463 177475.31700152577832341, 506657.61599927814677358 177577.26599896559491754, 506813.97200060536852106 177551.72000000203843229, 506815.99999953818041831 177427.00000107157393359, 507024.02400086011039093 177438.12100031637237407, 507080.8269986662780866 177228.18499992156284861, 507042.55400074989302084 177188.78599991090595722, 507053.99999931000638753 176906.9999993946403265, 507140.99999904533615336 176923.00000101089244708, 507163.9999984793830663 176866.99999997686245479, 507083.00099981389939785 176859.99999907711753622, 507085.00000109319807962 176795.99999877589289099, 507189.99999917962122709 176801.00100147828925401, 507208.00000061269383878 176838.00000109238317236, 507183.00000136182643473 176865.00000016007106751, 507271.61000111914472654 176862.42099958113976754, 507299.79499920760281384 176945.22600132643128745, 507482.99999853613553569 176953.99999971216311678, 507536.99999975337414071 176757.00000080745667219, 508484.00000083964550868 176772.99900080426596105, 509294.99999897443922237 176776.00000060794991441, 509347.99999874230707064 176740.99999919120455161, 509373.99999944254523143 176646.99999855615897104, 509383.00000015908153728 176423.00000058379373513, 509685.33199855597922578 176431.24600066980929114, 509693.03700086276512593 175681.06799992528976873, 509736.99999855068745092 175683.99999893555650488, 509738.00000000005820766 175660.00000113400164992, 509647.99999899859540164 175490.99999966443283483, 509707.64399945840705186 175358.90699983295053244, 509703.28100060852011666 175356.46899953542742878, 508954.46800068666925654 174829.39599893326521851, 508836.78100062347948551 174674.48400000706897117, 508721.93700028903549537 174393.68699853573343717, 508714.68799987592501566 174348.24999917374225333, 508847.21999872568994761 174287.34400135357282124, 508825.84000009862938896 174258.32099912271951325, 508407.349999925121665 174236.97900039658998139, 508380.21900136105250567 174243.5620009230915457, 508213.12499849335290492 173846.09399901193683036, 508189.98199862084584311 173848.29100042406935245, 507779.6250004498870112 173917.6409984631172847, 507521.87500056106364354 174008.98399856028845534, 507516.18799948401283473 174083.62500049249501899, 507436.00000130053376779 174092.59400031657423824, 507390.40600040118442848 174049.70199886459158733, 507187.59400139399804175 174163.672001476486912, 507020.18799869052600116 174255.17200002909521572, 506667.53699986560968682 174313.20499884747550823, 506330.96100083948113024 174349.46100023546023294, 506123.54300085816066712 174412.72399969966500066, 505951.87099921418121085 174614.54800128133501858, 505978.56299876002594829 174625.79700132802827284, 505957.6880012500914745 174659.76600040297489613, 505860.31400081008905545 174701.57800028964993544, 505322.59400118782650679 174677.59400066218222491, 505074.58099977060919628 174730.61799923208309337, 505016.12500010803341866 174730.43699889272102155, 504971.75000089837703854 174787.3590014171495568, 504840.2830008955206722 174855.40400026144925505, 504742.58800145419081673 174824.23400054333615117, 504462.59399983688490465 175204.61000141288968734, 504430.05699913908028975 175226.25399918982293457, 504265.28099947690498084 175306.12499868596205488, 504028.81299976812442765 175365.37600065651349723, 503851.09500122675672174 175362.01599886859185062, 503789.70499931502854452 175273.44700078869936988, 503676.00099909189157188 175287.40600091073429212, 503574.18800000002374873 175362.20299967896426097, 503611.19099992816336453 175520.39399865767336451, 503695.56299986102385446 175557.26599908931530081, 503794.31300044618546963 175705.89099915078259073, 503923.12400153063936159 176163.71299869843642227, 503971.90599996212404221 176615.90599863999523222, 504038.18699902348453179 176852.99899963985080831, 504134.68800027848919854 177084.00000013140379451, 504325.31299957452574745 177373.68699984840350226, 504317.48800017574103549 177481.33200061265961267, 504267.40799847611924633 177499.1129987234598957, 504310.18800038215704262 177613.09400065784575418, 504298.19999934145016596 177691.98799896909622476, 504356.48899976362008601 177679.33200096670771018, 504380.2979995227069594 177721.7479989550774917, 504334.40599988651229069 177769.70200019297772087, 504419.87500117818126455 177840.64100122847594321, 504443.9059998721932061 177821.39100029517430812, 504478.59400145313702524 177843.60899998273816891, 504447.40899901656666771 177879.04699879829422571, 504461.28100001416169107 177908.70299986630561762, 504514.99999920616392046 177916.00000096534495242, 504585.68699895183090121 178003.59400109926355071, 504555.81299926288193092 178084.10899875508039258, 504592.78100106643978506 178155.29699930391507223, 504821.74999922933056951 178200.98399979874375276, 504913.18799907894572243 178373.0939988415047992, 505378.89200095873093233 178358.64500032071373425, 505651.55299865111010149 178380.65899940440431237, 505736.75800079293549061 178386.96300114452606067, 505800.64000107726315036 178396.79600098807713948)))</t>
  </si>
  <si>
    <t>E01002444</t>
  </si>
  <si>
    <t>Hillingdon 031A</t>
  </si>
  <si>
    <t>E02000524</t>
  </si>
  <si>
    <t>Hillingdon 031</t>
  </si>
  <si>
    <t>MultiPolygon (((509759.37500026740599424 174599.73400012039928697, 509837.21899989293888211 174287.59400003883638419, 509914.96700006420724094 174288.16500026671565138, 509806.17700015986338258 174281.91499969101278111, 509378.00000008364440873 174260.00000006728805602, 509150.99799973558401689 174258.00000004708999768, 509152.17199978162534535 174209.85000007264898159, 509100.99900030618300661 174193.00000007307971828, 509175.12400028703268617 174118.1660003071592655, 509091.71099980227882043 174070.19100007825181819, 509030.86699966533342376 174085.64899979042820632, 509053.61400025407783687 174024.07499981691944413, 509020.28199998533818871 173989.8120000000053551, 508979.78499972959980369 174065.46300030377460644, 508914.76399970415513963 174098.25300012287334539, 508929.0000003264285624 174136.00000018000719137, 508815.03299984015757218 174180.700000290380558, 508792.71499971696175635 174192.68599969407659955, 508835.57199999660952017 174257.09400007207295857, 508825.83999996655620635 174258.32099975991877727, 508847.21999984106514603 174287.34400020714383572, 508714.68799993582069874 174348.25000010555959307, 508721.93700012873159721 174393.68700006965082139, 508836.78100012842332944 174674.48399968046578579, 508954.46799996896879748 174829.39600015370524488, 509703.28099966596346349 175356.46900000001187436, 509721.87500022986205295 175326.92200002580648288, 509482.65599991200724617 174980.90599980668048374, 509519.21900009381351992 174944.98400002426933497, 509465.90600025508319959 174887.43699976688367315, 509721.00200023810612038 174636.97800001868745312, 509759.37500026740599424 174599.73400012039928697)))</t>
  </si>
  <si>
    <t>E01002555</t>
  </si>
  <si>
    <t>Hounslow 022A</t>
  </si>
  <si>
    <t>E02000547</t>
  </si>
  <si>
    <t>Hounslow 022</t>
  </si>
  <si>
    <t>MultiPolygon (((509360.40399981953669339 173946.96600005170330405, 509312.3400001343106851 173925.80999994277954102, 509213.67200015851994976 173940.45599986086017452, 509143.69900004612281919 173900.34300006506964564, 509091.71100000001024455 174070.19100019978941418, 509175.12399989174446091 174118.16599986006622203, 509100.99900007946416736 174193.00000014848774299, 509152.17199989221990108 174209.85000002782908268, 509150.99799983541015536 174258.0000000145228114, 509377.99999979615677148 174260.00000015698606148, 509806.1770001087570563 174281.91500003112014383, 509914.96699994540540501 174288.164999934961088, 509957.806999999913387 174167.40599985080189072, 509731.56399980443529785 174096.48599997884593904, 509702.88100013416260481 174085.53599978354759514, 509360.40399981953669339 173946.96600005170330405)))</t>
  </si>
  <si>
    <t>E01002556</t>
  </si>
  <si>
    <t>Hounslow 022B</t>
  </si>
  <si>
    <t>MultiPolygon (((508835.57200021640164778 174257.09400011098477989, 508792.71499993512406945 174192.68599995970726013, 508690.29600012034643441 174078.76700014591915533, 508712.45699988340493292 174055.57800013132509775, 508684.87500012433156371 174019.20999996230239049, 508694.75799982703756541 173895.2409999632218387, 508738.83600004063919187 173765.27099985850509256, 508661.03200022742385045 173749.7069998882652726, 508713.00000010675285012 173714.0000001649314072, 508724.00000018579885364 173683.99999990739161149, 508695.30500017502345145 173672.4119999299000483, 508711.41900001105386764 173616.7170001017220784, 508749.8890000440296717 173607.08199983611120842, 508699.66500015778001398 173450.12600011989707127, 508718.79500001150881872 173387.04299991743755527, 508681.84799987910082564 173337.37599999998928979, 508610.39799977146321908 173380.96500006079440936, 508543.6849999941769056 173372.81099999896832742, 508527.42399983812356368 173482.19999982957961038, 508455.02200000465381891 173547.48899991242797114, 508429.99999987211776897 173588.00000009627547115, 508398.99999977485276759 173557.99999983873567544, 508447.00100005691638216 173474.99999978617415763, 508434.75699990458087996 173412.14800021809060127, 508347.49900005367817357 173469.69400003421469592, 508316.95499988697702065 173574.7639998929516878, 508279.00600008270703256 173585.85900005348958075, 508303.01000004500383511 173681.13100020968704484, 508459.44600013922899961 173734.15899995598010719, 508459.94199993449728936 173751.01500011334428564, 508299.99999998399289325 173778.00000003899913281, 508189.98199978360207751 173848.29100007360102609, 508213.12499997689155862 173846.09400012821424752, 508380.21899985690834001 174243.5619998961337842, 508407.34999995626276359 174236.97899984873947687, 508825.84000003727851436 174258.32099999999627471, 508835.57200021640164778 174257.09400011098477989)))</t>
  </si>
  <si>
    <t>E01002557</t>
  </si>
  <si>
    <t>Hounslow 023A</t>
  </si>
  <si>
    <t>E02000548</t>
  </si>
  <si>
    <t>Hounslow 023</t>
  </si>
  <si>
    <t>MultiPolygon (((508979.78500008571427315 174065.46299986596568488, 509020.28200004511745647 173989.81200012628687546, 509053.61399997805710882 174024.07499984296737239, 509030.86699990427587181 174085.64900003728689626, 509091.71099993580719456 174070.19100001567858271, 509143.69900011492427438 173900.34299996722256765, 509213.67199983075261116 173940.45600011214264669, 509312.33999998826766387 173925.80999994758167304, 509360.40399993065511808 173946.96600003173807636, 509375.53599999996367842 173934.59299999810173176, 509358.61500016506761312 173888.95299988944316283, 509326.2299999039969407 173898.94500001179403625, 509282.8419999391771853 173859.39999982321751304, 509227.99999998707789928 173890.99999990439391695, 509156.53999991132877767 173856.37800015366519801, 509168.55000011750962585 173821.18800008937250823, 509128.83500013570301235 173767.93700012686895207, 509167.29100012750132009 173695.25900008692406118, 509153.386999863141682 173661.86500014114426449, 508961.38499983493238688 173578.22600001434329897, 508951.34500004834262654 173533.32800016310648061, 508854.03999986784765497 173536.49299994867760688, 508792.92499990115175024 173627.71300004987278953, 508749.88899997464613989 173607.0819999995874241, 508711.41899999149609357 173616.71699998457916081, 508695.30499991466058418 173672.4120001768169459, 508723.99999999906867743 173684.00000003052991815, 508713.00000014039687812 173713.99999987246701494, 508661.03200000000651926 173749.70700002656667493, 508738.83599999552825466 173765.27099993184674531, 508694.75799994537374005 173895.24099984372151084, 508684.87499990896321833 174019.20999998180195689, 508712.45699996448820457 174055.57799993286607787, 508690.29599998908815905 174078.76700004062149674, 508792.71500003046821803 174192.68599983685999177, 508815.03300011338433251 174180.70000017728307284, 508928.99999993108212948 174136.00000010197982192, 508914.76400002435548231 174098.25299992863438092, 508979.78500008571427315 174065.46299986596568488)))</t>
  </si>
  <si>
    <t>E01002558</t>
  </si>
  <si>
    <t>Hounslow 023B</t>
  </si>
  <si>
    <t>MultiPolygon (((507187.59400035405997187 174163.67199984012404457, 507390.40600022859871387 174049.70200034615118057, 507436.00000016449484974 174092.59400007661315612, 507516.18800014053704217 174083.62499990331707522, 507521.87499958241824061 174008.98400042360299267, 507779.62499964778544381 173917.64100018964381889, 508189.98200039559742436 173848.29099958593724295, 508299.99999976891558617 173777.99999976815888658, 508459.94200042029842734 173751.01499959104694426, 508459.44599968992406502 173734.15899956849170849, 508303.0099995817290619 173681.13099952207994647, 508279.00599961943225935 173585.85899969784077257, 508316.95499993296107277 173574.76399975278764032, 508347.49899973400169984 173469.69399991174577735, 508434.7569999925326556 173412.1479995415720623, 508447.00099966517882422 173475.00000020430888981, 508398.99999990203650668 173557.9999997102713678, 508429.99999951111385599 173587.99999981551081873, 508455.02200046298094094 173547.48900038341525942, 508527.42399970663245767 173482.20000027239439078, 508543.6849999280530028 173372.81100041355239227, 508610.39799968374427408 173380.96499999545630999, 508681.8480005303863436 173337.37600025319261476, 508718.79500022321008146 173387.04299988786806352, 508699.66500022821128368 173450.12600052377092652, 508749.88899985846364871 173607.08199977435288019, 508792.92499969736672938 173627.71300011890707538, 508854.03999992209719494 173536.49299950912245549, 508951.34499951498582959 173533.32800040490110405, 508953.99999970739008859 173531.99999976181425154, 508961.55600048962514848 173501.66699947277083993, 508920.25900006416486576 173458.63799979528994299, 508977.59799994388595223 173410.60500036494340748, 509032.12300024757860228 173418.87100038808421232, 509007.00000017881393433 173380.99999973183730617, 508921.88400006096344441 173413.48300034608109854, 508896.19699983519967645 173382.58499987694085576, 508871.01899956882698461 173253.4009996785025578, 508945.55199977022130042 173230.01199997853836976, 508912.00800038693705574 172996.84000026303692721, 509148.65799999999580905 172772.05000003345776349, 508708.53700030612526461 172609.72700015440932475, 508084.31299959047464654 172367.12500034229015, 507536.97699984564678743 172179.57800020687864162, 507380.49999986274633557 172155.10600015986710787, 507446.68800036073662341 172589.81200025978614576, 507320.79800009977770969 172672.74200029298663139, 507289.63099985191365704 173104.21599974372657016, 507279.59399967745412141 173371.8909995423455257, 507007.28100000001722947 173345.21900015859864652, 507008.44500007346505299 173435.19499992084456608, 507010.71900004590861499 173723.4019999225565698, 507113.96899967640638351 173708.70200036349706352, 507150.59400050976546481 173762.40599993744399399, 507187.59400035405997187 174163.67199984012404457)))</t>
  </si>
  <si>
    <t>E01002559</t>
  </si>
  <si>
    <t>Hounslow 023C</t>
  </si>
  <si>
    <t>MultiPolygon (((510923.13699983368860558 176995.92499999998835847, 510934.82700018008472398 176727.34099987684749067, 510927.905999927141238 176624.08799988520331681, 511090.35299983044387773 176556.72699996913434006, 511067.76099979650462046 176512.69200000309501775, 511183.73000013909768313 176446.431999961117981, 511121.6440001234295778 176216.71100006814231165, 511061.85200013034045696 176192.90899996712687425, 511049.10499995655845851 176149.06299992511048913, 510987.4819998680613935 176086.30500012545962818, 510876.99999978329287842 176023, 510852.00000015861587599 176036.00000007724156603, 510861.14399977290304378 176297.93699995058705099, 510866.84400006872601807 176348.33399978681700304, 510905.90199976495932788 176541.63999987873830833, 510901.96100019582081586 176606.85800016450230032, 510773.93600020214216784 176635.78900012164376676, 510759.24999990680953488 176585.48299990652594715, 510835.51799977180780843 176565.12399992998689413, 510869.99999996623955667 176503.99999993946403265, 510746.44299993477761745 176516.35600004132720642, 510723.3130001041572541 176473.85400005371775478, 510687.65899986086878926 176473.4930001241446007, 510729.28200005507096648 176668.7890000932093244, 510789.18800010270206258 176744.53699976048665121, 510786.39000012050382793 176776.45500011031981558, 510752.98899986740434542 176761.63499982765642926, 510690.52300015627406538 176803.05700004089158028, 510709.16200007771840319 176845.82399998890468851, 510739.10200012091081589 176921.58900006118346937, 510923.13699983368860558 176995.92499999998835847)))</t>
  </si>
  <si>
    <t>E01002585</t>
  </si>
  <si>
    <t>Hounslow 013C</t>
  </si>
  <si>
    <t>E02000538</t>
  </si>
  <si>
    <t>Hounslow 013</t>
  </si>
  <si>
    <t>MultiPolygon (((510504.17899989488068968 176736.78000000002793968, 510502.67799992713844404 176616.99999981583096087, 510635.99999993934761733 176617.99900023030932061, 510592.08799988718237728 176441.09100023432984017, 510628.29799991467734799 176436.73299976432463154, 510673.87900013558100909 176431.28699984148261137, 510687.65900004364084452 176473.49299996433546767, 510723.31300018983893096 176473.85400021797977388, 510746.44300008192658424 176516.35599989915499464, 510870.00000002008164302 176503.99999984615715221, 510835.51800016482593492 176565.12399984095827676, 510759.24999995192047209 176585.48300013557309285, 510773.9360001192544587 176635.78899980551796034, 510901.96099977532867342 176606.85799993728869595, 510905.90200008859392256 176541.63999992900062352, 510866.84399985935306177 176348.33400012773927301, 510861.14399981388123706 176297.93699987771105953, 510851.99999982479494065 176036.00000017625279725, 510846.4750002141809091 175989.98500021424842998, 510829.99999980459688231 175980.00000016952981241, 510450.39400009601376951 175753.46299999998882413, 510197.37500021257437766 176127.71900004116469063, 510124.87399991147685796 176183.54899978000321425, 510130.27000013150973246 176299.31999983880086802, 510150.2520001299562864 176346.86300017838948406, 510211.99999981815926731 176300.99999988323543221, 510323.99999983160523698 176367.00099997723009437, 510357.16099982929881662 176520.11500003549735993, 510401.08799989061662927 176515.23499983613146469, 510412.35399993235478178 176582.98599985352484509, 510458.74200005701277405 176572.89400016947183758, 510466.52499983622692525 176696.07399981145863421, 510504.17899989488068968 176736.78000000002793968)))</t>
  </si>
  <si>
    <t>E01002586</t>
  </si>
  <si>
    <t>Hounslow 013D</t>
  </si>
  <si>
    <t>MultiPolygon (((511481.54300009290454909 176057.4570001217070967, 511476.00199991965200752 176003.80600010880152695, 511436.89400004805065691 175992.52400015425519086, 511451.27299991680774838 175931.36400007212068886, 511470.9480000845505856 175955.22099993453593925, 511520.2390000699670054 175933.97900012767058797, 511513.13700009067542851 175876.40399998883367516, 511521.25800000003073364 175829.13600011219386943, 511427.05900003516580909 175775.19700001575984061, 511373.99999996909173205 175702.9999998533166945, 511346.99999989796197042 175683.99999996571568772, 511238.08100016228854656 175824.68699991831090301, 511199.73600003396859393 175881.14400001405738294, 511140.99999998015118763 175954.00000000212457962, 511024.99500004487344995 175931.21599991671973839, 511033.0000000330619514 176008.0000001443841029, 510846.47499999997671694 175989.98499989579431713, 510852.00000005611218512 176035.99999994321842678, 510876.99999999697320163 176023.00000010890653357, 510987.48199993296293542 176086.30500005403882824, 511049.76399983442388475 176055.83000012778211385, 511109.93899994011735544 176074.74199987738393247, 511128.20100011979229748 176037.19899992545833811, 511132.00000006885966286 176110.00000003818422556, 511216.00000014022225514 176120.0000000145228114, 511326.0379999473807402 176173.09300003427779302, 511388.04500013455981389 176138.6789998933672905, 511398.99999990995274857 176074.00000005582114682, 511481.54300009290454909 176057.4570001217070967)))</t>
  </si>
  <si>
    <t>E01002588</t>
  </si>
  <si>
    <t>Hounslow 016B</t>
  </si>
  <si>
    <t>MultiPolygon (((511032.99999995500547811 176008, 511024.99500023986911401 175931.21600027251406573, 511140.99999982316512614 175954.00000006594927981, 511199.73600034945411608 175881.1439997022098396, 511238.08100009756162763 175824.68700000565149821, 511346.9999998687999323 175683.99999966614996083, 511374.00000020058359951 175702.99999995363759808, 511427.05899992905324325 175775.19700007647043094, 511521.25799996900605038 175829.13600023288745433, 511513.13699972000904381 175876.40400024858536199, 511559.48300032183760777 175875.52800014091189951, 511612.56799994356697425 175907.16799994395114481, 511618.00800000282470137 175946.35000032451353036, 511664.93799994699656963 175954.11100019951118156, 511647.61699986597523093 175844.19500011578202248, 511622.96099973242962733 175531.33899988298071548, 511669.67000021901912987 175509.19799977887305431, 511750.80200011137640104 175264.83800024312222376, 511559.09399981435853988 175170.64100036327727139, 511568.43000032263807952 175149.93700005614664406, 511587.55400032561738044 175107.53999976994236931, 511729.59100006165681407 174816.73300029939855449, 511370.12499997398117557 174619.28099967588786967, 511160.40699987090192735 174549.09400000004097819, 511160.69099999574245885 174615.54499963624402881, 511177.46899964031763375 174769.26599966967478395, 511145.99999966844916344 174914.9689996765810065, 511022.43799976562149823 175145.00000014863326214, 510826.68799973110435531 175381.14100034267175943, 510745.40600022999569774 175392.50000015037949197, 510703.1879996859934181 175484.45299981429707259, 510507.56300017645116895 175623.21800018730573356, 510462.28100014507072046 175609.4839998877432663, 510439.06299988861428574 175654.37499998093699105, 510452.99999966355971992 175742.00000035180710256, 510450.39399964292533696 175753.46299973264103755, 510830.00000010832445696 175979.99999984508031048, 510846.47500029520597309 175989.98499979363987222, 511032.99999995500547811 176008)))</t>
  </si>
  <si>
    <t>E01002589</t>
  </si>
  <si>
    <t>Hounslow 013E</t>
  </si>
  <si>
    <t>MultiPolygon (((510439.06299957435112447 175654.37499994473182596, 510462.2810003575286828 175609.48399976835935377, 510507.56299968017265201 175623.21800041379174218, 510703.18799977959133685 175484.45300032204249874, 510745.4060004148632288 175392.49999962362926453, 510826.68799975223373622 175381.14099989374517463, 511022.43799994903383777 175145.00000022299354896, 511146.00000026886118576 174914.96900026671937667, 511177.46900034160353243 174769.26599974095006473, 511160.69100027717649937 174615.54499999489053153, 511160.40699983184458688 174549.094000214478001, 511025.00000037503195927 174504.35100041489931755, 511016.9999997490667738 174429.00000024164910428, 510961.21499964455142617 174368.98499983185320161, 510971.42700042395154014 174320.21099954569945112, 511010.99999974662205204 174316.00000003981404006, 510996.00000020751031116 174232.00000000547152013, 510939.26599970017559826 174234.9999995396938175, 510923.45499956683488563 174025.8620004240074195, 510762.01599990017712116 173981.65600040749995969, 510788.46900002693291754 173926.10499977535801008, 510714.08499978482723236 173873.95699999999487773, 510690.95700037939241156 173888.00900040735723451, 510716.92599990509916097 173935.84200018484261818, 510698.12900028581498191 174002.60799965017940849, 510726.74000011302996427 174041.91600026091327891, 510707.48200017208000645 174134.85300008172634989, 510680.89499971678014845 174120.71199956769123673, 510650.99900019646156579 174175.00000044918851927, 510691.48499993124278262 174186.30299998601549305, 510693.80600039375713095 174222.75899957126239315, 510820.68600000976584852 174245.13200044358382002, 510783.59399996657157317 174361.53599997123819776, 510640.40100008784793317 174317.38199973368318751, 510573.60000003484310582 174322.25399971700971946, 510552.99999987077899277 174358.0000000569561962, 510481.76499987667193636 174441.89800027338787913, 510205.39399988594232127 174326.53400006121955812, 510039.87099961668718606 174296.99500037060352042, 509914.96700000768760219 174288.16500021913088858, 509837.21899991057580337 174287.59400018540327437, 509759.37500014959368855 174599.73399986154981889, 509721.00199989340035245 174636.97799976158421487, 509465.90599965839646757 174887.43699982270481996, 509519.21899978053988889 174944.9839997302624397, 509482.6559996263240464 174980.9059996095020324, 509721.87499990075593814 175326.9219998505723197, 509703.28099958028178662 175356.46900036936858669, 509707.64399987703654915 175358.9070001010550186, 509820.84400023467605934 175380.88799962200573646, 509869.49999998055864125 175443.23400012851925567, 510453.0000004525645636 175742, 510439.06299957435112447 175654.37499994473182596)))</t>
  </si>
  <si>
    <t>E01002592</t>
  </si>
  <si>
    <t>Hounslow 022D</t>
  </si>
  <si>
    <t>MultiPolygon (((510783.59400019701570272 174361.53600000002188608, 510820.68599978287238628 174245.13200019314535893, 510693.80599993810756132 174222.75900025892769918, 510691.48500017396872863 174186.30299999518319964, 510650.99899975018342957 174174.9999997746781446, 510680.89500008255708963 174120.71199998154770583, 510707.48199982277583331 174134.85299992663203739, 510726.74000015604542568 174041.91599985933862627, 510698.12899994378676638 174002.60800017084693536, 510716.92600020888494328 173935.8420000983751379, 510690.95700009830761701 173888.00900002935668454, 510714.08499980787746608 173873.95699977662297897, 510788.46900023217312992 173926.10499986665672623, 510843.99299983028322458 173828.13799992599524558, 510912.96099975943798199 173703.70099988355650567, 510954.99999978765845299 173627.99999994653626345, 510984.45999986736569554 173644.72099983968655579, 511007.99999987578485161 173656.99999981970177032, 511083.9999999197316356 173544.00000001283478923, 511180.48600011743837968 173566.4630000467877835, 511153.07600018690573052 173557.66300005893572234, 511165.35900015919469297 173492.14600017582415603, 511137.90099977521458641 173484.42199975505354814, 511049.88999978138599545 173460.9759998386434745, 510791.78300013241823763 173373.9739999501616694, 510699.65000015555415303 173341.20099983183899894, 510503.21899972960818559 173269.98399999999674037, 510436.15400009596487507 173323.41800007177516818, 510487.00000023504253477 173292.0000002117594704, 510533.53200021473458037 173329.43499981990316883, 510440.89299984701210633 173354.83400020853150636, 510444.05400017811916769 173452.966000241052825, 510274.99999988259514794 173580.9999997757258825, 510284.00000003143213689 173716.99500023026484996, 510331.27399994799634442 173727.98199996721814387, 510334.39899980253539979 173966.43199991414439864, 510420.89600025332765654 173998.92699974865536205, 510580.66999984718859196 173819.23499999986961484, 510588.1239999687531963 173867.92700018992763944, 510432.65799972717650235 174079.31400022091111168, 510454.03899993270169944 174138.46800020290538669, 510537.25899972976185381 174188.88100021998980083, 510579.39099998841993511 174214.96900023805210367, 510548.61699998087715358 174242.66800002189120278, 510575.0000001136213541 174305.00000016583362594, 510516.50299982266733423 174335.21900001319590956, 510552.99999987107003108 174358.00000025396002457, 510573.60000007832422853 174322.25399998860666528, 510640.40100021992111579 174317.38200008412241004, 510783.59400019701570272 174361.53600000002188608)))</t>
  </si>
  <si>
    <t>E01002593</t>
  </si>
  <si>
    <t>Hounslow 024B</t>
  </si>
  <si>
    <t>E02000549</t>
  </si>
  <si>
    <t>Hounslow 024</t>
  </si>
  <si>
    <t>MultiPolygon (((511274.62600012234179303 174237.34900006582029164, 511197.82600015454227105 174172.7489999552781228, 511159.48900008463533595 174176.48899988378980197, 511159.95800014917040244 174141.64499997886014171, 511251.59799976833164692 174127.40199996565934271, 511282.81100014963885769 174067.53899980694404803, 511278.99999973917147145 174033.99999985730391927, 511129.00000009930226952 174049.99999993867822923, 511129.64599984674714506 174007.74099983635824174, 511176.02900018397485837 174005.29299993120366707, 511202.79600006522377953 173963.07999979125452228, 511197.82499975326936692 173842.11000021544168703, 511137.33900009252829477 173751.82999989765812643, 511098.17500004410976544 173691.28700008825398982, 511120.13400002010166645 173639.8910000249161385, 511247.07999997056322172 173628.7979999402014073, 511278.00000009743962437 173592.99999982741428539, 511323.35500012646662071 173606.74200014694361016, 511388.67199993785470724 173553.04499997780658305, 511165.35900020139524713 173492.14600000000791624, 511153.07599980308441445 173557.66299973975401372, 511180.48599981336155906 173566.4629997581068892, 511083.99999983742600307 173543.99999994155950844, 511008.00000011146767065 173657.00000015291152522, 510984.45999987749382854 173644.72099977434845641, 510955.00000007316702977 173627.99999997240956873, 510912.96099999768193811 173703.70100020710378885, 510843.99300003563985229 173828.13800008402904496, 510788.4690002462011762 173926.10499982532928698, 510762.01600006222724915 173981.65599987990572117, 510923.455000170157291 174025.86200019370880909, 510939.26599998102756217 174235.00000025201006792, 510996.00000018259743229 174231.9999997413251549, 511011.00000009371433407 174315.99999977217521518, 510971.42699974786955863 174320.21100003930041566, 510961.21500017197104171 174368.98500013296143152, 511017.00000005820766091 174428.99999998355633579, 511024.99999983463203534 174504.35099981515668333, 511160.40700011514127254 174549.09399999998277053, 511172.78100003692088649 174430.73399980628164485, 511274.62600012234179303 174237.34900006582029164)))</t>
  </si>
  <si>
    <t>E01002594</t>
  </si>
  <si>
    <t>Hounslow 024C</t>
  </si>
  <si>
    <t>MultiPolygon (((510432.65800012566614896 174079.31399992608930916, 510588.12400000001071021 173867.9270001194672659, 510580.66999987524468452 173819.23499986907700077, 510420.89599990850547329 173998.92700008981046267, 510334.3990002142963931 173966.43200020812219009, 510331.27399991638958454 173727.98199984597158618, 510284.00000005087349564 173716.99500021967105567, 510208.99999998335260898 173852.00000019365688786, 510070.99999985919566825 173965.99999985363683663, 509990.13399990444304422 174022.9319999638828449, 509948.99999989691423252 174048.999999780789949, 509748.72000015928642824 174039.55999991981661879, 509719.03200004401151091 174030.41200011814362369, 509702.8809999999939464 174085.53599984318134375, 509731.56400011433288455 174096.48599985303007998, 509957.80700011138105765 174167.40599991686758585, 509914.96700007282197475 174288.16499984849360771, 510039.87099986069370061 174296.99500000398256816, 510205.39399980311281979 174326.53400000106194057, 510481.76500008133007213 174441.89799978031078354, 510553.00000014546094462 174358.00000005890615284, 510516.50299990602070466 174335.21900000888854265, 510574.9999998701387085 174305.00000015873229131, 510548.61700005299644545 174242.6680000436026603, 510579.39099990361137316 174214.96900019573513418, 510537.2589999542105943 174188.88100008372566663, 510454.03899987932527438 174138.46799980229116045, 510432.65800012566614896 174079.31399992608930916)))</t>
  </si>
  <si>
    <t>E01002595</t>
  </si>
  <si>
    <t>Hounslow 022E</t>
  </si>
  <si>
    <t>MultiPolygon (((512298.83999990310985595 172468.19200011700741015, 512362.20299986604368314 172420.21700006106402725, 512328.50100008660228923 172383.35000016275444068, 512367.00000009371433407 172358.99999999918509275, 512282.86700011603534222 172234.89700005255872384, 512350.77699999272590503 172178.07099989155540243, 512294.37900014308979735 172099.77800012842635624, 512430.29700010298984125 171952.53200016531627625, 512332.87099989515263587 171916.23699986562132835, 512342.61899990605888888 171894.92599993993644603, 512188.00000005471520126 171835.00000005794572644, 512176.4269998716772534 171802.36500003444962204, 512147.25999995321035385 171808.16499984887195751, 512157.16399997699772939 171832.96100006651249714, 512110.83600009576184675 171827.53400009736651555, 512102.50099990388844162 171839.55800013217958622, 512016.00000005861511454 171802, 511942.99999989982461557 171812.0000001093139872, 511959.00000014202669263 171906.36099985282635316, 511991.46199996577342972 171900.89200003549922258, 512002.99999988282797858 171946.44400009419769049, 512032.61599986854707822 171950.5699999516364187, 512027.34600014099851251 171983.89199996713432483, 512080.51999983668792993 171986.84599994349991903, 512087.21299998788163066 172058.69499997707316652, 511972.72000011842465028 172083.38399994862265885, 511962.47099992382572964 172176.23799990850966424, 511948.02800013363594189 172179.84900008144904859, 511880.82699989707907662 172179.79099993861746043, 511908.31100015540141612 172333.50800008644000627, 511958.46100001560989767 172360.84999983268789947, 512158.63799995195586234 172311.51700008736224845, 512203.99999996047699824 172452.0000000401341822, 512245.99999988125637174 172447.00000015369732864, 512261.48599999479483813 172474.875, 512298.83999990310985595 172468.19200011700741015)))</t>
  </si>
  <si>
    <t>E01002606</t>
  </si>
  <si>
    <t>Hounslow 026C</t>
  </si>
  <si>
    <t>MultiPolygon (((512705.14399993274128065 172895.81299979364848696, 512643.52399983681971207 172817.80800013223779388, 512603.83100005477899686 172846.63499983176006936, 512562.70199993113055825 172799.19200021389406174, 512553.90299978107213974 172693.05800002859905362, 512429.92399994574952871 172761.16399995339452289, 512448.2660000171745196 172692.55599996307864785, 512546.98199995519826189 172590.54900014100712724, 512658.00200017489260063 172587.69299977019545622, 512666.58999986376147717 172618.16400000228895806, 512713.29899996594758704 172611.89100000847247429, 512726.0229998612194322 172574.15100004957639612, 512715.06799982488155365 172548.45500001282198355, 512706.41699978278484195 172527.68599999466096051, 512683.00000006856862456 172464.99999982706503943, 512622.81699975929223001 172428.26399999923887663, 512569.68700003909179941 172419.6939999966416508, 512586.11100021481979638 172368.02700014741276391, 512523.7279997649602592 172259.32599982173996978, 512432.5120000425959006 172131.40499999999883585, 512350.77699981728801504 172178.07099977665347978, 512282.86699997010873631 172234.89700006213388406, 512366.99999978754203767 172358.99999977875268087, 512328.50100015749922022 172383.34999984028399922, 512362.20300019066780806 172420.21700001865974627, 512298.8399998364620842 172468.19199998539988883, 512261.48599997611017898 172474.87499982072040439, 512245.99999979173298925 172447.00000008355709724, 512204.00000022898893803 172452.0000002273300197, 512158.63800003082724288 172311.51700010555214249, 511958.46100010693771765 172360.85000016089179553, 511974.68799979245522991 172391.15600004381849431, 511947.94000013876939192 172412.36299984547076747, 512019.62499976553954184 172535.87500002654269338, 512054.37500018416903913 172516.28100006148451939, 512166.77599982282845303 172717.33400003612041473, 512191.25900009251199663 172762.68300019210437313, 512301.92399994214065373 172963.37700008135288954, 512389.21900011831894517 173098.92199999999138527, 512395.06799981591757387 173094.70800002434407361, 512480.87499996554106474 173024.18699978242511861, 512582.20099988568108529 172999.00599985336884856, 512696.59399995784042403 172955.53099982248386368, 512705.14399993274128065 172895.81299979364848696)))</t>
  </si>
  <si>
    <t>E01002607</t>
  </si>
  <si>
    <t>Hounslow 026D</t>
  </si>
  <si>
    <t>MultiPolygon (((512002.99999986175680533 171946.44399971060920507, 511991.46199985273415223 171900.89200020578573458, 511959.00000000128056854 171906.36099994461983442, 511943.0000000519794412 171812.00000018073478714, 512016.00000011676456779 171802.0000002124288585, 512102.50100008927984163 171839.55799974201363511, 512110.8359999309759587 171827.53399978252127767, 512157.16400014673126861 171832.96100011811358854, 512147.26000016863690689 171808.16499988036230206, 512176.42700025712838396 171802.36500007650465705, 512188.00000016385456547 171834.99999981155269779, 512342.61899971123784781 171894.92600002384278923, 512343.66100000002188608 171857.32100000532227568, 512264.21599990088725463 171765.26099971067742445, 512239.49700014898553491 171730.28400001680711284, 512148.62499973329249769 171761.52799999239505269, 512139.60300025780452415 171712.8759998160530813, 512017.74599993880838156 171655.29100005640066229, 511980.31100010045338422 171589.44700024978374131, 512075.3350000930367969 171529.29099986344226636, 512163.19300002598902211 171557.26899997438886203, 512194.3939999071881175 171535.60500000990577973, 512124.88200027693528682 171452.18199972371803597, 512182.67800011381041259 171407.60599992194329388, 512166.91700004140147939 171381.00200026342645288, 512151.2770000554737635 171361.53400007513118908, 512086.71600001933984458 171392.0139999310777057, 512035.33500021987129003 171313.42199984376202337, 512006.00000014848774299 171337.99999990622745827, 512022.06100019026780501 171370.81400011680671014, 511968.90700027527054772 171340.65899973397608846, 511948.73399986256845295 171367.39999987225746736, 511970.25899974250933155 171334.6419998534838669, 511907.61700000450946391 171296.80000015537370928, 511789.17399993009166792 171442.3360001347027719, 511665.15500022645574063 171451.41999980137916282, 511644.00299981480930001 171443.82999998243758455, 511717.22100005485117435 171366.79700022996985354, 511626.90299978014081717 171262.81299976812442765, 511620.9999998880084604 171157.99999988448689692, 511307.00000029115471989 171333.00000021833693609, 511234.00000022636959329 171306.99999970829230733, 511201.00000003480818123 171367.99999981111614034, 511158.71000000002095476 171369.82599982249666937, 511441.76100028248038143 171518.45300017803674564, 511839.79100020241457969 171721.89500018054968677, 511884.06300023262156174 171931.72600002566468902, 511888.28099980275146663 171959.95299981499556452, 511847.96899996139109135 171971.85799988536746241, 511880.8269997724564746 172179.79099972642143257, 511948.02800013200612739 172179.84900011550053023, 511962.47099994373274967 172176.23799998976755887, 511972.72000018291873857 172083.3840001710341312, 512087.21299986995290965 172058.69499982363777235, 512080.52000025584129617 171986.84600013526505791, 512027.34600014536408707 171983.89200023884768598, 512032.6159998057410121 171950.57000027754111215, 512002.99999986175680533 171946.44399971060920507)))</t>
  </si>
  <si>
    <t>E01002608</t>
  </si>
  <si>
    <t>Hounslow 028A</t>
  </si>
  <si>
    <t>E02000553</t>
  </si>
  <si>
    <t>Hounslow 028</t>
  </si>
  <si>
    <t>MultiPolygon (((512513.22199981135781854 171861.81200015428476036, 512543.93099985225126147 171840.88299996918067336, 512542.91300004132790491 171904.39499983258428983, 512725.15499982977053151 171865.92699988748063333, 512716.9020000746822916 171825.79700011893874034, 512748.97299999999813735 171809.48999989830190316, 512710.06699992105131969 171778.01500011823372915, 512613.39200007769977674 171699.80699990253197029, 512556.44300009525613859 171651.1949998272175435, 512483.46599998534657061 171588.3430000601510983, 512384.76700010267086327 171475.9779999872262124, 512375.99400012020487338 171465.36900008612428792, 512242.64899990713456646 171312.17500016005942598, 512042.99899996438762173 171307.00000015561818145, 512035.33500014973105863 171313.42200013835099526, 512086.71600015764124691 171392.01400006073527038, 512151.2769999704323709 171361.534000187239144, 512166.91699988988693804 171381.00199989698012359, 512182.67799989110790193 171407.60600011295173317, 512124.88200010528089479 171452.1820000764564611, 512194.39399990142555907 171535.60499992975383066, 512163.19300006824778393 171557.26900009991368279, 512075.33499995747115463 171529.2910000327101443, 511980.31099999998696148 171589.4470000815927051, 512017.74600007961271331 171655.2910001574200578, 512139.60300003614975139 171712.87599991826573387, 512148.62500000250292942 171761.52800001105060801, 512239.49699991277884692 171730.284000072570052, 512264.21599992917617783 171765.26100009609945118, 512343.66099983057938516 171857.3210001798288431, 512342.61900008603697643 171894.92599985338165425, 512332.87100001366343349 171916.23700007097795606, 512430.29699992592213675 171952.53199984438833781, 512513.22199981135781854 171861.81200015428476036)))</t>
  </si>
  <si>
    <t>E01002609</t>
  </si>
  <si>
    <t>Hounslow 028B</t>
  </si>
  <si>
    <t>MultiPolygon (((510497.14399985928321257 171536.55000026879133657, 510605.81199957203352824 171501.63399986864533275, 510620.32600024464773014 171498.1279996918165125, 510897.18799983605276793 171393.95299977483227849, 511158.71000043855747208 171369.8260002861788962, 511200.99999994155950844 171368.00000033629476093, 511234.00000059587182477 171306.99999993381788954, 511307.00000002584420145 171333.00000004583853297, 511620.9999997959821485 171157.99999980389839038, 511626.90300043066963553 171262.81300018460024148, 511717.22099963837536052 171366.79700048069935292, 511644.00300040654838085 171443.83000048008398153, 511665.15500045154476538 171451.41999981959816068, 511789.1740003923769109 171442.33599975085235201, 511907.61700000643031672 171296.80000045782071538, 511970.25900042610010132 171334.64200006306055002, 511948.73400039272382855 171367.4000000823289156, 511968.9070002895896323 171340.65900011660414748, 512022.06100013060495257 171370.81399968764162622, 512006.00000057031866163 171337.99999974149977788, 512035.33500052051385865 171313.42200027982471511, 512042.99899950402323157 171306.99999993381788954, 512242.64900049689458683 171312.17500030875089578, 512165.60000034549739212 171192.21599990775575861, 512224.90599993412615731 171141.68700057265232317, 512139.50000019115395844 171119.78099986963206902, 512279.32399968081153929 170862.78500035984325223, 512324.14200020546559244 170759.9570004562556278, 512372.17199947527842596 170671.14100023818900809, 512449.53099999995902181 170533.89100024037179537, 512396.0959995316225104 170376.99100039765471593, 512356.4380002228426747 170317.92200011049862951, 511909.39899984083604068 170590.18900029867654666, 511845.62499986181501299 170609.15599978188402019, 511836.50000023568281904 170588.48399945592973381, 511945.53099969052709639 170485.03099989300244488, 511838.83899999118875712 170540.59700056133442558, 511656.48900026921182871 170595.81399965370655991, 511302.99999954312806949 170596.39100006740773097, 510971.12500007421476766 170480.21900047056260519, 510797.37500036141136661 170600.42199986128252931, 510753.69100017152959481 170626.21599998293095268, 510710.40600036835530773 170805.09399939718423411, 510565.85599970130715519 171021.37100033526076004, 510421.10000025428598747 171066.30900018446845934, 510462.89999979198910296 171170.28300023425254039, 510329.59400035004364327 171224.5160002657212317, 510365.68700020748656243 171312.10700057045323774, 510169.78800058446358889 171375.60800060332985595, 510078.68799954483984038 171411.79700016250717454, 510118.81300018908223137 171511.68699983920669183, 510044.96900030499091372 171504.49900023409281857, 510028.75 171531.06200017291121185, 510073.11999989923788235 171625.75999954008148052, 510118.7900003488175571 171640.02499988948693499, 510249.62499968888005242 171636.53099952405318618, 510497.14399985928321257 171536.55000026879133657)))</t>
  </si>
  <si>
    <t>E01002610</t>
  </si>
  <si>
    <t>Hounslow 028C</t>
  </si>
  <si>
    <t>MultiPolygon (((511937.31100010708905756 173701.26700028966297396, 512008.09400002768961713 173472.8750003224122338, 512142.53099967894377187 173490.29700002656318247, 512230.83299976523267105 173374.55500023858621716, 512240.71900028444360942 173206.32799966889433563, 512389.21900000004097819 173098.92199976663687266, 512301.92400015844032168 172963.37699966633226722, 512250.07699999347096309 172983.87199965780018829, 512035.99999981885775924 173034.99999988818308339, 511976.00000013125827536 173071.00000028009526432, 511915.26299985608784482 173175.8950003293575719, 511862.00000021792948246 173101.99999991347431205, 511828.00000012945383787 173066.99999967328039929, 511857.97799993946682662 173040.38299973655375652, 511825.88199980958597735 173016.63600028588552959, 511723.89599973015720025 173128.7719998411484994, 511514.60700018628267571 172918.78100017484393902, 511714.9850000650039874 172779.626000099000521, 511488.91500033554621041 172446.31099971031653695, 511364.99699978809803724 172461.00300006489851512, 511390.65500001457985491 172481.86899991784594022, 511314.48399966186843812 172544.75200016083545052, 511189.00000023405300453 172537.99999980858410709, 511000.99999995768303052 172717.00000016801641323, 511124.363000163808465 172856.01399971480714157, 511324.2939999985974282 173089.76699985878076404, 511283.9799999994575046 173143.53700002792174928, 511255.00000010762596503 173092.99999999656574801, 511227.00000020512379706 173080.00000019700382836, 511045.99699991627130657 173163.9960001616855152, 511016.4769999859854579 173248.25200006438535638, 510940.82400000002235174 173212.64700016329879873, 510944.67599998478544876 173241.81300004423246719, 510972.4490001808735542 173301.26899995055282488, 511108.34000012074830011 173353.87699988405802287, 511049.89000034244963899 173460.97600015471107326, 511137.90099976834608242 173484.4219999500492122, 511165.35900012304773554 173492.14600008184788749, 511388.6720002475194633 173553.04499971680343151, 511633.51500025612767786 173619.85600012692157179, 511937.31100010708905756 173701.26700028966297396)))</t>
  </si>
  <si>
    <t>E01002611</t>
  </si>
  <si>
    <t>Hounslow 024D</t>
  </si>
  <si>
    <t>MultiPolygon (((510944.6760000639478676 173241.81299986294470727, 510940.82400018197949976 173212.64699979408760555, 511016.47700007079401985 173248.25199999025790021, 511045.99700001999735832 173163.99600000269128941, 511226.99999989365460351 173080.00000015608384274, 511255.00000009976793081 173093.00000017796992324, 511283.98000004229834303 173143.53699984095874242, 511324.29399999999441206 173089.766999938437948, 511124.36299986630911008 172856.01400017479318194, 511001.00000014941906556 172716.99999983154702932, 510959.50400013581383973 172713.99999979470157996, 510772.00100004451815039 172861.99999982109875418, 510708.00000013347016647 172792.99999980040593073, 510518.99999987904448062 172877.99999987983028404, 510497.43200000002980232 172840.31599988549714908, 510512.01500003441469744 172873.00000009403447621, 510562.99000007490394637 173012.13000008038943633, 510603.60699989163549617 173118.72299979798845015, 510630.53100002941209823 173184.42200010200031102, 510574.10800017009023577 173227.66200008188025095, 510522.99800002464326099 173264.66800010923179798, 510503.21900000906316563 173269.98400009184842929, 510699.64999996201368049 173341.20099987101275474, 510791.78299991542007774 173373.97400019780616276, 511049.88999985420377925 173460.97600020532263443, 511108.33999981416855007 173353.87699980623438023, 510972.44900019146734849 173301.26899982150644064, 510944.6760000639478676 173241.81299986294470727)))</t>
  </si>
  <si>
    <t>E01002612</t>
  </si>
  <si>
    <t>Hounslow 024E</t>
  </si>
  <si>
    <t>MultiPolygon (((512035.99999982339795679 173034.99999995692633092, 512250.07700019312324002 172983.87200007934006862, 512301.92399999999906868 172963.37700010894332081, 512191.25900000921683386 172762.68299991203821264, 512166.77600008947774768 172717.33400011149933562, 512104.18999994551995769 172700.33600007856148295, 512052.32699988893000409 172626.45600016132812016, 511974.66099997668061405 172686.77699991432018578, 511894.00000013847602531 172670.99999982203007676, 511828.48900002927985042 172726.24999982141889632, 511714.98499989014817402 172779.62599994766060263, 511514.60699999995995313 172918.78100012868526392, 511723.89600013714516535 173128.77200005279155448, 511825.88200015597976744 173016.63599981143488549, 511857.97799999208655208 173040.38300005323253572, 511828.00000019615981728 173066.99999986929469742, 511861.99999983242014423 173101.99999995797406882, 511915.26299989258404821 173175.89499983869609423, 511975.99999984004534781 173071.00000010436633602, 512035.99999982339795679 173034.99999995692633092)))</t>
  </si>
  <si>
    <t>E01002613</t>
  </si>
  <si>
    <t>Hounslow 024F</t>
  </si>
  <si>
    <t>MultiPolygon (((511828.48900037776911631 172726.24999966914765537, 511893.99999985157046467 172671.00000016781268641, 511974.66100015502888709 172686.77699994188151322, 512052.32699960353784263 172626.45599995829979889, 512104.19000022672116756 172700.3360002793779131, 512166.77599999995436519 172717.33400035274098627, 512054.37499961315188557 172516.28099998427205719, 512019.62499969376949593 172535.8749998192070052, 511947.93999969627475366 172412.36299979235627688, 511974.68800017825560644 172391.15599994655349292, 511958.46099973586387932 172360.8499998765764758, 511908.31099992874078453 172333.50799972817185335, 511880.82699997094459832 172179.79100003087660298, 511847.9690000208793208 171971.85800015772110783, 511888.28099965647561476 171959.95300008522463031, 511884.06300015770830214 171931.72600011408212595, 511839.79100021329941228 171721.89500017263344489, 511441.76100001001032069 171518.45299965771846473, 511444.00000021513551474 171581.99999966309405863, 511349.6540000286186114 171768.6199996305804234, 511305.6730002406402491 171907.5890000632207375, 511284.00000030687078834 171943.999999940948328, 511227.14599967672256753 171908.67599984077969566, 511169.39200024277670309 171919.27999998297309503, 511119.55700014356989413 171978.40800012915860862, 511160.09300009679282084 171997.58300022923504002, 511053.0000003021559678 172198.99999984749592841, 511042.00399960402864963 172181.00699982553487644, 511002.98400017246603966 172158.52699966702493839, 510929.39999966806499287 172207.29999997885897756, 510898.0000001271837391 172164.00000002584420145, 510801.99999967572512105 172101.00000017805723473, 510630.36200029973406345 172160.08700007011066191, 510633.15799998311558738 172103.48300018644658849, 510478.27199999999720603 172119.90099998004734516, 510501.99999963666778058 172259.99999963308800943, 510613.9999997413251549 172313.00000001428998075, 510503.00000008987262845 172430.00100029082386754, 510533.00000017823185772 172500.00000033972901292, 510656.0000002026790753 172425.00000011891825125, 510740.73599975695833564 172473.83000010452815332, 510802.74299968907143921 172467.52300034198560752, 510844.33900024089962244 172594.16099958546692505, 510988.44000005128327757 172628.97200008886284195, 510959.50399978325003758 172714.0000002381275408, 511001.00000037415884435 172716.99999990925425664, 511189.0000003085588105 172537.99999983250745572, 511314.48399993579369038 172544.75199975870782509, 511390.65499963116599247 172481.86899973009712994, 511364.99700024258345366 172461.00300002109725028, 511488.91500021202955395 172446.31099999157595448, 511714.98499994951998815 172779.62600034230854362, 511828.48900037776911631 172726.24999966914765537)))</t>
  </si>
  <si>
    <t>E01002615</t>
  </si>
  <si>
    <t>Hounslow 026E</t>
  </si>
  <si>
    <t>MultiPolygon (((510929.39999980159336701 172207.29999980522552505, 511002.98400003497954458 172158.52700013743015006, 511042.00400003779213876 172181.00699987501138821, 511052.99999981746077538 172198.99999987639603205, 511160.09299986792029813 171997.58300019145826809, 511119.55699982342775911 171978.40800004531047307, 511169.3920000318903476 171919.27999984167399816, 511227.14600013743620366 171908.67600005396525376, 511284.00000006891787052 171944.00000001248554327, 511305.67299994383938611 171907.5890001370862592, 511349.65400002594105899 171768.62000004059518687, 511443.99999999994179234 171581.99999999036663212, 511441.76099994411924854 171518.45300014744861983, 511158.7100001453072764 171369.82600019476376474, 510897.18799994204891846 171393.95299995751702227, 510620.32600012473994866 171498.1280001979903318, 510605.81199999997625127 171501.63400020552217029, 510606.30200009472901002 171504.89000016468344256, 510655.39600020181387663 171831.45800012355903164, 510685.44800006272271276 171961.65000007321941666, 510712.99899990094127133 171971.00000020515290089, 510738.99999985849717632 171912.99999988439958543, 510786.63699997717048973 171909.72800017357803881, 510769.04999980283901095 171954.0369999838876538, 510804.4570000707753934 171977.38300005660858005, 510803.00100004067644477 172096.99999984700116329, 510801.99999988899799064 172101.00000020151492208, 510898.00000001525040716 172163.99999981289147399, 510929.39999980159336701 172207.29999980522552505)))</t>
  </si>
  <si>
    <t>E01002617</t>
  </si>
  <si>
    <t>Hounslow 028D</t>
  </si>
  <si>
    <t>MultiPolygon (((511252.1120000000228174 183616.71100024171755649, 510972.36900020495522767 183568.55299993208609521, 510819.9120002513518557 183600.76699983625439927, 510824.61799986404366791 183556.67399977485183626, 510991.27900023997062817 183248.28999995932099409, 510993.12200019846204668 183192.624000270239776, 511083.05599972984055057 183208.18499985564267263, 511098.28400033671641722 183136.689999650727259, 511080.05400035751517862 183102.73700007965089753, 511022.62000036804238334 183092.29500032460782677, 511042.74599999166093767 182955.99600015266332775, 510962.02999964921036735 182971.85500006610527635, 510942.89100015111034736 183015.85099972123862244, 510921.54599999031051993 182972.63800009732949547, 510800.00000000389991328 182979.99999987334012985, 510750.00000005203764886 182981.99999980934080668, 510748.0000001160078682 182951.99999999342253432, 510837.18200010602595285 182916.151000001875218, 510728.77699966612271965 182844.39700016027200036, 510796.00000013189855963 182818.2309997210977599, 510773.78299973515095189 182786.61700018576811999, 510724.40899983694544062 182797.48900010166107677, 510508.35400022310204804 182854.59000033655320294, 510395.92000005370937288 182887.01300036400789395, 510302.40599997725803405 182909.68700014665955678, 510251.62600016675423831 182886.45300022672745399, 510221.71900026832008734 182934.53100007327157073, 510135.46900002146139741 182953.90599969570757821, 510104.53100005316082388 183073.25200014055008069, 510044.37499998399289325 183090.87499986562761478, 509999.9729999965056777 183162.1030002323386725, 509851.09399995557032526 183165.1090000934782438, 509851.40700037038186565 183288.39100035023875535, 509809.29799984197597951 183306.91800034127663821, 509729.21899992728140205 183330.5779999332735315, 509700.03100000001722947 183371.76600025256630033, 509797.3119999966584146 183431.8280000880768057, 509705.46899981435853988 183530.18700027136947028, 509718.39499966840958223 183577.90900007501477376, 509773.84500012488570064 183557.04699976099072956, 509939.31299964850768447 183562.60899998262175359, 510717.21900012524565682 183828.84399981424212456, 511225.46400003024609759 183824.4439999550813809, 511241.28799974109278992 183698.34299998835194856, 511252.1120000000228174 183616.71100024171755649)))</t>
  </si>
  <si>
    <t>E01001325</t>
  </si>
  <si>
    <t>Ealing 009A</t>
  </si>
  <si>
    <t>E02000246</t>
  </si>
  <si>
    <t>Ealing 009</t>
  </si>
  <si>
    <t>E09000009</t>
  </si>
  <si>
    <t>Ealing</t>
  </si>
  <si>
    <t>MultiPolygon (((511386.62500009825453162 184455.48399980817339383, 511815.79700015840353444 184302.839999963354785, 512265.7140002356027253 184095.07200033860863186, 512293.96100027515785769 184080.86099971909425221, 512426.15100001648534089 184009.86599963935441338, 512551.48699984111590311 183942.54499974029022269, 512546.99999997072154656 183892.99999972051591612, 512583.00000015954719856 183868.99900029838318005, 512540.79899985494557768 183858.54999998380662873, 512536.28600023436592892 183825.33799998898757622, 512611.90000000002328306 183752.93200003265519626, 512589.98500010109273717 183696.97099965254892595, 512535.62300030130427331 183721.86600035373703577, 512484.88999971683369949 183779.12399999433546327, 512431.60999967466341332 183735.87900013741455041, 512365.52400014543673024 183808.35299995375680737, 512295.09100037027383223 183745.12299973686458543, 512259.63499980326741934 183772.93600012446404435, 512236.69800019764807075 183756.60799979473813437, 512258.4479997709277086 183726.1209998291451484, 512163.16399972757790238 183638.17199990124208853, 512098.29799999907845631 183566.95699988174601458, 512118.00000025454210117 183533.99999991824734025, 512214.99099978321464732 183598.3500000981730409, 512238.69799991970648989 183558.16199976153438911, 512218.1260000373586081 183543.46999968503951095, 512195.6480000430601649 183583.15199986356310546, 512171.29599991469876841 183564.01700034964596853, 512195.93800016597378999 183536.98900032020173967, 512166.03799972275737673 183462.87600013677729294, 512153.89800028246827424 183406.40499969405937009, 512083.76400022994494066 183400.15500019179307856, 512028.23300033895066008 183477.57399969920516014, 512097.8479999874252826 183522.27799977018730715, 512005.01299988711252809 183572.68600014023832045, 511991.68599967280169949 183661.54999991875956766, 511817.64499980071559548 183666.87699976141448133, 511709.79899963707430288 183569.32000002358108759, 511668.05699968547560275 183602.57599970966111869, 511643.90700029738945886 183701.88899980275891721, 511516.00099989539012313 183670.00000030198134482, 511524.21499997918726876 183718.9710003036307171, 511477.69200012984219939 183754.61999978619860485, 511374.5279998168698512 183730.75299976099631749, 511241.28800029557896778 183698.34300027476274408, 511225.46399980084970593 183824.44400019332533702, 511378.87500006274785846 183853.56199965049745515, 511365.40699969156412408 183977.53100003147847019, 511286.40599975426448509 184229.43700025978614576, 511190.59399970719823614 184195.85899973139748909, 511128.53100000007543713 184444.92200015159323812, 511391.68800030986312777 184416.87499978760024533, 511386.62500009825453162 184455.48399980817339383)))</t>
  </si>
  <si>
    <t>E01001326</t>
  </si>
  <si>
    <t>Ealing 008C</t>
  </si>
  <si>
    <t>E02000245</t>
  </si>
  <si>
    <t>Ealing 008</t>
  </si>
  <si>
    <t>MultiPolygon (((511516.00099985860288143 183669.99999992043012753, 511649.17200018907897174 183379.26300020923372358, 511680.4600000255741179 183397.33499994827434421, 511699.38099980080733076 183371.01399994691018946, 511653.4420000925892964 183290.51099998541758396, 511679.21899994777049869 183255.61299995207809843, 511648.10399977111956105 183214.17099990134011023, 511695.09400002809707075 183179.57700007708626799, 511703.00000001332955435 183169.00000008806819096, 511580.99900006392272189 183101.00000010410440154, 511599.99999981815926731 182955.99999984807800502, 511501.99999999697320163 183026.99999976763501763, 511507.71199984737904742 183051.06800017310888506, 511446.00000023667234927 183007.00000019706203602, 511473.51000006479443982 183016.04500008226023056, 511515.29000006301794201 182972.67599988088477403, 511446.32199999585282058 182889.69999977949191816, 511484.36300005367957056 182862.15000020252773538, 511437.99999992712400854 182792, 511406.00000013288808987 182796.99999989263596945, 511329.14799979794770479 182848.15100018397788517, 511305.99999987334012985 182808.00000013777753338, 511259.98100018606055528 182824.99999977278639562, 511303.9060000732424669 182938.52800019239657559, 511345.16299996193265542 182949.83700001362012699, 511399.1950001418008469 183028.70800001782481559, 511382.19699986855266616 183055.49300018639769405, 511277.71999982593115419 183044.79299998295027763, 511270.30500005488283932 183117.10699978668708354, 511316.25399994099279866 183138.50400018834625371, 511349.94699995929840952 183219.33100023336010054, 511425.99900002259528264 183220.999999934254447, 511452.95000015967525542 183261.68300010572420433, 511495.72100012074224651 183232.30399990719160996, 511536.0000002296292223 183285.99999998262501322, 511445.11399997561238706 183350.3639998848666437, 511398.53600011602975428 183383.60100007083383389, 511339.0969999756780453 183324.5370001029514242, 511283.66300007904646918 183404.92200017959112301, 511206.56700012093642727 183360.4830001984955743, 511147.45300022629089653 183450.76800020699738525, 510972.36899998661829159 183568.55299986570025794, 511252.11199994449270889 183616.71099991275696084, 511241.28799984569195658 183698.34300007767160423, 511374.52799981518182904 183730.75299994496162981, 511477.6920001357793808 183754.61999999999534339, 511524.21500022034160793 183718.97099994090967812, 511516.00099985860288143 183669.99999992043012753)))</t>
  </si>
  <si>
    <t>E01001327</t>
  </si>
  <si>
    <t>Ealing 009B</t>
  </si>
  <si>
    <t>MultiPolygon (((511668.05700010742293671 183602.57599999234662391, 511709.79900021874345839 183569.31999984223512001, 511817.64500020467676222 183666.87700000661425292, 511991.68599997379351407 183661.54999995781690814, 512005.01299989351537079 183572.68599986808840185, 512097.84799997991649434 183522.27799991201027296, 512028.23300016083521768 183477.57399988322868012, 512083.76400017773266882 183400.15499999644816853, 512153.8980001182644628 183406.40499982531764545, 512166.03800000896444544 183462.87600018348894082, 512173.80200005252845585 183449.48399994356441312, 512238.65099990216549486 183344.37400016625178978, 512371.51800008193822578 183072.94299987232079729, 512111.29699990566587076 182994.68399992937338538, 511994.62699991237604991 183099.21700015748501755, 511937.60800016857683659 183117.83499996937462129, 511862.23800008790567517 183182.79300003076787107, 511836.61100018117576838 183140.15400017751380801, 511861.7769998440053314 183085.14600014948518947, 511880.82099993492010981 183027.3759998747264035, 511854.00100019795354456 182967.00100022356491536, 511908.0000001466833055 182912.99999989132629707, 511837.25899985182331875 182888.25899986605509184, 511872.68100020458223298 182863.80899986991425976, 511839.75199979043100029 182802.43599999998696148, 511763.48699990153545514 182818.14599990443093702, 511746.31799998413771391 182880.38100000115809962, 511733.41199983452679589 182934.92899997701169923, 511622.6800001118099317 182920.93299995799316093, 511599.99999994487734511 182956.00000015311525203, 511580.99900000350316986 183100.99999978090636432, 511702.99999991309596226 183168.99999980794382282, 511695.09400007629301399 183179.57699998281896114, 511648.10400022234534845 183214.17099988184054382, 511679.21900001622270793 183255.61300003735232167, 511653.44200013158842921 183290.51100020942976698, 511699.38099994848016649 183371.01400001969886944, 511680.46000005531823263 183397.33499987216782756, 511649.17199992114910856 183379.2629999618511647, 511516.00099991803290322 183670.00000021216692403, 511643.90700006706174463 183701.88899999996647239, 511668.05700010742293671 183602.57599999234662391)))</t>
  </si>
  <si>
    <t>E01001328</t>
  </si>
  <si>
    <t>Ealing 009C</t>
  </si>
  <si>
    <t>MultiPolygon (((511147.45299979782430455 183450.76800003569223918, 511206.56700021715369076 183360.48299982197931968, 511283.66299990355037153 183404.92199981620069593, 511339.09699995920527726 183324.53700002515688539, 511398.5359999795909971 183383.60100013299961574, 511445.11399996484396979 183350.36400000035064295, 511535.99999980686698109 183285.99999992438824847, 511495.72099999379133806 183232.3040001553890761, 511452.95000020274892449 183261.68299992597894743, 511425.99899990571429953 183220.99999995803227648, 511349.94700013089459389 183219.33099989846232347, 511316.25399981904774904 183138.50400012120371684, 511270.3049998480710201 183117.1069998940511141, 511277.72000016883248463 183044.79300008623977192, 511382.19700009893858805 183055.4930002047913149, 511399.19500009261537343 183028.70799986668862402, 511345.16300009883707389 182949.83699991868343204, 511303.90600015077507123 182938.5279999986232724, 511259.98099993914365768 182824.99999979682615958, 511124.45100001554237679 182719.44799999997485429, 511069.98800021864008158 182731.72999989165691659, 510773.78299985063495114 182786.61700005613965914, 510795.99999998637940735 182818.23100013379007578, 510728.77700019313488156 182844.39699990302324295, 510837.18200012820307165 182916.15099992367322557, 510748.00000016717240214 182951.99999998873681761, 510749.99999984749592841 182982.00000004100729711, 510799.99999978771666065 182979.9999999200226739, 510921.54600009211571887 182972.63799992058193311, 510942.89099985430948436 183015.85100013852934353, 510962.02999999246094376 182971.85499998691375367, 511042.74599984497763216 182955.99599992379080504, 511022.61999998288229108 183092.29500002870918252, 511080.05400015955092385 183102.73700017921510153, 511098.28399994928622618 183136.69000017186044715, 511083.05600005388259888 183208.1849999274709262, 510993.12200011435197666 183192.62399981715134345, 510991.27899992262246087 183248.29000004904810339, 510824.61800018948270008 183556.67400011655990966, 510819.91199997352669016 183600.76699999999254942, 510972.36899995082058012 183568.5530001504230313, 511147.45299979782430455 183450.76800003569223918)))</t>
  </si>
  <si>
    <t>E01001329</t>
  </si>
  <si>
    <t>Ealing 009D</t>
  </si>
  <si>
    <t>MultiPolygon (((512489.19100014452124014 182998.82199988537468016, 512436.31800019106594846 182779.57400008433614857, 512217.99999983282759786 182786.99999978984124027, 512112.79600020858924836 182829.88000003187335096, 512110.85699986340478063 182790.32299981630058028, 512159.20599997398676351 182768.03100021771388128, 512136.94400014769053087 182710.02499988875933923, 512072.00000006257323548 182758.99999992296216078, 512007.65799980459269136 182680.86599979375023395, 512096.28099993645446375 182612.0630000043020118, 512080.00000002450542524 182569.99999989263596945, 512150.66899976885179058 182510.78300013285479508, 512175.86200005828868598 182537.21599998907186091, 512226.40000016451813281 182511.30499979315209202, 512180.15899978193920106 182468.07500004052417353, 512004.37500009377254173 182508.21899996482534334, 511975.06299990613479167 182415.34399999998277053, 511784.86399979650741443 182565.71700018658884801, 511779.37099983147345483 182652.79500020269188099, 511768.30299999745329842 182728.39099999744212255, 511763.48699998686788604 182818.14599995853495784, 511839.75199985882500187 182802.43600000071455725, 511872.68099997768877074 182863.80900014599319547, 511837.25899987953016534 182888.2589998671610374, 511907.9999999133287929 182913.0000001197331585, 511854.00099980639060959 182967.00099996375502087, 511880.82100011553848162 183027.37599985086126253, 511861.7769999515148811 183085.14600008248817176, 511836.61100006097694859 183140.15400016281637363, 511862.23799996654270217 183182.79299980352516286, 511937.60800020734313875 183117.83500016535981558, 511994.62699999334290624 183099.21700020463322289, 512111.29700008424697444 182994.68399993013008498, 512371.51800022047245875 183072.94300011682207696, 512238.65099985868437216 183344.37400000001071021, 512408.93800010759150609 183225.71900003697373904, 512538.40400001319358125 183191.08399983236449771, 512508.85299989028135315 183074.98500016005709767, 512489.19100014452124014 182998.82199988537468016)))</t>
  </si>
  <si>
    <t>E01001330</t>
  </si>
  <si>
    <t>Ealing 008D</t>
  </si>
  <si>
    <t>MultiPolygon (((511502.00000005163019523 183027.00000009214272723, 511600.00000000389991328 182955.99999997846316546, 511622.68000000040046871 182920.93299987018690445, 511733.41200014587957412 182934.92899983617826365, 511746.3180000126012601 182880.38100001818384044, 511763.48700013576308265 182818.14599991968134418, 511768.30299985944293439 182728.39100003213388845, 511779.3710000131977722 182652.7949999451811891, 511784.86399999994318932 182565.71700000308919698, 511614.76799998263595626 182611.87399994296720251, 511588.92899992410093546 182619.88899995342944749, 511358.53799997887108475 182671.6990001188532915, 511288.59399992198450491 182680.92199985159095377, 511276.38499993545701727 182683.91199989669257775, 511124.45100000000093132 182719.44799989170860499, 511259.98100010765483603 182825.00000015008845367, 511306.00000014703255147 182808.00000004380126484, 511329.14800016494700685 182848.15100009404704906, 511406.00000011181691661 182796.99999997502891347, 511437.99999998166458681 182791.99999994377139956, 511484.36299990699626505 182862.14999998608254828, 511446.32199990953085944 182889.7000000262632966, 511515.29000002902466804 182972.67600014613708481, 511473.50999984703958035 183016.04499990478507243, 511446.0000000317231752 183006.99999996711267158, 511507.7119999235146679 183051.06799999694339931, 511502.00000005163019523 183027.00000009214272723)))</t>
  </si>
  <si>
    <t>E01001331</t>
  </si>
  <si>
    <t>Ealing 009E</t>
  </si>
  <si>
    <t>MultiPolygon (((512218.00000012310920283 182787.00000006603659131, 512436.31800000957446173 182779.57399993520812131, 512535.75 182789.85900011437479407, 512499.38699990254826844 182618.80199992842972279, 512493.46400003647431731 182595.54499987832969055, 512488.04799991188338026 182574.28500005777459592, 512485.68400003458373249 182565.0020000551303383, 512403.05699990992434323 182409.38899997639236972, 512183.60500008298549801 182466.98399992851773277, 512180.15899990015896037 182468.07499997789273039, 512226.39999993646051735 182511.30500003765337169, 512175.86200005491264164 182537.21600010257679969, 512150.66899994621053338 182510.78300010695238598, 512079.99999994551762938 182570.00000004706089385, 512096.28099999623373151 182612.06299996128655039, 512007.65800000005401671 182680.86600008231471293, 512071.99999998498242348 182759.00000007211929187, 512136.94400002958718687 182710.02499989198986441, 512159.20600002666469663 182768.03100011733477004, 512110.85700010333675891 182790.32299996473011561, 512112.79599998856429011 182829.88000002357875928, 512218.00000012310920283 182787.00000006603659131)))</t>
  </si>
  <si>
    <t>E01001332</t>
  </si>
  <si>
    <t>Ealing 008E</t>
  </si>
  <si>
    <t>MultiPolygon (((511353.26299993530847132 178979.77199981294688769, 511473.40199991053668782 178954.73300003481563181, 511582.27100025588879362 179027.88300004656775855, 511642.19199982122518122 179037.73299989441875368, 511658.54299988644197583 178996.43299989946535788, 511610.99999993236269802 178913.99999981850851327, 511624.31900022720219567 178881.57200001439196058, 511687.24699987669009715 178888.26300004764925689, 511826.83299995999550447 179037.51799978109193034, 511900.79700000007869676 179017.10200024524237961, 511855.51599982258630916 178918.17599987637368031, 511857.17400023608934134 178829.12999971228418872, 511894.56400015985127538 178763.65200028216349892, 511872.23899979115230963 178732.10999989608535543, 511841.45299972116481513 178610.62900008904398419, 511579.65300003287848085 178709.88500010597635992, 511450.76100018253782764 178764.79099989897804335, 511323.22399995208252221 178817.01100024892366491, 510678.43800000002374873 179064.60899989327299409, 510748.82800017733825371 179193.5119997521978803, 510880.03699984750710428 179428.11400013326783665, 511482.43799973011482507 179522.9629999109019991, 511352.00699978211196139 179496.97000027229660191, 511384.44000025693094358 179305.82199996698182076, 511399.94699993694666773 179166.36899987698416226, 511228.76499992521712556 179128.76100017086719163, 511249.51700028061168268 179043.70300002806470729, 511353.26299993530847132 178979.77199981294688769)))</t>
  </si>
  <si>
    <t>E01001370</t>
  </si>
  <si>
    <t>Ealing 037D</t>
  </si>
  <si>
    <t>E02000274</t>
  </si>
  <si>
    <t>Ealing 037</t>
  </si>
  <si>
    <t>MultiPolygon (((511234.03899981291033328 181739.08099991999915801, 511316.16400013922248036 181685.64899976222659461, 511418.39000000001396984 181529.09499994028010406, 511344.94000005547422916 181438.91899977612774819, 511159.92400010366691276 181143.13099983855499886, 511122.69100002164486796 181074.59299983765231445, 511031.71900008316151798 180898.89099991042166948, 510841.53099992143688723 181036.34400001252652146, 510735.54799983388511464 181068.23599980684230104, 510634.89000010571908206 181084.77899977302877232, 510583.1479997729184106 181092.35299995809327811, 510551.4409999847994186 181102.98699979519005865, 510565.08800004166550934 181137.64799994791974314, 510483.98600002285093069 181184.42699996964074671, 510465.21899999992456287 181236.74800021370174363, 510542.30499987863004208 181255.19699999148724601, 510616.9520000668708235 181245.61699996568495408, 510744.00700022903038189 181393.06300003276555799, 510803.72200003382749856 181369.41299981737392955, 510827.68200005358085036 181388.82200006538187154, 510830.23300019599264488 181397.38599987153429538, 510912.33199992374284193 181390.86500009798328392, 510998.61299976374721155 181483.12000013366923667, 510979.36800021165981889 181546.63000023347558454, 511105.4650001329719089 181560.11799992949818261, 511058.13699982746038586 181723.30000011852825992, 511093.874999807740096 181716.09000021105748601, 511143.24700002220924944 181841.45100008958252147, 511234.03899981291033328 181739.08099991999915801)))</t>
  </si>
  <si>
    <t>E01002396</t>
  </si>
  <si>
    <t>Hillingdon 026A</t>
  </si>
  <si>
    <t>E02000519</t>
  </si>
  <si>
    <t>Hillingdon 026</t>
  </si>
  <si>
    <t>MultiPolygon (((509819.82200017373543233 179667.95799971572705545, 509789.74400002526817843 179603.93499989915289916, 509878.81300027610268444 179529.66400001780129969, 510086.67899980850052088 179395.52000026169116609, 510288.27100031013833359 179258.43600007888744585, 510511.75 179130.20300013912492432, 510421.4380003054975532 178892.70300001467694528, 510263.02899984741816297 178863.24099995565484278, 509986.79899974138243124 178944.82100031353184022, 509918.18299984250916168 178982.15499988925876096, 509833.57000003516441211 179029.84099995129508898, 509542.08700002706609666 179185.43299997510621324, 509490.88099975901423022 179218.40099988249130547, 509235.81299982836935669 179396.60900003870483488, 509089.09400000004097819 179452.18700002678087912, 509095.61399972694925964 179474.21100027649663389, 509574.22199999139411375 179415.467000286153052, 509656.10700001247460023 179408.37099986593239009, 509646.41000030713621527 179427.46900004660710692, 509689.06999999535037205 179491.76699997929972596, 509530.99999996757833287 179500.99999971891520545, 509523.07799978309776634 179563.38499965341179632, 509423.62899975321488455 179625.26299984459183179, 509426.1340003454242833 179664.76100003923056647, 509565.26999970828182995 179605.9120002115087118, 509586.43699980818200856 179668.51199974532937631, 509621.05499970103846863 179653.39799973642220721, 509642.45699980959761888 179690.4660003405297175, 509727.09999987535411492 179632.43899976831744425, 509767.34599987370893359 179680.26700010502827354, 509751.14699988515349105 179713.28000004435307346, 509819.82200017373543233 179667.95799971572705545)))</t>
  </si>
  <si>
    <t>E01002407</t>
  </si>
  <si>
    <t>Hillingdon 030A</t>
  </si>
  <si>
    <t>E02000523</t>
  </si>
  <si>
    <t>Hillingdon 030</t>
  </si>
  <si>
    <t>MultiPolygon (((509986.79899984132498503 178944.82099999999627471, 510263.02900006348500028 178863.24100004069623537, 510421.43799995066365227 178892.70299983391305432, 510432.81299989996477962 178672.57799999564304017, 510377.18799986207159236 178534.64199995939270593, 510349.96999999514082447 178251.03099999995902181, 510278.77800010849023238 178257.43999994720797986, 509966.50499989179661497 178286.0889999674691353, 509972.54799994383938611 178396.19900004551163875, 509930.60500007623340935 178405.0279998724872712, 509950.00000012578675523 178437.99999983242014423, 509912.13900010008364916 178456.70200010878033936, 509935.32599993422627449 178474.35799991304520518, 509922.6589999643038027 178542.53600016396376304, 510028.77299998060334474 178583.85400000383378938, 510050.44399997952859849 178611.78700007169391029, 510022.08099997031968087 178627.916000000317581, 510031.03799988952232525 178664.08899993676459417, 510069.40299984492594376 178656.06699998682597652, 510144.95999998337356374 178748.50900012184865773, 510061.58400007378077134 178736.73800010394188575, 509929.78799991012783721 178813.11099996333359741, 509929.4029998819460161 178913.50699995592003688, 509986.79899984132498503 178944.82099999999627471)))</t>
  </si>
  <si>
    <t>E01002492</t>
  </si>
  <si>
    <t>Hillingdon 030E</t>
  </si>
  <si>
    <t>MultiPolygon (((510692.16099962667794898 185197.32300021557603031, 510743.03800025582313538 185103.02599954660399817, 510801.99999978678533807 185143.9999997062550392, 510824.2689999996800907 185107.33099995990050957, 510794.70200012461282313 185084.97099951031850651, 510913.60500019235769287 184876.93300020630704239, 510974.63200030149891973 184910.96700045955367386, 511012.42299949703738093 184877.54900029077543877, 511090.38800032041035593 184923.99400039308238775, 511117.81199971114983782 184886.87799966667080298, 511109.99400032829726115 184922.30199995203292929, 511197.27000006998423487 185021.79599982817308046, 511248.58600043726619333 185067.07600042651756667, 511344.52000014891382307 185202.56300051597645506, 511371.7959999306476675 185184.46899948813370429, 511385.99999967328039929 185207.00000013143289834, 511534.99999959097476676 185114.99999970832141116, 511654.18299950828077272 184984.2139997155754827, 511823.99199990398483351 184895.9029996212630067, 511843.72399999992921948 184714.35099974457989447, 511458.43800016865134239 184533.75000016181729734, 511386.07499950315104797 184538.7320001335174311, 511380.33199991431320086 184505.09000050046597607, 511386.62499998655403033 184455.48399999339017086, 511391.68799994071014225 184416.87499973154626787, 511128.53100015758536756 184444.92200042313197628, 511190.59399960638256744 184195.85899966288707219, 511286.40600037010153756 184229.43699974569608457, 511365.40699949464760721 183977.53100043482845649, 511378.87500025564804673 183853.562000336649362, 511225.46400034509133548 183824.44400045403745025, 510717.21900013269623742 183828.84400016724248417, 509939.312999892688822 183562.60900001268601045, 509773.84499978710664436 183557.04699983331374824, 509843.87500032997922972 183664.01599971787072718, 509798.00000018102582544 183722.87499974551610649, 509802.87599953473545611 183959.15599953196942806, 509872.59400045283837244 184093.93700036415248178, 509977.03100034763338044 184152.15599969716276973, 509957.02999964327318594 184240.6090002863202244, 510172.06300025200471282 184351.40599987981840968, 510253.96899950341321528 184358.07800024174503051, 510231.6880000238888897 184438.92199949256610125, 509943.84799992281477898 184459.97800001958967187, 509766.8279999999795109 184564.33099985562148504, 510089.75700017693452537 185117.36599963152548298, 510074.64300014439504594 185475.75900007240124978, 510384.70900040358537808 185609.44900016667088494, 510643.00000004883622751 185276.99999991155345924, 510692.16099962667794898 185197.32300021557603031)))</t>
  </si>
  <si>
    <t>E01002499</t>
  </si>
  <si>
    <t>Hillingdon 033D</t>
  </si>
  <si>
    <t>E02006796</t>
  </si>
  <si>
    <t>Hillingdon 033</t>
  </si>
  <si>
    <t>MultiPolygon (((510365.28900010045617819 180852.87100017609191127, 510376.00000016530975699 180647.00000007689232007, 510397.00000015227124095 180689.99999989895150065, 510462.01999989815521985 180690.24099992692936212, 510547.87000011221971363 180844.39800012216437608, 510662.49100004107458517 180769.14799999230308458, 510820.85299992054933682 180700.00299985814490356, 510824.08500000002095476 180617.84099991130642593, 510786.88799985736841336 180608.15899998205713928, 510768.7280001167091541 180542.00799996565910988, 510737.41700007469626144 180513.63699990769964643, 510699.92300007917219773 180489.09600007632980123, 510678.84200006816536188 180406.17499995636171661, 510636.04200007452163845 180430.19199986310559325, 510525.64199983031721786 180323.67599997916840948, 510459.43099990068003535 180347.76300002000061795, 510492.13399997691158205 180304.9470000259752851, 510460.9120001356350258 180279.15100000926759094, 510376.7970001187059097 180312.90700004523387179, 510354.9999998253188096 180403.00000007683411241, 510277.99999987304909155 180454.99999994374229573, 510265.67400014353916049 180438.16400014742976055, 510237.24999997392296791 180488.27900003417744301, 510284.76700001739664003 180570.12600008357549086, 510229.22299988684244454 180589.44500000716652721, 510237.45099982444662601 180637.83900000600260682, 510118.10399999999208376 180673.79699996375711635, 510141.38200017536291853 180723.92000002719578333, 510118.44000000826781616 180761.45200015601585619, 510240.66000010195421055 180796.27500010791118257, 510252.61100002081366256 180826.62600012629991397, 510294.32900012022582814 180874.03899999073473737, 510365.28900010045617819 180852.87100017609191127)))</t>
  </si>
  <si>
    <t>E01002501</t>
  </si>
  <si>
    <t>Hillingdon 026B</t>
  </si>
  <si>
    <t>MultiPolygon (((510071.02500005922047421 180669.00000013966928236, 510098.21399983332958072 180603.81200005640857853, 510152.00099983141990378 180623.99999999726423994, 510170.52200017287395895 180568.04999999262508936, 510145.44300015614135191 180518.52800005537574179, 510185.50399983313400298 180500.0110001080611255, 510157.17299983609700575 180495.44699997245334089, 510159.69500004261499271 180461.50600003407453187, 510237.25000009109498933 180488.2790000501263421, 510265.67399993841536343 180438.16399982292205095, 510278.00000011350493878 180455.00000005727633834, 510355.00000018038554117 180402.99999990878859535, 510376.79699997341958806 180312.90700013542664237, 510460.91200007509905845 180279.15100007035653107, 510503.03200000000651926 180244.75699989282293245, 510482.99999987805495039 180219.00000016248668544, 510440.00000004743924364 180246.99999982505687512, 510428.26599997328594327 180222.62900012702448294, 510453.28899989736964926 180197.14699991507222876, 510431.99099999328609556 180174.31699987922911532, 510494.97400009090779349 180124.79099990951362997, 510452.85499999322928488 180069.22999998650630005, 510363.57500012451782823 180137.62200002229656093, 510324.64000017882790416 180086.67000005743466318, 510128.45300011918880045 180207.62299991029431112, 510112.87400013650767505 180189.45700009804568253, 510068.85399998771026731 180215.48300002151518129, 510087.3519999617128633 180240.20200001107878052, 510064.9999998253188096 180249.99999993102392182, 510023.00000015058321878 180170.99999991411459632, 509966.21300004655495286 180154.60300016711698845, 509916.23300001042662188 180069.57199986762134358, 509779.568000000086613 180054.14599986033863388, 509819.32199989905348048 180141.20699999155476689, 509866.63800002343486995 180249.733999943069648, 509931.74099995958385989 180261.94100005697691813, 509955.74199991102796048 180306.83100003030267544, 510037.38800005539087579 180284.01199990286841057, 510033.88199982279911637 180360.02199989493237808, 509974.08299987716600299 180347.23999999888474122, 509959.41499987087445334 180401.07300000844406895, 509923.28599990392103791 180457.81499992820317857, 509952.76100014010444283 180517.27699985238723457, 510006.77499999053543434 180523.84600015950854868, 509986.54100003815256059 180586.20200005301740021, 510014.16099987301276997 180644.01199995694332756, 510071.02500005922047421 180669.00000013966928236)))</t>
  </si>
  <si>
    <t>E01002503</t>
  </si>
  <si>
    <t>Hillingdon 027C</t>
  </si>
  <si>
    <t>E02000520</t>
  </si>
  <si>
    <t>Hillingdon 027</t>
  </si>
  <si>
    <t>MultiPolygon (((511031.71899990295059979 180898.89100021103513427, 511379.15299970540218055 180783.22999994322890416, 511587.65600020828424022 180645.31199977299547754, 511779.0280000000493601 180593.32800030871294439, 511772.28600029059452936 180569.42500034658587538, 511662.74499981186818331 180118.3540003277012147, 511649.77600006334250793 180067.15499994237325154, 511585.16300013201544061 180075.00000023338361643, 511589.60700031981104985 180135.01200001974939369, 511219.00000023905886337 180138.00000030762748793, 511254.37399998464388773 180317.44699994899565354, 511204.85399986169068143 180466.90699999593198299, 510925.46099968120688573 180542.41799998414353468, 510859.26900031568948179 180279.87500009618815966, 510799.58799994824221358 180038.7399996534222737, 510503.03199978126212955 180244.7570002086868044, 510460.91200015170034021 180279.15100032070768066, 510492.13399972440674901 180304.94700033820117824, 510459.43099969130707905 180347.76299993545399047, 510525.64199970895424485 180323.67599972186144441, 510636.04200002085417509 180430.19200024244491942, 510678.84200033388333395 180406.17499990170472302, 510699.92299982777331024 180489.0959997593308799, 510737.41700016561662778 180513.63700033980421722, 510768.72800026327604428 180542.00800012302352116, 510786.88800009485566989 180608.15900035065715201, 510824.08500002295477316 180617.84099966770736501, 510820.85299969359766692 180700.00299981344141997, 510662.49099972064141184 180769.14800023727002554, 510547.87000029016053304 180844.39799997251247987, 510462.01999971433542669 180690.24099983382620849, 510396.99999987601768225 180689.99999974650563672, 510375.99999985127942637 180646.99999989778734744, 510365.28899999998975545 180852.87100009218556806, 510488.67100009741261601 180886.60499968641670421, 510465.65000008820788935 180947.8819996994570829, 510487.51400034100515768 181002.32100005628308281, 510583.14800008898600936 181092.35300034657120705, 510634.88999995245831087 181084.77899968452402391, 510735.54799974348861724 181068.23599988454952836, 510841.53100016189273447 181036.34399971124366857, 511031.71899990295059979 180898.89100021103513427)))</t>
  </si>
  <si>
    <t>E01002505</t>
  </si>
  <si>
    <t>Hillingdon 026D</t>
  </si>
  <si>
    <t>MultiPolygon (((510068.85400019562803209 180215.48299975306144916, 510112.87400009238626808 180189.45700001349905506, 510128.45300001988653094 180207.62299983683624305, 510324.63999984215479344 180086.66999983048299327, 510280.72100015863543376 180006.91600014091818593, 510248.76300002337666228 180019.23199992816080339, 510240.51600011461414397 179949.92500005068723112, 510085.08200007973937318 180054.451000219094567, 510058.93199980835197493 180019.20900010541663505, 510031.37199999100994319 180037.94999995981925167, 510034.11900014127604663 179948.97399994236184284, 510002.85100014240015298 179942.89600017594057135, 510083.30099992221221328 179922.42499977099942043, 510208.35700004087993875 179824.34999996516853571, 510163.58399999735411257 179754.84400013386039063, 510143.07199990836670622 179701.03799979336326942, 510214.76299975864822045 179616.03199992157169618, 510323.59799993928754702 179304.35900010570185259, 510288.2709999848739244 179258.43599999998696148, 510086.6790001678164117 179395.52000014213263057, 509878.81300011154962704 179529.66400013392558321, 509789.7439998192130588 179603.93499993404839188, 509819.82200006407219917 179667.95799987588543445, 509839.50000013475073501 179868.51600022421916947, 509754.95800015784334391 179998.43800002915668301, 509779.56799990189028904 180054.14600009052082896, 509916.23299980239244178 180069.57200020542950369, 509966.21299987909151241 180154.60299988457700238, 510023.00000005401670933 180170.99999995369580574, 510065.00000014761462808 180250, 510087.35199993947753683 180240.20200014451984316, 510068.85400019562803209 180215.48299975306144916)))</t>
  </si>
  <si>
    <t>E01002506</t>
  </si>
  <si>
    <t>Hillingdon 027E</t>
  </si>
  <si>
    <t>MultiPolygon (((511649.77600000007078052 180067.15499974050908349, 511564.18799964897334576 179874.84399980830494314, 511155.28100039524724707 179602.00000030227238312, 510955.43799978191964328 179510.07799968935432844, 510880.03699966985732317 179428.11400015838444233, 510748.82800009084166959 179193.51200017856899649, 510678.43799986073281616 179064.60900028070318513, 510511.74999989062780514 179130.20300009986385703, 510288.2710003288812004 179258.43599961616564542, 510323.59800024749711156 179304.35899959862581454, 510214.76299969217507169 179616.03199975672760047, 510143.07200035330606624 179701.03799986976082437, 510163.58399997086962685 179754.84399977704742923, 510208.35699998668860644 179824.34999983801390044, 510083.30100031814072281 179922.42500036139972508, 510002.85100000002421439 179942.89599978108890355, 510034.11900009214878082 179948.97400037400075234, 510031.37200000992743298 180037.94999966310570017, 510058.93200034264009446 180019.20900025774608366, 510085.08199983550002798 180054.45099990672315471, 510240.51599967916263267 179949.92499992254306562, 510248.76299967360682786 180019.23200038881623186, 510280.7210004044463858 180006.915999615797773, 510324.63999981345841661 180086.6700003707956057, 510363.57499985233880579 180137.62200030207168311, 510452.85500008641975001 180069.23000007419614121, 510494.97400022781221196 180124.7910003172873985, 510431.99099989479873329 180174.31700035574613139, 510453.28900023282039911 180197.14699997342540883, 510428.2659997520968318 180222.62900009856093675, 510440.00000028708018363 180247.00000026449561119, 510482.99999990029027686 180219.00000003760214895, 510503.03199993271846324 180244.75700040539959446, 510799.58799985866062343 180038.73999994093901478, 510859.26900038338499144 180279.87499977726838551, 510925.46100031695095822 180542.41799971929867752, 511204.85400037933140993 180466.90699983952799812, 511254.37399984657531604 180317.44699974538525566, 511218.99999998230487108 180138.00000005768379197, 511589.6069999520550482 180135.01199967597494833, 511585.16300011519342661 180075.00000016478588805, 511649.77600000007078052 180067.15499974050908349)))</t>
  </si>
  <si>
    <t>E01002507</t>
  </si>
  <si>
    <t>Hillingdon 027F</t>
  </si>
  <si>
    <t>MultiPolygon (((511784.86399994499515742 182565.71699976903619245, 511781.8269999900367111 182361.81099993953830563, 511928.1199998133815825 182371.19299979045172222, 511917.78100000793347135 182275.06899986701318994, 511969.74900023633381352 182260.67300021511618979, 511988.29800005984725431 182322.9339998270443175, 512018.92600005294661969 182307.42499981509172358, 512038.8599998471327126 182289.26700013841036707, 512003.09799989231396466 182233.2460000361315906, 512070.72999993071425706 182170.05900013438076712, 512095.22200019308365881 182185.1140000626037363, 512140.86700012907385826 182207.82900009141303599, 512115.78900019597494975 182220.65399981843074784, 512184.14800004480639473 182238.09599997792975046, 512184.21899992693215609 182202.87599999533267692, 512224.60800000000745058 182193.75899992589256726, 512208.99999980628490448 182134.00000012587406673, 512112.18999991443706676 182145.937000039848499, 512097.98300007329089567 182088.80999989816336893, 512092.44399981503374875 182034.91400010223151185, 512182.77200013527181 181968.74800009385216981, 512149.4760002390248701 181876.15799979158327915, 512095.41399986040778458 181833.88800019762129523, 511983.53800023853546008 181899.81899997321306728, 512002.70899997756350785 181935.41800018481444567, 512032.22599984263069928 182034.98300024375203066, 511936.88700006942963228 182056.07999980967724696, 511994.44200022728182375 182182.06500018987571821, 511978.00100021227262914 182202.00000010008807294, 511907.3889999512466602 182195.66600000587641262, 511904.13099991338094696 182245.07999979579471983, 511866.99999987822957337 182149.00000006236950867, 511821.00000004022149369 182161.99999994179233909, 511814.46400010143406689 182135.04600008495617658, 511781.40100020595127717 182148.39900012582074851, 511776.25800018303561956 182250.88899992418009788, 511733.00100010284222662 182297.99999989022035152, 511702.08100014465162531 182257.96600021061021835, 511527.00000000715954229 182380.99900017635081895, 511447.99600023799575865 182432.33400019604596309, 511438.59299991664011031 182367.55499989894451573, 511466.90799990866798908 182348.96699997413088568, 511487.70900002832058817 182379.24500015383819118, 511455.99999994738027453 182313.99999985523754731, 511391.00000005873152986 182341.00000013408134691, 511412.42599995055934414 182381.2969998545886483, 511392.30500008614035323 182447.80400010664016008, 511337.69200016558170319 182464.76899997142027132, 511344.59099995152791962 182490.96700009371852502, 511241.69299999997019768 182482.33900023679598235, 511288.59400017629377544 182680.92199980237637646, 511358.53800009976839647 182671.69900021352805197, 511588.9289999280590564 182619.88900013113743626, 511614.76800017576897517 182611.87400012853322551, 511784.86399994499515742 182565.71699976903619245)))</t>
  </si>
  <si>
    <t>E01002540</t>
  </si>
  <si>
    <t>Hillingdon 020C</t>
  </si>
  <si>
    <t>E02000513</t>
  </si>
  <si>
    <t>Hillingdon 020</t>
  </si>
  <si>
    <t>MultiPolygon (((511784.86399986612377688 182565.71699978457763791, 511975.06300016905879602 182415.34400000792811625, 512004.37500007916241884 182508.21899988543009385, 512180.15900014364160597 182468.07500017108395696, 512183.60500010324176401 182466.98400018672691658, 512403.05699988111155108 182409.38900015744729899, 512640.95200015138834715 182369.35599976961384527, 512725.28800000628689304 182352.51299992436543107, 512740.61500021966639906 182181.63900007354095578, 512751.10999977245228365 182114.78899998374981806, 512752.84199999994598329 182105.6359999748528935, 512550.19499988597817719 182029.72600016646902077, 512496.25599992246134207 182069.62999975940329023, 512417.8159999693161808 182066.11799976645852439, 512343.96099998435238376 181981.44000022497493774, 512395.62400009366683662 181862.82999989573727362, 512287.06999998685205355 181815.38100013442453928, 512313.96799997298512608 181798.34000018902588636, 512259.99899999430635944 181783.85899991716723889, 512249.63600002194289118 181698.73399990634061396, 512153.40900007029995322 181695.17800021544098854, 512060.57799989072373137 181794.4419998386874795, 512001.05699986009858549 181737.95699988445267081, 511997.50500000902684405 181733.81999998071114533, 511910.99999978661071509 181853.99899988758261316, 511780 181925.99999990756623447, 511831.44099999702302739 181978.18200003623496741, 512002.708999885013327 181935.41800013158353977, 511983.53799983503995463 181899.81900004093768075, 512095.4140000008046627 181833.88800001065828837, 512149.47599978331709281 181876.1579999897221569, 512182.77199976291740313 181968.74799996626097709, 512092.44399995775893331 182034.91400019646971487, 512097.98299992206739262 182088.81000005715759471, 512112.19000021752435714 182145.93699984971317463, 512209.00000005873152986 182133.99999989182106219, 512224.6079998467466794 182193.75899988075252622, 512184.21900008950615302 182202.87599987143767066, 512184.14800013467902318 182238.09600017571938224, 512115.78900001122383401 182220.65400010856683366, 512140.86699988745385781 182207.82900018795044161, 512095.22199990367516875 182185.11399996667751111, 512070.73000016174046323 182170.059000053035561, 512003.09800000069662929 182233.24599999241763726, 512038.85999976843595505 182289.26700003619771451, 512018.92600022430997342 182307.4250001412583515, 511988.29799997282680124 182322.9340001224190928, 511969.74900007533142343 182260.67299984075361863, 511917.78099989279871807 182275.06899998855078593, 511928.11999985302099958 182371.19299980704090558, 511781.82700019452022389 182361.81100008767680265, 511784.86399986612377688 182565.71699978457763791)))</t>
  </si>
  <si>
    <t>E01002541</t>
  </si>
  <si>
    <t>Hillingdon 023A</t>
  </si>
  <si>
    <t>E02000516</t>
  </si>
  <si>
    <t>Hillingdon 023</t>
  </si>
  <si>
    <t>MultiPolygon (((511390.99999988044146448 182341.0000000539876055, 511455.99999983899760991 182314.00000011167139746, 511487.70900014467770234 182379.24499986771843396, 511515.02000006154412404 182343.73600004916079342, 511473.5389998221071437 182280.66400008165510371, 511499.56299985630903393 182216.41600003378698602, 511466.16100002505118027 182139.79900009397533722, 511424.00600015261443332 182089.2539998386928346, 511545.73599994066171348 181985.58999993864563294, 511518.85999990964774042 181943.0880001658515539, 511400.00000011181691661 181995.99999995567486621, 511400.07399998005712405 181954.66799983699456789, 511310.32100011187139899 181898.17500011384254321, 511234.03899997181724757 181739.08100000000558794, 511143.24700004345504567 181841.45099995867349207, 511148.91200014733476564 182076.78299984385375865, 511147.83600015309639275 182084.32799991252250038, 511140.28800005931407213 182211.93600008569774218, 511216.41900006181094795 182419.89299989360733889, 511241.69299982604570687 182482.3389998784114141, 511344.59100007399683818 182490.96700000000419095, 511337.69200015562819317 182464.76900001146714203, 511392.30499991396209225 182447.80399995122570544, 511412.42600010550813749 182381.2970001460344065, 511390.99999988044146448 182341.0000000539876055)))</t>
  </si>
  <si>
    <t>E01002542</t>
  </si>
  <si>
    <t>Hillingdon 020D</t>
  </si>
  <si>
    <t>MultiPolygon (((511526.99999992363154888 182380.99899989520781673, 511702.08100022264989093 182257.96599985763896257, 511733.0010001269984059 182298.00000011530937627, 511776.25800010794773698 182250.8889999037492089, 511781.40100007009459659 182148.39899987180251628, 511814.46399998676497489 182135.04599998675985262, 511820.99999997380655259 182161.99999983096495271, 511866.99999995704274625 182149.000000198953785, 511904.13100000435952097 182245.07999982629553415, 511907.38899978727567941 182195.66599984592176042, 511978.00099979242077097 182201.99999991460936144, 511994.44199994497466832 182182.064999886759324, 511936.88699982379330322 182056.07999982629553415, 512032.22599978867219761 182034.98299998647416942, 512002.70900011982303113 181935.41799990559229627, 511831.44099977507721633 181978.18199984665261582, 511780.00000005739275366 181926.00000001495936885, 511705.99999978981213644 181990.00000014877878129, 511675.99999983998714015 181946.99899977812310681, 511667.30099987104767933 181879.28400021829293109, 511501.1660001811105758 181620.38499991819844581, 511421.07500003941822797 181531.92099998885532841, 511418.39000017469516024 181529.09500000000116415, 511316.16400019248249009 181685.64899993452127092, 511234.03900021134177223 181739.08099989584297873, 511310.32099994097370654 181898.17500002877204679, 511400.07400005351519212 181954.66800018577487208, 511399.99999994033714756 181996.00000004842877388, 511518.8600001199520193 181943.08800019882619381, 511545.73599985707551241 181985.58999986125854775, 511424.00600020721321926 182089.25400013849139214, 511466.16099983325693756 182139.79899986510281451, 511499.56299979845061898 182216.41600010098773055, 511473.53900011931546032 182280.66399985732277855, 511515.0200000939075835 182343.73600004881154746, 511487.70900000276742503 182379.24500008110771887, 511466.9080001640249975 182348.96699987701140344, 511438.59299979457864538 182367.55500003579072654, 511447.99600004678359255 182432.33400000000256114, 511526.99999992363154888 182380.99899989520781673)))</t>
  </si>
  <si>
    <t>E01002543</t>
  </si>
  <si>
    <t>Hillingdon 020E</t>
  </si>
  <si>
    <t>MultiPolygon (((511945.2079999732086435 181702.06700014648959041, 511878.14100006752414629 181572.39200018666451797, 511848.18199998111231253 181585.01400001838919707, 511851.91499985405243933 181522.88999995004269294, 511942.45299971528584138 181481.06699970780755393, 512012.81199983094120398 181314.23900003641028889, 511786.99100023414939642 181391.19399978496949188, 511704.00000004464527592 181415.00000006958725862, 511649.9119997548405081 181312.62000010628253222, 511734.79000025748973712 181254.23300024718628265, 511602.17399996606400236 181149.17399983076029457, 511539.74600007984554395 180988.9740000881429296, 511482.44199998356634751 180896.45799974576220848, 511571.60899981338297948 180855.90499972345423885, 511514.78100022755097598 180792.65299999999115244, 511401.4369997504982166 180825.83899991976795718, 511372.26399989821948111 180851.6420001877413597, 511395.73700002196710557 180884.68499975794111378, 511367.00900016905507073 180900.03000015034922399, 511378.39600002963561565 180931.13999973039608449, 511422.9069999850471504 180942.00799995509441942, 511426.31399998627603054 180984.68299999414011836, 511502.46600016666343436 181117.46600025839870796, 511465.04299990390427411 181136.74499976329389028, 511492.76399979880079627 181187.56700023321900517, 511538.68100003444124013 181173.66100020174053498, 511569.43099987739697099 181293.21099984820466489, 511492.00000021711457521 181351.99999998245039023, 511421.07499980635475367 181531.92099987500114366, 511501.16599981894250959 181620.38500016336911358, 511667.30100019101519138 181879.28400017789681442, 511675.99999973981175572 181946.99900008927215822, 511705.99999998084967956 181990, 511780.00000001670559868 181926.00000024409382604, 511910.99999973218655214 181853.99899976109736599, 511997.50500023900531232 181733.82000020981649868, 511945.2079999732086435 181702.06700014648959041)))</t>
  </si>
  <si>
    <t>E01002545</t>
  </si>
  <si>
    <t>Hillingdon 023C</t>
  </si>
  <si>
    <t>MultiPolygon (((511569.43100011814385653 181293.21099994709948078, 511538.68099995248485357 181173.66099998058052734, 511492.76399991463404149 181187.56699981616111472, 511465.04299989104038104 181136.74500010538031347, 511502.46599983493797481 181117.46599984233034775, 511426.31399983784649521 180984.68299987749196589, 511422.90699983504600823 180942.00799995075794868, 511378.39599994284799322 180931.13999989736475982, 511367.00900017569074407 180900.02999989996897057, 511395.73700007592560723 180884.68499986550887115, 511372.26400016329716891 180851.64199987103347667, 511401.4369999076006934 180825.83899982034927234, 511379.15299991553183645 180783.23000000001047738, 511031.71899988176301122 180898.89100018481258303, 511122.69099981553154066 181074.59299997068592347, 511159.92399995226878673 181143.13100004487205297, 511344.9399999063462019 181438.91900003753835335, 511418.38999991427408531 181529.09499993568169884, 511421.07500012556556612 181531.92100000000209548, 511492.00000005541369319 181351.99999990034848452, 511569.43100011814385653 181293.21099994709948078)))</t>
  </si>
  <si>
    <t>E01002546</t>
  </si>
  <si>
    <t>Hillingdon 023D</t>
  </si>
  <si>
    <t>MultiPolygon (((510709.16199964942643419 176845.82400043273810297, 510690.52299966179998592 176803.05700013143359683, 510752.98899990582140163 176761.63499990775017068, 510786.39000016986392438 176776.45500003700726666, 510789.18799962045159191 176744.53700023854617029, 510729.281999554077629 176668.78899980685673654, 510687.65899994812207296 176473.49300029478035867, 510673.87899964017560706 176431.28700000001117587, 510628.29799995961366221 176436.73299968172796071, 510592.08800034975865856 176441.09099975618300959, 510636.00000028277281672 176617.99899988932884298, 510502.67799986427417025 176617.0000001638836693, 510504.17899991513695568 176736.78000043937936425, 510466.52500027895439416 176696.07400036710896529, 510458.74199959234101698 176572.89399964670883492, 510412.35400022193789482 176582.98599990227376111, 510446.99999989470234141 176839.99999964964808896, 510474.99999988614581525 176827.9999996533151716, 510476.00899967848090455 176873.34800009429454803, 510476.99999988550553098 176945.02500023067113943, 510476.99999988550553098 177092.44499987334711477, 510509.09600033948663622 177184.61699974699877203, 510487.57699981762561947 177266.40200006758095697, 510295.69299958203919232 177284.12500034979893826, 510142.52899969142163172 177406.81600029661785811, 510218.12500035500852391 177541.98400039790431038, 510176.21900028310483322 177552.74999998879502527, 510180.50000019930303097 177588.56200014729984105, 510221.06299985019722953 177668.09400020321481861, 510260.09400031319819391 177671.49999961795401759, 510307.31299971230328083 177820.03100027039181441, 510346.80100019968813285 178215.10200000001350418, 510403.21899976761778817 178187.78100026925676502, 510442.28100025962339714 178111.76500036389916204, 510393.28099982865387574 177768.17200015918933786, 510437.40599975938675925 177575.56199970532907173, 510547.2809997815056704 177425.65599966648733243, 510863.65200020413612947 177113.59600025261170231, 510912.53000017581507564 177023.16100004618056118, 510923.13700030854670331 176995.92499999210122041, 510739.10200013080611825 176921.58899972945800982, 510709.16199964942643419 176845.82400043273810297)))</t>
  </si>
  <si>
    <t>E01002583</t>
  </si>
  <si>
    <t>Hounslow 013A</t>
  </si>
  <si>
    <t>MultiPolygon (((510476.00900013430509716 176873.34799994243076071, 510474.999999844818376 176828.0000002556189429, 510447.00000023882603273 176840.00000016586272977, 510412.35400019906228408 176582.98599997023120522, 510401.08799990778788924 176515.23499972748686559, 510357.16100009746151045 176520.11499977589119226, 510323.99999991297954693 176367.00099985057022423, 510211.99999982787994668 176300.99999999851570465, 510150.25200002378551289 176346.86300027652760036, 510130.2700001213233918 176299.32000000000698492, 510176.90599993616342545 176423.51600020745536312, 510143.72199982852907851 176625.58200001282966696, 510041.81299993849825114 176907.95299992652144283, 510040.64300018671201542 176996.18500011449214071, 510056.22000009147450328 177095.60999999489285983, 510030.09899979527108371 177124.71200020570540801, 510072.64500026969471946 177197.18999992444878444, 510142.52900015359045938 177406.8159999999916181, 510295.69300020084483549 177284.12499991810182109, 510487.57700018730247393 177266.40200003041536547, 510509.09600020479410887 177184.61699985750601627, 510476.99999973754165694 177092.44500014107325114, 510476.99999973754165694 176945.02499985668691806, 510476.00900013430509716 176873.34799994243076071)))</t>
  </si>
  <si>
    <t>E01002584</t>
  </si>
  <si>
    <t>Hounslow 013B</t>
  </si>
  <si>
    <t>MultiPolygon (((511401.13500032701995224 178227.67999966139905155, 511485.39400014356942847 178085.93999975721817464, 511426.19700021424796432 177977.0029999133257661, 511440.49699984461767599 177914.06399972716462798, 511369.30600013775983825 177942.85400000630761497, 511251.69499985425500199 177872.19900011867866851, 511266.83999988721916452 177736.75100010886671953, 511131.49700029013911262 177688.07599990034941584, 511086.31899985059862956 177578.59600030470755883, 511022.77599978831131011 177434.89800004209973849, 511189.9999997858540155 177456.99999996996484697, 511163.99999968032352626 177550.99999991286313161, 511280.76100032223621383 177612.25199997768504545, 511278.05200008011888713 177496.95000023080501705, 511333.43699971493333578 177457.630000308068702, 511339.61899995757266879 177400.34499975535436533, 511300.21500013233162463 177383.74000026256544515, 511352.40499993623234332 177275.703000290755881, 511433.01700000505661592 177286.59400001607718877, 511380.88700033520581201 177336.82600017433287576, 511400.19100016658194363 177396.34799981984542683, 511501.64200022880686447 177333.2589996550232172, 511480.25799979025032371 177199.23800013610161841, 511420.99999973655212671 177126.99999983675661497, 511517.00000034552067518 177115.99999973727972247, 511505.33400025515584275 177045.26799987960839644, 511495.06500023236731067 177044.19600024106330238, 511505.85800019017187878 177076.93200023489771411, 511275.44500027963658795 177096.28000035465811379, 511215.84699994168477133 177285.20699985208921134, 511176.37700004025828093 177283.12000002522836439, 511235.35599993402138352 177081.81000022572698072, 510912.52999974088743329 177023.16099999996367842, 510863.65200006490340456 177113.59600011701695621, 510547.2810003322083503 177425.65600009186891839, 510437.40600027004256845 177575.56200034634093754, 510393.28099965234287083 177768.17199995700502768, 510442.28100028983317316 178111.76500012518954463, 510403.21900001680478454 178187.78100033415830694, 510346.80099965445697308 178215.10199981476762332, 510349.15999970876146108 178241.82400008375407197, 510397.00000013102544472 178235.99999995177495293, 510416.00000004365574569 178284.99999987651244737, 510468.99999987496994436 178299.00000026231282391, 510515.00000022619497031 178239.00000023806933314, 510845.99999997962731868 178160.99999992150696926, 510928.99999982304871082 178098.00000032372190617, 511048.09500004764413461 178448.66399999998975545, 511287.46599979681195691 178325.86699984545703046, 511401.13500032701995224 178227.67999966139905155)))</t>
  </si>
  <si>
    <t>E01002633</t>
  </si>
  <si>
    <t>Hounslow 005A</t>
  </si>
  <si>
    <t>E02000530</t>
  </si>
  <si>
    <t>Hounslow 005</t>
  </si>
  <si>
    <t>MultiPolygon (((511579.653000034741126 178709.88499960050103255, 511841.45300000958377495 178610.62899987029959448, 511949.20499995542922989 178576.03699988778680563, 511980.97700009302934632 178566.11500023229746148, 512012.00900000002002344 178561.19900000846246257, 511916.90400015981867909 178472.36299992937711067, 511636.07400037924526259 178583.20200005843071267, 511633.19399995385902002 178497.42900026289862581, 511496.77299998665694147 178551.22099975575110875, 511408.00999981013592333 178587.9950001731631346, 511257.99999993591336533 178646.99999968687188812, 511246.00000024191103876 178580.99999970718636177, 511078.51300009427359328 178615.63299972604727373, 511048.0949996976996772 178448.66400032176170498, 510929.00000001199077815 178098.00000038492726162, 510845.9999996343976818 178160.99999960971763358, 510514.99999976146500558 178239.00000011478550732, 510469.00000010314397514 178299.0000002474989742, 510415.9999997919658199 178284.99999977310653776, 510397.00000027648638934 178236.00000019129947759, 510349.15999999997438863 178241.82399994300794788, 510349.97000035346718505 178251.03100030266796239, 510377.18800000019837171 178534.64200029912171885, 510432.81300034839659929 178672.57800037317792885, 510421.43799991102423519 178892.70300026761833578, 510511.7499996364931576 179130.20299961505224928, 510678.43800000828923658 179064.60900001577101648, 511323.22399983560899273 178817.01100008614594117, 511450.7610003785812296 178764.79099983818014152, 511579.653000034741126 178709.88499960050103255)))</t>
  </si>
  <si>
    <t>E01002637</t>
  </si>
  <si>
    <t>Hounslow 005C</t>
  </si>
  <si>
    <t>MultiPolygon (((506787.23999970016302541 178885.84399965204647742, 507249.68799960508476943 178794.17199971314403228, 507385.46900036744773388 178838.31199981534155086, 507477.03000032663112506 178781.06200008050655015, 507470.41700024751480669 178627.00100023541017435, 507425.00000014528632164 178613.00000025890767574, 507403.00000014976831153 178563.00000035017728806, 507448.0000004245666787 178446.99999956236570142, 507440.58600000932347029 178229.81499989706207998, 507461.9999999349238351 177899.00000024141627364, 507500.13399999996181577 177698.39600017809425481, 507425.92100019421195611 177686.37799998425180092, 507344.5579998767352663 177604.6649998351931572, 507353.39800013619242236 177563.20199995179427788, 507317.84300012292806059 177559.39500042976578698, 507223.38399955915519968 177659.42699999210890383, 507074.59799991687759757 177661.37800002988660708, 506941.98200016864575446 177526.89799974561901763, 507024.02400017727632076 177438.1209999053098727, 506815.9999995791586116 177427.00000017485581338, 506813.97200023883488029 177551.71999972441699356, 506657.61599975143326446 177577.26599984444328584, 506377.40899962018011138 177475.31700002905563451, 506337.99200032802764326 177191.24999976629624143, 505901.99999992671655491 177185.00000022392487153, 505904.63700024125864729 177221.09300024350523017, 505959.82999961194582283 177240.24000008453731425, 505906.51300012390129268 177240.61700000768178143, 505893.00000005029141903 177676.99999971850775182, 505854.57099991041468456 177698.72799965113517828, 505886.22500031429808587 177766.93500031222356483, 505851.46899970492813736 177765.92200021573808044, 505781.86300018365727738 177830.55399972849409096, 505715.18099999998230487 178176.36799960458301939, 505800.63999979477375746 178396.79600005270913243, 505819.16000008792616427 178399.00200026101083495, 506167.13499972224235535 178463.41999997361563146, 506380.06000021356157959 178501.20200016724993475, 506576.4089998637791723 178518.41899994254345074, 506714.24500005797017366 178537.60599968783208169, 506709.75099979300284758 178720.79499960195971653, 506676.9210000621387735 178826.68899990318459459, 506748.60299987974576652 178840.54300007535493933, 506715.81300005310913548 178910.42499973918893375, 506739.00000004097819328 178925.00000043906038627, 506747.05599985661683604 178938.36399977607652545, 506787.23999970016302541 178885.84399965204647742)))</t>
  </si>
  <si>
    <t>E01002446</t>
  </si>
  <si>
    <t>Hillingdon 031B</t>
  </si>
  <si>
    <t>MultiPolygon (((508448.00899960694368929 177636.6509995763481129, 508542.66399962460855022 177538.97099992108996958, 508530.94699971878435463 177421.69600030721630901, 508470.63300007034558803 177415.27700027960236184, 508386.08500015753088519 177473.18200012482702732, 508376.44700004352489486 177383.7570002040010877, 508249.3689998424379155 177364.49600018898490816, 508245.32999964250484481 177288.46999968838645145, 508108.28899969859048724 177239.48600043376791291, 508153.99999978300184011 177156.00000026886118576, 508343.76599956204881892 177159.08600027413922362, 508203.99999956594547257 176950.00000007849303074, 508388.36099987966008484 176928.64300009264843538, 508395.68699994729831815 176881.82200013968395069, 508485.99999976297840476 176879.00000033061951399, 508484.00000003346940503 176772.99900019061169587, 507537.00000001164153218 176757, 507482.99999983463203534 176953.99999953754013404, 507299.79499954410130158 176945.22599972554598935, 507271.61000039195641875 176862.42099969484843314, 507183.00000020192237571 176865.00000035398988985, 507207.99999962589936331 176838.00000026548514143, 507190.00000019022263587 176801.00100010994356126, 507085.00000036554411054 176796.000000335596269, 507083.00100015156203881 176860.00000009516952559, 507163.99999996653059497 176867.00000008349888958, 507141.00000027206260711 176922.99999999001738615, 507053.99999988300260156 176907.00000028384965844, 507042.55399958713678643 177188.7860003714740742, 507080.82699963398044929 177228.18500001545180567, 507024.02399979304755107 177438.12099981564097106, 506941.98200037534115836 177526.89800044492585585, 507074.59800012299092487 177661.37800035934196785, 507223.38400043261935934 177659.42700026603415608, 507317.84300003544194624 177559.39500030799536034, 507353.39800037880195305 177563.2019997688184958, 507344.55799981654854491 177604.664999926550081, 507425.92100000113714486 177686.37799978331895545, 507500.13399993721395731 177698.39599972503492609, 507461.99999986973125488 177898.99999982985900715, 507440.58600038336589932 178229.8149998111766763, 507447.9999998930725269 178446.99999958282569423, 507403.00000036892015487 178562.9999997898703441, 507425.00000019860453904 178612.99999957281397656, 507470.41699966078158468 178627.00099999998928979, 507465.78099977161036804 178550.87500026091584004, 508151.04299992672167718 178473.67800045912736095, 508195.39900009147822857 178468.35600005314336158, 508312.41800030844751745 178247.4699999573349487, 508405.31500023097032681 177908.92999966500792652, 508331.41999957495136186 177801.0259995523665566, 508522.24699958640849218 177757.64399969344958663, 508448.00899960694368929 177636.6509995763481129)))</t>
  </si>
  <si>
    <t>E01002447</t>
  </si>
  <si>
    <t>Hillingdon 031C</t>
  </si>
  <si>
    <t>MultiPolygon (((508764.46200015704380348 177287.37999984176713042, 508762.59000014263438061 177183.83799999998882413, 508697.52099968848051503 177187.78000012916163541, 508706.54400004062335938 177294.32800009284983389, 508652.92299972398905084 177331.43700000245007686, 508724.7209997441386804 177407.12500029406510293, 508710.39399977930588648 177475.30299994596862234, 508592.65500025922665372 177492.48399980648537166, 508542.66400028340285644 177538.97099973884178326, 508448.00899988150922582 177636.65100021069520153, 508522.24700028821825981 177757.64399981623864733, 508331.41999978286912665 177801.02599989762529731, 508405.31499984383117408 177908.93000000351457857, 508312.4179997683968395 178247.47000019927509129, 508195.39900020440109074 178468.356000000028871, 508340.40300024452153593 178451.21000004370580427, 508379.16500012564938515 178446.96900009067030624, 508573.80699982319492847 178425.60000013204989955, 508811.99299980100477114 178398.4749998711340595, 509183.22399979550391436 178357.84199997285031714, 509115.5640000103157945 177991.98700003619887866, 509061.73500026302644983 177736.38300020428141579, 508991.07499969721538946 177415.09199968291795813, 508973.51300023723160848 177331.34000026795547456, 508818.83899968903278932 177305.13500005801324733, 508764.46200015704380348 177287.37999984176713042)))</t>
  </si>
  <si>
    <t>E01002448</t>
  </si>
  <si>
    <t>Hillingdon 032B</t>
  </si>
  <si>
    <t>MultiPolygon (((508710.39400011138059199 177475.3029998118581716, 508724.72099988622358069 177407.12499984333408065, 508652.92300003732088953 177331.43699991487665102, 508706.54400023573543876 177294.32799996971152723, 508697.52099987462861463 177187.77999994537094608, 508762.59000004327390343 177183.83800007158424705, 508764.46199995942879468 177287.3800001802155748, 508818.83899998315609992 177305.13500011232099496, 508973.5130002501537092 177331.33999982586828992, 508991.07500023167813197 177415.09200015780515969, 509030.50200003839563578 177423.12799994775559753, 509154.55200000002514571 177359.34999991187942214, 509073.38300016109133139 177278.29400013884878717, 509049.91200023231795058 177039.66899979414301924, 508963.99999987636692822 177039.99999974187812768, 508943.99999994476092979 176909.000000059051672, 508710.11300002614734694 176917.77600022050319239, 508388.36100024648476392 176928.64299988423590548, 508203.99999985960312188 176949.99999978806590661, 508343.76600004523061216 177159.08600019180448726, 508153.99999976897379383 177155.99999986833427101, 508108.28899999998975545 177239.48599986455519684, 508245.32999983202898875 177288.47000011240015738, 508249.36899979482404888 177364.4960000111896079, 508376.44699996733106673 177383.75699979873024859, 508386.08499999745981768 177473.18199976431787945, 508470.63299983541946858 177415.27699985835351981, 508530.9469998967833817 177421.69600018177879974, 508542.66399983875453472 177538.97099994096788578, 508592.65499997505685315 177492.48399998314562254, 508710.39400011138059199 177475.3029998118581716)))</t>
  </si>
  <si>
    <t>E01002449</t>
  </si>
  <si>
    <t>Hillingdon 032C</t>
  </si>
  <si>
    <t>MultiPolygon (((519284.63100019446574152 177166.3690000000060536, 519323.43800002505304292 177113.13799997713067569, 519346.15500009112292901 177155.20400011757737957, 519387.90399982949020341 177093.96300016203895211, 519444.26399994688108563 177142.81300016315071844, 519545.99999979697167873 176980.00000009438372217, 519521.26199993205955252 176949.99999983987072483, 519500.39099991694092751 176924.68699999825912528, 519495.99999984249006957 176880.99999981813016348, 519536.77099997003097087 176842.12100017178454436, 519570.13399995514191687 176782.70099990064045414, 519609.89200005267048255 176731.74299997108755633, 519498.68600009218789637 176628.71400002474547364, 519564.55799997772555798 176565.03700019733514637, 519565.95799983927281573 176506.4539997803803999, 519505.99999992729863152 176537.99999991423101164, 519380.00000017345882952 176573.99999984388705343, 519319.0000000317231752 176227, 519275.59800017904490232 176237.98199999847565778, 519241.08299985429039225 176330.34399996214779094, 519253.31299994676373899 176404.45899992773775011, 519192.54400003585033119 176487.58499988669063896, 519229.57700010086409748 176597.0040001540328376, 519248.3650000843917951 176697.66399978304980323, 519214.00000008032657206 176712.99999998981365934, 519239.61000021867221221 176730.62700000897166319, 519135.66699987155152485 176753.99999996190308593, 519162.557000178610906 176758.00600012138602324, 519165.31199989950982854 176862.07399995290325023, 519126.16700007277540863 176851.55799977952847257, 519106.44999984424794093 176883.92799983997247182, 519094.37299994734348729 176923.92800017929403111, 519129.1459998466889374 176981.99799991294275969, 519239.16300007095560431 177152.64900004141964018, 519284.63100019446574152 177166.3690000000060536)))</t>
  </si>
  <si>
    <t>E01003846</t>
  </si>
  <si>
    <t>Richmond upon Thames 002A</t>
  </si>
  <si>
    <t>MultiPolygon (((518494.00000023399479687 177715.09900040915817954, 518311.20000000268919393 177557.200000096403528, 518382.80000044230837375 177671.2999996600265149, 518494.00000023399479687 177715.09900040915817954)),((518783.00000014423858374 177730.9990001073165331, 518831.99899994709994644 177620.00000037447898649, 519011.00000033044489101 177639.99999990829383023, 519053.1790000309702009 177396.92499989588395692, 519096.65100015077041462 177395.74199958171811886, 519107.7699997455929406 177350.12100027449196205, 519036.58199959981720895 177259.00599968121969141, 519085.94100024685030803 177254.28800032153958455, 519151.98399955802597106 177193.59399975650012493, 519160.51599994680145755 177246.98599960844148882, 519237.93299967993516475 177195.79199962413986214, 519284.63100000005215406 177166.36900031659752131, 519239.16300027235411108 177152.64899961877381429, 519129.14599987812107429 176981.9979997169575654, 519094.37299978994997218 176923.92800029355566949, 519106.45000031730160117 176883.92800030912621878, 519126.16699981392594054 176851.55800003456533886, 519165.31200031447224319 176862.07400036978651769, 519162.55700034776236862 176758.00600012860377319, 519135.66700039466377348 176753.99999993274104781, 519239.61000026628607884 176730.62699999142205343, 519213.99999995331745595 176712.99999974246020429, 519248.3649996347958222 176697.66399971669306979, 519229.57699982612393796 176597.00399958313209936, 519129.71599983959458768 176623.41099964120076038, 519081.00000007392372936 176622.00000025922781788, 519075.47200018994044513 176725.75200024829246104, 518864.20299986295867711 176758.59799992779153399, 518834.08500022441148758 176708.59299962996738032, 518785.99999984510941431 176717.99999985509202816, 518779.02800036425469443 176690.49399986321805045, 518948.89999955473467708 176586.37800005954341032, 518947.65999970282427967 176548.46300015144515783, 518895.60499994555721059 176552.13600034566479735, 518865.99999981396831572 176488.00000017392449081, 518829.30199971911497414 176498.46299994175205939, 518839.5280004438245669 176547.8999997632636223, 518783.77799973788205534 176541.29499978313106112, 518763.47800041729351506 176478.57399979728506878, 518784.54899975814623758 176452.00799987057689577, 518714.44500019861152396 176455.64199956081574783, 518703.80999978294130415 176409.62199982214951888, 518676.15699958387995139 176282.5710000958351884, 518620.62499960302375257 175989.60899966504075564, 518313.42499979614512995 176021.64700013896799646, 518019.43799963558558375 176170.4220002637594007, 517794.0320000623469241 176170.6410002730845008, 517451.08200000005308539 176299.88999986700946465, 517686.70000023464672267 176468.40000035575940274, 517933.10000017523998395 176897.49999968201154843, 518312.40000006638001651 177422.19999980524880812, 518575.9250002094777301 177663.66999995015794411, 518783.00000014423858374 177730.9990001073165331)),((518533.52299969573505223 177733.82400039097410627, 518507.79999959142878652 177730.90000037936260924, 518523.58200032688910142 177749.89400033498532139, 518533.52299969573505223 177733.82400039097410627)))</t>
  </si>
  <si>
    <t>E01003847</t>
  </si>
  <si>
    <t>Richmond upon Thames 002B</t>
  </si>
  <si>
    <t>MultiPolygon (((519165.80000017100246623 177751.90000003972090781, 519247.78099986026063561 177696.25700016162591055, 519473.31599998573074117 177517.1530001345963683, 519529.90800000005401671 177466.59699982253368944, 519386.00000024150358513 177222.00000002016895451, 519444.26399983529699966 177142.81300006504170597, 519387.90400022960966453 177093.96300006893579848, 519346.1549997731926851 177155.20399977994384244, 519323.43799991247942671 177113.1380000923818443, 519284.63100005820160732 177166.36900007646181621, 519237.9330000359332189 177195.79199991750647314, 519160.51600021461490542 177246.98599984400789253, 519151.98400007130112499 177193.59399977585417219, 519085.94099986494984478 177254.28799991993582807, 519036.58200017805211246 177259.00599986827000976, 519107.77000005258014426 177350.12100001526414417, 519096.65099992381874472 177395.74199976251111366, 519053.17899978946661577 177396.92499987719929777, 519010.99999975541140884 177640.00000003472086973, 518831.99900021345820278 177619.99999986792681739, 518783.00000006763730198 177730.99899997736793011, 518575.92499980784486979 177663.6700001775752753, 518816.60000000573927537 177760.50099993153708056, 519014.79999994306126609 177787.20000007501221262, 519165.80000017100246623 177751.90000003972090781)),((518831.49999988096533343 177855.59999993102974258, 518533.52299994480563328 177733.82400008710101247, 518523.58200000005308539 177749.89399985456839204, 518693.50000018911669031 177836.30000012982054614, 518831.49999988096533343 177855.59999993102974258)))</t>
  </si>
  <si>
    <t>E01003851</t>
  </si>
  <si>
    <t>Richmond upon Thames 002D</t>
  </si>
  <si>
    <t>MultiPolygon (((519855.5689998771995306 176858.89699964903411455, 520023.00000005506444722 176494.30000028069480322, 520213.77499975659884512 176273.52299976878566667, 520068.08799995790468529 176122.243999842525227, 519945.01800027507124469 175983.75499977960134856, 519834.12500023923348635 175887.10899985692230985, 519786.31900028901873156 175863.69500000000698492, 519789.66000025672838092 175963.03700014014611952, 519690.77199966745683923 176043.50300031909137033, 519513.29800017818342894 176070.16000031837029383, 519482.5590002557146363 176145.27099984927917831, 519500.91699999500997365 176204.45699970549321733, 519569.37200026377104223 176209.97500025935005397, 519581.90400022693211213 176318.03699966400745325, 519678.65600005886517465 176262.53099992385250516, 519812.63400030881166458 176296.24199975185911171, 519860.37999962997855619 176439.81999967739102431, 519828.99999999918509275 176472.99999974825186655, 519888.84600036405026913 176516.98800013909931295, 519815.9999999376013875 176605.99999976175604388, 519769.0000000232248567 176582.99999983777524903, 519804.08800006366800517 176511.06399973621591926, 519761.40600014262599871 176523.39099975390126929, 519659.80000030744122341 176664.23500026573310606, 519609.89200035703834146 176731.74299962128861807, 519570.13399983826093376 176782.70099976158235222, 519536.77099965186789632 176842.12100006770924665, 519496.00000033294782043 176881.00000038626603782, 519500.39099968917435035 176924.6869998250331264, 519521.26200033177156001 176950.00000015826663002, 519545.99999964504968375 176979.99999974551610649, 519444.26399964891606942 177142.81299999024486169, 519386.00000024342443794 177221.99999978215782903, 519529.90800002258038148 177466.59700000000884756, 519680.20000021910527721 177299.30000002501765266, 519759.32599997246870771 177154.08100032474612817, 519825.2959996314602904 176954.9699997749121394, 519855.5689998771995306 176858.89699964903411455)))</t>
  </si>
  <si>
    <t>E01033570</t>
  </si>
  <si>
    <t>Richmond upon Thames 004G</t>
  </si>
  <si>
    <t>MultiPolygon (((519761.40600016160169616 176523.39099988152156584, 519804.08800002274801955 176511.06399991107173264, 519768.99999997229315341 176582.99999992735683918, 519815.99999980482971296 176606.000000064028427, 519888.84600008791312575 176516.98800003295764327, 519829.00000014610122889 176472.99999984228634275, 519860.38000020384788513 176439.81999992413329892, 519812.63400020601693541 176296.24200016460963525, 519678.65599985769949853 176262.53100007743341848, 519581.90399995970074087 176318.03700014820788056, 519569.37199986242922023 176209.97499980384600349, 519500.91699981229612604 176204.45700008125277236, 519482.55899999552639201 176145.27099993257434107, 519513.29799991875188425 176070.15999978623585775, 519690.77200015331618488 176043.50300001876894385, 519789.65999982337234542 175963.03700017093797214, 519786.31899989821249619 175863.69499998076935299, 519756.91300013894215226 175856.84599978788173757, 519548.52700009057298303 175797.52499999999417923, 519527.79700021899770945 175850.52999992476543412, 519422.57099985197419301 175808.97999995504505932, 519423.6509997682296671 175836.49999994880636223, 519366.49500021466519684 175844.76600004997453652, 519424.21200001274701208 176169.2049999293521978, 519374.42200016306014732 176216.14699977156124078, 519340.81399994593812153 175878.98399977863300592, 519234.13700020784744993 176062.84700013796100393, 519148.74899995798477903 176029.53900020898436196, 519103.79799991205800325 176038.16800005623372272, 519129.21999991801567376 176258.03300012004910968, 519178.23000013962155208 176246.23099983637803234, 519241.08299978851573542 176330.3439999126130715, 519275.59800003131385893 176237.98200016727787443, 519318.99999983666930348 176226.99999992380617186, 519380.00000003667082638 176574.00000015817931853, 519506.00000007468042895 176538.00000014732358977, 519565.95800014276755974 176506.45399982741218992, 519564.55800019938033074 176565.03700009291060269, 519498.68599987891502678 176628.71400010352954268, 519609.89200019743293524 176731.74299999998765998, 519659.80000018852297217 176664.23499992056167684, 519761.40600016160169616 176523.39099988152156584)))</t>
  </si>
  <si>
    <t>E01033571</t>
  </si>
  <si>
    <t>Richmond upon Thames 004H</t>
  </si>
  <si>
    <t>MultiPolygon (((520341.00300013372907415 177947.56800009380094707, 520408.21699977474054322 177941.64999985351460055, 520602.98600023839389905 177946.42799981485586613, 520759.32799972326029092 177949.8290000673441682, 520993.90599986060988158 177954.09399984322953969, 521196.10799975180998445 177688.16299995922599919, 521212.10199999995529652 177633.91600026443484239, 521198.96899977745488286 177532.87499984438181855, 521087.56700017920229584 177396.93299973325338215, 521035.68799986666999757 177391.65400027102441527, 520835.00599994766525924 177544.45899973943596706, 520661.81700001959688962 177636.07000022972351871, 520602.51200017920928076 177713.04800006738514639, 520513.80499986925860867 177676.70799992850515991, 520473.97099986858665943 177731.27399993382277898, 520389.37300002848496661 177717.2259999766247347, 520332.1319998157559894 177747.6889997159014456, 520347.99899991403799504 177789.00000013370299712, 520293.00000028981594369 177811.9999999332067091, 520218.53499981196364388 177717.31599971462856047, 520169.02299992390908301 177749.7209997165191453, 520136.99999992921948433 177746.00000019575236365, 520111.99999975610990077 177715.99999998803832568, 520012.87300000002142042 177793.4650001268601045, 520072.47899972362210974 177842.70499988735537045, 520023.62300028430763632 177863.31799972031149082, 520017.60899996373336762 177931.87499972886871547, 520064.14700007514329627 177928.58600026959902607, 520178.23800027975812554 177943.89599987072870135, 520194.80399978213245049 177985.00099972900352441, 520341.00300013372907415 177947.56800009380094707)))</t>
  </si>
  <si>
    <t>E01002577</t>
  </si>
  <si>
    <t>Hounslow 007C</t>
  </si>
  <si>
    <t>E02000532</t>
  </si>
  <si>
    <t>Hounslow 007</t>
  </si>
  <si>
    <t>MultiPolygon (((520473.9709999879123643 177731.27400000000488944, 520513.80500016669975594 177676.70799983074539341, 520602.51199999498203397 177713.04800007026642561, 520661.81699979543918744 177636.06999979939428158, 520835.005999875953421 177544.45899986545555294, 521035.68800021905917674 177391.65399982541566715, 521087.56699986441526562 177396.93300013241241686, 521074.8060001012054272 177370.24000013584736735, 520914.67599977226927876 177104.40000023358152248, 520626.24800014757784083 176713.4379999999946449, 520422.36400021932786331 176958.26200004346901551, 520455.00000008719507605 176995.00000011382508092, 520412.00000016478588805 177042.99999979048152454, 520283.79199996375245973 177204.29399991361424327, 520238.62999983510235325 177188.02599990088492632, 520204.16400005208561197 177220.0229997833375819, 520196.74800013564527035 177272.53100019320845604, 520202.99999974900856614 177273.00000019202707335, 520200.739999748126138 177367.75399982949602418, 520283.0009999125613831 177618.00000003096647561, 520307.098000030615367 177626.45799988295766525, 520389.37300002027768642 177717.22600005121785216, 520473.9709999879123643 177731.27400000000488944)))</t>
  </si>
  <si>
    <t>E01002578</t>
  </si>
  <si>
    <t>Hounslow 007D</t>
  </si>
  <si>
    <t>MultiPolygon (((519740.54999981023138389 177469.94500000000698492, 519845.99999981129076332 177415.00000019831350073, 519872.75200011464767158 177445.22999994372366928, 519926.65800002904143184 177423.05400023987749591, 520059.75499997026054189 177313.26499976642662659, 520039.58900009002536535 177246.21000007633119822, 520196.74799990589963272 177272.53100015080417506, 520204.16399994021048769 177220.02299995359499007, 520238.629999982600566 177188.02599981473758817, 520283.79200004669837654 177204.29399975031265058, 520412.00000005692709237 177042.99999986268812791, 520455.0000002458691597 176994.99999976638355292, 520422.36400012468220666 176958.26199984760023654, 520626.24799999746028334 176713.43800000837654807, 520309.39000003831461072 176374.68199999997159466, 520124.30000022932654247 176586.500000161875505, 520012.63199995859758928 176782.76400014737737365, 519869.59099990455433726 177170.62600011526956223, 519739.94800000253599137 177453.29500025924062356, 519740.54999981023138389 177469.94500000000698492)))</t>
  </si>
  <si>
    <t>E01002579</t>
  </si>
  <si>
    <t>Hounslow 008B</t>
  </si>
  <si>
    <t>E02000533</t>
  </si>
  <si>
    <t>Hounslow 008</t>
  </si>
  <si>
    <t>MultiPolygon (((521427.62500012665987015 178391.67599999997764826, 521450.94499984127469361 178298.71999992307974026, 521492.99999981507426128 178301.99999979563290253, 521473.86100004689069465 178194.41399988424382173, 521377.14699982322053984 178143.04999982289155014, 521390.97300020436523482 178115.52099992780131288, 521488.68899986619362608 178172.49999993736855686, 521507.90000000188592821 178150.98999990976881236, 521582.30299990507774055 178194.18200011341832578, 521615.0229999550501816 178181.19900017115287483, 521675.51300002465723082 178092.77899985798285343, 521552.94600002589868382 177972.18400016793748364, 521632.82299994415370747 177798.00800000855815597, 521607.99999984132591635 177774.99999997159466147, 521491.74499991763150319 177858.50200005297665484, 521511.24399988201912493 177785.20400017069187015, 521479.85800005291821435 177787.17700006274390034, 521470.19200016069225967 177822.46899992777616717, 521429.00000008952338248 177825.99999986190232448, 521288.51400003000162542 177711.24499993500648998, 521361.99999996006954461 177638.99999999051215127, 521273.00000001466833055 177571, 521212.10200005100341514 177633.91599998285528272, 521196.10800018440932035 177688.16299995346344076, 520993.90599997533718124 177954.09399995242711157, 521001.32300007127923891 177954.30099988059373572, 521120.84099997451994568 177945.3860001856519375, 521198.27700007386738434 177926.82800004337332211, 521298.83399990934412926 177906.08400011860067025, 521383.41100020043086261 177893.17700010834960267, 521412.50100011867471039 177948.25400018930668011, 521373.03099987807217985 177961.46799990866566077, 521300.44100005330983549 178122.46500012843171135, 521241.03100016195094213 178262.01099994921241887, 521205.21899987675715238 178355.08700009153108113, 521244.93600020412122831 178320.28899998965789564, 521326.00000003748573363 178348.00099996398785152, 521345.46099983068415895 178354.1919999799283687, 521427.62500012665987015 178391.67599999997764826)))</t>
  </si>
  <si>
    <t>E01002569</t>
  </si>
  <si>
    <t>Hounslow 001A</t>
  </si>
  <si>
    <t>E02000526</t>
  </si>
  <si>
    <t>Hounslow 001</t>
  </si>
  <si>
    <t>MultiPolygon (((521862.60000011813826859 177917.299999998009298, 521794.89999993005767465 177890.39999995354446582, 521982.10000016720732674 178054.90000001044245437, 521862.60000011813826859 177917.299999998009298)),((521929.20800004451302812 178156.14300000001094304, 521975.77100009063724428 178099.98899991624057293, 521718.70000005338806659 177891.8999998684739694, 521624.80000005423789844 177756.59999996455735527, 521565.29299977427581325 177552.16900006838841364, 521518.06799975613830611 177356.88000004561035894, 521522.75799978367285803 177132.16699999998672865, 521459.00000000279396772 177144.99899978694156744, 521440.36000015202444047 177176.65600014460505918, 521473.14500018360558897 177195.59499996338854544, 521414.12800006696488708 177302.41799998466740362, 521397.9409997466718778 177331.50399986555567011, 521362.70400009723380208 177391.07000010670162737, 521142.19900024024536833 177369.88099990354385227, 521074.80599983275169507 177370.23999974527396262, 521087.5670001957914792 177396.9329999694309663, 521198.9690002222196199 177532.87500005812034942, 521212.10199980234028772 177633.9159997901879251, 521272.9999997999984771 177571.00000011449446902, 521362.00000021362211555 177639.00000018315040506, 521288.51400008611381054 177711.24499976527295075, 521429.0000001682783477 177825.99999998792191036, 521470.19199982815189287 177822.46899999567540362, 521479.85799996397690848 177787.17700003529898822, 521511.24399995338171721 177785.20400000657537021, 521491.74499994789948687 177858.50200018842588179, 521608.00000008544884622 177774.99999980843858793, 521632.82299997878726572 177798.00800019380403683, 521704.16199993179179728 177882.66099977260455489, 521634.86500011826865375 177916.75300021062139422, 521686.89300001144874841 177950.91799989767605439, 521709.93699980905512348 177907.73100008472101763, 521743.2680002273991704 177928.61700015762471594, 521713.96200012689223513 177952.82500006532063708, 521736.49400014878483489 177984.39900000035413541, 521697.40300007752375677 178000.42199981250450946, 521838.27600011322647333 178130.85399989283178002, 521844.12899982632370666 178103.60699998136260547, 521893.86599984805798158 178112.51899999746819958, 521929.20800004451302812 178156.14300000001094304)))</t>
  </si>
  <si>
    <t>E01002571</t>
  </si>
  <si>
    <t>Hounslow 007A</t>
  </si>
  <si>
    <t>MultiPolygon (((521362.70400028751464561 177391.07000000000698492, 521397.94099972274852917 177331.50399972521699965, 521414.12800024193711579 177302.41800009421422146, 521473.14500009268522263 177195.59499974886421114, 521440.35999973892467096 177176.65600026882020757, 521459.00000005052424967 177144.99900018773041666, 521522.75799983402248472 177132.16699989532935433, 521532.75900007283780724 176900.20899990445468575, 521460.20000019413419068 176609.50000017700949684, 521339.29999996279366314 176353.59999974799575284, 521137.400999823177699 176202.30000005071633495, 520909.30000023706816137 176139.39900000003399327, 520627.1999999059480615 176166.30000012315576896, 520495.00000025192275643 176228.29999982455046847, 520309.38999992713797837 176374.68200016717310064, 520626.24800022173440084 176713.43800025270320475, 520914.67599977896315977 177104.39999989909119904, 521074.80600016273092479 177370.23999975493643433, 521142.19900022738147527 177369.88099985953886062, 521362.70400028751464561 177391.07000000000698492)))</t>
  </si>
  <si>
    <t>E01002572</t>
  </si>
  <si>
    <t>Hounslow 007B</t>
  </si>
  <si>
    <t>MultiPolygon (((520178.23800006118835881 177943.89599994831951335, 520064.14699997048592195 177928.58599984526517801, 520017.60900005110306665 177931.87499986460898072, 520023.62300016649533063 177863.31800014525651932, 520072.47900012548780069 177842.70500018206075765, 520012.87299989606253803 177793.46499980610678904, 520112.00000017747515813 177716.00000009377254173, 520136.99999982648296282 177745.99999998760176823, 520169.02300008764723316 177749.72100008229608648, 520218.53500010271091014 177717.31600017743767239, 520292.99999990436481312 177811.99999999027932063, 520347.9990000450052321 177788.99999988792114891, 520332.13200016564223915 177747.68899997588596307, 520389.37300009926548228 177717.22600003049592488, 520307.09799997106892988 177626.45799990883097053, 520283.00099999830126762 177617.99999986309558153, 520200.74000016425270587 177367.754000004963018, 520202.99999982916051522 177272.9999999028223101, 520196.74799983267439529 177272.53099989396287128, 520039.58899993181694299 177246.21000000002095476, 520059.75500012334669009 177313.2650001720758155, 519926.65799985377816483 177423.05400016889325343, 519958.08399983582785353 177474.53900011963560246, 519918.71899985481286421 177492.97599982004612684, 519934.23500006675021723 177515.53100013648509048, 519954.55899992119520903 177497.76000002719229087, 520024.30399984773248434 177527.66399981678114273, 519978.51800008869031444 177565.6769999703974463, 519859.01899990072706714 177672.79699986637569964, 519886.27700001641642302 177668.81000008989940397, 519884.81299980485346168 177832.05499998742016032, 519987.05700014851754531 177836.28700018581002951, 519983.00000008277129382 177939.00000014458782971, 519958.00000003998866305 177945.99999993602978066, 519956.00000009953510016 178018.00000015372643247, 519928.12000007956521586 178033.76099999999860302, 520046.88800015463493764 178006.68799994574510492, 520176.51800009672297165 177988.78100001692655496, 520194.80399988743010908 177985.00100014527561143, 520178.23800006118835881 177943.89599994831951335)))</t>
  </si>
  <si>
    <t>E01002576</t>
  </si>
  <si>
    <t>Hounslow 008A</t>
  </si>
  <si>
    <t>MultiPolygon (((519449.16799993469612673 178092.89800001657567918, 519474.32699994125869125 178027.70000005920883268, 519444.75699991569854319 178028.2140000093204435, 519437.00000004930188879 177983.00000006923801266, 519433.71200010000029579 177984.36399994519888423, 519426.00000011350493878 177936.00000008405186236, 519322.00099994172342122 177977.99999990378273651, 519284.26100009452784434 177963.1150000257184729, 519255.05100005998974666 177869.53000003172201104, 519199.99999996204860508 177871.00000007415656, 519232.18700011493638158 177943.95800004850025289, 519175.99999992910306901 177969.99999997211853042, 519126.83300004311604425 178054.58400006216834299, 519018.43700000003445894 178096.95800002056057565, 519308.33600008592475206 178314.79700008846702985, 519360.90600006369641051 178342.79699996826821007, 519494.23600000003352761 178250.26000008545815945, 519488.26699996192473918 178185.00100007941364311, 519433.33300002757459879 178142.67600004316773266, 519449.16799993469612673 178092.89800001657567918)))</t>
  </si>
  <si>
    <t>E01002580</t>
  </si>
  <si>
    <t>Hounslow 008C</t>
  </si>
  <si>
    <t>MultiPolygon (((519493.80000015773111954 177599.70000004619942047, 519465.49999983230372891 177599.50000016810372472, 519401.9000000826199539 177666.89999984522000886, 519493.80000015773111954 177599.70000004619942047)),((519687.85299989185295999 178039.35199995525181293, 519686.99999981350265443 177994.99999991591903381, 519734.96500011853640899 177971.03100001689745113, 519720.43899992329534143 177865.33199982694350183, 519669.25400008511496708 177896.5069998957333155, 519656.08899988292250782 177850.54000009284936823, 519695.27000000781845301 177819.34000003931578249, 519586.69500000029802322 177763.82800007142941467, 519542.377999939606525 177742.44099987004301511, 519633.12799996777903289 177633.04599998833145946, 519609.9000000657979399 177591.00000011397060007, 519411.70000009227078408 177766.0000000189174898, 519168.44300013518659398 177870.76799995373585261, 519018.19999987335177138 177933.69999988618656062, 518999.58200015290640295 177916.20500007958617061, 518989.28099999995902181 178052.39100015943404287, 519018.43699987843865529 178096.95800006773788482, 519126.83300006983336061 178054.58400016889208928, 519176.00000016577541828 177969.99999982269946486, 519232.18700009619351476 177943.95799984104814939, 519200.00000012072268873 177870.99999996190308593, 519255.05099992087343708 177869.53000011001131497, 519284.26100006559863687 177963.11499990595621057, 519322.00099987228168175 177978.00000018152059056, 519425.99999997660052031 177935.99999998000566848, 519433.71199991280445829 177984.36399996711406857, 519437.0000000026775524 177983.00000012540840544, 519444.75699991144938394 178028.21400016281404532, 519474.32699983671773225 178027.70000017696293071, 519449.16799991513835266 178092.89799992486950941, 519433.33299984462792054 178142.67600009709713049, 519488.2669999404461123 178185.00100010054302402, 519494.23599996679695323 178250.25999988603871316, 519559.51599981426261365 178205.34499996551312506, 519737 178108.68699994863709435, 519687.85299989185295999 178039.35199995525181293)))</t>
  </si>
  <si>
    <t>E01002581</t>
  </si>
  <si>
    <t>Hounslow 008D</t>
  </si>
  <si>
    <t>MultiPolygon (((519982.99999987019691616 177939.00000011041993275, 519987.05699984851526096 177836.28700008959276602, 519884.81299987417878583 177832.05499987647635862, 519886.27699992759153247 177668.80999992424040101, 519859.01900004222989082 177672.79699994740076363, 519978.51800006494158879 177565.6770001724071335, 520024.30399992666207254 177527.66400003977469169, 519954.55900004878640175 177497.76000011473661289, 519934.23500003339722753 177515.53099993179785088, 519918.71900011005345732 177492.97599985878332518, 519958.0840000209864229 177474.53900017097475938, 519926.65799983195029199 177423.0539998464519158, 519872.75199996784795076 177445.2299998649104964, 519846.00000000617001206 177415, 519740.55000000394647941 177469.94500009060720913, 519739.94800004264106974 177453.29499985295115039, 519609.89999983890447766 177591.00000005826586857, 519633.12800012505613267 177633.04599998641060665, 519542.37800007336772978 177742.44100003867060877, 519586.69500013266224414 177763.82800011645304039, 519695.27000006590969861 177819.33999984394176863, 519656.08899993804516271 177850.53999992992612533, 519669.25399993016617373 177896.50700007216073573, 519720.43900005042087287 177865.33200011876760982, 519734.96500006277346984 177971.03100011014612392, 519686.99999996140832081 177994.99999997127451934, 519687.85300015832763165 178039.35200000816257671, 519736.99999989912612364 178108.68700000003445894, 519816.36899990629171953 178071.59400017006555572, 519928.11999998573446646 178033.76100002127350308, 519955.99999986914917827 178017.99999990794458427, 519958.00000007473863661 177946.00000013638054952, 519982.99999987019691616 177939.00000011041993275)))</t>
  </si>
  <si>
    <t>E01002582</t>
  </si>
  <si>
    <t>Hounslow 008E</t>
  </si>
  <si>
    <t>MultiPolygon (((520291.74199998908443376 178447.29300008254358545, 520350.57899992167949677 178399.19800013402709737, 520345.27499986701877788 178394.31099993441603146, 520147.21400007320335135 178415.43500000741914846, 520181.42999995552236214 178295.5789999388216529, 520252.00100010860478505 178304.99999998617568053, 520242.98200003820238635 178264.41899987994111143, 520222.00000017473939806 178160.99999994004610926, 520273.99999988760100678 178160.00000007447670214, 520240.94499994936631992 178083.94499991915654391, 520306.67300015653017908 178090.67900010614539497, 520344.18799993267748505 178043.21100006913184188, 520363.26400002982700244 178092.12599993564072065, 520404.39000005577690899 178096.05499999874155037, 520449 178048.99999982578447089, 520408.21700017206603661 177941.65000000366126187, 520341.00299995864043012 177947.56799991088337265, 520194.80400001199450344 177985.00100004801061004, 520176.51800007675774395 177988.78100000554695725, 520046.88799996167654172 178006.68799982380005531, 519928.11999991332413629 178033.76099999886355363, 519816.36900003225309774 178071.59399994107661769, 519808.99999995180405676 178144.00000010852818377, 519743.4719999999506399 178158.66399990691570565, 519766.13699986721621826 178244.83999994496116415, 519811.736999875982292 178337.0829999957641121, 519824.94699994882103056 178298.1309998384967912, 519930.77899983670795336 178292.13300011132378131, 519937.00000003195600584 178257.0000000883883331, 520041.80099985946435481 178270.77699985500657931, 520069.6910000474890694 178276.33800012490246445, 520080.26799996203044429 178331.66399993537925184, 520058.12400006840471178 178442.88100013654911891, 520243.10699984506936744 178490.80199994760914706, 520262.99999995512189344 178527.99999999636202119, 520343.92099991638679057 178516.28899998869746923, 520291.74199998908443376 178447.29300008254358545)))</t>
  </si>
  <si>
    <t>E01002687</t>
  </si>
  <si>
    <t>Hounslow 029A</t>
  </si>
  <si>
    <t>E02006792</t>
  </si>
  <si>
    <t>Hounslow 029</t>
  </si>
  <si>
    <t>MultiPolygon (((521121.70999993936857209 178440.25399999998626299, 521161.08599995408440009 178380.90300010127248242, 521191.02899990428704768 178392.95600006153108552, 521205.21899997454602271 178355.08699996056384407, 521241.03100012941285968 178262.01099991463706829, 521300.44100009422982112 178122.46499987557763234, 521373.0309999753953889 177961.46799988343263976, 521412.50100012792972848 177948.25399995222687721, 521383.41099990077782422 177893.17699999999604188, 521298.83399997570086271 177906.08400001359404996, 521198.27699986984953284 177926.82800005035824142, 521120.84100012888666242 177945.38599993142997846, 521001.32299997296649963 177954.30099986493587494, 521057.71699999686097726 178009.92200005613267422, 520982.78500013286247849 178176.39299999087234028, 520916.76699987211031839 178316.2150001028785482, 520944.5909999132854864 178321.42000009628827684, 521002.08899995544925332 178349.13300012893159874, 521050.98299993522232398 178371.76000008368282579, 521058.60199989483226091 178413.69400003130431287, 521121.70999993936857209 178440.25399999998626299)))</t>
  </si>
  <si>
    <t>E01002689</t>
  </si>
  <si>
    <t>Hounslow 007E</t>
  </si>
  <si>
    <t>MultiPolygon (((520510.00000016146805137 178370.01399988299817778, 520549.06099998269928619 178335.74500002025160939, 520582.99999993696110323 178348.99999991725781001, 520606.64299988822313026 178308.44100011573755182, 520681.91199998516822234 178330.20099986874265596, 520681.61300006217788905 178263.28500006548711099, 520719.33600000647129491 178257.23999997024657205, 520723.81999992043711245 178299.51199984000413679, 520818.82499994192039594 178335.15200002523488365, 520871.88599986693589017 178156.45200003474019468, 520952.91299997345777228 178191.63800004473887384, 520982.78500012244330719 178176.39300002050003968, 521057.71699999994598329 178009.92200004024198279, 521001.322999894968234 177954.30100008699810132, 520993.90599989669863135 177954.09399989049416035, 520759.3279999474179931 177949.82900001024245284, 520602.98599988070782274 177946.42800010298378766, 520408.21699999994598329 177941.65000011699157767, 520449.00000001094304025 178048.99999987450428307, 520492.73799997020978481 178332.30799995173583739, 520510.00000016146805137 178370.01399988299817778)))</t>
  </si>
  <si>
    <t>E01002690</t>
  </si>
  <si>
    <t>Hounslow 007F</t>
  </si>
  <si>
    <t>MultiPolygon (((519645.19699989201035351 178749.44000020634848624, 519700.37300015991786495 178496.69000023932312615, 519703.13500018493505195 178451.30699989199638367, 519757.99999984796158969 178449.9999998449056875, 519760.82400004513328895 178496.11100005340995267, 519898.44599989667767659 178572.42499994821264409, 519894.39600011729635298 178509.14999986582552083, 519925.12699986639199778 178480.63199972530128434, 520032.10000017809215933 178664.20000019497820176, 520041.72399981407215819 178801.95299974567024037, 520078.87500001466833055 178750.65800011710962281, 520165.95900012401398271 178681.8029999953287188, 520198.39999989443458617 178665.23999983310932294, 520216.36299978964962065 178536.89899975448497571, 520263 178528.00000017436104827, 520243.10700024804100394 178490.80199997252202593, 520058.12399987457320094 178442.88100012968061492, 520080.26799982052762061 178331.66399985080352053, 520069.69100004946812987 178276.33800016331952065, 520041.80100015708012506 178270.77699984438368119, 519937.00000020780134946 178256.9999998661223799, 519930.77899981033988297 178292.13299981801537797, 519824.94700021098833531 178298.13100000252597965, 519811.73700005310820416 178337.08299984940094873, 519766.13700024783611298 178244.8400002232810948, 519743.47200016619171947 178158.66399973639636301, 519808.99999993131496012 178143.99999991708318703, 519816.36899982369504869 178071.59400005359202623, 519736.99999984726309776 178108.68700020390679128, 519559.51599989319220185 178205.34500014272634871, 519494.23600024433108047 178250.25999996619066224, 519360.9060001055477187 178342.79699996544513851, 519187.23099974176147953 178448.86600020425976254, 519118.47299999999813735 178482.93199998154886998, 519223.94000021053943783 178556.74500007744063623, 519276.27000018331455067 178592.15399985405383632, 519333.50099982426036149 178633.42100012800074182, 519333.76200005039572716 178691.42000027647009119, 519344.0000000802683644 178541.00000022927997634, 519543.999999868508894 178584.99999993087840267, 519530.00000024959445 178655.99999987860792316, 519491.88699992588954046 178648.97199978833668865, 519509.09700005670310929 178797.13200022571254522, 519561.48300001875031739 178876.50199994642753154, 519645.19699989201035351 178749.44000020634848624)))</t>
  </si>
  <si>
    <t>E01002692</t>
  </si>
  <si>
    <t>Hounslow 029C</t>
  </si>
  <si>
    <t>MultiPolygon (((520616.52499992091907188 178696.47800005984026939, 520615.43699982843827456 178668.77299984422279522, 520668.96599997469456866 178668.92699988995445892, 520635.97100006049731746 178641.32099992764415219, 520629.99999991775257513 178551.99999996149563231, 520690.99599985498934984 178547.98699995243805461, 520779.64300012303283438 178608.96500016027130187, 520781.99900004029041156 178541.99999989534262568, 520838.05300015618558973 178539.50199986810912378, 520843.77099999994970858 178492.54299987744889222, 520806.2189998563262634 178487.76399996655527502, 520792.05299999128328636 178436.06000005704117939, 520819.51599993603304029 178418.62900000700028613, 520753.63399987737648189 178379.80900003862916492, 520710.00000009854556993 178420.00000006365007721, 520668.74499985249713063 178407.89200014490052126, 520681.91200010612374172 178330.20100004601408727, 520606.64300009334692731 178308.44099993832060136, 520582.99999988550553098 178349.00000008166534826, 520549.06100015231641009 178335.74499995115911588, 520510.00000016891863197 178370.01399983209557831, 520492.73800017131725326 178332.30799999105511233, 520448.99999990477226675 178048.99999983893940225, 520404.39000013004988432 178096.05500001186737791, 520363.26400015078252181 178092.12599990112357773, 520344.18799994461005554 178043.21099994017276913, 520306.67299986403668299 178090.67899990332080051, 520240.94499985116999596 178083.94499992969213054, 520274.00000014045508578 178160.00000008547795005, 520222.0000000752042979 178160.99999995276448317, 520242.98199999704957008 178264.41900014824932441, 520252.00099983287509531 178304.9999999996216502, 520181.42999990365933627 178295.57900005343253724, 520147.21400000003632158 178415.43499987709219567, 520345.2750001295353286 178394.31099984521279112, 520350.57899992720922455 178399.19799987410078757, 520291.74200000468408689 178447.29300004837568849, 520343.92099989473354071 178516.28899996890686452, 520262.99999985878821462 178528.00000001172884367, 520216.36300005874363706 178536.89900014211889356, 520198.40000007231719792 178665.24000005010748282, 520363.54899993009166792 178642.01200014416826889, 520362.33199991920264438 178644.75399990918231197, 520616.52499992091907188 178696.47800005984026939)))</t>
  </si>
  <si>
    <t>E01032573</t>
  </si>
  <si>
    <t>Hounslow 029E</t>
  </si>
  <si>
    <t>MultiPolygon (((523877.99999993748497218 178721.00000009225914255, 523880.7860000062501058 178666.4909999196534045, 523912.99899999878834933 178672.0000000320142135, 523908.00000000634463504 178596.00100002030376345, 523958.31700008927145973 178613.18899995906394906, 523995.52299995982320979 178611.56100001736194827, 523994.50100000842940062 178541.3650000395718962, 524053.0849999999627471 178422.89099991694092751, 524043.85499995824648067 178382.98099990776972845, 523854.0290000302484259 178387.2490000091784168, 523845.84400005172938108 178389.06100006177439354, 523721.40600009210174903 178438.21500005296547897, 523710.15600001730490476 178644.87500003018067218, 523667.82200004672631621 178643.10400004062103108, 523661.09999999997671694 178704.34999995800899342, 523709.77699991239933297 178708.51099991396768019, 523774.000000077590812 178713.99999997168197297, 523831.84400000650202855 178717.8929999791434966, 523877.99999993748497218 178721.00000009225914255)))</t>
  </si>
  <si>
    <t>E01001867</t>
  </si>
  <si>
    <t>Hammersmith and Fulham 012B</t>
  </si>
  <si>
    <t>E02000383</t>
  </si>
  <si>
    <t>Hammersmith and Fulham 012</t>
  </si>
  <si>
    <t>E09000013</t>
  </si>
  <si>
    <t>Hammersmith and Fulham</t>
  </si>
  <si>
    <t>MultiPolygon (((524417.99999992258381099 178908, 524465.55299994046799839 178841.00799993460532278, 524491.39600006211549044 178861.6899999822198879, 524542.99999995646066964 178813.00099991331808269, 524525.99999989802017808 178789.99999997692066245, 524555.68399988918099552 178773.57900003730901517, 524638.35600003274157643 178716.27100009226705879, 524584.05599990661721677 178679.81100005292682908, 524555.55900009337347001 178628.9190000799135305, 524588.40300003031734377 178603.75500004837522283, 524702.00000010733492672 178749.00000007351627573, 524727.04500006756279618 178728.7770000445889309, 524658.32799999229609966 178642.67199992344831116, 524770.00899992801714689 178556.10800000809831545, 524688.84999995387624949 178580.95400005459669046, 524645.45499998598825186 178538.68500007328111678, 524706.29500007536262274 178496.46900005204952322, 524658.07599989406298846 178459.15399999998044223, 524620.55299989273771644 178482.73899997523403727, 524629.87699993688147515 178541.90599998596007936, 524551.9920000599231571 178531.78899992481456138, 524527.14700004237238318 178580.534000040468527, 524493.2620001055765897 178635.72699993045534939, 524405.00000006263144314 178714.99999995657708496, 524371.99100007198285311 178739.82999998971354216, 524412.94000007305294275 178788.79599998134654015, 524422.67400006682146341 178825.07200009145890363, 524379.24600004334934056 178881.04099995619617403, 524417.99999992258381099 178908)))</t>
  </si>
  <si>
    <t>E01001868</t>
  </si>
  <si>
    <t>Hammersmith and Fulham 012C</t>
  </si>
  <si>
    <t>MultiPolygon (((524777.00900009658653289 178764.18300005531636998, 524862.79299999307841063 178642.05400008094147779, 524907.4840000297408551 178563.31500004685949534, 524930.375 178524.85900002185371704, 524894.18800002965144813 178502.82799987404723652, 524736.81399987125769258 178462.87199992311070673, 524655.13100003660656512 178437.58899995248066261, 524580.23299990058876574 178410.76699992749490775, 524551.83799997565802187 178400.59799995124922134, 524457.45199992309790105 178372.86000005248934031, 524437.50100004661362618 178423.73000004937057383, 524411 178417.0000000856234692, 524415.00000006216578186 178486.00000005468609743, 524420.41800008655991405 178520.54999988092458807, 524546.33100011094938964 178498.42199995968258008, 524551.99200011661741883 178531.78899987187469378, 524629.87699988845270127 178541.90600002312567085, 524620.55299992498476058 178482.73899998248089105, 524658.07599989371374249 178459.1539999706146773, 524706.29500004276633263 178496.46900011997786351, 524645.45499989937525243 178538.68499987624818459, 524688.8500001224456355 178580.95400003343820572, 524770.0089999227784574 178556.10800011031096801, 524658.32800012442748994 178642.67199997874558903, 524727.04499992716591805 178728.77700011341948994, 524701.9999999146675691 178749.00000005343463272, 524588.40300003217998892 178603.75500010687392205, 524555.55900009779725224 178628.91900009842356667, 524584.05600007902830839 178679.81100004122708924, 524638.35600009874906391 178716.27099987186375074, 524555.68399989686440676 178773.57899993623141199, 524575.88499989092815667 178798.00899996093357913, 524648.90600007120519876 178886.2829999474924989, 524704.77200011431705207 178849.50900001497939229, 524777.00900009658653289 178764.18300005531636998)))</t>
  </si>
  <si>
    <t>E01001870</t>
  </si>
  <si>
    <t>Hammersmith and Fulham 012D</t>
  </si>
  <si>
    <t>MultiPolygon (((524137.9999999693245627 178843.49300010449951515, 524167.00000000081490725 178800.99999998271232471, 524189.8439999571419321 178816.37699983880156651, 524210.85899989755125716 178767.88200004116515629, 524279.00000014482066035 178744.99999991070944816, 524236.87199995102128014 178694.16499987454153597, 524305.30699984345119447 178719.73699997513904236, 524287.44200007489416748 178658.78500006897957064, 524320.11500001116655767 178660.64599985702079721, 524323.79199996835086495 178613.11000000318745151, 524269.39999992918455973 178616.45100008859299123, 524272.99999984836904332 178577.99999985194881447, 524168.59799990279134363 178596.34100003173807636, 524133.83900014311075211 178596.31900006710202433, 524139.00000012654345483 178495.00000006289337762, 524149.79300011578015983 178475.12899990129517391, 524252.80099991976749152 178463.75100001416285522, 524229.20899987174198031 178367.96399999997811392, 524142.53100011247443035 178380.35899994353530928, 524043.85500010981922969 178382.98099999353871681, 524053.08500000857748091 178422.8909999291645363, 523994.50100006069988012 178541.36500010779127479, 523995.52299985918216407 178611.56100009600049816, 523958.31700007698964328 178613.18900006735930219, 523908.0000000317231752 178596.00100010764435865, 523912.99900015786988661 178672.00000007674680091, 523929.25399986741831526 178750.12000000415719114, 523967.16000008303672075 178771.26199999041273259, 523992.3840001547941938 178737.26399984583258629, 524019.90099984966218472 178768.80899988935561851, 523978.61399999505374581 178839.52000015258090571, 524086.81100014917319641 178928.70600008626934141, 524010.1989999155048281 178965.68600014338153414, 524060.84500006429152563 179014.8030000000144355, 524167.6409999851603061 178997.29600006775581278, 524190.9999998930725269 178908.99900013156002387, 524137.9999999693245627 178843.49300010449951515)))</t>
  </si>
  <si>
    <t>E01001871</t>
  </si>
  <si>
    <t>Hammersmith and Fulham 012E</t>
  </si>
  <si>
    <t>MultiPolygon (((524320.11499995109625161 178660.64599996971082874, 524372.90399994060862809 178626.51299998618196696, 524400.00000009860377759 178660.42900009758886881, 524453.00000009196810424 178611.99999989921343513, 524433.71000006166286767 178594.13899990354548208, 524527.14700002619065344 178580.53400003010756336, 524551.99199999996926636 178531.78899993700906634, 524546.33099994354415685 178498.42200000793673098, 524420.41800004418473691 178520.55000005863257684, 524414.99999998626299202 178485.99999992293305695, 524411.00000003015156835 178416.99999989609932527, 524437.50100003974512219 178423.72999994299607351, 524457.45200002449564636 178372.86000003656954505, 524356.85499990230891854 178358.8420000625483226, 524353.56100006285123527 178358.6450000302575063, 524229.20900001918198541 178367.96400002171867527, 524252.80099992884788662 178463.75099998401128687, 524149.79300006740959361 178475.12899998281500302, 524139.0000000880099833 178494.99999998096609488, 524133.83900000003632158 178596.31900000819587149, 524168.59799990465398878 178596.3410000829026103, 524272.99999997648410499 178577.99999995870166458, 524269.39999995328253135 178616.45100002791150473, 524323.79199992213398218 178613.11000000045169145, 524320.11499995109625161 178660.64599996971082874)))</t>
  </si>
  <si>
    <t>E01001872</t>
  </si>
  <si>
    <t>Hammersmith and Fulham 012F</t>
  </si>
  <si>
    <t>MultiPolygon (((524111.15600007929606363 178320.43599999934667721, 524165.54200000001583248 178196.68800012656720355, 524084.80799993046093732 178187.06699985437444411, 524064.7560001231613569 178116.49699985736515373, 524010.52499997761333361 178087.95000014404649846, 524024.53699988313019276 178059.92600000987295061, 524074.37799995398381725 178024.7719998765969649, 523953.00000011490192264 177962.00000009188079275, 523986.14000014431076124 177929.98199993200250901, 523935.2399998665205203 177909.80099986147251911, 523832.12199998844880611 177970.71600005053915083, 523840.72899990505538881 178006.43900014241808094, 523850.39799999707611278 178105.45600003949948587, 523761.7409999486990273 178096.0490000010759104, 523719.99999993981327862 178133.00000003594323061, 523553.7299999525421299 178042.4869999505172018, 523519.20600000000558794 178128.65000008046627045, 523693.96900012972764671 178203.01599991711555049, 523703.37499996315455064 178238.23399991792393848, 523751.53100014303345233 178268.82800003548618406, 523766.81299987435340881 178245.28100003325380385, 523766.28100006643217057 178279.64099998181336559, 523847.12500005977926776 178307.65599988718167879, 523845.84399991843383759 178389.06100013849209063, 523854.02899995096959174 178387.24900007099495269, 524043.85499984608031809 178382.98100011749193072, 524142.53099997923709452 178380.35900014074286446, 524144.40800011926330626 178328.31500000867526978, 524144.51500007451977581 178325.34300003925454803, 524111.15600007929606363 178320.43599999934667721)))</t>
  </si>
  <si>
    <t>E01001889</t>
  </si>
  <si>
    <t>Hammersmith and Fulham 014A</t>
  </si>
  <si>
    <t>E02000385</t>
  </si>
  <si>
    <t>Hammersmith and Fulham 014</t>
  </si>
  <si>
    <t>MultiPolygon (((523262.31500005268026143 178268.4049999704293441, 523283.52599993086187169 178235.18800001445924863, 523331.00000001257285476 178245.99999989118077792, 523368.7730000275769271 178190.70500003197230399, 523386.51000010012649 178167.0809999986377079, 523302.65999993268633261 178140.9559999912744388, 523259.40699990885332227 178208.19800010172184557, 523243.68000006099464372 178201.02800006113830023, 523267.36900006205542013 178167.18800008288235404, 523199.00000005570473149 178091.99999990517972037, 523241.45900006516603753 178038.99399997113505378, 523160.10500000830506906 177982.33900000003632158, 523081.60000005085021257 178137.80100010088062845, 523074.39299997501075268 178140.74099998080055229, 523068.61099997878773138 178144.48600009753135964, 523020.05199989990796894 178169.47800006787292659, 523033.21499992569442838 178190.79799993213964626, 523053.46699993847869337 178223.6049999745155219, 523071.00000000512227416 178252.00000007732887752, 523162.00000010576331988 178404.00000000128056854, 523210.59199998062103987 178408.41100009882939048, 523334.99999991885852069 178418, 523313.12200000009033829 178376.76699992775684223, 523293.92700005200458691 178326.23800005673547275, 523373.96799997694324702 178286.39300002885283902, 523262.31500005268026143 178268.4049999704293441)))</t>
  </si>
  <si>
    <t>E01001893</t>
  </si>
  <si>
    <t>Hammersmith and Fulham 013A</t>
  </si>
  <si>
    <t>E02000384</t>
  </si>
  <si>
    <t>Hammersmith and Fulham 013</t>
  </si>
  <si>
    <t>MultiPolygon (((522928.67399990564445034 178596.55299987984471954, 522937.00000001303851604 178552.00000009807990864, 523013.99900011706631631 178552.00000009807990864, 523044.99900004407390952 178551.00000005334732123, 523024.0000001096050255 178481.00000013344106264, 522951.99899997108150274 178495.99999992855009623, 522900.43499991588760167 178381.90300011646468192, 523045.94700009113876149 178401.18300003299373202, 523046.42499990109354258 178390.42599996225908399, 523163.99999994941754267 178411.04699985761544667, 523161.99999985995236784 178403.99999990031938069, 523070.99999987642513588 178252.0000001075968612, 523053.46700008888728917 178223.60500012486591004, 523033.21499994664918631 178190.79799991438630968, 523020.0519999282550998 178169.47800000000279397, 523009.61500000033993274 178173.26999989635078236, 522984.28199998056516051 178182.47499990230426192, 522764.59999994997633621 178298.59999991493532434, 522676.0000000154832378 178308.8999999669904355, 522656.1020000257412903 178403.77700001708581112, 522665.85099989484297112 178486.64799992358894087, 522669.72000009659677744 178519.54799987719161436, 522676.09399988770019263 178573.73400002747075632, 522629.78100005054147914 178581.84399998738081194, 522632.06800011021550745 178605.17100001900689676, 522655.65999989968258888 178753.49499999999534339, 522662.87899987166747451 178753.47700001203338616, 522723.42300008330494165 178752.95100013684714213, 522738.8059999790857546 178701.30500000677420758, 522861.57200009090593085 178682.07099989723064937, 522864.65000007557682693 178609.72400005511008203, 522928.67399990564445034 178596.55299987984471954)))</t>
  </si>
  <si>
    <t>E01001894</t>
  </si>
  <si>
    <t>Hammersmith and Fulham 013B</t>
  </si>
  <si>
    <t>MultiPolygon (((523272.52100015350151807 179014.7239998180011753, 523291.96699989098124206 178876.45500010350951925, 523389.18900009099161252 178880.7189999044931028, 523387.9999999720021151 178828.84399990650126711, 523547.01500000798841938 178829.12100005400134251, 523579.21899995498824865 178802.89100000250618905, 523580.40599995898082852 178828.18800005849334411, 523642.68799990299157798 178825.79699986201012507, 523637.53100003948202357 178635.09399996150750667, 523667.82200005446793512 178643.10400015499908477, 523710.15600019448902458 178644.87499981198925525, 523721.40600008948240429 178438.21499999100342393, 523634.26100019097793847 178440.65200007098610513, 523504.79400005348725244 178431.00000014249235392, 523334.99999998445855454 178417.99999982549343258, 523210.59199999296106398 178408.41099996899720281, 523162.00000019645085558 178404, 523164.00000000250292942 178411.04700005101040006, 523259.09200002247234806 178499.04600013649906032, 523214.16599996347213164 178536.86800002300878987, 523216.16400004900060594 178586.73400009199394844, 523265.9999999709543772 178596.99999982048757374, 523250.99999984796158969 178669.9999998405110091, 523215.26000014296732843 178690.73999981698580086, 522998.25700011098524556 178673.88399988348828629, 522985.99999991047661752 178765.00000009351060726, 523098.6030000489554368 178760.4669998160097748, 523060.65000012546079233 178806.31299991201376542, 523016.91399984847521409 179042.89599989101407118, 523061.71900005097268149 179055.79499992349883541, 523124.32299996848450974 179071.18000009199022315, 523099.96400019549764693 179185.14399998250883073, 523130.00000014447141439 179193, 523135.99999995698453858 179167.00000015500700101, 523253.36099989747162908 179143.09600011300062761, 523272.52100015350151807 179014.7239998180011753)))</t>
  </si>
  <si>
    <t>E01001898</t>
  </si>
  <si>
    <t>Hammersmith and Fulham 013C</t>
  </si>
  <si>
    <t>MultiPolygon (((522964.94600013468880206 178815.63199999579228461, 522949.33399996568914503 178765.00000009933137335, 522986.000000114669092 178765.00000009933137335, 522998.25700001924997196 178673.88399996943189763, 523215.25999990437412634 178690.73999986707349308, 523251.00000009551877156 178670.00000002232263796, 523266.00000012438977137 178596.99999996647238731, 523216.16400011966470629 178586.73400009697070345, 523214.16600000770995393 178536.86800012583262287, 523259.09200000786222517 178499.0459998533478938, 523164.00000005506444722 178411.04699991567758843, 523046.42499985999893397 178390.42600010699243285, 523045.94700005662161857 178401.1830001039779745, 522900.43499994877493009 178381.90299999999115244, 522951.99900005030212924 178495.99999994141398929, 523023.9999998914427124 178480.99999991254298948, 523044.99900003883522004 178551.00000015311525203, 523013.99899993679719046 178551.99999987985938787, 522936.99999985098838806 178551.99999987985938787, 522928.67400013719452545 178596.55299995909444988, 522864.65000012557720765 178609.72399996191961691, 522861.57199995312839746 178682.07099988122354262, 522738.80600002582650632 178701.30499988858355209, 522723.42299987556179985 178752.95099998294608667, 522871.34399988903896883 178762.46900003397604451, 522831.19699999789008871 179016.39500007656170055, 522881.41300000034971163 179016.91699999995762482, 522948.90300008858321235 178960.67700001280172728, 522967.83999992051394656 178919.58099995672819205, 522936.42399992456194013 178917.21300004751537926, 522927.51400006044423208 178879.81600003989296965, 522964.94600013468880206 178815.63199999579228461)))</t>
  </si>
  <si>
    <t>E01001899</t>
  </si>
  <si>
    <t>Hammersmith and Fulham 013D</t>
  </si>
  <si>
    <t>MultiPolygon (((523766.28100012033246458 178279.64100010000402108, 523766.81299991591367871 178245.28099997187382542, 523751.53099988779285923 178268.82799985719611868, 523703.37499999155988917 178238.23400003905408084, 523693.96900005248608068 178203.01600004563806579, 523519.20600005186861381 178128.65000014312681742, 523511.23000010434770957 178138.63100005500018597, 523486.65600013971561566 178130.48400010375189595, 523454.35599986341549084 178183.15500013311975636, 523241.45899994188221171 178038.99400008155498654, 523199 178092.00000004438334145, 523267.36900006094947457 178167.18800003311480395, 523243.67999987688381225 178201.02800007595214993, 523259.40699993749149144 178208.19799987500300631, 523302.65999999345513061 178140.95600007189204916, 523386.51000005844980478 178167.08100010469206609, 523368.77300007315352559 178190.70500015656580217, 523330.99999994406243786 178246.00000003312015906, 523283.52599994908086956 178235.187999847199535, 523262.31500005815178156 178268.40500010375399143, 523373.96799999376526102 178286.3930001059488859, 523293.92700009187683463 178326.23800012125866488, 523313.12200004095211625 178376.76699984780861996, 523334.99999995221151039 178418.00000005844049156, 523504.79399992345133796 178430.99999992281664163, 523634.26100001094164327 178440.65199991845292971, 523721.4059998468728736 178438.21500001280219294, 523845.84400005720090121 178389.06100006625638343, 523847.125 178307.65600003782310523, 523766.28100012033246458 178279.64100010000402108)))</t>
  </si>
  <si>
    <t>E01001900</t>
  </si>
  <si>
    <t>Hammersmith and Fulham 013E</t>
  </si>
  <si>
    <t>MultiPolygon (((524229.20900002773851156 178367.96399997649132274, 524353.56099989591166377 178358.64500005776062608, 524356.85499990871176124 178358.84199997925315984, 524345.11000009323470294 178310.19000007098657079, 524406.42299993825145066 178309.89699988625943661, 524411.9979999529896304 178273.39999997525592335, 524416.4789999007480219 178250.31100009850342758, 524426.1850000040140003 178229.56100002999301068, 524437.88899997819680721 178201.84499992625205778, 524345.29000004974659532 178161.4210000122548081, 524303.39400005899369717 178105.69099997225566767, 524352.84700010216329247 178135.10599998274119571, 524357.22499987541232258 178110.29099992773262784, 524297.80800011148676276 178088.81200011124019511, 524266.40700004174141213 178016.86200008750893176, 524213.85600002820137888 177990.14499991925549693, 524301.71000010648276657 177903.63000008749077097, 524261.00799996196292341 177888.90800006748759188, 524214.09400004369672388 177874.85899999999674037, 524199.16599992744158953 177918.83799993951106444, 524183.62499992846278474 177964.62499999249121174, 524142.98300010646926239 177962.05999998049810529, 524123.14800002746051177 178000.40499996725702658, 524168.90699992998270318 178018.65600012574577704, 524150.06299999624025077 178073.39099999898462556, 524211.67599993722978979 178091.71800006050034426, 524165.54199991474160925 178196.68799988349201158, 524111.15600002172868699 178320.43600004375912249, 524144.51500000018859282 178325.34300000648363493, 524144.40800005698110908 178328.31500005774432793, 524142.53099995170487091 178380.35899999999674037, 524229.20900002773851156 178367.96399997649132274)))</t>
  </si>
  <si>
    <t>E01001910</t>
  </si>
  <si>
    <t>Hammersmith and Fulham 014B</t>
  </si>
  <si>
    <t>MultiPolygon (((525087.43099987017922103 178254.04699986742343754, 525138.53500010631978512 178191.73000011610565707, 525108.79700001422315836 177986.29700007315841503, 525075.12100000632926822 177967.34600008258712478, 525052.1939999598544091 178003.7929998934851028, 524894.00000010314397514 178253.00000006560003385, 524857.95899986266158521 178225.99999991015647538, 524863.74200002010911703 178195.20799988336511888, 524912.53099994454532862 178194.22300009612808935, 524899.62600005208514631 178087.71799995680339634, 524846.08300010091625154 178080.95800007460638881, 524840.27899985783733428 178053.13999994905316271, 524820.51899988914374262 178043.25899987868615426, 524785.60600000456906855 178022.70600005684536882, 524811.57399992761202157 177976.06400007152114995, 524833.3059999558608979 177921.05199999731848948, 524686.79199989559128881 177876.89400000000023283, 524674.92299995373468846 177904.85699992743320763, 524701.22299996484071016 177954.51999994617654011, 524666.48400003032293171 177997.9149998550710734, 524657.26599989365786314 178028.13799989959807135, 524698.23100007965695113 178072.43500012138974853, 524668.75300013949163258 178114.07999998255399987, 524787.11899984523188323 178119.72700001715566032, 524759.99999993434175849 178149, 524683.8329998767003417 178184.16700014617526904, 524695.71299998264294118 178207.926000115548959, 524754.5630001308163628 178192.77100002754013985, 524710.42199987499043345 178287.64500004873843864, 524683.94699998421128839 178356.12799989603809081, 524727.38199989241547883 178379.12000005872687325, 524736.81399997847620398 178462.87200010160449892, 524894.1880000060191378 178502.82800000000861473, 525087.43099987017922103 178254.04699986742343754)))</t>
  </si>
  <si>
    <t>E01001911</t>
  </si>
  <si>
    <t>Hammersmith and Fulham 015D</t>
  </si>
  <si>
    <t>E02000386</t>
  </si>
  <si>
    <t>Hammersmith and Fulham 015</t>
  </si>
  <si>
    <t>MultiPolygon (((524710.42199999722652137 178287.64500003913417459, 524754.56299999996554106 178192.77099999543861486, 524695.7130000019678846 178207.92599994657211937, 524683.83300004445482045 178184.16699991578934714, 524664.93100008298642933 178206.78199993396992795, 524641.24899994092993438 178248.79599990206770599, 524608.6470000670524314 178228.08400005637668073, 524583.42200004274491221 178220.76599992753472179, 524454.87099990376736969 178162.90799993326072581, 524444.99999992561060935 178184.99999990221112967, 524437.88899998925626278 178201.84499991382472217, 524426.18499992345459759 178229.56100000481819734, 524416.4790000868961215 178250.31099995505064726, 524411.9980000932700932 178273.39999996309052221, 524406.42300003068521619 178309.89699990962981246, 524345.10999999998603016 178310.18999997244100086, 524356.85500002780463547 178358.84199997599353082, 524457.45199999178294092 178372.85999992303550243, 524551.83800002874340862 178400.5979999236878939, 524580.23299991944804788 178410.76699999999254942, 524655.13100007397588342 178437.58900000131689012, 524736.81400003284215927 178462.87200006676721387, 524727.38200000207871199 178379.11999990959884599, 524683.94699994870461524 178356.12799993145745248, 524710.42199999722652137 178287.64500003913417459)))</t>
  </si>
  <si>
    <t>E01001914</t>
  </si>
  <si>
    <t>Hammersmith and Fulham 014D</t>
  </si>
  <si>
    <t>MultiPolygon (((522655.66000016435282305 178753.49499989615287632, 522632.06799995724577457 178605.17100004106760025, 522629.78099992027273402 178581.84399999506422319, 522676.0939999035326764 178573.73400003087590449, 522669.71999985363800079 178519.54799984084093012, 522665.85100011352915317 178486.64800000147079118, 522656.10199998319149017 178403.77700010826811194, 522676.00000012695090845 178308.90000009755021892, 522241.42799986450700089 178254.80999999996856786, 522232.16400014905957505 178394.83300003132899292, 522332.49799988087033853 178406.31600009498652071, 522306.55399991950253025 178442.74399990058736876, 522329.9999998394632712 178472.00099986177519895, 522326.00000000454019755 178525.3179999367275741, 522367.20899992657359689 178496.50900007228483446, 522400.74700006662169471 178539.54500004855799489, 522392.40000001015141606 178573.21999989153118804, 522326.00000000454019755 178591.93199991827714257, 522192.99999988439958543 178606.08200009196298197, 522194.99999996926635504 178524.00000006932532415, 522223.98900013271486387 178496.03799985922523774, 522146.37599984218832105 178473.13099984108703211, 522148.00000015087425709 178599.99999994665267877, 522102.11700010049389675 178604.7070000963867642, 522100.03800009645055979 178638.38799988233949989, 522209.58999998081708327 178642.98500007262919098, 522233.1580000810790807 178642.38800005213124678, 522255.58299999067094177 178693.05099989354494028, 522316.89700009889202192 178686.86700004764134064, 522299.00000003050081432 178736.00000002671731636, 522295.89000011113239452 178770.21300011590938084, 522362.69799992378102615 178757.01299995742738247, 522387.60700000781798735 178844.40100013129995205, 522425.49300002498785034 178841.94799999718088657, 522424.26399998168926686 178740.87399992920109071, 522467.90799987397622317 178724.83199998398777097, 522463.2050000210874714 178673.03599985686014406, 522505.00500002061016858 178648.32799987230100669, 522556.72199989366345108 178643.37800002217409201, 522549.74599987082183361 178717.81699999680859037, 522578.50499987549846992 178741.34400015178835019, 522614.13499989605043083 178796.42899983696406707, 522583.4560000509954989 178833.39899985078955069, 522585.63100014749215916 178905.07699993878486566, 522649.26499997911741957 178924.59599999999045394, 522654.98599987081252038 178882.10699984949314967, 522655.66000016435282305 178753.49499989615287632)))</t>
  </si>
  <si>
    <t>E01001932</t>
  </si>
  <si>
    <t>Hammersmith and Fulham 011C</t>
  </si>
  <si>
    <t>E02000382</t>
  </si>
  <si>
    <t>Hammersmith and Fulham 011</t>
  </si>
  <si>
    <t>MultiPolygon (((521969.91299992299173027 178685.04799997856025584, 522032.92800007289042696 178631.31199993190239184, 522050.75800016376888379 178665.1689998488582205, 522106.94299994345055893 178665.1390000615210738, 522107.19800012337509543 178712.58799990007537417, 522161.68699992768233642 178698.57600006469874643, 522206.10800005408236757 178694.57899988550343551, 522209.59000008949078619 178642.98499997725593857, 522100.03799992415588349 178638.38800007611280307, 522102.11700011166976765 178604.70700006795232184, 522148.00000013748649508 178599.99999986242619343, 522146.3760001576738432 178473.13099998096004128, 522223.98900003638118505 178496.03799982284544967, 522195.00000015943078324 178524.00000014985562302, 522192.99999988166382536 178606.08199989752029069, 522325.99999992066295817 178591.93200010081636719, 522392.40000010695075616 178573.21999997415696271, 522400.74700016749557108 178539.54499999573454261, 522367.20899990457110107 178496.50899998942622915, 522325.99999992066295817 178525.31800005826517008, 522330.00000011478550732 178472.00100004085106775, 522306.55400001013185829 178442.74400003993650898, 522332.49799997016089037 178406.31600002612685785, 522232.1640000874758698 178394.83300007940852083, 522241.42800011637154967 178254.8099999180121813, 522214.60200012056156993 178250.44100006297230721, 522075.99999989627394825 178186.99999996955739334, 521975.77100017271004617 178099.98900000000139698, 521929.20799990795785561 178156.14300010781153105, 521903.99399983242619783 178234.93299991867388599, 521909.61299986107042059 178543.48300012337858789, 521916.82099993684096262 178621.33799987670499831, 521935.32499987562187016 178816.56500001397216693, 521985.36599991511320695 178822.71000000002095476, 522000.69200012082001194 178794.98699989408487454, 521967.71299997885944322 178793.03300008529913612, 521972.86500010167947039 178756.49999991236836649, 521969.91299992299173027 178685.04799997856025584)))</t>
  </si>
  <si>
    <t>E01001933</t>
  </si>
  <si>
    <t>Hammersmith and Fulham 011D</t>
  </si>
  <si>
    <t>MultiPolygon (((521429.25499997747829184 178804.60200000001350418, 521447.51100000424776226 178588.5139998305530753, 521538.94800000888062641 178596.3729999887291342, 521573.74899988056859002 178516.00800017162691802, 521520.52399996697204188 178488.90300007024779916, 521565.24200000893324614 178283.57300000273971818, 521616.74600014166207984 178296.09299986046971753, 521615.02299995865905657 178181.19900008116383106, 521582.30299990001367405 178194.18200000908109359, 521507.89999987022019923 178150.9900001612259075, 521488.68900007376214489 178172.49999984775786288, 521390.97299993759952486 178115.52100000000791624, 521377.14700002031167969 178143.04999990965006873, 521473.86099989450303838 178194.41400014469400048, 521493.00000002910383046 178301.99999995873076841, 521450.94500002462882549 178298.71999989473260939, 521427.62499988893978298 178391.67600006403517909, 521345.46100011171074584 178354.19199992335052229, 521326.00000000570435077 178348.00099991454044357, 521244.93599986762274057 178320.28900007464108057, 521205.21900001511676237 178355.08700003221747465, 521191.02899995038751513 178392.9560000638011843, 521158.71699992829235271 178514.2349999267316889, 521157.93699985841521993 178518.77500010357471183, 521216.2189998515532352 178527.57799988688202575, 521213.72500003024470061 178678.97900009265867993, 521212.34999987838091329 178772.14599996502511203, 521231.35799985768971965 178745.67199994885595515, 521397.06200010958127677 178742.93800010601989925, 521396.50099997321376577 178802.86000013115699403, 521429.25499997747829184 178804.60200000001350418)))</t>
  </si>
  <si>
    <t>E01002570</t>
  </si>
  <si>
    <t>Hounslow 001B</t>
  </si>
  <si>
    <t>MultiPolygon (((521721.54399999510496855 178723.99600006840773858, 521756.17300013464409858 178698.72899976003100164, 521794.95399989932775497 178722.45699986189720221, 521800.06300023931544274 178658.49099999337340705, 521843.019999835989438 178645.07099984050728381, 521873.46000003151129931 178655.86799998633796349, 521879.69600004039239138 178617.75099991782917641, 521916.82100009685382247 178621.33800019783666357, 521909.61300024826778099 178543.48300015204586089, 521903.99400003271875903 178234.93300009582890198, 521929.20799988426733762 178156.14300002704840153, 521893.8660001284442842 178112.51900020608445629, 521844.12899985199328512 178103.60700023555546068, 521838.27600013074697927 178130.8540000312787015, 521697.40299984923331067 178000.42199984061880969, 521736.49399977462599054 177984.39899985311785713, 521713.96199993643676862 177952.82499992838711478, 521743.26799990044673905 177928.61700020954594947, 521709.93699989916058257 177907.73099999336409383, 521686.89300016814377159 177950.91800006572157145, 521634.86500023503322154 177916.75299990750500001, 521704.16199984576087445 177882.66099987624329515, 521632.82300021324772388 177798.00800000003073364, 521552.94599981582723558 177972.18400004145223647, 521675.51300001982599497 178092.77899982253438793, 521615.02299997681984678 178181.19900002348003909, 521616.74599976028548554 178296.0929998867213726, 521565.24199982336722314 178283.57299995745415799, 521520.52400011569261551 178488.90299981928546913, 521573.74899981886846945 178516.00799989784718491, 521538.94800020579714328 178596.37299998122034594, 521575.75200000673066825 178599.79999988665804267, 521588.65600023226579651 178708.27300015543005429, 521629.95200007763924077 178676.08699997820076533, 521637.95500024926150218 178612.23700010502943769, 521669.86300003930227831 178621.04100014918367378, 521656.15099988086149096 178802.53700000001117587, 521727.44000008690636605 178801.51899976388085634, 521721.54399999510496855 178723.99600006840773858)))</t>
  </si>
  <si>
    <t>E01002575</t>
  </si>
  <si>
    <t>Hounslow 001E</t>
  </si>
  <si>
    <t>MultiPolygon (((508365.0510000687208958 184607.09199997465475462, 508448.40000010491348803 184452.49999994694371708, 508536.83800011174753308 184429.16100002982420847, 508614.9000000202213414 184410.29999992632656358, 508667.82699989731190726 184358.44300005005788989, 508566.78100010281195864 184280.89699997278512456, 508511.391999930026941 184125.41500008697039448, 508432.25200016854796559 184032.56500008763396181, 508361.81499985285336152 184036.83699989202432334, 508378.53200002852827311 183941.37199999595759436, 508325.95999983564252034 183927.72399999998742715, 508244.90300011442741379 183956.44400004230556078, 508312.04599989845883101 183995.75300006289035082, 508258.17900004656985402 184090.73099993879441172, 508184.10000007931375876 184033.32999982731416821, 508089.16500010265735909 184118.5050001171475742, 508112.18999992485623807 184174.16600012025446631, 508188.07700013142311946 184279.53199987282278016, 508092.86700003297301009 184331.69400001029134728, 508104.78800002724165097 184384.97299997392110527, 508141.46800006291596219 184404.14499988089664839, 508175.32799982727738097 184524.54600001659127884, 508208.99999994353856891 184514.00099991905153729, 508205.03500001656357199 184621.43300000001909211, 508365.0510000687208958 184607.09199997465475462)))</t>
  </si>
  <si>
    <t>E01002450</t>
  </si>
  <si>
    <t>Hillingdon 014A</t>
  </si>
  <si>
    <t>E02000507</t>
  </si>
  <si>
    <t>Hillingdon 014</t>
  </si>
  <si>
    <t>MultiPolygon (((508371.56600018835160881 184689.69800013190251775, 508365.05100020999088883 184607.09200014139059931, 508205.03499989956617355 184621.43299994547851384, 508208.99999997881241143 184514.00100007723085582, 508175.32800005481112748 184524.54599990806309506, 508141.46799996407935396 184404.14499984349822626, 508104.78799997974419966 184384.97299979763920419, 508092.86700009350897744 184331.69400017496082, 508188.07699998194584623 184279.53200021359953098, 508112.19000018778024241 184174.16600000002654269, 508062.4799998119706288 184220.51800006505800411, 508030.16099986975314096 184197.78399992518825457, 507955.33699999895179644 184272.48499983720830642, 507922.54999986349139363 184306.42800019358401187, 507990.07199984625913203 184356.13500012503936887, 507940.6089998260140419 184393.69799989147577435, 507782.49599995301105082 184430.04700012094690464, 507779.32399980264017358 184571.1399998779525049, 507698.2599999638623558 184599.56699997451505624, 507703.45500006608199328 184447.48599983859458007, 507682.8759998656460084 184408.92599992526811548, 507639.10899981169495732 184418.54199982678983361, 507641.11200013430789113 184629.60700001523946412, 507642.6609998737112619 184829.44699993598624133, 507708.99999998393468559 185043.73399999999674037, 508069.99499994685174897 184901.01999983840505593, 508371.56600018835160881 184689.69800013190251775)))</t>
  </si>
  <si>
    <t>E01002452</t>
  </si>
  <si>
    <t>Hillingdon 014C</t>
  </si>
  <si>
    <t>MultiPolygon (((509872.59400051581906155 184093.93699989726883359, 509802.87599949154537171 183959.156000188580947, 509798.00000040925806388 183722.87500014741090126, 509723.21900016011204571 183793.45300014791428111, 509374.46900008944794536 183675.78100031657959335, 509367.21900047356029972 183622.0159994303539861, 509146.57300005928846076 183554.28500025687390007, 508943.93299973598914221 183434.06099995775730349, 508909.86500002845423296 183419.48300006194040179, 508879.31299950834363699 183407.48400011702324264, 508793.12499969848431647 183496.85899987112497911, 508670.78099979838589206 183384.43700054925284348, 508685.3130005324492231 183351.48400001236586832, 508654.02900019322987646 183330.7130002316844184, 508481.1910001541255042 183210.49699973713723011, 508463.79799979150993749 183220.0030001997074578, 508390.85299980017589405 183333.01399983631563373, 508251.99500047630863264 183431.36799965120735578, 508119.06000049563590437 183524.20799969584913924, 508102.5339996520197019 183684.02599975059274584, 508055.50999953865539283 183694.74099965702043846, 508021.35200003121281043 183634.29599979100748897, 507969.94199999998090789 183658.67500050869421102, 508035.78600001882296056 183763.79699943761806935, 508110.69599982886575162 183758.89800020345137455, 508120.15499958384316415 183821.93400029826443642, 507992.16899961436865851 184008.53099954163189977, 508012.65900012128986418 184049.48599959595594555, 508089.16500034206546843 184118.50500042317435145, 508184.10000017017591745 184033.32999970621312968, 508258.17900015279883519 184090.73100027441978455, 508312.04599997476907447 183995.75300021198927425, 508244.90299957018578425 183956.44400020342436619, 508325.96000010333955288 183927.72399946779478341, 508378.53200001281220466 183941.37199952788068913, 508361.81499969540163875 184036.83699982726830058, 508432.25199985707877204 184032.56500026499270461, 508511.39200054097454995 184125.41499977983767167, 508566.78099944087443873 184280.89699955174000934, 508667.82700030051637441 184358.44299949056585319, 508614.89999978442210704 184410.29999959387350827, 508536.83800045988755301 184429.16100006803753786, 508448.39999994228128344 184452.49999992563971318, 508365.05100001289974898 184607.09200002666329965, 508371.56599974015261978 184689.69800026286975481, 508574.78100043465383351 184596.06199967852444388, 508789.75000034988624975 184553.29699958779383451, 509943.84800056146923453 184459.97800025276956148, 510231.68800027726683766 184438.92199958302080631, 510253.96899999998277053 184358.0780005558335688, 510172.06300036463653669 184351.40600023858132772, 509957.02999972889665514 184240.6090004761936143, 509977.03100033319788054 184152.15599961124826223, 509872.59400051581906155 184093.93699989726883359)))</t>
  </si>
  <si>
    <t>E01002454</t>
  </si>
  <si>
    <t>Hillingdon 014E</t>
  </si>
  <si>
    <t>MultiPolygon (((506443.82999971928074956 185991.56399997172411531, 506492.13499959779437631 185967.48999961500521749, 506566.64499947556760162 186016.32299948684521951, 506609.25199971697293222 185993.26299972549895756, 506600.73299946769839153 185961.0940000660775695, 506497.41299950465327129 185877.39999988130875863, 506506.64199982426362112 185829.60699978479533456, 506480.91700034780660644 185831.95100049555185251, 506525.00099973758915439 185817.00000022180029191, 506612.18800010299310088 185864.1980000217736233, 506783.62800047412747517 185823.52099967663525604, 506823.22399992065038532 185814.09200020568096079, 506846.24200029071653262 185850.89699943631421775, 506927.15799984952900559 185792.33499962135101669, 506946.14899996644817293 185825.52100049750879407, 507101.31699948559980839 185742.55699948381516151, 507059.94800047134049237 185706.69300046606804244, 507064.42499968752963468 185637.8500003976514563, 506908.00000043550971895 185727.00000051342067309, 506887.64899980695918202 185697.15199951574322768, 506929.59399944852339104 185627.60400002475944348, 506760.38199941942002624 185298.03500000003259629, 506664.94800007058074698 185345.23499982641078532, 506604.81699989206390455 185372.8239994908508379, 506158.72199999185977504 185546.68400041313725524, 506100.13199980702484027 185565.10700000837096013, 505674.00099949579453096 185625.70200049833511002, 505636.31299965496873483 185697.54200001322897151, 505384.31299977336311713 185746.29700001826859079, 505408.00000025396002457 185860.00000041860039346, 505264.09799945534905419 185972.76300003755022772, 505299.5629996019997634 186095.20300007620244287, 505229.12499999004648998 186230.00900056672981009, 505272.31300034309970215 186296.1089998897514306, 505205.84400021826149896 186373.26600040835910477, 505125.00000044703483582 186406.62499949743505567, 505132.35999993089353666 186499.04000027265283279, 505160.28100049018394202 186902.29699978893040679, 505085.09400039620231837 187023.50000035887933336, 505048.74999969219788909 187194.31200057931710035, 505116.44299969577696174 187246.2760005041200202, 505150.31199970393208787 187339.49900031721335836, 504891.90299951995257288 187458.09800023256684653, 504785.00000051443930715 187625, 506140.01300010940758511 187385.91700028569903225, 506270.00000035675475374 187251.00000007421476766, 506444.36799984471872449 186498.40199998984462582, 506551.9560003355727531 186110.9999998897255864, 506443.82999971928074956 185991.56399997172411531)))</t>
  </si>
  <si>
    <t>E01002461</t>
  </si>
  <si>
    <t>Hillingdon 013A</t>
  </si>
  <si>
    <t>E02000506</t>
  </si>
  <si>
    <t>Hillingdon 013</t>
  </si>
  <si>
    <t>MultiPolygon (((507552.10899984376737848 185935.04799993638880551, 507523.07599971781019121 185847.75200016479357146, 507570.47099975409219041 185868.89899976598098874, 507585.21099971979856491 185916.74199979839613661, 507695.08199995121685788 185885.2720002978167031, 507726.23599978443235159 185869.51800025693955831, 507718.95399991981685162 185820.42200001754099503, 507677.00000011414522305 185805.00000027133501135, 507716.00000011548399925 185764.00000000584986992, 507712.00000019301660359 185715.99999972459045239, 507804.00000022724270821 185707.99999987965566106, 507851.99999990267679095 185582.00000020157312974, 507972 185509.99999977968400344, 507868.00000019837170839 185291.00000023821485229, 507704.31700020609423518 185106.74200005028978921, 507700.93799994431901723 185045.4989998837991152, 507306.37300012016203254 185088.81600027141394094, 507276.34700028807856143 185092.4769997762341518, 507051.24199992668582126 185141.74399990466190502, 506760.38199999998323619 185298.03500026313122362, 506929.59400003822520375 185627.60399983802926727, 506887.64900013105943799 185697.15199984275386669, 506908.00000002572778612 185727.00000026865745895, 507064.42499988275812939 185637.85000020192819647, 507047.18200007505947724 185590.06100016631535254, 507141.79599991108989343 185489.89800010601175018, 507245.0460002952022478 185633.42899997878703289, 507333.86500025790883228 185676.0070000170962885, 507359.88599982007872313 185731.03200023411773145, 507393.67100027308333665 185728.29399981134338304, 507411.42999971396056935 185854.80000024507171474, 507472.62300004041753709 185830.72299996312358417, 507524.06300009746337309 185858.34699982390156947, 507529.49700020509772003 185935.99900011622230522, 507552.10899984376737848 185935.04799993638880551)))</t>
  </si>
  <si>
    <t>E01002463</t>
  </si>
  <si>
    <t>Hillingdon 013B</t>
  </si>
  <si>
    <t>MultiPolygon (((508603.46900013694539666 185850.31199966534040868, 508635.01799984351964667 185756.50000022363383323, 508648.96899969124933705 185506.43799972228589468, 508749.87499975832179189 185270.64100007156957872, 508722.64900003827642649 185253.46200034543289803, 508668.2819998596678488 185129.7189998957910575, 508463.40600005246233195 184936.32799996683024801, 508371.5660000488278456 184689.69800000000395812, 508069.99499989888863638 184901.01999998698011041, 507708.99999991903314367 185043.7340000722615514, 507700.9380002417601645 185045.49899969535181299, 507704.31700016115792096 185106.74199972115457058, 507867.99999964883318171 185291.00000027799978852, 507972.0000002626911737 185509.99999975759419613, 507987.63400034507503733 185575.65199970337562263, 508041.7119998917914927 185558.02500035698176362, 508132.1280001332052052 185636.96399966749595478, 508213.68600008386420086 185718.46000009798444808, 508182.82399988744873554 185784.00600024205050431, 508137.3009998775087297 185735.48299999465234578, 508076.54499996500089765 185814.03200008854037151, 508033.62599980121012777 185802.14000028424197808, 508120.00000031216768548 185992.000000295083737, 508216.10399994102772325 186118.20900000000256114, 508410.6050000578397885 186016.94200020388234407, 508603.46900013694539666 185850.31199966534040868)))</t>
  </si>
  <si>
    <t>E01002464</t>
  </si>
  <si>
    <t>Hillingdon 011E</t>
  </si>
  <si>
    <t>E02000504</t>
  </si>
  <si>
    <t>Hillingdon 011</t>
  </si>
  <si>
    <t>MultiPolygon (((509766.82799954828806221 184564.33100050481152721, 509943.84799981419928372 184459.97800000000279397, 508789.7500002754968591 184553.29700018488802016, 508574.78099956386722624 184596.06200003297999501, 508371.56599991233088076 184689.69799987229635008, 508463.40599988272879273 184936.32800023196614347, 508668.28199986205436289 185129.7190005271404516, 508722.64899984659859911 185253.46199970078305341, 508749.87499957636464387 185270.64100050160777755, 508648.96899989258963615 185506.43799957481678575, 508635.01799966546241194 185756.5000000981381163, 508603.46900025062495843 185850.31200000035460107, 508410.6050003127893433 186016.94199969351757318, 508216.10400024888804182 186118.20900010998593643, 508320.11400017235428095 186214.96299995246226899, 508590.99700023798504844 186404.87299984914716333, 508832.75500001612817869 186585.01800000004004687, 509367.43599991023074836 186316.61099985305918381, 509560.03900031023658812 186219.26099960447754711, 509955.49599962908541784 186022.55399976664921269, 510080.48599990020738915 185959.66700040866271593, 510124.93299972137901932 185937.66099993587704375, 510138.99999950698111206 185914.00000024822656997, 510178.44799998111557215 185873.63500038825441152, 510196.99999975116224959 185853.99999948270851746, 510090.00100037775700912 185734.00000007668859325, 509943.99999967537587509 185686.99999951245263219, 509889.0419995037955232 185623.55800027010263875, 510074.64299947890685871 185475.75900003613787703, 510089.7570000973646529 185117.3659995669440832, 509766.82799954828806221 184564.33100050481152721)))</t>
  </si>
  <si>
    <t>E01002494</t>
  </si>
  <si>
    <t>Hillingdon 009C</t>
  </si>
  <si>
    <t>E02000502</t>
  </si>
  <si>
    <t>Hillingdon 009</t>
  </si>
  <si>
    <t>MultiPolygon (((506888.00000031891977414 185018.00000012514647096, 506832.29600016621407121 184709.9570000549138058, 506806.29999982990557328 184612.27200010878732428, 506689.04999987292103469 184549.76499978473293595, 506405.28300028340891004 184406.39900013362057507, 506223.9030001480714418 184639.14300001721130684, 506078.86499964981339872 184620.22799977246904746, 506048.7670002676313743 184538.08699989868910052, 506056.56500010349554941 184443.52399971275008284, 506109.27600008115405217 184446.63499968484393321, 506097.25899971363833174 184353.52000032036448829, 505915.09899971203412861 184328.90800016853609122, 505897.81600028363754973 184382.33200003427919, 505820.36099975858815014 184371.25300009539932944, 505756.99999965826282278 184433.99999986973125488, 505733.22699963848572224 184473.34200034843524918, 505708.00499975139973685 184448.02199994510738179, 505670.58200023655081168 184488.13599984312895685, 505616.23300002561882138 184479.84699984948383644, 505582.05699999997159466 184516.08200021227821708, 505608.89799988525919616 184545.49399965372867882, 505676.42799974419176579 184580.25300020191934891, 505637.95299985981546342 184621.17499969384516589, 505640.2439999349298887 184674.40200021589407697, 505665.19000019709346816 184665.22499983210582286, 505674.36800036125350744 184710.82900028582662344, 505752.53800033510196954 184710.62699983638594858, 505770.76900019991444424 184729.40100019288365729, 505747.11199968180153519 184755.88100002054125071, 505791.6460000459337607 184793.09199981280835345, 505684.38700021826662123 184919.60399985173717141, 505727.42299972241744399 184983.05899987753946334, 505705.02300009899772704 185056.4699996383569669, 505709.97899965575197712 185076.91500032698968425, 505620.27700005524093285 185093.34000012296019122, 505660.99900012771831825 185144.29800014614011161, 505704.8120001569041051 185449.0000000670843292, 505678.65599969727918506 185620.98100008844630793, 505674.0010001520277001 185625.70199983144993894, 506100.131999796256423 185565.10699980476056226, 506158.72200011502718553 185546.68400023283902556, 506604.81700029771309346 185372.82400001300266013, 506664.94800011394545436 185345.23499984538648278, 506760.38200001581571996 185298.03500021921354346, 507051.24200000002747402 185141.74399979502777569, 507022.99999999057035893 185079.00000009647919796, 506888.00000031891977414 185018.00000012514647096)))</t>
  </si>
  <si>
    <t>E01002512</t>
  </si>
  <si>
    <t>Hillingdon 013C</t>
  </si>
  <si>
    <t>MultiPolygon (((507592.65500012587290257 184622.0509998903144151, 507601.07399992959108204 184471.41700014189700596, 507435.68199990800349042 184492.88600010835216381, 507414.94899994134902954 184482.02900005033006892, 507127.92199979204451665 184487.96499991568271071, 507141.38600020972080529 184440.157999900955474, 507236.08999982918612659 184446.51000014311284758, 507238.54299997817724943 184333.13699993558111601, 507101.4640000764047727 184306.99400004799827002, 507024.30300021381117404 184253.90300014556851238, 506999.12199982709717005 184288.89399998637964018, 506960.54099986527580768 184269.68500013020820916, 506933.31799991149455309 184293.42499985767062753, 506957.00900022097630426 184355.98399977968074381, 506862.89300024654949084 184311.02999982517212629, 506813.80799982202006504 184404.4439998330490198, 506757.99999999237479642 184393.99999996891710907, 506689.05000000004656613 184549.76499996540951543, 506806.29999997926643118 184612.27199977656709962, 506832.29600008303532377 184709.95700012141605839, 506888.00000020093284547 185018.0000001541338861, 507022.99999980948632583 185078.9999998714774847, 507051.24200018984265625 185141.74399985442869365, 507276.34699999011354521 185092.47700006183004007, 507306.37300001521361992 185088.81600020139012486, 507700.93800003547221422 185045.49900010784040205, 507709 185043.73400009170291014, 507642.66100010118680075 184829.44700001133605838, 507641.1119999962975271 184629.60700011000153609, 507592.65500012587290257 184622.0509998903144151)))</t>
  </si>
  <si>
    <t>E01002513</t>
  </si>
  <si>
    <t>Hillingdon 013D</t>
  </si>
  <si>
    <t>MultiPolygon (((518124.00000023265602067 183709.99999982787994668, 518069.89199976838426664 183631.07200013901456259, 518144.59700002043973655 183501.65299984585726634, 518137.22599995351629332 183425.52399990329286084, 518153.52200010704109445 183391.18900007690535858, 518322.16999989422038198 183446.8400000435358379, 518342.00000018702121451 183410.99999983207089826, 518367.18599984899628907 183364.99899983018985949, 518473.74199999996926636 183165.94199988018954173, 518338.77999986399663612 183153.96899990615202114, 518286.71900017844745889 183200.14099985163193196, 518228.48700003861449659 183180.97799977959948592, 518042.71899996907450259 182964.06200012308545411, 517825.77899976226035506 182817.7500001224107109, 517494.78700000001117587 182928.98299988094368018, 517568.18799988657701761 183017.1249998988059815, 517594.30399994587060064 183364.66199995571514592, 517600.00000017619458959 183346.99999976914841682, 517771.00000004610046744 183381.00000021557207219, 517777.81200016575166956 183468.82999993278644979, 517882.18800018011825159 183482.94999995981925167, 517883.80499986989889294 183635.71900016008294187, 517921.86299982469063252 183728.29900015919702128, 517958.99999989446951076 183682.99899997469037771, 518034.79099995997967198 183756.79299987759441137, 518124.00000023265602067 183709.99999982787994668)))</t>
  </si>
  <si>
    <t>E01000472</t>
  </si>
  <si>
    <t>Brent 029A</t>
  </si>
  <si>
    <t>E02000121</t>
  </si>
  <si>
    <t>Brent 029</t>
  </si>
  <si>
    <t>E09000005</t>
  </si>
  <si>
    <t>Brent</t>
  </si>
  <si>
    <t>MultiPolygon (((517102.40700001554796472 182593.48399992473423481, 517149.31300000043120235 182583.67100004258099943, 517165.96900006599025801 182640.67199994763359427, 517229.31300009810365736 182633.7339998078532517, 517235.20999984600348398 182560.29099995130673051, 517320.68700004753191024 182549.03099989210022613, 517374.2270000790595077 182423.36799982711090706, 517405.02899997378699481 182249.88400005406583659, 517319.83399981021648273 182229.10900015558581799, 517320.00399981386726722 182282.90999985512462445, 517285.79400003759656101 182304.93300013622501865, 517265.25599999364931136 182288.05099985597189516, 517283.69999992882367224 182222.38599981513107195, 517236.27600012434413657 182209.75899999117245898, 517175.99999996653059497 182185.00000003454624675, 517168.42400016431929544 182181.48199987690895796, 517001.83199988683918491 182118.65799981035524979, 517092.3999999284860678 182097.37899995123734698, 517111.63200000824872404 182044.59699981281301007, 517111.31500012916512787 181964.25800016865832731, 517078.81299981015035883 181934.9340000000083819, 517009.12399989279219881 181942.32999984399066307, 517015.62800014187814668 181965.58299996901769191, 516955.7040000919951126 181957.67100006376858801, 516886.20000011014053598 182077.49999993969686329, 516821.94499987142626196 182057.6319999557454139, 516810.52599983615800738 182107.27500007697381079, 516921.09099997399607673 182132.29000011208700016, 516869.06299982441123575 182324.44400003494229168, 516811.49299986608093604 182278.31799999834038317, 516775.79500002134591341 182273.20799993426771834, 516768.00000012776581571 182303.99999987441697158, 516697.36300001665949821 182290.08699999548844062, 516692.46899982495233417 182316.37499991193180904, 516657.00000002619344741 182373.80000014088000171, 516729.79200004669837654 182439.05199988547246903, 516921.49999997823033482 182491.0779998890357092, 516945.59399985213531181 182631.0309998273733072, 517068.50800006801728159 182710.48499999998603016, 517131.03099987260065973 182702.95299992043874227, 517102.40700001554796472 182593.48399992473423481)))</t>
  </si>
  <si>
    <t>E01001209</t>
  </si>
  <si>
    <t>Ealing 013A</t>
  </si>
  <si>
    <t>E02000250</t>
  </si>
  <si>
    <t>Ealing 013</t>
  </si>
  <si>
    <t>MultiPolygon (((514885.87500009092036635 182666.0780001075763721, 514940.0629999166703783 182500.65600005839951336, 514907.0000001672306098 182404.12500008323695511, 514924.96900023246416822 182321.76700011806678958, 514868.93799980386393145 182247.06199980355449952, 514733.15700003202073276 182266.68700018007075414, 514676.05000009411014616 182240.80600022146245465, 514632.52700002782512456 182207.11800011896411888, 514594.71899985079653561 182150.75000009822542779, 514607.76900020410539582 182056.95600000000558794, 514590.99500022490974516 182068.60899980657268316, 514536.69499999692197889 182263.04599995995522477, 514481.97100005653919652 182288.05099979546503164, 514455.32899983710376546 182324.28999978152569383, 514486.26799983170349151 182429.30900021572597325, 514449.00000000564614311 182433.00000004330649972, 514414.14400021720211953 182365.00100008153822273, 514373.1000000832718797 182379.22700011538108811, 514475.92900020978413522 182634.68700018044910394, 514528.27000015263911337 182627.97299983314587735, 514562.94599982409272343 182703.66900013296981342, 514577.49599987728288397 182731.68000020089675672, 514634.63900002982700244 182841.68100000542472117, 514677.7610000692657195 182933.46299979474861175, 514717.73700021032709628 183013.26399999996647239, 514816.11000001197680831 182893.76400000374997035, 514891.40000022854655981 182786.89300010845181532, 514834.69000008120201528 182711.69000001216772944, 514885.87500009092036635 182666.0780001075763721)))</t>
  </si>
  <si>
    <t>E01001260</t>
  </si>
  <si>
    <t>Ealing 012B</t>
  </si>
  <si>
    <t>E02000249</t>
  </si>
  <si>
    <t>Ealing 012</t>
  </si>
  <si>
    <t>MultiPolygon (((513586.0430001953500323 183372.98800006491364911, 513548.09199994942173362 183246.28500024921959266, 513483.90899983898270875 183260.91900008442462422, 513417.00000011391239241 183158.99999994330573827, 513351.30400015308987349 183150.45799993036780506, 513324.23899991664802656 183052.03800016804598272, 513371.53800005855737254 183001.00199990664259531, 513367.02399974694708362 182935.07200014492264017, 513322.09799980436218902 182888.87100009265122935, 513407.09400018071755767 182792.05699993096641265, 513422.30199981201440096 182700.82599996766657569, 513403.09400005749193951 182654.01599975101999007, 513326.49800004228018224 182657.34499987636809237, 513209.3089999245130457 182580.51900000000023283, 513170.36800000898074359 182698.15800024682539515, 513219.94300014834152535 182772.27899980824440718, 513055.00000021880259737 182799.00000010986695997, 513024.99999980616848916 182808.99999990616925061, 513079.29100002843188122 182845.2010001621383708, 513223.66399999707937241 182804.74400005757343024, 513197.90800012572435662 182868.02000014338409528, 513115.6620000260300003 182892.5549998591595795, 513107.64300019375514239 182952.85199991994886659, 513054.85400011553429067 182968.79500012026983313, 513058.05799994914559647 183000.75900011335033923, 513216.87300008698366582 183137.28599981823936105, 513170.67999991413671523 183184.05899995262734592, 513228.24900013452861458 183200.51800005522090942, 513197.80000021756859496 183213.05000008619390428, 513226.88900015404215083 183223.65399999430519529, 513220.62899979221401736 183263.22399977289023809, 513215.00000003102468327 183267.00000020043808036, 513226.99999988899799064 183317.0000002057349775, 513171.00000021065352485 183363.00000008777715266, 513187.6070001304615289 183438.5390000352927018, 513375.58800019614864141 183604.17600000000675209, 513420.70699991768924519 183594.95500010970863514, 513431.343999968317803 183592.7849997945886571, 513588.25100019376259297 183566.04300019328366034, 513586.0430001953500323 183372.98800006491364911)))</t>
  </si>
  <si>
    <t>E01001262</t>
  </si>
  <si>
    <t>Ealing 010C</t>
  </si>
  <si>
    <t>E02000247</t>
  </si>
  <si>
    <t>Ealing 010</t>
  </si>
  <si>
    <t>MultiPolygon (((513171.00000019482104108 183363.00000007139169611, 513226.99999989802017808 183317.00000006757909432, 513215.00000008544884622 183266.99999983736779541, 513220.62900014210026711 183263.22399990443955176, 513226.88900018011918291 183223.65400004145340063, 513197.79999980516731739 183213.05000002274755388, 513228.24900013575097546 183200.51800000065122731, 513170.67999989935196936 183184.05900007410673425, 513216.87300011928891763 183137.28599986035260372, 513058.05799982126336545 183000.75899994687642902, 513014.60800005932105705 182984.40700018955976702, 513009.35999980731867254 183135.07300005425349809, 512923.51399988069897518 183113.55399989761644974, 512924.16399999335408211 183139.56200003341655247, 512890.83199983387021348 183144.93000017953454517, 512875.58999985549598932 183086.88000015448778868, 512739.00000000844011083 183095.99999990803189576, 512742.82800014107488096 183027.89999997496488504, 512709.25899996317457408 183016.59000009528244846, 512711.47099999047350138 183129.32099990025744773, 512585.99999979796120897 183138.99999995870166458, 512563.44099998119054362 183055.37699979322496802, 512508.85300000000279397 183074.98500008674454875, 512538.40400003234390169 183191.08399992465274408, 512645.68799982953350991 183172.54699980205623433, 512652.05900001875124872 183357.98800005894736387, 512783.8810000570374541 183342.74600008063134737, 512818.3130000404198654 183496.56200009112944826, 512746.29000018496299163 183533.52900016712374054, 512734.1769997967639938 183539.46699991862988099, 512730.03099979303078726 183541.8749999318679329, 512818.55800002289470285 183761.45499997204751708, 512831.21900011535035446 183793.21899981048773043, 512896.17099989362759516 183760.78299995829002, 513134.65899990597972646 183665.97699999247561209, 513375.58799999998882413 183604.1760001388611272, 513187.6069998896564357 183438.539000161428703, 513171.00000019482104108 183363.00000007139169611)))</t>
  </si>
  <si>
    <t>E01001263</t>
  </si>
  <si>
    <t>Ealing 010D</t>
  </si>
  <si>
    <t>MultiPolygon (((514032.82899999187793583 183275.41200006997678429, 513928.6879999017692171 183168.93700000725220889, 513957.40499977808212861 182981.06499983184039593, 513957.4290001432527788 182966.56500018903170712, 513916.65600005909800529 182703.53099983741412871, 514098.56300014135194942 182687.82399999455083162, 514077.30499987042276189 182618.31099999998696148, 513964.9990000159596093 182693.99999982304871082, 513856.15699995233444497 182709.35999991465359926, 513724.75399985257536173 182732.70000011488446034, 513673.30699989595450461 182754.43500006169779226, 513665.89300002751406282 182727.00499986513750628, 513627.34300012252060696 182735.52100023144157603, 513633.37599998660152778 182773.68099988886388019, 513652.23500008572591469 182876.50700003109523095, 513643.38199996232287958 182918.23000003796187229, 513653.12800008885096759 183084.91200018729432486, 513604.53099990024929866 183109.98899980619898997, 513639.63900019112043083 183150.18300008418736979, 513603.56300017755711451 183176.81199993990594521, 513474.80799977347487584 183121.9629998721065931, 513427.00000021699815989 183099.99999977328116074, 513416.99999985873000696 183159.00000013370299712, 513483.90900003729620948 183260.91899990182719193, 513548.09199980722041801 183246.28499995765741915, 513586.04299991764128208 183372.98799994119326584, 513588.25099986861459911 183566.04300000000512227, 514059.80400021548848599 183427.99900010455166921, 514096.80799997493159026 183416.5009998572350014, 514057.77900020574452356 183290.08699984819395468, 514032.82899999187793583 183275.41200006997678429)))</t>
  </si>
  <si>
    <t>E01001264</t>
  </si>
  <si>
    <t>Ealing 010E</t>
  </si>
  <si>
    <t>MultiPolygon (((514372.70999993098666891 184036.79200013205991127, 514340.37499990203650668 183942.75900003273272887, 514316.94500022358261049 183954.19200004829326645, 514263.7979997984948568 183885.14899975745356642, 514289.13600007380591705 183830.96000015607569367, 514365.47099979862105101 183821.11600010321126319, 514384.0860001560067758 183845.03300016332650557, 514421.31900000001769513 183711.08800016323220916, 514324.59099986794171855 183631.50600024542654864, 514233.98399981629336253 183517.37499991417280398, 514225.61500014498597011 183378.82500002990127541, 514096.80800009414087981 183416.50099982673418708, 514059.80399978219065815 183427.99900011587305926, 513588.2509998869500123 183566.04300001825322397, 513431.34399999992456287 183592.785000163159566, 513445.35200022865319625 183679.66399987862678245, 513737.24599978688638657 184098.8329998105764389, 514054.67600006540305912 184200.15299997010151856, 514094.41799997421912849 184184.73999999710940756, 514243.02499996242113411 184070.00999994747689925, 514372.70999993098666891 184036.79200013205991127)))</t>
  </si>
  <si>
    <t>E01001265</t>
  </si>
  <si>
    <t>Ealing 006A</t>
  </si>
  <si>
    <t>E02000243</t>
  </si>
  <si>
    <t>Ealing 006</t>
  </si>
  <si>
    <t>MultiPolygon (((515797.46900020522298291 183904.89099988958332688, 515785.65699980332283303 183808.39099974639248103, 515847.93799995299195871 183627.59400032021221705, 515915.24999999924330041 183638.01599979316233657, 515933.93299967964412645 183489.44199982887948863, 515915.94599968567490578 183496.26200013016932644, 515639.90599969116738066 183604.26599985003122129, 515534.96899999218294397 183603.65600008342880756, 515431.62900003872346133 183553.90400006345589645, 515346.56300020788330585 183396.94900021693320014, 515380.16599986143410206 183225.98900004714960232, 515441.1560000260360539 183038.76399999999557622, 515172.90499990183161572 183088.7789998204971198, 514867.23800000635674223 183186.32599978006328456, 514843.88599986326880753 183187.37099984206724912, 514797.03200031124288216 183275.03200001188088208, 514905.9460002951673232 183546.76999967396841384, 514859.00000024982728064 183560.00000018632272258, 514905.76100008666981012 183741.59599975144374184, 514820.5310000887257047 183697.29899996428866871, 514789.35600032034562901 183801.32699993162532337, 514817.75899986905278638 183854.06099992978852242, 514938.39899967977544293 183810.39800023729912937, 514951.99999983108136803 183841.00000028079375625, 514981.34100013581337407 183828.55200002991477959, 515111.75800002075266093 184317.42100009621935897, 515288.71900018863379955 184349.21900000001187436, 515386.33600006770575419 184230.92899982712697238, 515470.37500024639302865 184021.15599981689592823, 515546.35200001689372584 183948.93599983549211174, 515797.46900020522298291 183904.89099988958332688)))</t>
  </si>
  <si>
    <t>E01001266</t>
  </si>
  <si>
    <t>Ealing 006B</t>
  </si>
  <si>
    <t>MultiPolygon (((514569.99999990809010342 183500.00000015343539417, 514640.61499986326089129 183304.70400019010412507, 514737.84199980128323659 183336.57800015903194435, 514769.66299999802140519 183255.89900004857918248, 514797.03199999983189628 183275.03199983522063121, 514843.88599991169758141 183187.37100001450744458, 514818.00000024866312742 183109.00000010745134205, 514881.71900011401157826 183089.07900008020806126, 514915.21100003854371607 182978.09600003459490836, 514932.01999999617692083 182965.24100023391656578, 514999.71899986726930365 182838.43700023263227195, 515043.78100005921442062 182859.78099978197133169, 515042.81299998110625893 182820.28100015016389079, 514960.78099982091225684 182780.48399979376699775, 514995.59400002146139741 182720.20299975012312643, 514885.87500018143327907 182666.0779999999795109, 514834.69000021502142772 182711.68999977927887812, 514891.39999992423690856 182786.89300014331820421, 514816.10999986517708749 182893.76399974504602142, 514717.73700016079237685 183013.26400005977484398, 514677.76100004150066525 182933.46300010863342322, 514634.63899992970982566 182841.6810002178826835, 514577.49599980446510017 182731.6800002493255306, 514511.88600000360747799 182760.28399986168369651, 514507.49400010280078277 182916.92600005635176785, 514477.00000010698568076 182858.00000021158484742, 514418.81299998390022665 182861.62100009445566684, 514395.31300007068784907 182760.69400013008271344, 514303.11600006115622818 182810.82700002464116551, 514332.73899989714846015 182873.15999999197083525, 514258.9639999505598098 182912.82499991019722074, 514272.534999847819563 182938.58500010502757505, 514236.23000020487233996 182982.08599974104436114, 514302.05100006487919018 182969.25799986373749562, 514318.19799977267393842 183044.13200025199330412, 514224.60199994069989771 183096.70300011645304039, 514258.75999989092815667 183119.98700012022163719, 514248.99999993719393387 183147.00000022284802981, 514311.00000015291152522 183158.00000016001285985, 514475.04799980274401605 183122.65600007312605157, 514516.92899985652184114 183144.35000011924421415, 514496.30699980619829148 183299.17500014899997041, 514225.61500023939879611 183378.82499981267028488, 514233.98399992228951305 183517.37499999479041435, 514324.59099997411249205 183631.50600018203840591, 514421.31899979955051094 183711.08799999998882413, 514671.07200023502809927 183697.09700013359542936, 514629.99999989778734744 183625.99999976603430696, 514569.99999990809010342 183500.00000015343539417)))</t>
  </si>
  <si>
    <t>E01001267</t>
  </si>
  <si>
    <t>Ealing 006C</t>
  </si>
  <si>
    <t>MultiPolygon (((514496.30699986743275076 183299.17499985059839673, 514516.92900007194839418 183144.34999987442279235, 514475.04799993452616036 183122.65600019079283811, 514310.99999994819518179 183157.99999991102959029, 514249.00000004045432433 183147.00000001006992534, 514258.75999984075315297 183119.98700007874867879, 514224.60199985245708376 183096.70299991947831586, 514318.19800012622727081 183044.1319998077233322, 514302.05100001313257962 182969.25800012474064715, 514236.23000001168111339 182982.08599993627285585, 514272.53500009578419849 182938.58500016972539015, 514258.96399991965154186 182912.82500001168227755, 514332.73900013626553118 182873.16000011269352399, 514303.11600012343842536 182810.82700009935069829, 514395.31299993355059996 182760.69400003354530782, 514418.8129999908269383 182861.62099992600269616, 514476.99999981571454555 182858.00000010294024833, 514507.49399997212458402 182916.9260000899375882, 514511.88600000052247196 182760.28400016875821166, 514577.49600015999749303 182731.67999990828684531, 514562.94599989138077945 182703.66899990805541165, 514528.27000008930917829 182627.97299999999813735, 514475.92900019016815349 182634.68700011452892795, 514438.93800006498349831 182638.40499992098193616, 514457.03100014972733334 182677.20299987899488769, 514368.56300011166604236 182723.15600000612903386, 514323.59400013310369104 182654.93700001286924817, 514277.80400017724605277 182697.04700011512613855, 514098.56299989012768492 182687.8240001049998682, 513916.65599984000436962 182703.53100001704297028, 513957.42899985815165564 182966.5649999802117236, 513957.40499982569599524 182981.06500008262810297, 513928.68799995444715023 183168.93699997317162342, 514032.82900015427730978 183275.41200007821316831, 514057.77899990632431582 183290.08700017098453827, 514096.80799993051914498 183416.50099999998928979, 514225.61500008951406926 183378.82500008156057447, 514496.30699986743275076 183299.17499985059839673)))</t>
  </si>
  <si>
    <t>E01001268</t>
  </si>
  <si>
    <t>Ealing 012D</t>
  </si>
  <si>
    <t>MultiPolygon (((515111.75800025521311909 184317.42099980771308765, 514981.34100019512698054 183828.55199987997184508, 514951.99999999511055648 183841.00000003876630217, 514938.39899980212794617 183810.39800023662974127, 514817.75900026469025761 183854.06099985414766707, 514789.35599968413589522 183801.32699972120462917, 514820.53100017242832109 183697.29899982761708088, 514905.76099980319850147 183741.59600016337935813, 514858.99999969045165926 183559.99999984144233167, 514905.9459998796810396 183546.76999979157699272, 514797.03200001735240221 183275.03200012692832388, 514769.6630000117002055 183255.89900000000488944, 514737.84200019267154858 183336.57800016063265502, 514640.61499975610058755 183304.7040002305584494, 514569.99999982170993462 183499.99999976772232912, 514629.999999895459041 183626.00000030326191336, 514671.07199972122907639 183697.0969999190128874, 514421.31899993569822982 183711.0880000674223993, 514384.08600026660133153 183845.03300018305890262, 514365.47100010002031922 183821.11599971455871128, 514289.13600018480792642 183830.9600002100050915, 514263.79799979086965322 183885.14899993262952194, 514316.94500028662150726 183954.19200016383547336, 514340.37499985413160175 183942.75900013308273628, 514372.7100003074738197 184036.79199975350638852, 514243.02499999781139195 184070.00999973498983309, 514094.41800001543015242 184184.73999989902949892, 514054.67599974479526281 184200.15299996300018393, 514075.77200015500420704 184204.98799980091280304, 514105.38000025617657229 184212.62099992425646633, 514580.04700021585449576 184330.96099996860721149, 514631.03699980623787269 184301.81299976602895185, 514863.00000016065314412 184260.00000027875648811, 514904.04800022346898913 184524.92199999999138527, 514984.30000015959376469 184511.10000008609495126, 515024.79999992385273799 184377.09899988898541778, 515111.75800025521311909 184317.42099980771308765)))</t>
  </si>
  <si>
    <t>E01001272</t>
  </si>
  <si>
    <t>Ealing 006D</t>
  </si>
  <si>
    <t>MultiPolygon (((518976.95200000004842877 183307.94800024680444039, 518761.00000017625279725 183149.00000014205579646, 518661.00199973583221436 182984.45199978575692512, 518625.64399978227447718 182942.13099979105754755, 518664.42499973182566464 182893.11499999210354872, 518606.16400012548547238 182876.2629996778559871, 518590.53100007370812818 182806.04600031784502789, 518546.36700024805031717 182729.37900001197704114, 518543.95100001670653 182731.04900005480158143, 518477.99999999313149601 182781.00100024641142227, 518383.50000008137430996 182746.99999981332803145, 518379.99999975087121129 182659.99899972317507491, 518447.00000003672903404 182595.99999991402728483, 518412.37200024724006653 182601.46799979021307081, 518410.19799977965885773 182557.91299990005791187, 518515.8779999905382283 182481.088999830535613, 518544.05299973953515291 182518.46500018617371097, 518547.03800019179470837 182431.63400009626639076, 518472.99400004406925291 182406.60200026136590168, 518461.99200010404456407 182452.36299997480819002, 518340.0269997101277113 182389.78100029789493419, 518383.2010001870803535 182289.03399988100863993, 518438.86000023072119802 182273.46700001691351645, 518446.07600018242374063 182201.50100018986267969, 518450.09299978771014139 182147.08599979704013094, 518382.88299978704890236 182143.12999980853055604, 518349.07999991695396602 182211.43099987576715648, 518284.05099965794943273 182246.3729998859053012, 518188.74300024274270982 182216.40199998789466918, 518166.78899983258452266 182152.4359999259468168, 518084.9190000994130969 182175.40800024766940624, 518085.13299999362789094 182349.50199970215908252, 518160.99999976839171723 182363.9999997933045961, 518140.99999966233735904 182551.00000002208980732, 518006.99999978387495503 182585.99999986100010574, 517964.15400015556951985 182584.20200031556305476, 517924.9210000341408886 182640.89500029518967494, 517781.50799974449910223 182627.39600030315341428, 517661.61399970384081826 182659.95400013093603775, 517621.20599990722257644 182728.95300031322403811, 517590.40800000005401671 182781.54100020628538914, 517772.93800006026867777 182763.87500011941301636, 517825.77899986389093101 182817.74999985910835676, 518042.71900033327983692 182964.06200020940741524, 518228.48700006300350651 183180.97800029534846544, 518286.71900010167155415 183200.14099994362914003, 518338.78000027139205486 183153.96900016444851644, 518473.74200032232329249 183165.9420003340637777, 518664.5509998380439356 183251.41600021027261391, 518924.3200002129888162 183376.08400019150576554, 518976.95200000004842877 183307.94800024680444039)))</t>
  </si>
  <si>
    <t>E01001277</t>
  </si>
  <si>
    <t>Ealing 011B</t>
  </si>
  <si>
    <t>E02000248</t>
  </si>
  <si>
    <t>Ealing 011</t>
  </si>
  <si>
    <t>MultiPolygon (((517661.61400011612568051 182659.95399999999790452, 517781.50800003547919914 182627.39600004357635044, 517924.92099995096214116 182640.89499990342301317, 517964.15400011895690113 182584.20199992766720243, 518007.00000015454133973 182586.00000017025740817, 518140.99999989842763171 182551.00000007238122635, 518161.0000001021544449 182364.00000001277658157, 518085.13300004787743092 182349.50199985984363593, 518084.91900011152029037 182175.40799997816793621, 518078.69899994845036417 182013.8489998527802527, 518039.261999947426375 181970.02999999999883585, 517984.72099987370893359 181991.57899997549247928, 517962.76599997695302591 182091.48399983934359625, 517907.5610001424793154 182077.36199998736265115, 517761.010999969788827 182006.59300015238113701, 517732.55600011890055612 182068.41899984696647152, 517677.73599995399126783 182187.34200003879959695, 517705.99999986484181136 182199.00000014278339222, 517639.84000005596317351 182224.91100010817172006, 517582.58899989788187668 182380.5890000922663603, 517757.45599994313670322 182458.16599989298265427, 517660.47799988958286121 182603.25500010018004104, 517661.61400011612568051 182659.95399999999790452)))</t>
  </si>
  <si>
    <t>E01001279</t>
  </si>
  <si>
    <t>Ealing 013C</t>
  </si>
  <si>
    <t>MultiPolygon (((517637.98199973977170885 181992.36399988355697133, 517732.52399982151109725 181929.4029997848556377, 517817.99999998538987711 181973.00000002176966518, 517776.36699979001423344 181881.99199974103248678, 517784.758999967307318 181780.71999979074462317, 517685.7630000650533475 181766.7000000418338459, 517630.54100026667583734 181743.58800010086270049, 517555.91599992156261578 181687, 517451.94300005107652396 181789.97800025995820761, 517440.82100008975248784 181959.9509998829162214, 517419.99999978672713041 182112.00000022177118808, 517405.028999880887568 182249.88399985095020384, 517374.22700005111983046 182423.36800023217801936, 517320.68700001464458182 182549.03099974000360817, 517399.7809997700387612 182595.12499989283969626, 517429.43800025974633172 182752.90599980551633053, 517590.4080001029651612 182781.54099999996833503, 517621.20599993265932426 182728.95299998359405436, 517661.61400023900205269 182659.95400003099348396, 517660.47800021502189338 182603.25499979095184244, 517757.45599980093538761 182458.16600014638970606, 517582.58899980096612126 182380.58899973891675472, 517639.84000005264533684 182224.91100000750157051, 517705.99999980849679559 182198.99999987057526596, 517677.73599975870456547 182187.34199989793705754, 517732.55599982221610844 182068.41899998520966619, 517705.11999978992389515 182009.84500011600903235, 517637.98199973977170885 181992.36399988355697133)))</t>
  </si>
  <si>
    <t>E01001281</t>
  </si>
  <si>
    <t>Ealing 013D</t>
  </si>
  <si>
    <t>MultiPolygon (((512361.42999975907150656 184969.66900011309189722, 512411.60099988774163648 184923.19399991814862005, 512438.29999977321131155 184940.69400016704457812, 512456.45900017896201462 184821.75199987285304815, 512434.05300022958545014 184743.56200011310284026, 512364.18699993251357228 184660.74100006150547415, 512457.03200000000651926 184538.27400025087990798, 512434.21800019778311253 184510.96999994362704456, 512389.92200016038259491 184549.5250000499363523, 512338.3979999694856815 184472.02400000079069287, 512362.46399999049026519 184444.47400012268917635, 512227.89800007443409413 184344.81399994928506203, 512257.96499992749886587 184308.65799995814450085, 512199.73699986381689087 184205.92199978049029596, 512246.78099993930663913 184180.09000018794904463, 512281.37599973211763427 184135.03699983638944104, 512265.71400013717357069 184095.0720002465241123, 511815.79700015450362116 184302.83999982653767802, 511386.62499979540007189 184455.48400000733090565, 511380.33200000005308539 184505.09000019595259801, 511386.07499990134965628 184538.73199989832937717, 511458.43799993256106973 184533.75000025163171813, 511843.72400007740361616 184714.35099990910384804, 512053.84400020254543051 184822.0470000607019756, 512329.45900023385183886 185047.68499976934981532, 512360.16300003265496343 185074.68499975345912389, 512391.6680000294581987 184997.77299982568365522, 512361.42999975907150656 184969.66900011309189722)))</t>
  </si>
  <si>
    <t>E01001320</t>
  </si>
  <si>
    <t>Ealing 003E</t>
  </si>
  <si>
    <t>E02000240</t>
  </si>
  <si>
    <t>Ealing 003</t>
  </si>
  <si>
    <t>MultiPolygon (((512434.05300014873500913 184743.56199999997625127, 512537.52300022804411128 184608.7110001309774816, 512645.00000011367956176 184632.34500023259897716, 512711.35699986980762333 184579.43899985024472699, 512753.41700010362546891 184623.23300011860555969, 512839.21399991522775963 184595.5960001212079078, 512811.57300000730901957 184554.74499987147282809, 512898.28200005809776485 184479.6610002349189017, 512857.3799999663606286 184441.68200011775479652, 512747.22100012080045417 184541.66899997217115015, 512655.34200023347511888 184481.83399978652596474, 512736.90100000036181882 184409.83299998549045995, 512774.19099980429746211 184226.0719997865089681, 512821.89700003829784691 184165.63700024524587207, 512795.00000019621802494 184142.00100018834928051, 512764.0000002381275408 184178.99900013551814482, 512736.84800020308466628 184157.7499997574777808, 512756.96899976796703413 184114.72699993380228989, 512663.71600014739669859 184023.50300013742526062, 512747.54600022220984101 184018.71999999825493433, 512767.50999985914677382 183972.98499990292475559, 512897.98199988889973611 183905.1189999935158994, 512930.00999994849553332 183919.22599992726463825, 512896.17100010253489017 183760.78299999999580905, 512831.21899987763026729 183793.21899977864813991, 512551.48699992062756792 183942.54500019518309273, 512426.1509999965201132 184009.86600001013721339, 512293.96100006572669372 184080.86100020032608882, 512265.71399995358660817 184095.07199977341224439, 512281.37599999451776966 184135.03700018516974524, 512246.78099985973676667 184180.08999981064698659, 512199.73700005147838965 184205.92199988744687289, 512257.96499981882516295 184308.65800016865250655, 512227.89800012164050713 184344.81399978505214676, 512362.46399997733533382 184444.47400007417309098, 512338.39800020208349451 184472.02400005198433064, 512389.92200004740152508 184549.52500017051352188, 512434.21799989783903584 184510.97000016091624275, 512457.03200015937909484 184538.27400023583322763, 512364.18699976650532335 184660.74099996028235182, 512434.05300014873500913 184743.56199999997625127)))</t>
  </si>
  <si>
    <t>E01001321</t>
  </si>
  <si>
    <t>Ealing 003F</t>
  </si>
  <si>
    <t>MultiPolygon (((513328.99999980482971296 184788.00000029191141948, 513330.00000017677666619 184674.00000023629399948, 513276.93899992655497044 184641.88899987784679979, 513443.03899976750835776 184550.90999977017054334, 513496.46600016654701903 184590.60400011122692376, 513538.91699982021236792 184558.82499990161159076, 513543.63200002547819167 184504.45399998576613143, 513655.52600004355190322 184511.88500026581459679, 513678.17399997287429869 184495.72099989137495868, 513664.08100028662011027 184453.44300018201465718, 513805.81999980757245794 184389.74599981846404262, 513862.8960000027436763 184372.02699990855762735, 513911.99999986193142831 184366.06300016786553897, 513906.68800000980263576 184269.26600013361894526, 514075.77199999999720603 184204.98799982576747425, 514054.67600029404275119 184200.15299995511304587, 513737.24599972215946764 184098.8329999387206044, 513445.35199974925490096 183679.66400018695276231, 513431.3439997470122762 183592.78499970812117681, 513420.70700028445571661 183594.9549998200382106, 513375.58800029574194923 183604.17599969138973393, 513134.65899971761973575 183665.97699990589171648, 513183.42700013448484242 183902.45399981399532408, 513279.65300003852462396 183959.1569999904895667, 513270.80500018579186872 184076.89000017684884369, 513215.41400026984047145 184108.00000018189894035, 513172.88800011418061331 184195.15599993572686799, 513211.00000015756813809 184291.99999972828663886, 513235.77199978975113481 184375.23199974175076932, 513179.00000026391353458 184419.9999999349238351, 513208.04400011990219355 184460.13299969970830716, 513160.79299994494067505 184478.7470000373723451, 513172.08899979799753055 184546.58299993679975159, 513091.81899971066741273 184577.36599970009410754, 513079.58600021066376939 184545.66799988088314421, 513029.09400023968191817 184564.36199999545351602, 513003.12900003098184243 184522.08900019311113283, 512960.28400011698249727 184543.81900012225378305, 512898.28199984668754041 184479.66100011189701036, 512811.57299999997485429 184554.74499990092590451, 512839.21400002302834764 184595.59600022359518334, 512895.77099975332384929 184639.61599978452431969, 512879.03799984359648079 184658.64699995491537265, 512907.85600010852795094 184647.49799989734310657, 512995.86099988105706871 184747.91400028541102074, 513045.01200013072229922 184687.65799979231087491, 513089.58500015648314729 184714.19100018701283261, 513160.42399985191877931 184684.1340002007491421, 513221.10999993607401848 184748.94500008109025657, 513275.21799968456616625 184714.81200001979595982, 513328.99999980482971296 184788.00000029191141948)))</t>
  </si>
  <si>
    <t>E01001322</t>
  </si>
  <si>
    <t>Ealing 004C</t>
  </si>
  <si>
    <t>E02000241</t>
  </si>
  <si>
    <t>Ealing 004</t>
  </si>
  <si>
    <t>MultiPolygon (((513172.08900002564769238 184546.58299986989004537, 513160.79300005169352517 184478.74700009849038906, 513208.04400012362748384 184460.13299987057689577, 513178.99999992677476257 184419.99999983777524903, 513235.77200017392169684 184375.23199980548815802, 513211.00000011763768271 184291.9999999858555384, 513172.8880001797224395 184195.15599988310714252, 513215.41400013270322233 184108.00000014173565432, 513270.80499996978323907 184076.89000001814565621, 513279.65299997583497316 183959.15700003525125794, 513183.42699999455362558 183902.45400013792095706, 513134.65900022321147844 183665.97699999998440035, 512896.17100020626094192 183760.78299986888305284, 512930.01000020990613848 183919.22599980473751202, 512897.98199987050611526 183905.11900000393507071, 512767.5099999884259887 183972.98499996704049408, 512747.54599979164777324 184018.72000013335491531, 512663.71599982643965632 184023.50300013687228784, 512756.96900013042613864 184114.72700017335591838, 512736.84799996321089566 184157.75000014292891137, 512763.99999988701893017 184178.99900004512164742, 512794.99999991524964571 184142.0009999957983382, 512821.89700003230245784 184165.63700014445930719, 512774.19099993875715882 184226.07199992134701461, 512736.90099996776552871 184409.83299984829500318, 512655.34200002416037023 184481.83399995748186484, 512747.22099984128726646 184541.6690000013622921, 512857.37999996973667294 184441.6820001981977839, 512898.28199996484909207 184479.66099977228441276, 512960.28400006447918713 184543.81899991806130856, 513003.12899983825627714 184522.08899988885968924, 513029.0939998931135051 184564.36200007822480984, 513079.58599995751865208 184545.66799994668690488, 513091.81899987376527861 184577.3660000000090804, 513172.08900002564769238 184546.58299986989004537)))</t>
  </si>
  <si>
    <t>E01001323</t>
  </si>
  <si>
    <t>Ealing 004D</t>
  </si>
  <si>
    <t>MultiPolygon (((512818.55799993290565908 183761.4550000348535832, 512730.03099992871284485 183541.87499993399251252, 512734.17699987487867475 183539.46699981857091188, 512746.29000011243624613 183533.52900008199503645, 512818.31300004426157102 183496.56200016540242359, 512783.88099986326415092 183342.74600002853549086, 512652.05900006892625242 183357.98799994381261058, 512645.68800004204967991 183172.54699999999138527, 512538.40400006249547005 183191.08399999680113979, 512408.93800010869745165 183225.71900014055427164, 512238.65100008872104809 183344.3739998699456919, 512173.80199991312110797 183449.48399981623515487, 512166.03799996938323602 183462.8759998417517636, 512195.93799982185009867 183536.98899995494866744, 512171.29599984223023057 183564.01700005217571743, 512195.64800009509781376 183583.15200013073626906, 512218.12600000557722524 183543.46999997113016434, 512238.69799999665701762 183558.16199993999907747, 512214.99100011843256652 183598.35000005032634363, 512117.99999999377178028 183534.00000015861587599, 512098.29799995291978121 183566.9569998707738705, 512163.16400014434475452 183638.17200009129010141, 512258.44800017279339954 183726.1209999417187646, 512236.69799987645819783 183756.60800006950739771, 512259.63499982969369739 183772.9360001590102911, 512295.09099994593998417 183745.12300019076792523, 512365.52399982261704281 183808.352999876573449, 512431.60999986022943631 183735.87900018121581525, 512484.88999992026947439 183779.12400015123421326, 512535.62299982586409897 183721.86599984869826585, 512589.98499992053257301 183696.97100008619599976, 512611.90000000828877091 183752.9319999725848902, 512536.2860000588116236 183825.33799998956965283, 512540.79899991670390591 183858.54999993939418346, 512583.00000002339947969 183868.99899984907824546, 512547.00000017014099285 183892.99999997866689228, 512551.48699989059241489 183942.54500000001280569, 512831.21900004707276821 183793.21899988074437715, 512818.55799993290565908 183761.4550000348535832)))</t>
  </si>
  <si>
    <t>E01001324</t>
  </si>
  <si>
    <t>Ealing 008B</t>
  </si>
  <si>
    <t>MultiPolygon (((517057.86400008044438437 183949.45399987627752125, 517061.18399999075336382 183881.36800018209032714, 517179.57599981012754142 183882.08799995260778815, 517150.15399988694116473 183715.433999859058531, 517306.47499973431695253 183677.47199978257413022, 517346.19399975170381367 183870.55900004523573443, 517386.6199999992386438 183865.55799972789827734, 517364.52299973141634837 183667.210999840288423, 517356.99999978509731591 183633.00000019199796952, 517275.00000019458821043 183601.28500000241911039, 517275.00000019458821043 183561.62500020381412469, 517363.52499981643632054 183570.85000019180006348, 517366.23200019606156275 183463.18299979154835455, 517315.93999982735840604 183440.49299995636101812, 517314.00000011274823919 183381.10299980282434262, 517382.829000189085491 183343.90200018443283625, 517378.45299981633434072 183259.490000218647765, 517413.82299984729615971 183188.91400018311105669, 517194.49100026959786192 183154.4370002594368998, 517190.9169999529258348 183020.9409999999916181, 517066.82099990564165637 183069.43799984367797151, 517191.01999987318413332 183414.90699976091855206, 517155.41200016927905381 183500.48600020370213315, 517083.5559997548116371 183551.15200021408963948, 516959.66499987675342709 183563.13599983268068172, 516913.28900017874548212 183607.01699974326766096, 516948.99999980290886015 183689.00000001865555532, 516955.47499992587836459 183725.42299986383295618, 516878.63000015268335119 183734.42899992613820359, 516889.81900013814447448 183889.21100008694338612, 516982.9920000703423284 183880.20300013726227917, 516971.34799982886761427 183947.51499983298708685, 517015.51999996899394318 183958.05099981624516658, 517034.33600003714673221 184073.357000168209197, 517086.73400003422284499 184110.50099999998928979, 517132.31000010826392099 184108.45599993297946639, 517105.72799988527549431 183963.53199979901546612, 517057.86400008044438437 183949.45399987627752125)))</t>
  </si>
  <si>
    <t>E01001341</t>
  </si>
  <si>
    <t>Ealing 005A</t>
  </si>
  <si>
    <t>E02000242</t>
  </si>
  <si>
    <t>Ealing 005</t>
  </si>
  <si>
    <t>MultiPolygon (((516358.6379998458432965 183888.50100018084049225, 516321.78800013696309179 183809.96700010518543422, 516522.99999992031371221 183833.00000018239370547, 516544.11599989555543289 183830.5220001004927326, 516557.99999988422496244 183646.99999984775786288, 516466.14299979992210865 183652.7409998104267288, 516453.9760000214446336 183592.02700024045770988, 516601.68499984947266057 183451.12000008433824405, 516664.76700020808493719 183456.55899984214920551, 516781.35999999998603016 183319.72100023555685766, 516690.00099977542413399 183293.99999984170426615, 516651.96900003956397995 183224.68200021161464974, 516593.68799975438741967 183247.60099976308993064, 516599.85299992555519566 183161.12599992047762498, 516482.20600021653808653 183201.59800022677518427, 516408.99999992398079485 183192.99999977508559823, 516425.00000022043241188 183051.99999996306723915, 516573.34600004693493247 183033.67799985871533863, 516552.84300014295149595 182996.55599997856188565, 516391.45000021799933165 183010.84800022421404719, 516393.10099975706543773 182963.67900011452729814, 516347.00000014435499907 182971.9999999743886292, 516342.999999821302481 183040.99999994595418684, 516381.87800010462524369 183054.19799989787861705, 516373.06699986290186644 183221.2800001920259092, 516331.90499978099251166 183226.57999981104512699, 516325.39499997085658833 183332.8879999702621717, 516226.57199996494455263 183373.72099986698594876, 516244.01999985560541973 183283.9960000419523567, 516219.10399994684848934 183163.5079997954890132, 516081.76100019057048485 183233.50000024543260224, 516035.09100012428825721 183235.36599994185962714, 516016.39500003325520083 183096.61999989490141161, 515992.97500007104827091 183120.28500004802481271, 515965.13900005095638335 183153.56700011593056843, 515965.35499989415984601 183268.96600016611046158, 515929.1619998742826283 183275.40600006387103349, 515942.7280002044280991 183402.19800012244377285, 515898.92600015818607062 183427.63800018557230942, 515915.94600010139402002 183496.26199980315868743, 515933.93299991422099993 183489.44199981246492825, 515915.25000021944288164 183638.01600019261240959, 515847.93800011038547382 183627.59399979276349768, 515785.65700000000651926 183808.39099990323302336, 515797.46899979643058032 183904.89099991758121178, 515934.96900001034373417 183849.85899992901249789, 516030.19000010500894859 183895.65200022625504062, 516247.03000006754882634 183931.65599988543544896, 516358.6379998458432965 183888.50100018084049225)))</t>
  </si>
  <si>
    <t>E01001344</t>
  </si>
  <si>
    <t>Ealing 007A</t>
  </si>
  <si>
    <t>E02000244</t>
  </si>
  <si>
    <t>Ealing 007</t>
  </si>
  <si>
    <t>MultiPolygon (((517499.46500002086395398 183596.12899987315176986, 517545.38699983962578699 183583.93999991900636815, 517581.85900006466545165 183606.85199994052527472, 517593.65899998799432069 183373.27699992677662522, 517593.86399995401734486 183367.48399997767410241, 517594.30399984633550048 183364.66200017713708803, 517568.18800007895333692 183017.12499999976716936, 517494.78700013813795522 182928.98299994738772511, 517445.59800015925429761 182925.3219999999855645, 517190.9170001536840573 183020.94099986078799702, 517194.49100000283215195 183154.4370001035858877, 517413.82300009980099276 183188.91400012213853188, 517378.45299993467051536 183259.49000012423493899, 517382.82899988477583975 183343.90199989391840063, 517314.00000015634577721 183381.10299993731314316, 517315.93999984313268214 183440.49300010487786494, 517366.2320000464678742 183463.18299985118210316, 517363.52499997545965016 183570.84999992357916199, 517275.00000016868580133 183561.62500003245077096, 517275.00000016868580133 183601.28499985858798027, 517357.00000006979098544 183632.9999999973224476, 517496.4919998986297287 183636.17100000003119931, 517499.46500002086395398 183596.12899987315176986)))</t>
  </si>
  <si>
    <t>E01001345</t>
  </si>
  <si>
    <t>Ealing 005D</t>
  </si>
  <si>
    <t>MultiPolygon (((515915.94600008695852011 183496.26200009571039118, 515898.925999965518713 183427.63800008586258627, 515862.09600002848310396 183439.14300004977849312, 515848.36500009894371033 183240.17499996349215508, 515804.02199995471164584 183214.46400011942023411, 515686.4440001305192709 183240.09600013689487241, 515677.31099996459670365 183135.73000014363788068, 515714.99999985366594046 183092.99999996201950125, 515673.87999998120358214 183094.3850000086822547, 515653.26500001101521775 183000.71399999997811392, 515441.15600014035589993 183038.76400003262097016, 515380.1660001408890821 183225.98899998594424687, 515346.56299991300329566 183396.94899991410784423, 515431.62900002172682434 183553.9039999793167226, 515534.96899994055274874 183603.65599995219963603, 515639.9059999602031894 183604.26600000000325963, 515915.94600008695852011 183496.26200009571039118)))</t>
  </si>
  <si>
    <t>E01001346</t>
  </si>
  <si>
    <t>Ealing 007B</t>
  </si>
  <si>
    <t>MultiPolygon (((517191.01999979425454512 183414.90699988705455326, 517066.82100007502594963 183069.43799977449816652, 517190.91699996095849201 183020.94100005261134356, 517445.59799985657446086 182925.32200021288008429, 517494.78699977899668738 182928.98299965224578045, 517825.77899999998044223 182817.75000006236950867, 517772.93800001841736957 182763.87500005547190085, 517590.40800011070678011 182781.5410001709824428, 517429.43799969024257734 182752.90600022228318267, 517399.78099983435822651 182595.12500002572778612, 517320.68699997605290264 182549.03099987414316274, 517235.20999985683010891 182560.29099973844131455, 517229.31300012982683256 182633.73400016626692377, 517165.96900017984444275 182640.67200022356701083, 517149.31299985339865088 182583.67099990459973924, 517102.40699973673326895 182593.48400016443338245, 517131.0309998132288456 182702.95300009893253446, 517068.50799991691019386 182710.48500033657182939, 516945.59400033252313733 182631.03099976788507774, 516921.50000022153835744 182491.07799986482132226, 516729.79199969337787479 182439.05199987781816162, 516629.71900016401195899 182565.79700033893459477, 516625.31300023850053549 182670.39099974522832781, 516530.8770002379314974 182736.23799977768794633, 516492.32000013702781871 182879.50500019069295377, 516552.8429997077328153 182996.55599991051713005, 516573.34599988779518753 183033.67799981668940745, 516424.99999977194238454 183051.99999977831612341, 516409 183193.00000007078051567, 516482.20600021991413087 183201.59799970418680459, 516599.85299990366911516 183161.12600035048671998, 516593.6880001358804293 183247.60100014062481932, 516651.96900006826035678 183224.68200002616504207, 516690.00099995965138078 183294.00000022500171326, 516781.35999965824885294 183319.72100029565626755, 516885.00000029907096177 183452.99999990672222339, 516913.28900014748796821 183607.01700012219953351, 516959.66500024159904569 183563.1360002679284662, 517083.55599999852711335 183551.15200012421701103, 517155.41199967981083319 183500.48600030201487243, 517191.01999979425454512 183414.90699988705455326)))</t>
  </si>
  <si>
    <t>E01001347</t>
  </si>
  <si>
    <t>Ealing 007C</t>
  </si>
  <si>
    <t>MultiPolygon (((515965.35499990964308381 183268.96599980507744476, 515965.13900003611342981 183153.56699989773915149, 515992.97499984287424013 183120.28499996283790097, 516016.39500015485100448 183096.61999979201937094, 516035.09099993878044188 183235.36599987844238058, 516081.76100003719329834 183233.4999998897255864, 516219.10400005313567817 183163.5080002112663351, 516244.01999996363883838 183283.99599983298685402, 516226.57199988700449467 183373.72099984018132091, 516325.39499995537335053 183332.88799999456387013, 516331.90499993500998244 183226.58000023689237423, 516373.06700005568563938 183221.27999988180818036, 516381.87799980351701379 183054.19799983425764367, 516343.00000008835922927 183041.00000008419738151, 516346.99999984499299899 182971.99999997086706571, 516393.10100002796389163 182963.67899994066101499, 516391.45000006619375199 183010.84799985412973911, 516552.84299981989897788 182996.55599992792122066, 516492.3199999465723522 182879.50500021225889213, 516530.87700013024732471 182736.23799998764297925, 516437.59100002492778003 182722.02699995238799602, 516377.74999997584382072 182662.81199994281632826, 516393.34400019363965839 182585.51599990553222597, 516325.06300014065345749 182554.25000010422081687, 516304.56300021766219288 182474.5619999710470438, 516198.31100024469196796 182453.58699999999953434, 516081.71900007547810674 182585.49999989665229805, 516105.56299988366663456 182637.32899980992078781, 516087.04100001160986722 182674.34300021501258016, 516079.53699978813529015 182967.565999788523186, 515995.4910001308307983 182964.99999978081905283, 516012.531000227376353 182998.29800021738628857, 515942.99999978847336024 183000.99900020763743669, 515938.00000021589221433 182765.9999999396095518, 515745.41800018004141748 182778.48399984769639559, 515702.63799996196758002 182978.96800014312611893, 515701.98699981614481658 182993.62300005526049063, 515653.2650001801084727 183000.71400008021737449, 515673.88000019773608074 183094.38500024523818865, 515714.99999986391048878 183092.99999987677438185, 515677.31100003886967897 183135.72999988234369084, 515686.44400015025166795 183240.09599997868645005, 515804.02199981966987252 183214.4640000402869191, 515848.36500019702361897 183240.17500017653219402, 515862.09599996579345316 183439.14299999998183921, 515898.92600002238759771 183427.63800017337780446, 515942.72800013027153909 183402.19799984878045507, 515929.16200017591472715 183275.40600017702672631, 515965.35499990964308381 183268.96599980507744476)))</t>
  </si>
  <si>
    <t>E01001348</t>
  </si>
  <si>
    <t>Ealing 007D</t>
  </si>
  <si>
    <t>MultiPolygon (((515702.63800009037368 182978.96800004015676677, 515745.41799974115565419 182778.48399993748171255, 515938.00000006606569514 182766.00000009065843187, 515943.00000003242166713 183000.99899977163295262, 516012.53100007824832574 182998.29800019160029478, 515995.49100027431268245 182965.00000014546094462, 516079.53700003330595791 182967.56599977842415683, 516087.04099999996833503 182674.34299990406725556, 515963.78100008954061195 182665.46899974611005746, 515855.06300000852206722 182713.48399974103085697, 515799.18799978232709691 182692.96900019529857673, 515768.18800011812709272 182643.31200010635075159, 515756.28100021893624216 182423.53099999437108636, 515658.72700000886106864 182362.78499972305144183, 515463.78100028663175181 182310.29700012857210822, 515341.39199968689354137 182346.9910002107208129, 515299.42299972276668996 182321.09299968322739005, 515261.06300007773097605 182302.45299996621906757, 515231.6250001629232429 182334.17300019407412037, 515131.62500020232982934 182266.59400030862889253, 514964.4080000122776255 182242.66300000622868538, 514868.93799989682156593 182247.06199992148322053, 514924.96900016057770699 182321.76700004874146543, 514907.00000016164267436 182404.125000150030246, 514940.06299982988275588 182500.65599976014345884, 514885.87499989155912772 182666.07799983158474788, 514995.59399984322953969 182720.20300013307132758, 514960.78100025019375607 182780.48400030471384525, 515042.81300021609058604 182820.28099979515536688, 515043.78099994460353628 182859.7809999096498359, 514999.71899984712945297 182838.43699996516807005, 514932.02000007929746062 182965.24099991464754567, 514915.21100000146543607 182978.09600009070709348, 514881.71899975405540317 183089.07899977700435556, 514818 183108.99999993640813045, 514843.88599984126631171 183187.37099999375641346, 514867.23800018744077533 183186.32599993355688639, 515172.90499973634723574 183088.77899975364562124, 515441.15599989978363737 183038.76400002601440065, 515653.26499995583435521 183000.71399981289869174, 515701.98699982394464314 182993.62299972184700891, 515702.63800009037368 182978.96800004015676677)))</t>
  </si>
  <si>
    <t>E01001349</t>
  </si>
  <si>
    <t>Ealing 006E</t>
  </si>
  <si>
    <t>MultiPolygon (((537624.54400002397596836 181373.23099998172256164, 537642.92500003660097718 181316.01499997769133188, 537719.89200009754858911 181351.91399999786517583, 537754.99999995494727045 181300.00000006557093002, 537765.07500006002373993 181247.3880000006465707, 537836.55500004417262971 181257.05800010787788779, 537843.08400004275608808 181125.95300007596961223, 537919.82900000002700835 181131.15600002891733311, 537869.94100011279806495 181080.90100005376734771, 537886.48600011866074055 181046.27199990357621573, 537878.34500008367467672 181000.3219998883723747, 537849.59799994202330709 180997.17499993517412804, 537843.59100008173845708 180996.51799987888080068, 537667.96499993279576302 180975.84200004060403444, 537431.75899999996181577 180954.80399990346631967, 537456.6700000666314736 181027.72099998511839658, 537492.72099997103214264 181100.77100011790753342, 537491.15500004403293133 181191.00000001408625394, 537482.43800005002412945 181341.57800006755860522, 537516.28000001504551619 181394.27300009652390145, 537624.54400002397596836 181373.23099998172256164)))</t>
  </si>
  <si>
    <t>E01004244</t>
  </si>
  <si>
    <t>Tower Hamlets 020B</t>
  </si>
  <si>
    <t>MultiPolygon (((538908.26899996097199619 181603.02399986385717057, 539063.19999983359593898 181517.6999999453255441, 539127.299000000115484 181415.41600015890435316, 538910.26499994401820004 181251.43800008311518468, 538832.73000007029622793 181206.47700009364052676, 538695.19700012251269072 181160.34600001989747398, 538672.62199989263899624 181233.86699990901979618, 538623.00000006658956409 181398.99999981420114636, 538507.00000012980308384 181445.99999985744943842, 538527.99999986577313393 181494.00000001501757652, 538366 181559.99999994618701749, 538392.08700003463309258 181590.71700010265340097, 538437.93099990149494261 181638.59399984535411932, 538489.59999989194329828 181586.30000002143788151, 538570.60000001511070877 181608.19999982209992595, 538628.09999992628581822 181738.60000003446475603, 538680.10000016039703041 181763.09999998009880073, 538908.26899996097199619 181603.02399986385717057)))</t>
  </si>
  <si>
    <t>E01004245</t>
  </si>
  <si>
    <t>Tower Hamlets 018A</t>
  </si>
  <si>
    <t>MultiPolygon (((537482.43799985607620329 181341.57799994334345683, 537491.15500006696674973 181190.99999993934761733, 537492.7209998497273773 181100.7710001606028527, 537456.67000004334840924 181027.72099992301082239, 537431.75899997272063047 180954.80400017328793183, 537425.00000003166496754 180954.00000013172393665, 537326.18899991537909955 180973.95599989296169952, 537295.50000011909287423 180980.29399991728132591, 537256.42100006795953959 180867.97900013491744176, 537244.90699987451080233 180819.08100000000558794, 537196.02800015674438328 180848.10799997224239632, 537120.12300003471318632 180869.72100005124229938, 537122.00000017206184566 180914.40899997626547702, 537109.04199989349581301 181018.59499993085046299, 537158.19100005307700485 181008.35700001084478572, 537164.59399991354439408 181049.10699990080320276, 537124.30799993348773569 181093.80699996129260398, 537163.10799987555947155 181101.16199991243775003, 537159.21699999470729381 181125.76300001627532765, 537130.27800008922349662 181151.13699995653587393, 537111.03300010156817734 181109.68700004075071774, 537088.94299993687309325 181142.71400011095101945, 537143.55800012242980301 181182.61900004665949382, 537170.06200001994147897 181157.96399985445896164, 537165.62700013676658273 181220.54499990987824276, 537403.57699995464645326 181245.94699993456015363, 537394.11600003205239773 181283.78600011870730668, 537253.54700011387467384 181280.14200010141939856, 537318.46199993463233113 181453.98299987299833447, 537443.66599999845493585 181514.03599999996367842, 537451.12800008605699986 181504.5549999674258288, 537514.00000003853347152 181402.99999991682125255, 537516.28000006312504411 181394.27299999844399281, 537482.43799985607620329 181341.57799994334345683)))</t>
  </si>
  <si>
    <t>E01004253</t>
  </si>
  <si>
    <t>Tower Hamlets 024B</t>
  </si>
  <si>
    <t>MultiPolygon (((539127.29899991455022246 181415.4159999965922907, 538983.00000000232830644 181030.50000007980270311, 539032.19999997294507921 180968.29999986180337146, 539088.42800023860763758 180951.98400016981759109, 539192.60000023315660655 180981.10000021019368432, 539265.59999986318871379 181314.20000011500087567, 539305.40000020142178982 181351.10000021458836272, 539350.39999985997565091 181341.09999991199583746, 539391.89900010661222041 181213.00000012799864635, 539275.19999988120980561 180916.29999984541791491, 539334.19999976875260472 180844.30000019702129066, 539512.69999989052303135 180792.89999987761257216, 539533.19999999995343387 180733.70000009101931937, 539505.29899977170862257 180622.10000000341096893, 539299.80000010970979929 180714.59999976120889187, 539166.60100018791854382 180729.40000007281196304, 539133.5999998589977622 180685.89999990002252162, 539110.09999980474822223 180712.39999989900388755, 538921.47099977394100279 180658.81700006162282079, 538910.03500005055684596 180688.92599985603010282, 538829.99999989802017808 180667.99999993742676452, 538872.03099992463830858 180724.87300018142559566, 538914.71700004616286606 180732.56600020141922869, 538915.10199991252738982 180765.52999995302525349, 538850.58600023156031966 180858.71500015561468899, 538847.09300003701355308 180860.93399980140384287, 538766.73199978133197874 180940.90200000000186265, 538710.71400001796428114 180967.20499998901505023, 538682.00000018824357539 181069.99999983960879035, 538576.00000019220169634 181034.99999999700230546, 538560 181087.00000001338776201, 538583.44800003175623715 181124.14599976979661733, 538649.41899989044759423 181145.51699976780219004, 538695.19699995894916356 181160.34599997958866879, 538832.73000010079704225 181206.47700012539280578, 538910.26499981281813234 181251.43799976719310507, 539127.29899991455022246 181415.4159999965922907)))</t>
  </si>
  <si>
    <t>E01032778</t>
  </si>
  <si>
    <t>Tower Hamlets 028G</t>
  </si>
  <si>
    <t>MultiPolygon (((518988.66999998694518581 180049.18999979842919856, 519059.00700013258028775 179955.06499977546627633, 519185.40699997666524723 179848.57299997753580101, 519195.42499997460981831 179840.44800023024436086, 519428.52199999999720603 179626.0879999966127798, 519428.00000010192161426 179607.56199989374727011, 519128.50899977411609143 179391.20999979437328875, 518945.65900002280250192 179373.14400001158355735, 518550.60000011353986338 179452.46999980084365234, 518534.99999999557621777 179529.81700018313131295, 518487.42299980693496764 179531.02899985446128994, 518486.05000000004656613 179559.12500013117096387, 518636.85900017706444487 179605.34699984316830523, 518783.73300021316390485 179654.21799995072069578, 518720.4429998699342832 179822.03199980439967476, 518709.13399984146235511 179815.65300012251827866, 518629.53900016518309712 180039.35400009716977365, 518685.3670001252903603 180100.92699976716539823, 518710.00000013463431969 180036.00000001525040716, 518752.0620000665076077 180041.42699977644952014, 518815.42400008690310642 180110.10499991825781763, 518800.3189999291789718 180171.78900017053820193, 518929.20099978527287021 180195.07199998843134381, 518988.66999998694518581 180049.18999979842919856)))</t>
  </si>
  <si>
    <t>E01001231</t>
  </si>
  <si>
    <t>Ealing 027A</t>
  </si>
  <si>
    <t>E02000264</t>
  </si>
  <si>
    <t>Ealing 027</t>
  </si>
  <si>
    <t>MultiPolygon (((518629.53900013194652274 180039.35400001218658872, 518709.1340001555508934 179815.65299999821581878, 518720.44300009636208415 179822.03199996557668783, 518783.73300015350105241 179654.21800002091913484, 518636.85900009679608047 179605.3469999213994015, 518486.0500000748434104 179559.1250000930740498, 518487.42300015804357827 179531.02900010318262503, 518534.99999983119778335 179529.8170001367398072, 518550.59999991219956428 179452.47000014156219549, 518480.13899996544932947 179437.38699999998789281, 518430.00000005803303793 179558.00000016344711185, 518396.00000007107155398 179541.00000016996636987, 518276.27299997903173789 179486.65999990524142049, 518294.08999989321455359 179529.33699988489388488, 518268.68299996061250567 179590.44099995197029784, 518219.85500009794486687 179608.12099983243388124, 518194.81399984651943669 179654.49300000371295027, 518300.3420000376063399 179681.15399987198179588, 518316.584000050323084 179685.82999984722118825, 518340.86500013794284314 179707.64599994811578654, 518305.76399995211977512 179914.50700016997870989, 518356.03400004864670336 179940.65500011260155588, 518414.15400000644149259 180100.93600014797993936, 518418.00000010407529771 180102.99999989202478901, 518615.7559999090153724 180142.04899999999906868, 518627.47100002173101529 180106.78499986664974131, 518597.56099991983501241 180074.20799995979177766, 518629.53900013194652274 180039.35400001218658872)))</t>
  </si>
  <si>
    <t>E01001232</t>
  </si>
  <si>
    <t>Ealing 031C</t>
  </si>
  <si>
    <t>E02000268</t>
  </si>
  <si>
    <t>Ealing 031</t>
  </si>
  <si>
    <t>MultiPolygon (((518819.99399979977170005 180993.03100013849325478, 518853.65599980833940208 180957.15599991742055863, 518855.63000008539529517 180954.49199984170263633, 518865.18800024659140036 180940.95300019567366689, 518914.92899992276215926 180765.54700021815369837, 518893.41599988436792046 180627.89499999265535735, 518891.77100024960236624 180580.06999993365025148, 518888.66599987825611606 180479.48300007812213153, 518932.0459997717407532 180311.75899993689381517, 518929.20099990954622626 180195.07199984006001614, 518800.31900009443052113 180171.78900020706350915, 518815.42400018544867635 180110.10500003263587132, 518752.0619999126647599 180041.42700000925105996, 518709.99999984487658367 180036, 518685.36699982825666666 180100.92699979018652812, 518629.53900006884941831 180039.35399987437995151, 518597.56100010353839025 180074.20799984317272902, 518627.47099997324403375 180106.78500001653446816, 518615.75599993718788028 180142.04900013966835104, 518520.35499983315821737 180284.16200004317215644, 518496.86700012302026153 180351.88299990817904472, 518363.72400015685707331 180338.56200013484340161, 518340.00000022823223844 180511.99999978023697622, 518512.99999980593565851 180600.99999978745472617, 518718.24500021961284801 180512.75500008941162378, 518663.99999981245491654 180582.99900004683877341, 518730.49999989819480106 180660.3889998207159806, 518713.25300005008466542 180681.44900018454063684, 518749.03100022469880059 180690.19999983257730491, 518665.43999988096766174 180753.05099977090139873, 518680.93200025230180472 180932.33600016939453781, 518666.12199992337264121 180961.40799989557126537, 518620.75599986291490495 180936.12800011146464385, 518641.55200009502004832 181057.87599999998928979, 518819.99399979977170005 180993.03100013849325478)))</t>
  </si>
  <si>
    <t>E01001234</t>
  </si>
  <si>
    <t>Ealing 027B</t>
  </si>
  <si>
    <t>MultiPolygon (((518641.55200004309881479 181057.87599990487797186, 518620.75600005441810936 180936.1280000994738657, 518666.12200001650489867 180961.40799994661938399, 518680.93199990020366386 180932.33599994433461688, 518665.44000013079494238 180753.05099996321951039, 518749.03099999995902181 180690.20000010670628399, 518713.25299984525190666 180681.44899985156371258, 518730.50000001973239705 180660.38899997607222758, 518664.00000003579771146 180582.99899985262891278, 518718.24499984207795933 180512.75500004910281859, 518512.99999994918471202 180600.9999998819839675, 518340.00000003387685865 180511.99999992761877365, 518293.84699996403651312 180719.0860000106622465, 518273.57799983851145953 180730.37800015593529679, 518254.80500014004064724 180694.82399990520207211, 518273.66399997967528179 180557.51100009461515583, 518139.91999997466336936 180566.69000016630161554, 518134.91900007071672007 180717.12899987024138682, 518062.05899996409425512 180703.42100004834355786, 518036.84400000004097819 180829.07699995912844315, 518129.78400004608556628 180804.60799985338235274, 518110.78099991206545383 180983.21800003480166197, 518229.37200009141815826 180982.55099987555877306, 518228.23800004331860691 181039.04199996549868956, 518304.79099990235408768 181043.37100015752366744, 518470.12199998897267506 181084.18499993413570337, 518642.35699996509356424 181112.10900007237796672, 518639.00099997920915484 181084.03500017648912035, 518641.55200004309881479 181057.87599990487797186)))</t>
  </si>
  <si>
    <t>E01001235</t>
  </si>
  <si>
    <t>Ealing 020D</t>
  </si>
  <si>
    <t>E02000257</t>
  </si>
  <si>
    <t>Ealing 020</t>
  </si>
  <si>
    <t>MultiPolygon (((518340.00000003882450983 180512.00000005087349564, 518363.72400019416818395 180338.56200004744459875, 518496.86699979170225561 180351.88300024240743369, 518520.35500026878435165 180284.16199989532469772, 518615.75599979143589735 180142.04900007985997945, 518417.99999975855462253 180102.99999984458554536, 518414.15399975870968774 180100.93600000493461266, 518356.03400026465533301 179940.65499981827451847, 518305.76399986201431602 179914.50700009521096945, 518340.8649997441098094 179707.64599994639866054, 518316.58399993774946779 179685.83000007129157893, 518300.3419999408069998 179681.15399998109205626, 518194.81399992649676278 179654.49299999998765998, 518160.69700016191927716 179782.9999998357379809, 518149.44900012254947796 179825.53499980486230925, 518110.5460001714527607 179837.97100013037561439, 518102.26700000540586188 179966.23400000698165968, 518119.53700005076825619 180018.48900016548577696, 518121.34600008302368224 180021.03999988830764778, 518101.00000017345882952 180070.00000002523302101, 518075.05299997580004856 180167.78799996839370579, 518073.08300020860042423 180364.02499992927187122, 518290.02599980711238459 180460.20499990356620401, 518285.54099996713921428 180523.04599999176571146, 518273.66399990080390126 180557.51100013908580877, 518254.80500001565087587 180694.82399981454364024, 518273.57800010917708278 180730.3779999999969732, 518293.84700000518932939 180719.08600002972525544, 518340.00000003882450983 180512.00000005087349564)))</t>
  </si>
  <si>
    <t>E01001237</t>
  </si>
  <si>
    <t>Ealing 031E</t>
  </si>
  <si>
    <t>MultiPolygon (((519140.46999993914505467 182237.27700000000186265, 519183.00000013323733583 181909.46899978903820738, 519172.9550000965828076 181771.27199980869772844, 519105.78900021075969562 181778.73399985421565361, 519060.3759998288587667 181747.2669999205681961, 519093.13199968182016164 181707.20400027310824953, 519070.99999987392220646 181656.9999998347775545, 518954.34899999143090099 181587.17499981413129717, 518981.00100016017677262 181530.99999978311825544, 519023.7969998971093446 181552.7430002618348226, 519042.55899988481542096 181508.33300028584199026, 519000.73400008899625391 181436.47400000679772347, 518963.68100015365052968 181400.12599982970277779, 518995.23199970717541873 181363.42900026435381733, 518959.60000000812578946 181266.8410001430020202, 519079.87200007593492046 181324.27799978115945123, 519139.48199999111238867 181288.87600006221327931, 519062.59299978485796601 181236.64699989621294662, 519125.44800018495880067 181212.80000022260355763, 519130.02700004260987043 181029.64699985706829466, 518998.00000022503081709 180970.89100002395571209, 518853.65600001596612856 180957.15599999995902181, 518819.99400028586387634 180993.03099994800868444, 518641.55200009496184066 181057.8760002875351347, 518639.00099992851028219 181084.03500025675748475, 518642.35699970537098125 181112.10899979618261568, 518654.17700015916489065 181197.70999980083433911, 518721.06899974582483992 181272.98199980452773161, 518738.92799981986172497 181388.00899978281813674, 518866.36800030368613079 181484.22599971634917893, 518636.10200014832662418 181469.3779997690289747, 518634.95000005862675607 181516.87500001542503014, 518626.99999996623955667 181694.00000020043808036, 518625.63799986679805443 181720.5099997469515074, 518726.73500026931287721 181777.35300019892747514, 518771.41099978820420802 181761.37399990684934892, 518850.97999987425282598 181793.19899975950829685, 518834.38200027291895822 181837.86500025325221941, 518876.61999974638456479 181898.43100029177730903, 518881.99799992743646726 182027.8490002206817735, 518965.38199997611809522 182025.03300028585363179, 518976.41299977176822722 182072.31600014443392865, 519053.72100022289669141 182066.48800030842539854, 519062.73100002895807847 182023.58900011560763232, 519102.00000014575198293 182019.99999975500395522, 519078.22899997577769682 182196.07799985512974672, 519069.58500020491192117 182229.75299985407036729, 519140.46999993914505467 182237.27700000000186265)))</t>
  </si>
  <si>
    <t>E01001273</t>
  </si>
  <si>
    <t>Ealing 020F</t>
  </si>
  <si>
    <t>MultiPolygon (((518322.77699979243334383 181857.8090001767850481, 518310.99999987130286172 181743.99999982569715939, 518343.69799997797235847 181615.65099980231025256, 518469.32600016746437177 181629.98900011333171278, 518466.06899996509309858 181682.32600008207373321, 518625.63800000434275717 181720.50999994509038515, 518626.99999981973087415 181693.99999992121593095, 518634.949999937962275 181516.87499994903919287, 518636.10200016683666036 181469.37800006673205644, 518866.36799997044727206 181484.22599989926675335, 518738.92800006299512461 181388.00899980455869809, 518721.06899993802653626 181272.9820000116887968, 518654.17699993221322075 181197.70999985811067745, 518642.35700000816723332 181112.10900006478186697, 518470.12199980492005125 181084.18499991166754626, 518304.7909998299437575 181043.37100018889759667, 518228.23799989861436188 181039.04200016966206022, 518229.37199996580602601 180982.55099999043159187, 518110.78099989600013942 180983.21800007903948426, 518013.06500021182000637 180979.41999999998370185, 517946.56300002953503281 180994.29700001637684181, 517962.53200019581709057 181054.66799993795575574, 518054.28099986590677872 181090.93700000108219683, 518149.96900019171880558 181229.04399997802102007, 518116.98000000091269612 181261.43999997834907845, 518176.25100000738166273 181418.41999998944811523, 518244.84399988397490233 181423.45300004637101665, 518252.90800010634120554 181476.34599979655467905, 518288.06299997522728518 181570.64099995177821256, 518241.15600002644350752 181772.0309999433811754, 518121.95000018185237423 181780.00900015980005264, 518117.34799978014780208 181833.4350000215054024, 518131.5080000254092738 181873.64399990596575662, 518181.52000003767898306 181846.85200010877451859, 518320.82399995782179758 181864.44200019384152256, 518322.77699979243334383 181857.8090001767850481)),((518322.77699979243334383 181857.8090001767850481, 518327.0870000243303366 181899.46199999999953434, 518327.56000005680834875 181841.55999994848389179, 518322.77699979243334383 181857.8090001767850481)))</t>
  </si>
  <si>
    <t>E01001275</t>
  </si>
  <si>
    <t>Ealing 020H</t>
  </si>
  <si>
    <t>MultiPolygon (((518752.1319997311802581 182804.22300007301964797, 519014.15600008703768253 182535.17199987231288105, 519203.89899984293151647 182500.76900021551409736, 519149.42999995953869075 182314.62100016864133067, 519125.9059999969904311 182290.24999996941187419, 519140.47000025288434699 182237.2769998469739221, 519069.58500014670426026 182229.75300010837963782, 519078.22900028486037627 182196.07799972253269516, 519102.00000022852327675 182020.00000020407605916, 519062.73100003437139094 182023.58900005006580614, 519053.72100011259317398 182066.48799992931890301, 518976.41300013195723295 182072.31600020948098972, 518965.38200022553792223 182025.03300002927426249, 518881.99800020031398162 182027.84899988723918796, 518876.62000011181226 181898.4310000432014931, 518834.38200006436090916 181837.8650000132038258, 518850.97999981406610459 181793.19899977676686831, 518771.4110000955988653 181761.37399979121983051, 518726.73500028142007068 181777.35299991312786005, 518625.63800018659094349 181720.50999977070023306, 518466.06899993016850203 181682.32600000000093132, 518466.37199998943833634 181761.21100021808524616, 518513.8229998224414885 181813.98100012997747399, 518643.99999978038249537 181835.9999999554711394, 518736.99999984598252922 181980.99999987636692822, 518728.99999973404919729 182115.99999980273423716, 518623.85699995531467721 182222.34699980742880143, 518565.00399977091001347 182240.95099988428410143, 518547.0379998572752811 182431.63400007932796143, 518544.05299998162081465 182518.46499989784206264, 518515.87799999990966171 182481.08900009130593389, 518410.19800027157180011 182557.91300026900717057, 518412.37200025154743344 182601.46799990037106909, 518447.00000000419095159 182596.00000012249802239, 518380.00000015704426914 182659.99900007166434079, 518383.50000009697396308 182747.00000027276109904, 518478.00000021990854293 182781.00099980487721041, 518543.9509999846923165 182731.04899989912519231, 518546.36699986614985391 182729.37900004078983329, 518590.53100012912182137 182806.04599992671865039, 518674.30299982329597697 182803.31600004338542931, 518701.95399994630133733 182845.54099999996833503, 518752.1319997311802581 182804.22300007301964797)))</t>
  </si>
  <si>
    <t>E01001278</t>
  </si>
  <si>
    <t>Ealing 011C</t>
  </si>
  <si>
    <t>MultiPolygon (((518322.77700008393730968 181857.80899980876711197, 518320.8240000382065773 181864.44199985775048845, 518181.52000003738794476 181846.8520002611912787, 518131.50800010695820674 181873.64400009097880684, 518117.34799997037043795 181833.43500003559165634, 517897.74999986169859767 181840.59399999055312946, 517784.75899983901763335 181780.71999995326041244, 517776.36700005014427006 181881.99200014467351139, 517817.9999999261344783 181972.99999977662810124, 517732.5240002641803585 181929.40299978374969214, 517637.98199999995995313 181992.36400015922845341, 517705.12000017194077373 182009.84500024956651032, 517732.55599982180865481 182068.41899991960963234, 517761.01100016915006563 182006.59299994294997305, 517907.56100003828760237 182077.36200007586739957, 517962.76600014354335144 182091.48400001664413139, 517984.72099975368473679 181991.57900017630890943, 518039.26200010924367234 181970.02999979571904987, 518078.6989999160869047 182013.84899977609165944, 518084.9189999908558093 182175.40799997904105112, 518166.7890001533087343 182152.4359998841828201, 518188.74300020653754473 182216.40200001731864177, 518284.05100008106091991 182246.37300008110469207, 518349.08000009728129953 182211.430999830015935, 518382.88300007348880172 182143.13000012713018805, 518450.09300021169474348 182147.08600004253094085, 518446.07599985174601898 182201.50100018241209909, 518438.85999987774994224 182273.46700016609975137, 518383.20099983277032152 182289.03399996343068779, 518340.02699977887095883 182389.780999805778265, 518461.99199995858361945 182452.36299997739843093, 518472.99399989721132442 182406.60200002245255746, 518547.03800003591459244 182431.63400000598630868, 518565.00400006666313857 182240.95100027316948399, 518623.8569997432641685 182222.34699996156268753, 518729.00000014941906556 182116.00000005899346434, 518737 181981.00000017671845853, 518644.00000002002343535 181835.99999979432323016, 518513.82299996708752587 181813.98099996999371797, 518466.3719999193563126 181761.21100008132634684, 518466.06900010723620653 181682.32599984694388695, 518469.32599984674016014 181629.98899986207834445, 518343.69800014846259728 181615.65100002262624912, 518311.00000012724194676 181744.00000013911630958, 518322.77700008393730968 181857.80899980876711197),(518327.560000054189004 181841.55999999545747414, 518327.08699974173214287 181899.46200016382499598, 518322.77700008393730968 181857.80899980876711197, 518327.560000054189004 181841.55999999545747414)))</t>
  </si>
  <si>
    <t>E01001280</t>
  </si>
  <si>
    <t>Ealing 011D</t>
  </si>
  <si>
    <t>MultiPolygon (((518550.59999970480566844 179452.46999980861437507, 518945.65899978944798931 179373.14399977462016977, 519128.50899986719014123 179391.20999994655721821, 519203.24300025182310492 179299.4579998723056633, 519320.06300002324860543 179055.62900027897558175, 519353.84400000004097819 178924.82699984824284911, 519350.96899971790844575 178899.39100003152270801, 519288.28100007225293666 178886.5779998087673448, 519276.26999982661800459 178592.15399967969278805, 519223.94000017299549654 178556.74500008110771887, 519106.30900022311834618 178479.87699991028057411, 518980.96200020413380116 178505.03400000493275002, 518987.89999996370170265 178705.72899972915183753, 518819.49499967508018017 178810.99899971659760922, 518618.28199995262548327 178622.09599968485417776, 518413.81000004999805242 178612.54200029431376606, 518563.00000010523945093 178367.9999998171988409, 518558.01299973216373473 178322.21200019141542725, 518247.31199975730851293 178327.45000002233427949, 518161.42300031246850267 178423.27900003219838254, 518150.10600023559527472 178488.24500007784808986, 518110.11300022481009364 178506.67699974495917559, 518119.15900013071950525 178537.33300029399106279, 518077.00000012485543266 178585.00000030355295166, 518070.70000000554136932 178651.37100012533483095, 518244.58100008900510147 178696.32100027267006226, 518274.5000000866712071 178705.28100006555905566, 518242.54500024957815185 178769.39199989009648561, 518101.53099976090015844 179026.95299969293409958, 518049.65599999995902181 179191.84300008681020699, 518071.02699971484253183 179203.79599983163643628, 518116.4020001704338938 179229.1310000691737514, 518480.13899980142014101 179437.38699972711037844, 518550.59999970480566844 179452.46999980861437507)))</t>
  </si>
  <si>
    <t>E01002562</t>
  </si>
  <si>
    <t>Hounslow 003A</t>
  </si>
  <si>
    <t>MultiPolygon (((519118.47300025913864374 178482.93200015989714302, 519187.23099999729311094 178448.8660000000090804, 519106.30899980221875012 178479.87700024608056992, 519223.94000021688407287 178556.74500006544985808, 519118.47300025913864374 178482.93200015989714302)),((520017.93800019449554384 178881.89100018871249631, 520041.72400019783526659 178801.95299997710390016, 520032.09999983705347404 178664.20000024168984964, 519925.12699981639161706 178480.63200018685893156, 519894.39600019680801779 178509.14999994324170984, 519898.44600017450284213 178572.42499980609863997, 519760.8239997120690532 178496.11099977366393432, 519757.99999975023092702 178450.00000013280077837, 519703.13500026741530746 178451.30699995125178248, 519700.37299981107935309 178496.69000016487552784, 519645.1969999490538612 178749.43999984706169926, 519561.48300007893703878 178876.50200010577100329, 519509.09699998266296461 178797.13200020490330644, 519491.88700010883621871 178648.97200027911458164, 519529.99999980314169079 178656.00000018667196855, 519543.9999998405110091 178585.00000016248668544, 519343.9999999682768248 178540.99999979662243277, 519333.76200022426201031 178691.41999977148952894, 519333.50099989486625418 178633.42099990221322514, 519276.26999995613005012 178592.15400014913757332, 519288.28099982038838789 178886.57800024459720589, 519350.96900023415219039 178899.39100023548235185, 519353.84400020044995472 178924.82700014387955889, 519320.06299986090743914 179055.6289999557484407, 519203.24299974407767877 179299.45799983819597401, 519128.50899989466415718 179391.21000015817116946, 519428.00000019266735762 179607.5620000000053551, 519477.9809998637647368 179543.88900022747111507, 519533.38299990451196209 179451.10000001033768058, 519610.6260000973707065 179278.20299975990201347, 519726.76399985945317894 179131.29199996555689722, 519891.46900027140509337 179005.42100015131291002, 520017.93800019449554384 178881.89100018871249631)))</t>
  </si>
  <si>
    <t>E01002691</t>
  </si>
  <si>
    <t>Hounslow 029B</t>
  </si>
  <si>
    <t>MultiPolygon (((520404.05600007419707254 181337.23700009338790551, 520381.16099997353740036 181238.43200008198618889, 520690.27399981487542391 181377.95099981190287508, 520722.59600007010158151 181311.33600001945160329, 520736.67599986697314307 181284.18000021227635443, 520699.21900006837677211 181262.71900016855215654, 520746.393999952764716 181178.84199997555697337, 520791.42999983439221978 181129.84300018494832329, 520831.81300007365643978 181168.95299991223146208, 520873.08900009875651449 181137.66100013194954954, 520892.09499999997206032 181124.89099982881452888, 520847.79400005255592987 181020.89399999054148793, 520789.29900017770705745 180873.16000016150064766, 520733.79099989059614018 180892.87799987485050224, 520734.00000020273728296 180934.51100006757769734, 520689.87299992615589872 180932.9300001983938273, 520660.70900010922923684 181118.06199989246670157, 520557.16200009710155427 181065.53000002671615221, 520545.03899984946474433 181098.89800013965577818, 520467.78799997683381662 181104.86100014875410125, 520385.34699992730747908 181150.56899985796189867, 520351.93600013654213399 181105.38600016411510296, 520267.03300007816869766 181054.15399979599169455, 520200.0859998901723884 181014.44299982080701739, 520183.63899982947623357 181058.74300016145571135, 520024.79700001532910392 181048.66599982156185433, 520019.07600000000093132 181115.47899988669087179, 520196.23099985218141228 181173.35500004442292266, 520148.03900005528703332 181226.83000011320109479, 520107.13000019389437512 181415.16500000996165909, 520238.47399980918271467 181437.64800018255482428, 520228.9999998037237674 181476.9999999035790097, 520194.81899987405631691 181621.80500003515044227, 520229.02600005560088903 181629.31699983851285651, 520265.71899997483706102 181483.71899988243239932, 520461.63199991133296862 181474.13599996274570003, 520404.05600007419707254 181337.23700009338790551)))</t>
  </si>
  <si>
    <t>E01001196</t>
  </si>
  <si>
    <t>Ealing 015A</t>
  </si>
  <si>
    <t>E02000252</t>
  </si>
  <si>
    <t>Ealing 015</t>
  </si>
  <si>
    <t>MultiPolygon (((520854.00000029383227229 182182, 521051.00000021362211555 182102.99999974251841195, 520943.99999991146614775 181877.9999997781123966, 521068.06999971711775288 181799.93900027088238858, 521015.62299973401241004 181668.3500002873770427, 520960.9999999824212864 181719.00000026955967769, 520820.62300025572767481 181639.82900011850870214, 520846.10199973470298573 181682.8320001890824642, 520820.99999975907849148 181705.99999985436443239, 520742.00000011519296095 181660.00000013163662516, 520700.00000004819594324 181583.99999992275843397, 520828.00000007706694305 181580.00000026699854061, 520829.99999990494688973 181543.99900016508763656, 520759.9999997933045961 181494.999999912281055, 520827.85999998479383066 181457.80699998902855441, 520884.4709998193429783 181492.24999976545223035, 520892.53199982846854255 181421.42200007234350778, 520859.86900026089278981 181438.35800027640652843, 520884.54700004472397268 181405.45400015555787832, 520926.70100021321559325 181436.75199974398128688, 520921.92399973864667118 181381.63800015088054352, 520991.22500013466924429 181346.62700017547467723, 520975.51100003469036892 181310.82700024984660558, 521031.19299982680240646 181270.57899975965847261, 521073.67700003745267168 181281.85299973862129264, 521084.53300000389572233 181209.60600029374472797, 520989.4669997650780715 181099.97199983356404118, 520972.4949997125659138 181074.68200017232447863, 520993.72999981325119734 181046.69700026902137324, 520919.2800000999122858 180954.84400000004097819, 520847.79399997321888804 181020.89399969996884465, 520892.09499975963262841 181124.89100017066812143, 520873.08900029514916241 181137.66100025895866565, 520831.813000179361552 181168.95300028170458972, 520791.43000025756191462 181129.84299984021345153, 520746.39400029357057065 181178.84200009302003309, 520699.21899992797989398 181262.71899992681574076, 520736.67599976219935343 181284.17999982583569363, 520722.59600021311780438 181311.33600001552258618, 520690.27400030044373125 181377.95100013163755648, 520381.1609999961219728 181238.43200026915292256, 520404.05599978828104213 181337.23700003558769822, 520461.63200012734159827 181474.13599974926910363, 520500.00100021198159084 181541.99999985576141626, 520514.0000001021544449 181588.00000019208528101, 520562.00099978491198272 181702.00000019860453904, 520596.55399998446227983 181755.52599979707156308, 520625.00000006007030606 181797.99999991347431205, 520458.71500000194646418 181980.81800030454178341, 520395.53400022041751072 182107.29499972416670062, 520638.788000293308869 182045.76400015348917805, 520726.39300004189135507 182019.00800005209748633, 520787.00000023079337552 182144.99999980951542966, 520831.00000012567033991 182127.99999973858939484, 520854.00000029383227229 182182)))</t>
  </si>
  <si>
    <t>E01001238</t>
  </si>
  <si>
    <t>Ealing 015B</t>
  </si>
  <si>
    <t>MultiPolygon (((521469.75600011367350817 181528.83899988178745843, 521496.26499985117698088 181321.91499992861645296, 521544.71899987518554553 181099.17900000658119097, 521553.05300005641765893 181072.69000004066037945, 521563.27799980790587142 181040.19800008845049888, 521586.51200012327171862 180920.03200007980922237, 521573.99999999720603228 180899, 521366.00000014522811398 180909.00000000064028427, 521297.53200015868060291 180924.66700011218199506, 521306.84799998061498627 180961.19999989910866134, 521270.15799990843515843 181006.30500001439941116, 521337.12400013965088874 181018.19699995720293373, 521343.79699993995018303 181054.84999998786952347, 521300.86299982911441475 181093.00199986863299273, 521285.11199995048809797 181209.87800012200023048, 521320.99999994051177055 181285.00000010561780073, 521288.28500017430633307 181287.01099991958471946, 521279.14400006888899952 181329.04299987968988717, 521211.5349999776808545 181237.53399993621860631, 521183.99600009841378778 181271.6199999651289545, 521084.53300007298821583 181209.6059998385317158, 521073.67700008233077824 181281.85299986737663858, 521031.19299987668637186 181270.57900017098290846, 521093.99999996623955667 181399.00000003227614798, 521136.45499987760558724 181416.06599992531118914, 521143.48899997398257256 181384.83300014276755974, 521222.29900005052331835 181389.56100006139604375, 521249.01500010758172721 181424.53800018507172354, 521214.6299998412723653 181461.49100001802435145, 521225.86300002603093162 181526.09600019510253333, 521279.34399980260059237 181492.07900000369409099, 521344.9999998613493517 181553.9999998405110091, 521377.07799998152768239 181689.5659999227791559, 521431.97700014984002337 181706.07699999999022111, 521487.1530000400962308 181574.62000002505374141, 521469.75600011367350817 181528.83899988178745843)))</t>
  </si>
  <si>
    <t>E01001240</t>
  </si>
  <si>
    <t>Ealing 024A</t>
  </si>
  <si>
    <t>E02000261</t>
  </si>
  <si>
    <t>Ealing 024</t>
  </si>
  <si>
    <t>MultiPolygon (((521320.99999989854404703 181285.0000002532324288, 521285.11200019222451374 181209.87799989513587207, 521300.86299989488907158 181093.00200028577819467, 521343.79699985129991546 181054.85000011153169908, 521337.12400013249134645 181018.1970001581357792, 521270.15800005488563329 181006.30500029420363717, 521306.84799992962507531 180961.20000009200884961, 521297.53200016106711701 180924.66700027108890936, 521365.9999999848078005 180908.9999998246494215, 521422.57200017926516011 180812.1819997732527554, 521371.60200007475214079 180789.45600013789953664, 521411.99999998003477231 180604.00000010311487131, 521433.99999976990511641 180456.99999974167440087, 521405.00000001973239705 180432.00000022488529794, 521446.68899979675188661 180344.95700020983349532, 521352.34900021052453667 180326.56499974254984409, 521350.91500006138812751 180232.96200025294092484, 521331.28999990591546521 180134.43599998898571357, 521322.99799983378034085 180134.01300000000628643, 521307.99999988690251485 180263.00000007357448339, 521235.89099998708115891 180251.84900007167016156, 521215.0150000040885061 180413.93699988181469962, 521159.50599990767659619 180406.98399985389551148, 520931.39999999094288796 180244.0289998035877943, 520752.17600014415802434 180166.63199992146110162, 520628.50500020326580852 180168.37500017270212993, 520640.91800028388388455 180231.51199984719278291, 520669.02599976630881429 180384.45299983629956841, 520787.5659997786860913 180414.65299971625790931, 520800.67599991179304197 180356.91900015104329214, 521002.00000025640474632 180399.00000024129985832, 521006.99999980127904564 180499.00000010101939552, 521064.60800018341979012 180583.60799981790478341, 521081.00000023521715775 180671.99999988821218722, 521195.81999972579069436 180682.29400025852373801, 521232.96599974547279999 180695.79900023018126376, 521226.85600017022807151 180767.87999997960287146, 521069.19900011323625222 180754.82999991276301444, 521050.06399990123463795 180789.96999986883020028, 521027.19100022310158238 180843.17399981056223623, 521087.36199996917275712 180879.53500015861936845, 521084.22000020503764972 181006.44100008581881411, 520972.49499994871439412 181074.68199977849144489, 520989.46700004331069067 181099.97200021296157502, 521084.53300007258076221 181209.60599971434567124, 521183.99600005644606426 181271.61999982208362781, 521211.53499974723672494 181237.53400019308901392, 521279.14400005672359839 181329.04299999997601844, 521288.28500022960361093 181287.01099972482188605, 521320.99999989854404703 181285.0000002532324288)))</t>
  </si>
  <si>
    <t>E01001241</t>
  </si>
  <si>
    <t>Ealing 024B</t>
  </si>
  <si>
    <t>MultiPolygon (((521084.22000011976342648 181006.441000026272377, 521087.36200011579785496 180879.53499997287872247, 521027.19100011710543185 180843.17399991044658236, 521050.06399993383092806 180789.96999984723515809, 521069.19899986428208649 180754.83000006160000339, 521226.85599990136688575 180767.88000015070429072, 521232.96600014576688409 180695.79900006740354002, 521195.81999991653719917 180682.29399996393476613, 521081.0000001008156687 180671.99999984912574291, 521064.60800002125324681 180583.60799995856359601, 521006.99999998603016138 180498.99999994938843884, 521002.00000012380769476 180398.99999983308953233, 520800.67599990614689887 180356.9190000000235159, 520787.56599985453067347 180414.65300009990460239, 520669.02599985420238227 180384.45299985521705821, 520679.1330000979360193 180439.07999987740186043, 520701.40500008733943105 180557.43200016286573373, 520762.42900004278635606 180792.56899993174010888, 520789.29899985884549096 180873.15999983446090482, 520847.79399992525577545 181020.89399996725842357, 520919.27999996213475242 180954.84399990263045765, 520993.73000015423167497 181046.6969998647691682, 520972.49500010214978829 181074.68200000000069849, 521084.22000011976342648 181006.441000026272377)))</t>
  </si>
  <si>
    <t>E01001242</t>
  </si>
  <si>
    <t>Ealing 024C</t>
  </si>
  <si>
    <t>MultiPolygon (((521586.51199985970743001 180920.03200000000651926, 521600.9970000276225619 180892.51200018657254986, 521683.03200006880797446 180751.67999996908474714, 521746.26000014849705622 180649.80399996062624268, 521772.50099988206056878 180598.27500011731171981, 521858.77199996809940785 180234.54400001050089486, 521891.28999990329612046 180105.20400005360716023, 521887.88099988840986043 180104.93200012488523498, 521795.03900000272551551 180101.80499999999301508, 521767.71899982396280393 180149.42500012792879716, 521749.00000017631100491 180297.99999986198963597, 521669.42800004902528599 180288.47699987344094552, 521637.97900018852669746 180286.50499998123268597, 521630.46000013191951439 180315.69900018614134751, 521560.1800001920782961 180311.36600014872965403, 521446.6889999492559582 180344.95700006143306382, 521405.00000005355104804 180432.00000018571154214, 521433.99999986408511177 180456.99999993774690665, 521411.99999995139660314 180603.99999983797897585, 521371.6019998436095193 180789.45599983763531782, 521422.57200009212829173 180812.18199988492415287, 521366.00000009674113244 180909.00000000389991328, 521573.99999986647162586 180898.99999985762406141, 521586.51199985970743001 180920.03200000000651926)))</t>
  </si>
  <si>
    <t>E01001243</t>
  </si>
  <si>
    <t>Ealing 024D</t>
  </si>
  <si>
    <t>MultiPolygon (((520321.89699961268343031 182703.70200002504861914, 520377.00300008687190711 182512.00099986238637939, 520402.000000151747372 182521.99999961419962347, 520443.00000010943040252 182415.99999997246777639, 520520.00000004918547347 182221.00000013530370779, 520588.05399997491622344 182247.31400002216105349, 520696.0779999999795109 182137.16200005644350313, 520638.78800018585752696 182045.76400020899018273, 520395.5339996672119014 182107.29500005135196261, 520458.71499983913963661 181980.81800031021703035, 520625.00000032380921766 181798.00000015037949197, 520596.55399969808058813 181755.52599965748959221, 520562.00100035860668868 181701.99999967493931763, 520513.99999992130324244 181588.0000003861496225, 520500.00100034597562626 181541.99999966766336001, 520461.63200021861121058 181474.13599997494020499, 520265.71900031948462129 181483.71899992725229822, 520229.02600021474063396 181629.3170000136597082, 520220.74299983214586973 181665.81700007175095379, 520204.84700009535299614 181736.47300032118801028, 520162.40899972099578008 181841.81300014513544738, 520154.21899984090123326 181878.25000019205617718, 520115.90599989792099223 181868.6870003055955749, 520091.1879997702781111 181975.23399998189415783, 520047.89200010383501649 181973.88100004137959331, 519992.09399970649974421 182028.06199962898972444, 519810.00300017389236018 181827.10299999522976577, 519537.43799991061678156 181495.73400003605638631, 519444.53099960903637111 181573.46899984424817376, 519394.40600002935389057 181687.99999990002834238, 519385.45600000221747905 181865.21899987841607071, 519382.87499994394602254 181916.35900024845614098, 519182.9999999538413249 181909.46899993807892315, 519140.47000006167218089 182237.27699975267751142, 519125.90599999995902181 182290.25000007345806807, 519149.42999972921097651 182314.62100003994419239, 519203.89900026505347341 182500.76899978006258607, 519378.53099977289093658 182456.0620003746880684, 519604.06299964565550908 182553.32799991537467577, 520000.03100012755021453 182642.0469997744075954, 520059.99999993003439158 182654.31200031383195892, 520072.9379997412324883 182623.6420002164086327, 520123.65599989949259907 182651.31199985733837821, 520169.74999974982347339 182623.09399998228764161, 520321.89699961268343031 182703.70200002504861914)))</t>
  </si>
  <si>
    <t>E01001247</t>
  </si>
  <si>
    <t>Ealing 015E</t>
  </si>
  <si>
    <t>MultiPolygon (((522625.99999958439730108 182205.99999976533581503, 522696.99999984627356753 182136.99999965986353345, 522968.99999995529651642 182167.00000024255132303, 523083.32200002862373367 182148.9879998708202038, 523124.19300004345132038 182143.5590001446835231, 523123.94300002389354631 182091.52799985662568361, 523122.91300033137667924 181877.25400016366620548, 523124.18800025474047288 181829.95300021031289361, 523069.69099992199335247 181787.67799972579814494, 523017.50700027809944004 181729.67700034662266262, 523087.92299981700489298 181639.41800001764204353, 523137.3960000672377646 181559.96600023761857301, 523275.55699982511578128 181382.71799987068516202, 523427.16399956931127235 181118.90100023950799368, 523512.09699987684143707 180928.85400024021510035, 523600.03099967114394531 180701.34399962480529211, 523305.71900008886586875 180445.09499999997206032, 523293.82099960267078131 180648.68200024697580375, 523283.34400010260287672 180712.00000020433799364, 523146.43800023122457787 180574.60899966003489681, 523081.33000006328802556 180645.44199957020464353, 523040.18799985793884844 180690.20300013627274893, 523104.8129996212082915 180751.17199986753985286, 522964.71600035397568718 180879.5039997314743232, 522915.85600030689965934 180931.51399984856834635, 522910.71900006028590724 181031.95300040938309394, 522868.56700019922573119 181024.63900007717893459, 522828.21600026037776843 181062.69399984352639876, 522853.57000031031202525 181121.99999964228481986, 522809.56800012814346701 181176.60699973671580665, 522793.08199983346275985 181186.21199957080534659, 522791.70099980308441445 181208.34300034231273457, 522819.96300009457627311 181376.71499988090363331, 522741.28799958515446633 181446.91500043301493861, 522603.6360001916764304 181695.07399970726692118, 522486.27399980992777273 181821.75900002094567753, 522318.74699984356993809 181821.41200021957047284, 522037.5660003288066946 182087.1809997423843015, 522579.99900026188697666 182209, 522625.99999958439730108 182205.99999976533581503)))</t>
  </si>
  <si>
    <t>E01001874</t>
  </si>
  <si>
    <t>Hammersmith and Fulham 001A</t>
  </si>
  <si>
    <t>E02000372</t>
  </si>
  <si>
    <t>Hammersmith and Fulham 001</t>
  </si>
  <si>
    <t>MultiPolygon (((522014.25500012742122635 181353.07999991756514646, 522042.60900001681875437 181097.58100017145625316, 522043.00000008614733815 181093.99999985712929629, 522018.13400002289563417 180998.15399996095220558, 522088.25900001410627738 180979.75000010104849935, 522256.43700015736976638 181005.95700018474599347, 522306.9150000000372529 180993.44199986811145209, 522306.35700011940207332 180949.75099984102416784, 522283.71299994818400592 180953.06199984429986216, 522055.86700004612794146 180948.23399999891989864, 521881.65799981489544734 180927.10200004512444139, 521600.99700004560872912 180892.51199983162223361, 521586.51200012722983956 180920.03199990355642512, 521563.27800003852462396 181040.19799999619135633, 521553.05300007335608825 181072.69000007936847396, 521544.71900000004097819 181099.17900010687299073, 521576.28600016090786085 181094.32599985157139599, 521658.00200016656890512 181180.99899985120282508, 521739.13199987821280956 181271.79200002388097346, 521753.16200003464473411 181300.08599984415923245, 521804.72399998275795951 181301.57500003508175723, 521839.40399991883896291 181286.29399996186839417, 521907.06200011685723439 181340.57799999698181637, 521990.00000000582076609 181302.00000014359829947, 521982.22999982006149366 181354.62100016840850003, 522014.25500012742122635 181353.07999991756514646)))</t>
  </si>
  <si>
    <t>E01001875</t>
  </si>
  <si>
    <t>Hammersmith and Fulham 001B</t>
  </si>
  <si>
    <t>MultiPolygon (((522037.56600029894616455 182087.18100006305030547, 522318.74699972732923925 181821.41200035091605969, 522486.27399964182404801 181821.7590002458600793, 522603.63600004889303818 181695.07400004746159539, 522741.28799964796053246 181446.91500010565505363, 522819.96300003275973722 181376.7150000057881698, 522791.70100011629983783 181208.3429997808416374, 522793.08199987444095314 181186.21200017508817837, 522809.56799989065621048 181176.60700028878636658, 522853.56999990227632225 181121.99999966163886711, 522828.216000150074251 181062.69400009399396367, 522868.56700000003911555 181024.63899998529814184, 522755.9210002837353386 181006.01899974045227282, 522685.41599994694115594 180994.61399985160096548, 522671.60100030933972448 180992.37999998670420609, 522563.27499972586520016 180974.85700018375064246, 522489.71600003243656829 180963.82500025539775379, 522306.35700018279021606 180949.75099993697949685, 522306.91499979788204655 180993.44199986450257711, 522256.43700025731232017 181005.95699986410909332, 522088.25900018546963111 180979.75000000512227416, 522018.13400035863742232 180998.15399992940365337, 522043.00000016839476302 181094.00000034959521145, 522042.60899993858765811 181097.58100011089118198, 522014.25500018207821995 181353.08000013593118638, 521982.23000004555797204 181354.62100018540513702, 521771.00099975598277524 181561.00000028611975722, 521538.72399993141880259 181552.12999987322837114, 521487.15299984713783488 181574.61999979606480338, 521431.97699988505337387 181706.07699998668977059, 521418.09599974524462596 181733.35800014558481053, 521413 181780.99999987130286172, 521712.26000035292236134 181956.70700030683656223, 521721.29400022752815858 181995.49499993989593349, 522037.56600029894616455 182087.18100006305030547)))</t>
  </si>
  <si>
    <t>E01001876</t>
  </si>
  <si>
    <t>Hammersmith and Fulham 001C</t>
  </si>
  <si>
    <t>MultiPolygon (((522489.71599983342457563 180963.82500000001164153, 522485.99999997788108885 180903.0000001325388439, 522515.17399983614450321 180899.21799999210634269, 522580.46900002070469782 180865.22800015981192701, 522629.53499984595691785 180805.88800017876201309, 522632.3389998588245362 180750.08199995633913204, 522674.99999994854442775 180755.99999982796725817, 522683.27199988026404753 180694.27600015484495088, 522589.00000017124693841 180706.99900018770131283, 522608.00099986966233701 180585.00000007500057109, 522662.84999995946418494 180592.59000000893138349, 522677.15899987472221255 180471.87499989071511663, 522568.93299996538553387 180472.16000018353224732, 522403.25599994533695281 180484.57599982857936993, 522371.14000016724457964 180459.64300012160674669, 522379.06200004206039011 180423.52900007419520989, 522350.99999981845030561 180419.99999997363192961, 522363.61200011830078438 180121.98999999999068677, 522341.83999991812743247 180129.0050001111230813, 522326.99400019104359671 180418.4999998502607923, 522287.07400012918515131 180415.11400015658000484, 522297.64900007290998474 180450.93099997413810343, 522262.72800018201814964 180471.57800008179037832, 522204.33299997565336525 180475.64699987319181673, 522207.41399990243371576 180529.20900008952594362, 522140.12999995157588273 180610.02400004089577124, 522137.54600004659732804 180660.66399981148424558, 522129.67400011973222718 180712.58900009744684212, 522204.68999989051371813 180760.90199998195748776, 522144.08800000994233415 180807.12600020426907577, 522283.71299998858012259 180953.06200020131655037, 522306.35699982044752687 180949.7510000086913351, 522489.71599983342457563 180963.82500000001164153)))</t>
  </si>
  <si>
    <t>E01001955</t>
  </si>
  <si>
    <t>Hammersmith and Fulham 002A</t>
  </si>
  <si>
    <t>E02000373</t>
  </si>
  <si>
    <t>Hammersmith and Fulham 002</t>
  </si>
  <si>
    <t>MultiPolygon (((522910.71900007873773575 181031.95300000000861473, 522915.8559999008430168 180931.51400008390191942, 522964.71599994698772207 180879.50400005839765072, 523104.81299993809079751 180751.17199987897765823, 523040.18799996719462797 180690.20299992570653558, 522986.63399991561891511 180643.10799992486136034, 522849.31799993355525658 180515.67199999999138527, 522836.99999992642551661 180613.00000006167101674, 522864.05000005196779966 180621.67000008339527994, 522831.00000001501757652 180616.99999991655931808, 522825.71199987491127104 180656.66399995121173561, 522916.01499999297084287 180737.6449998726893682, 522908.99999989604111761 180788.99999987258343026, 522859.50000011053634807 180782.00000006196205504, 522810.00000006693881005 180774.9999999932188075, 522793.05900005012517795 180894.58399990116595291, 522780.08600001741433516 180893.27799999513081275, 522784.85699997813208029 181008.41600012258277275, 522755.9210000618477352 181006.01900011202087626, 522868.56700008630286902 181024.63899989219498821, 522910.71900007873773575 181031.95300000000861473)))</t>
  </si>
  <si>
    <t>E01001957</t>
  </si>
  <si>
    <t>Hammersmith and Fulham 002B</t>
  </si>
  <si>
    <t>MultiPolygon (((522784.85699996975017712 181008.41599999918253161, 522780.08599998016143218 180893.2780000249913428, 522793.0590000000083819 180894.58399994499632157, 522759.20500001782784238 180866.34700000449083745, 522767.73900006886105984 180818.65899996465304866, 522671.30999995052115992 180779.05999994016019627, 522674.99999995884718373 180756.00000000081490725, 522632.33900006342446432 180750.08200000083888881, 522629.53500006900867447 180805.88799993618158624, 522580.46899999369634315 180865.22799993667285889, 522515.17399999784538522 180899.21800003468524665, 522486 180902.99999998588464223, 522489.71600007562665269 180963.82499995041871443, 522563.27500007324852049 180974.85700004239333794, 522671.60100007191067562 180992.38000001720502041, 522685.41599993273848668 180994.61399994170642458, 522755.9210000210441649 181006.01899995392886922, 522784.85699996975017712 181008.41599999918253161)))</t>
  </si>
  <si>
    <t>E01001958</t>
  </si>
  <si>
    <t>Hammersmith and Fulham 002C</t>
  </si>
  <si>
    <t>MultiPolygon (((521904.49700006836792454 180243.06199999374803156, 521858.7720000843401067 180234.54399999999441206, 521772.50099990103626624 180598.27499998762505129, 521746.26000007119728252 180649.80400012392783538, 521683.03200004412792623 180751.67999984585912898, 521600.99700009654043242 180892.51199990703025833, 521881.65800010570092127 180927.10199998589814641, 522055.86699995439266786 180948.23399985081050545, 522283.71299990342231467 180953.06200000003445894, 522144.08800014900043607 180807.12600014064810239, 522204.69000010815216228 180760.9019998241274152, 522129.67399988049874082 180712.58900003365124576, 522137.54600009968271479 180660.66399983866722323, 522080.7520000406075269 180649.84099984908243641, 522029.15199990739347413 180639.59699998609721661, 522035.91200011421460658 180590.63299989505321719, 521984.4089999109855853 180573.10700009085121565, 522013.03600006713531911 180551.52499994696700014, 521952.0679999720887281 180525.77100012122537009, 521876.08499989780830219 180518.29600013777962886, 521906.57300011464394629 180290.37299984804121777, 521904.49700006836792454 180243.06199999374803156)))</t>
  </si>
  <si>
    <t>E01001959</t>
  </si>
  <si>
    <t>Hammersmith and Fulham 003C</t>
  </si>
  <si>
    <t>E02000374</t>
  </si>
  <si>
    <t>Hammersmith and Fulham 003</t>
  </si>
  <si>
    <t>MultiPolygon (((524870.6640000834595412 181436.60099998748046346, 524886.58199999202042818 181408.24799990982864983, 524935.68499997269827873 181428.57299999438691884, 524944.900000054622069 181413.68900001776637509, 524956.97400006640236825 181388.17299993260530755, 524996.5370000364491716 181304.56599997499142773, 525003.15500005264766514 181282.78099996873061173, 525020.38699996739160269 181203.75000001981970854, 524985.65100009308662266 181198.19299996324116364, 524898.99999993084929883 181168, 524865.00000008742790669 181264.9990000860998407, 524845.44299996015615761 181260.94099992737756111, 524843.67100003780797124 181286.95099996557109989, 524782.01499997999053448 181297.67100001536891796, 524786.00000008521601558 181366.9999999790743459, 524757.00000008917413652 181353.99999995445250534, 524745.90599995397496969 181378.5240000229969155, 524719.99999991594813764 181439.00000004176399671, 524741.16600001137703657 181447.39600005029933527, 524700.84700003254693002 181475.70999996026512235, 524708.12500008684583008 181521.0209999484650325, 524804.66999998420942575 181551.13399999996181577, 524859.3689999976195395 181456.71900005138013512, 524870.6640000834595412 181436.60099998748046346)))</t>
  </si>
  <si>
    <t>E01002829</t>
  </si>
  <si>
    <t>Kensington and Chelsea 004A</t>
  </si>
  <si>
    <t>E02000580</t>
  </si>
  <si>
    <t>Kensington and Chelsea 004</t>
  </si>
  <si>
    <t>MultiPolygon (((524720.00000007357448339 181439.00000011472729966, 524745.90599992382340133 181378.52399997427710332, 524757.00000010605435818 181353.99999995902180672, 524786.00000011816155165 181366.99999993000528775, 524782.01500005077105016 181297.67100011822185479, 524843.67099994595628232 181286.95099996097269468, 524845.44300004467368126 181260.94100005703512579, 524832.41899996530264616 181257.78700012344052084, 524785.55600010976195335 181239.94799988920567557, 524718.93099994654767215 181215.1939999999885913, 524654.53799987945239991 181255.81500003678957, 524634.96400000480934978 181261.48499993467703462, 524621.55499989236705005 181296.96700010044150986, 524662.00000004947651178 181314.00000010590883903, 524648.65400009672157466 181375.03900000182329677, 524710.09799994970671833 181403.84699989558430389, 524693.21699996502138674 181428.17900004211696796, 524555.99999990232754499 181368.00000011970405467, 524525.45199988805688918 181418.11499993543839082, 524495.35499995527788997 181471.27699999188189395, 524570.31800000148359686 181553.5040000626759138, 524641.60200011427514255 181646.49600011963048019, 524675.80499995360150933 181686.60000002640299499, 524727.24999995180405676 181714.21900000001187436, 524774.2380000805715099 181601.15000008474453352, 524778.11900009424425662 181594.06799996690824628, 524804.66999998700339347 181551.13400009216275066, 524708.12500006647314876 181521.02099992090370506, 524700.8469998954096809 181475.71000000243657269, 524741.1659999827388674 181447.39599992692819797, 524720.00000007357448339 181439.00000011472729966)))</t>
  </si>
  <si>
    <t>E01002830</t>
  </si>
  <si>
    <t>Kensington and Chelsea 004B</t>
  </si>
  <si>
    <t>MultiPolygon (((524525.45200006139930338 181418.11500008017173968, 524556.00000005739275366 181367.99999984231544659, 524693.21699985233135521 181428.17899985302938148, 524710.09799999999813735 181403.84700007035280578, 524648.65400008694268763 181375.03900000420981087, 524661.99999992700759321 181314.00000008044298738, 524621.55500014731660485 181296.96699985896702856, 524634.96399989177007228 181261.48500006258836947, 524636.98100005660671741 181215.28700009977910668, 524634.02499986125621945 181185.68200002500088885, 524558.02799992181826383 181154.52899997678468935, 524572.21299992338754237 181133.28699997990042903, 524475.42999988363590091 181054.36599994625430554, 524516.33400012785568833 181030.03299986591446213, 524464.69399993843398988 181002.99000002181855962, 524449.6580001029651612 181033.89599999072379433, 524417.0770000540651381 181100.89000010586460121, 524403.40200009918771684 181129.04800004881690256, 524371.82299998519010842 181195.16200014713103883, 524369.93499987234827131 181199.10699998249765486, 524324.87500003015156835 181290.57800014529493637, 524296.56400004075840116 181280.05800015100976452, 524157.85699998837662861 181214.27900000367662869, 524120.09899995051091537 181191.77500002257875167, 524060.13199999998323619 181245.39700003276811913, 524148.08200012281304225 181303.64800004800781608, 524207.76300008408725262 181327.18800001050112769, 524292.62699998694006354 181361.32900003017857671, 524353.7829999653622508 181385.39799984547425993, 524495.35500009835232049 181471.2769999781739898, 524525.45200006139930338 181418.11500008017173968)))</t>
  </si>
  <si>
    <t>E01002831</t>
  </si>
  <si>
    <t>Kensington and Chelsea 004C</t>
  </si>
  <si>
    <t>MultiPolygon (((524679.44199989677872509 182070.18000000913161784, 524725.32399994437582791 182024.4380001257522963, 524866.50000009057112038 181957.96899991511600092, 524873.07700000831391662 181891.48100007203174755, 524899.83600007591303438 181826.16699995088856667, 524912.33200003940146416 181803.237000128836371, 524944.68799999996554106 181742.265999964234652, 524908.23299987893551588 181742.12600008127628826, 524727.24999988172203302 181714.21900012934929691, 524675.80500005336944014 181686.59999993667588569, 524631.51900007820222527 181698.03599994227988645, 524703.00000003783497959 181792.99999989464413375, 524679.79499995324295014 181805.06600007691304199, 524625.8859999340493232 181742.29299987133708782, 524642.99399998085573316 181768.88599993701791391, 524571.6819999503204599 181808.62500012616510503, 524590.1819999588187784 181839.25899997883243486, 524537.30300006316974759 181880.82200004989863373, 524465.04299998108763248 181933.45399994103354402, 524426.68500011449214071 181893.24500000409898348, 524400.00000012572854757 181914.00000002663000487, 524385.58099987078458071 182006.61000011811847799, 524382.06099999987054616 182097.04999991357908584, 524473.38400011230260134 182073.10899988168966956, 524516.56400002725422382 182042.22699995498987846, 524601.00000005902256817 182117.99999998410930857, 524558.58199992903973907 182201.9110001030494459, 524607.55900013248901814 182207.76400006332551129, 524630.05599996482487768 182158.12899998790817335, 524679.44199989677872509 182070.18000000913161784)))</t>
  </si>
  <si>
    <t>E01002854</t>
  </si>
  <si>
    <t>Kensington and Chelsea 001C</t>
  </si>
  <si>
    <t>E02000577</t>
  </si>
  <si>
    <t>Kensington and Chelsea 001</t>
  </si>
  <si>
    <t>MultiPolygon (((524465.0430001060012728 181933.45399990200530738, 524537.30300006305333227 181880.8220000920118764, 524590.18199993495363742 181839.25899993299390189, 524571.68200001597870141 181808.62499989900970832, 524642.99400007596705109 181768.88599990101647563, 524625.88600002299062908 181742.29300006799167022, 524679.79499991005286574 181805.06599992100382224, 524703 181792.99999992601806298, 524631.51900002895854414 181698.03600000200094655, 524675.80500002601183951 181686.5999999170016963, 524641.60199998295865953 181646.49600003601517528, 524570.31799991894513369 181553.50399995999759994, 524531.95000001695007086 181535.47200003900798038, 524491.58399991400074214 181564.21899992099497467, 524507.10100009699817747 181587.97900002900860272, 524550.0699998929630965 181576.29199991500354372, 524510.30800002801697701 181632.40700010300497524, 524443.09899999795015901 181597.56999995600199327, 524475.00000007799826562 181526.00000009499490261, 524453.55400006100535393 181518.03400009800679982, 524416.44400010898243636 181586.9599999799975194, 524335.42000004195142537 181555.1289998900028877, 524301.99599998502526432 181542.00799991600797512, 524290.72900003800168633 181570.70900006400188431, 524249 181676.99999989400384948, 524322.54400003305636346 181671.80400008501601405, 524292.51000004296656698 181733.34799991900217719, 524309.71499991999007761 181756.59700010000960901, 524250.06899997702566907 181802.06599992801784538, 524303.00000010104849935 181801.99999990500509739, 524400.00000002596061677 181914.00000002200249583, 524426.68500000797212124 181893.24500003599678166, 524465.0430001060012728 181933.45399990200530738)))</t>
  </si>
  <si>
    <t>E01002855</t>
  </si>
  <si>
    <t>Kensington and Chelsea 001D</t>
  </si>
  <si>
    <t>MultiPolygon (((524292.50999992061406374 181733.34800007948069833, 524322.54399993037804961 181671.80399991761078127, 524249.00000008911592886 181677.00000008931965567, 524290.7289999236818403 181570.70899996851221658, 524301.99600010458379984 181542.00799996321438812, 524335.41999997454695404 181555.1290000299050007, 524416.44400008616503328 181586.95999997566104867, 524453.55400002386886626 181518.03399998944951221, 524474.99999991827644408 181525.99999989513889886, 524443.09899996605236083 181597.56999994366196916, 524510.30799995420966297 181632.40699999884236604, 524550.07000004523433745 181576.29200001619756222, 524507.10099995811469853 181587.97899999289074913, 524491.5839999767486006 181564.21899996243882924, 524531.95000001217704266 181535.47199998068390414, 524570.31799998227506876 181553.50399998479406349, 524495.35499994829297066 181471.27699995008879341, 524353.78299994661938399 181385.3980000518495217, 524292.62699994526337832 181361.32899999999790452, 524259.12700006132945418 181443.7979999320814386, 524230.76900003897026181 181514.26400005962932482, 524186.89299999346258119 181630.18400001677218825, 524179.50099999480880797 181649.00699999640346505, 524157.25000002660090104 181704.75299988273764029, 524116.19200001779245213 181810.47400002059293911, 524207.73499994334997609 181846.90400000000954606, 524250.06900000682799146 181802.06599988703965209, 524309.71499990427400917 181756.59699991732486524, 524292.50999992061406374 181733.34800007948069833)))</t>
  </si>
  <si>
    <t>E01002856</t>
  </si>
  <si>
    <t>Kensington and Chelsea 004E</t>
  </si>
  <si>
    <t>MultiPolygon (((524485.67600006284192204 180957.5580000368936453, 524529.68800002266652882 180866.38499990780837834, 524532.77400002593640238 180860.02800004344317131, 524452.80600007262546569 180784.28400000001420267, 524408.61800004739779979 180797.04500000432017259, 524334.01399997971020639 180815.67500002169981599, 524302.26099989656358957 180819.78300007234793156, 524275.83199997642077506 180810.71199998931842856, 524267.07900009403238073 180865.46599999655154534, 524218.31899995892308652 180894.72100006381515414, 524200.74900005717063323 180885.27599991962779313, 524198.62399996427120641 180889.73700003186240792, 524178.71899997408036143 180931.53099990077316761, 524247.17699989635730162 181079.84099991712719202, 524289.21199989842716604 181128.69700005018967204, 524369.93499990471173078 181199.10699999998905696, 524371.82300000276882201 181195.16200008415034972, 524403.40200008952524513 181129.04800004270509817, 524417.07699993613641709 181100.89000002117245458, 524449.65800000156741589 181033.89600006764521822, 524464.69400009559467435 181002.98999989731237292, 524485.67600006284192204 180957.5580000368936453)))</t>
  </si>
  <si>
    <t>E01002874</t>
  </si>
  <si>
    <t>Kensington and Chelsea 007D</t>
  </si>
  <si>
    <t>E02000583</t>
  </si>
  <si>
    <t>Kensington and Chelsea 007</t>
  </si>
  <si>
    <t>MultiPolygon (((523667.73799986363155767 181447.33200004158425145, 523709.36999999999534339 181328.53400005211005919, 523644.68100008671171963 181298.60699997012852691, 523610.39799988176673651 181274.61399991862708703, 523464.99499992147320881 181215.76299991965061054, 523454.28500011772848666 181246.45599987989407964, 523490.30200013297144324 181266.55299988837214187, 523445.86000012373551726 181363.87699991909903474, 523375.77699997543822974 181341.66100011116941459, 523342.54300008644349873 181409.25100010278401896, 523307.21400014107348397 181403.84400004270719364, 523275.55700006301049143 181382.71799993308377452, 523137.39599999994970858 181559.96600010356632993, 523218.19699986628256738 181616.87600004181149416, 523238.74300003674579784 181632.19200008036568761, 523321.95400005462579429 181615.39500006104935892, 523495.80999993399018422 181576.10200008569518104, 523677.25000012433156371 181535.09199993935180828, 523705.10699998954078183 181464.04199995560338721, 523667.73799986363155767 181447.33200004158425145)))</t>
  </si>
  <si>
    <t>E01002876</t>
  </si>
  <si>
    <t>Kensington and Chelsea 003A</t>
  </si>
  <si>
    <t>E02000579</t>
  </si>
  <si>
    <t>Kensington and Chelsea 003</t>
  </si>
  <si>
    <t>MultiPolygon (((523853.48400010925251991 181217.75100011291215196, 523857.38200009847059846 181213.8399999363173265, 523858.59300016105407849 181169.06199997497606091, 523779.99999993480741978 181169.00100015162024647, 523699.85699983377708122 181155.30700009959400631, 523699.4669999317266047 181095.09199986388557591, 523737.05900005483999848 181082.18800011213170364, 523727.42599999502999708 181016.85800006083445624, 523709.66699998109834269 180988.15700009581632912, 523739.55399991234298795 180927.14099992922274396, 523770.2240001016180031 180929.9290001384797506, 523755.08999991248128936 180885.8049999835784547, 523619.19200006918981671 180721.74199992330977693, 523600.03099982056301087 180701.34400000001187436, 523512.0969999892404303 180928.85400018843938597, 523427.16400018171407282 181118.90099994264892302, 523275.55699983896920457 181382.71800018087378703, 523307.21399988309713081 181403.84399992134422064, 523342.54299991449806839 181409.25099981029052287, 523375.77700010524131358 181341.66100012115202844, 523445.85999985772650689 181363.87700017460156232, 523490.3020000794203952 181266.55300006116158329, 523454.28499992750585079 181246.45600004761945456, 523464.99500011280179024 181215.76299993743305095, 523610.39799984270939603 181274.61399984097806737, 523644.68099999008700252 181298.60700004955288023, 523709.37000004103174433 181328.53400005874573253, 523667.73800005234079435 181447.3319999426312279, 523705.10699986480176449 181464.04199999998672865, 523756.2970000053755939 181330.21900014896527864, 523800.21500000671949238 181268.69400012487312779, 523853.48400010925251991 181217.75100011291215196)))</t>
  </si>
  <si>
    <t>E01002877</t>
  </si>
  <si>
    <t>Kensington and Chelsea 003B</t>
  </si>
  <si>
    <t>MultiPolygon (((524122.37900007545249537 181096.46899990056408569, 524110.42300004640128464 181065.67599991266615689, 524079.86500002030516043 181081.21499997188220732, 524020.74600005190586671 181050.6609998949279543, 523933.28200007643317804 181049.80800001422176138, 523891.1089999761315994 181057.27300002714036964, 523820.62699994730064645 181068.76300008172984235, 523936.02900000975932926 181114.32999993371777236, 523858.59299990662839264 181169.06199990451568738, 523857.38200001907534897 181213.83999986652634107, 523853.48399997164960951 181217.75100001684040762, 523800.21499990217853338 181268.6939998950692825, 523756.2970000000204891 181330.21900011016987264, 523916.35200000484474003 181392.64800009381724522, 524055.39400009764358401 181446.48499991346034221, 524193.97700012702262029 181500.00000007299240679, 524203.74500008730683476 181503.79099987196968868, 524230.76899999653687701 181514.26399998576380312, 524259.12700010644039139 181443.79800002169213258, 524292.62699999997857958 181361.32900008989963681, 524207.76299994980217889 181327.18800003358046524, 524148.08199988678097725 181303.64800007254234515, 524060.13199992297450081 181245.39700006227940321, 524120.09900010382989421 181191.77499992240336724, 524074.12600005080457777 181123.92299997378722765, 524122.37900007545249537 181096.46899990056408569)))</t>
  </si>
  <si>
    <t>E01002878</t>
  </si>
  <si>
    <t>Kensington and Chelsea 003C</t>
  </si>
  <si>
    <t>MultiPolygon (((524247.17700010631233454 181079.84100004468928091, 524178.71899992821272463 180931.53100010138587095, 524198.62399996916064993 180889.73700008739251643, 524155.0619999174377881 180895.86900000300374813, 524118.1370000186143443 180946.53199990739813074, 524095.59000007953727618 180927.05599994320073165, 524112.00000008591450751 180878.00000012179953046, 524042.00000004714820534 180874.00000009828363545, 524026.32399991905549541 180832.80299994099186733, 523998.00000003690365702 180846.9999998775892891, 524005.99899993155850098 180800.99999997980194166, 523980.07700012001441792 180793.97799999997369014, 523959.5729999176110141 180915.22099994038580917, 523953.8000000876490958 180941.18100008048349991, 523933.28199998632771894 181049.80799992938409559, 524020.74600001104408875 181050.66100006568012759, 524079.86499993281904608 181081.21499987709103152, 524110.42300010554026812 181065.67600001889513806, 524122.37899992620805278 181096.46900000207824633, 524074.12600007012952119 181123.92299988839658909, 524120.09900007420219481 181191.77500007968046702, 524157.85700004093814641 181214.27899992140009999, 524296.56399996718391776 181280.05800002510659397, 524324.87500010279472917 181290.57800000000861473, 524369.93500001367647201 181199.1069998781895265, 524289.21200010029133409 181128.69699992699315771, 524247.17700010631233454 181079.84100004468928091)))</t>
  </si>
  <si>
    <t>E01002879</t>
  </si>
  <si>
    <t>Kensington and Chelsea 005C</t>
  </si>
  <si>
    <t>E02000581</t>
  </si>
  <si>
    <t>Kensington and Chelsea 005</t>
  </si>
  <si>
    <t>MultiPolygon (((523953.80000005330657586 180941.18100001505808905, 523959.5729999290779233 180915.22100001771468669, 523904.77799999387934804 180898.03600002339226194, 523863.4619999997667037 180811.25599991015042178, 523816.6440000940929167 180791.57099993305746466, 523770.00000000209547579 180772.22299999999813735, 523768.9909999385708943 180892.03300000159651972, 523755.0900000159163028 180885.80500000511528924, 523770.2239999424200505 180929.92900002398528159, 523739.55399999977089465 180927.14100008955574594, 523709.66699991328641772 180988.15699997966294177, 523727.42599994078045711 181016.85800008606747724, 523737.05899998999666423 181082.18800003756769001, 523699.46700007084291428 181095.09199991120840423, 523699.85699994751485065 181155.30699992334120907, 523779.99999993317760527 181169.00100009154994041, 523858.59299996122717857 181169.06200000003445894, 523936.02900001127272844 181114.33000004183850251, 523820.62699992029229179 181068.76299996339366771, 523891.10900008742464706 181057.27299994890927337, 523933.28200009337160736 181049.80800000985618681, 523953.80000005330657586 180941.18100001505808905)))</t>
  </si>
  <si>
    <t>E01002880</t>
  </si>
  <si>
    <t>Kensington and Chelsea 005D</t>
  </si>
  <si>
    <t>MultiPolygon (((523916.35200009157415479 181392.64800005679717287, 523756.29700006276834756 181330.21900002271286212, 523705.10699999995995313 181464.04199991733185016, 523745.58000006718793884 181479.85099992138566449, 523743.25400012324098498 181518.04600008166744374, 523783.44999997125705704 181520.18300009335507639, 523773.70600007480243221 181556.53199989153654315, 524004.07699993177084252 181645.83099997162935324, 524089.99999994767131284 181678.99999987872433849, 524157.24999993987148628 181704.75299997729598545, 524179.50100010697497055 181649.00700010056607425, 524186.89300002838717774 181630.18400005975854583, 524230.768999999971129 181514.26399997793487273, 524203.7449999118107371 181503.79099992971168831, 524193.97700012824498117 181499.99999996687984094, 524055.39399993378901854 181446.48500003202934749, 523916.35200009157415479 181392.64800005679717287)))</t>
  </si>
  <si>
    <t>E01002909</t>
  </si>
  <si>
    <t>Kensington and Chelsea 003E</t>
  </si>
  <si>
    <t>MultiPolygon (((525582.18300007889047265 181638.54699987420463003, 525765.1639998983591795 181628.31600007746601477, 525918.06200001353863627 181628.82599999173544347, 526022.75000017415732145 181628.28300008087535389, 526095.07099987671244889 181552.06999998784158379, 526111.80199993448331952 181534.43800004557124339, 526169.08899994741659611 181474.0689999500173144, 526227.46100000012665987 181412.55600009323097765, 526145.05600009334739298 181372.90499986958457157, 526083.50499989197123796 181343.51599987526424229, 526067.6550001238938421 181388.56000008279806934, 525949.50400006677955389 181332.27400008559925482, 525939.99999997648410499 181367.68199985710089095, 525934.00000001222360879 181424.99999994313111529, 525808.79500002402346581 181368.43800007263780572, 525776.99999998579733074 181418.00000010451185517, 525761.04599987994879484 181414.11800005062832497, 525745.98300004086922854 181338.99600012740120292, 525640.5900000516558066 181306.86300006980309263, 525620.89000008476432413 181301.61000012580188923, 525600.16600008273962885 181321.60200007320963778, 525591.46500002883840352 181359.36700014435336925, 525603.71700002939905971 181446.32500015501864254, 525508.45200000004842877 181465.03700014841160737, 525519.70499990845564753 181514.33400006621377543, 525565.18999997212085873 181512.25999991147546098, 525582.18300007889047265 181638.54699987420463003)))</t>
  </si>
  <si>
    <t>E01004656</t>
  </si>
  <si>
    <t>Westminster 014D</t>
  </si>
  <si>
    <t>E02000973</t>
  </si>
  <si>
    <t>Westminster 014</t>
  </si>
  <si>
    <t>MultiPolygon (((524773.80900012888014317 182515.3660000000090804, 524751.20300004526507109 182248.63300009886734188, 524747.58100005926098675 182211.89600002989755012, 524779.7209999164333567 182186.39500004725414328, 524864.99999991676304489 182277.00000000803265721, 524874.0450000399723649 182159.99999993469100446, 524890.00000004912726581 182142.00000007345806807, 524864.84700001415330917 182121.75299996606190689, 524863.89499993936624378 181970.5959999069746118, 524866.50000011420343071 181957.96900000001187436, 524725.32399989350233227 182024.43800001571071334, 524679.44199989247135818 182070.18000000572646968, 524630.05600001441780478 182158.12899991709855385, 524607.55900002887938172 182207.76399990438949317, 524562.86500004155095667 182282.05200004656217061, 524459.83699995093047619 182340.13600007045897655, 524460.47399993136059493 182363.63500003516674042, 524593.46099989686626941 182333.61400005579343997, 524627.72999989136587828 182313.81000013250741176, 524675.47399989934638143 182271.19500009948387742, 524686.8310000051278621 182276.0320001310610678, 524704.25999987125396729 182448.22800012090010568, 524736.37499991559889168 182445.75100003578700125, 524740.26500000222586095 182498.8709999086568132, 524773.80900012888014317 182515.3660000000090804)))</t>
  </si>
  <si>
    <t>E01004679</t>
  </si>
  <si>
    <t>Westminster 005E</t>
  </si>
  <si>
    <t>E02000964</t>
  </si>
  <si>
    <t>Westminster 005</t>
  </si>
  <si>
    <t>MultiPolygon (((526563.41600000381004065 180993.41699991037603468, 526535.67799999413546175 180953.32900000002700835, 526479.57600001152604818 181013.81899982248432934, 526363.05699988373089582 181139.19899987435201183, 526246.68599989055655897 181264.06199984473641962, 526266.33900010643992573 181282.55200006841914728, 526310.68800005957018584 181324.84199984028236941, 526272.32000011776108295 181365.27900012405007146, 526245.50599999912083149 181393.53899992143851705, 526227.46099982166197151 181412.55600001325365156, 526169.08900000667199492 181474.06899982184404507, 526111.80200005217920989 181534.43799994364962913, 526095.0710000500548631 181552.0699998410709668, 526022.75000006635673344 181628.28299992074607871, 526033.60599989083129913 181629.50300008119666018, 526371.80799990973901004 181700.48999994219047949, 526423.71300013025756925 181701.56400000001303852, 526463.5260001088026911 181701.30099988693837076, 526442.00000008323695511 181696.99999994935933501, 526463.13000010210089386 181682.08499996273894794, 526516.00000012456439435 181635.00000016749254428, 526466.48200012091547251 181576.13099984428845346, 526532.1420000100042671 181509.90499983419431373, 526527.04399997869040817 181435.98699998881784268, 526429.51299985044170171 181381.84800014048232697, 526517.00000011501833797 181284.00000015334808268, 526480.00100011040922254 181248.00000012310920283, 526546.03500002657528967 181143.87399983903742395, 526502.29800018586684018 181126.53000008253729902, 526548.04400015214923769 181078.04000014543998986, 526578.37399993347935379 181039.83200015724287368, 526563.41600000381004065 180993.41699991037603468)))</t>
  </si>
  <si>
    <t>E01004681</t>
  </si>
  <si>
    <t>Westminster 016A</t>
  </si>
  <si>
    <t>E02000975</t>
  </si>
  <si>
    <t>Westminster 016</t>
  </si>
  <si>
    <t>MultiPolygon (((526838.60299990349449217 181939.49600002219085582, 527052.125 181700.78300009603844956, 526870.71500016667414457 181699.2359998554456979, 526722.26400009053759277 181699.5829998335975688, 526463.52600011753384024 181701.30100010879687034, 526423.71300013083964586 181701.56399989244528115, 526371.80800001893658191 181700.49000010910094716, 526302.68200000002980232 181776.47600002330727875, 526318.00000000209547579 181820.00100018229568377, 526422.73400011693593115 181898.73399985011201352, 526444.80500016349833459 181822.84600010036956519, 526470.00000014516990632 181844.00000005349284038, 526527.4950000400422141 181801.38700007897568867, 526569.30100016691721976 181910.35899993349448778, 526506.13100016280077398 181958.56699997471878305, 526515.2560000428929925 182018.04400006018113345, 526582.99999981513246894 182101.99900014000013471, 526636.57600000861566514 182150.77300014451611787, 526717.95199997443705797 182063.70800009960657917, 526740.09299987077247351 182040.25599993803189136, 526838.60299990349449217 181939.49600002219085582)))</t>
  </si>
  <si>
    <t>E01004702</t>
  </si>
  <si>
    <t>Westminster 009E</t>
  </si>
  <si>
    <t>MultiPolygon (((526389.95900014485232532 182308.31299996341113001, 526391.44400001072790474 182284.86199986867723055, 526420.50799993029795587 182306.36600010984693654, 526449.20699992415029556 182267.0229998441063799, 526497.57600008742883801 182302.02299987687729299, 526562.41000001935753971 182226.36500009088194929, 526577.2469998785527423 182209.6599998855672311, 526636.575999999884516 182150.77300001919502392, 526583.0000001514563337 182101.99900013336446136, 526515.25600001739803702 182018.04399988401564769, 526506.13099988573230803 181958.56699995161034167, 526569.30100012430921197 181910.35900005503208376, 526527.49500001012347639 181801.38700016561779194, 526469.9999999605352059 181844.00000012925011106, 526444.80499991646502167 181822.8459998486796394, 526422.73399993136990815 181898.73399987377342768, 526317.9999998559942469 181820.00099993727053516, 526302.68200003111269325 181776.47600003657862544, 526099.18100001011043787 181819.78899992138030939, 525974.04799999995157123 181878.8190001625334844, 525992.43199986370746046 181915.67499984049936756, 526042.66799995582550764 181923.08300002635223791, 526079.92099999322090298 181951.82800000178394839, 526047.34199984010774642 182024.43500004531233571, 526087.0669998376397416 182066.94999986098264344, 526073.20399994822219014 182104.36300007911631837, 526105.16799987247213721 182139.90699986508116126, 526104.46500002453103662 182236.34999999310821295, 526160.53299989702645689 182188.8979998656141106, 526190.53799992927815765 182147.82999995982390828, 526235.39800004393327981 182183.82400002636131831, 526342.84899995231535286 182270.26999988249735907, 526389.95900014485232532 182308.31299996341113001)))</t>
  </si>
  <si>
    <t>E01004703</t>
  </si>
  <si>
    <t>Westminster 007B</t>
  </si>
  <si>
    <t>E02000966</t>
  </si>
  <si>
    <t>Westminster 007</t>
  </si>
  <si>
    <t>MultiPolygon (((525879.2970000000204891 182047.29700009318185039, 525860.45100001210812479 182010.08400009060278535, 525843.82599996193312109 181986.0510000501817558, 525823.37500008300412446 181953.67199993232497945, 525849.70300000195857137 181940.59199995832750574, 525852.80199998803436756 181917.5989999792072922, 525828.3080000780755654 181880.24699991708621383, 525790.21100006939377636 181890.36800007257261313, 525755.00000004668254405 181879.99999992555240169, 525626.00000009417999536 181830.99999995966209099, 525633.7270000308053568 181787.63000004220521078, 525608.66699995286762714 181777.39399988882360049, 525552.69899989862460643 181822.49200009924243204, 525552.00000008940696716 181867.00000008018105291, 525498.98200003185775131 181868.45599998187390156, 525459.39400002220645547 181922.17599994261399843, 525478.990999914589338 181930.15400007274001837, 525419.05400000000372529 181953.58400008999160491, 525430.36999993375502527 181971.65200001795892604, 525560.00000006495974958 182037.00099990083253942, 525579.15599994733929634 182018.57800004931050353, 525651.65899999323301017 182045.65099991476745345, 525658.40300004358869046 182045.70499999585445039, 525661.74999989906791598 182092.2279999804450199, 525730.27900000475347042 182155.26400011117220856, 525758.7660000667674467 182134.62299995552166365, 525855.41000008501578122 182064.60300007893238217, 525879.2970000000204891 182047.29700009318185039)))</t>
  </si>
  <si>
    <t>E01004754</t>
  </si>
  <si>
    <t>Westminster 010A</t>
  </si>
  <si>
    <t>E02000969</t>
  </si>
  <si>
    <t>Westminster 010</t>
  </si>
  <si>
    <t>MultiPolygon (((525340.206999929738231 182026.3530000792525243, 525360.61500008660368621 182002.79399997324799187, 525352.53399985400028527 181989.91600012761773542, 525430.37000010255724192 181971.65200011670822278, 525419.05399995064362884 181953.58400013868231326, 525478.99100000003818423 181930.154000118636759, 525459.3939999210415408 181922.17599986412096769, 525421.72800002538133413 181906.8400001305853948, 525433.77200012351386249 181885.67300011171028018, 525388.30499999842140824 181871.23400010328623466, 525368.88000013655982912 181919.02899988426361233, 525398.4279999298742041 181933.02199993404792622, 525344.42900011327583343 181922.15200004840153269, 525346.48500001220963895 181864.21500002048560418, 525325.86899991473183036 181904.69099986925721169, 525297.61100005824118853 181893.11699985305313021, 525275.4689999904949218 181929.59400011264369823, 525215.20999995316378772 181867.75699988924316131, 525235.17499997455161065 181814.29599993998999707, 525228.07799987553153187 181773.50899986494914629, 525074.36099989921785891 181845.48000008912640624, 525018.65100014884956181 181873.65000000610598363, 525012.12700010987464339 181829.96100006916094571, 524899.83600006927736104 181826.16699998243711889, 524873.07699992903508246 181891.48100011234055273, 524866.50000014319084585 181957.96900014716084115, 524863.89499999990221113 181970.59599992088624276, 524864.84700007166247815 182121.75299986981553957, 525136.84200009878259152 182041.28900011602672748, 525304.05100012721959502 182004.2030000728846062, 525387.27699989511165768 182121.50600007479079068, 525442.49900000938214362 182184.62600013506016694, 525457.80200014996808022 182158.68999998056096956, 525446.57100011443253607 182105.32600005541462451, 525340.206999929738231 182026.3530000792525243)))</t>
  </si>
  <si>
    <t>E01004755</t>
  </si>
  <si>
    <t>Westminster 010B</t>
  </si>
  <si>
    <t>MultiPolygon (((525849.702999891131185 181940.59199995978269726, 525974.04800005559809506 181878.81900007717194967, 526099.18099988519679755 181819.78900003188755363, 526302.68200007895939052 181776.47600008267909288, 526371.80799999996088445 181700.4900001420173794, 526033.60600002307910472 181629.5030000957485754, 526022.7500000485451892 181628.28300004021730274, 525918.06200008920859545 181628.82600002310937271, 525765.16400005633477122 181628.31600010226247832, 525658.21600000001490116 181679.86300005941302516, 525708.47600003518164158 181729.1169998575351201, 525712.93000010505784303 181791.44199990213382989, 525750.59200006944593042 181795.91800001339288428, 525808.65000003890600055 181799.84099986348883249, 525787.52199985773768276 181801.08400005954899825, 525790.21100004762411118 181890.36799992743181065, 525828.30799998645670712 181880.24700006961938925, 525852.80200007336679846 181917.5989999701268971, 525849.702999891131185 181940.59199995978269726)))</t>
  </si>
  <si>
    <t>E01004757</t>
  </si>
  <si>
    <t>Westminster 010C</t>
  </si>
  <si>
    <t>MultiPolygon (((524899.77999993064440787 181676.24899997562170029, 524968.61300004937220365 181558.63200003484962508, 524998.63200000021606684 181573.64099999220343307, 524988.90500005823560059 181601.94600000762147829, 525041.38800005463417619 181478.12400001843343489, 525089.17099997773766518 181500.61000001526554115, 525132.50000007101334631 181517.81399999672430567, 525179.0139999003149569 181400.38699996229843237, 525196.72900000005029142 181355.6610000008076895, 525168.83599989942740649 181348.51499990152660757, 524996.53700000466778874 181304.56599996943259612, 524956.97399997594766319 181388.17299998897942714, 524944.90000000037252903 181413.68900002632290125, 524935.68500000168569386 181428.57299989520106465, 524886.58200003998354077 181408.24799995924695395, 524870.66399992257356644 181436.60100002214312553, 524859.36900004872586578 181456.71900007015210576, 524804.66999990190379322 181551.13400008023018017, 524778.11900000239256769 181594.06800002907402813, 524774.23800000012852252 181601.14999992417870089, 524803.49899997550528497 181623.18000010357354768, 524885.33599993376992643 181673.78099999827099964, 524932.35500008682720363 181701.42700003058416769, 524899.77999993064440787 181676.24899997562170029)))</t>
  </si>
  <si>
    <t>E01004760</t>
  </si>
  <si>
    <t>Westminster 014E</t>
  </si>
  <si>
    <t>MultiPolygon (((525368.88000021129846573 181919.02899985323892906, 525388.30500018980819732 181871.23399991876794957, 525433.7719999038381502 181885.67300000472459942, 525421.72800007846672088 181906.84000011745956726, 525459.39399988285731524 181922.17600007582223043, 525498.98199997656047344 181868.45599999174010009, 525551.99999986414331943 181866.99999998812563717, 525552.69900006568059325 181822.49199989208136685, 525608.66700020025018603 181777.39400001926696859, 525633.72700005304068327 181787.62999982008477673, 525625.99999986903276294 181830.99999983838642947, 525754.99999995110556483 181879.99999989071511663, 525790.21100004890467972 181890.36799992655869573, 525787.52199982246384025 181801.08400002840789966, 525808.65000000002328306 181799.84100012519047596, 525750.59199985524173826 181795.91799998056376353, 525712.93000019562896341 181791.44200014916714281, 525708.47600002482067794 181729.11700012852088548, 525658.21599979454185814 181679.86300019541522488, 525765.16399987158365548 181628.31599983214982785, 525582.18300013919360936 181638.54699979274300858, 525402.94900008651893586 181687.39400009936071001, 525328.47799995576497167 181718.43100016677635722, 525314.4339999706717208 181718.79500016770907678, 525318.37200009031221271 181584.22399980205227621, 525237.34100010793190449 181558.42800011220970191, 525225.20899982296396047 181553.91700003604637459, 525134.70400013646576554 181520.26300007692771032, 525093.64800005906727165 181606.60900016248342581, 525122.50799980643205345 181643.11100008376524784, 525098.25600012543145567 181708.20099990157177672, 524934.15399991581216455 181766.62499989251955412, 524912.33199983148369938 181803.23699993392801844, 524899.83600000001024455 181826.16700014591333456, 525012.12699983071070164 181829.96100005050539039, 525018.65100019657984376 181873.65000014452380128, 525074.360999851138331 181845.48000015915022232, 525228.07800020463764668 181773.50900011442718096, 525235.17500007257331163 181814.29599988160771318, 525215.21000008261762559 181867.75699979026103392, 525275.46900005324278027 181929.59399986462085508, 525297.61099990864749998 181893.11700005325837992, 525325.86899989924859256 181904.69099990237737074, 525346.48500017041806132 181864.21499992124154232, 525344.42899980081710964 181922.15200011568958871, 525398.42799987550824881 181933.02199992310488597, 525368.88000021129846573 181919.02899985323892906)))</t>
  </si>
  <si>
    <t>E01032512</t>
  </si>
  <si>
    <t>Westminster 010F</t>
  </si>
  <si>
    <t>MultiPolygon (((525098.25600002112332731 181708.20100008099689148, 525122.50800008431542665 181643.11099998460849747, 525093.64800005673896521 181606.60899992345366627, 525134.70399999991059303 181520.26300006196834147, 525132.50000002689193934 181517.81400003595626913, 525089.17100001673679799 181500.60999991561402567, 525041.3879999298369512 181478.12400001785135828, 524988.90500002505723387 181601.9459999846003484, 524998.63200003514066339 181573.64099997721496038, 524968.6129999568220228 181558.63199998595518991, 524899.7800000871066004 181676.24899992599966936, 524932.35500005655921996 181701.42699991475092247, 524885.3360000557731837 181673.78099991253111511, 524803.49900004162918776 181623.18000008584931493, 524774.23800008546095341 181601.15000009117648005, 524727.25 181714.21899990932433866, 524908.23300002561882138 181742.12600007187575102, 524944.68800006422679871 181742.26600004392093979, 524912.33200010051950812 181803.23699998218216933, 524934.15399992128368467 181766.62499997211853042, 525098.25600002112332731 181708.20100008099689148)))</t>
  </si>
  <si>
    <t>E01032513</t>
  </si>
  <si>
    <t>Westminster 010G</t>
  </si>
  <si>
    <t>MultiPolygon (((526722.26399987482000142 181699.58300013639382087, 526870.71499995596241206 181699.23599986537010409, 527052.12500014551915228 181700.78300009926897474, 527065.25600000005215406 181687.40699986921390519, 527013.38199987343978137 181514.54399995668791234, 526926.87500008766073734 181432.87499994068639353, 526921.01800012995954603 181427.01899999726447277, 526886.71799991908483207 181477.40999986726092175, 526861.03600006212946028 181536.17500004160683602, 526822.09600009873975068 181524.69700006186030805, 526794.09099985531065613 181598.02899998921202496, 526629.00000008137430996 181548.99999989787465893, 526558.23499996680766344 181582.1660001516866032, 526532.14199986157473177 181509.90499990680837072, 526466.48199989413842559 181576.13100015016971156, 526516.00000009883660823 181634.99999993696110323, 526463.13000011211261153 181682.0850000572972931, 526442 181697.00000009560608305, 526463.5260001466376707 181701.30100000274251215, 526722.26399987482000142 181699.58300013639382087)))</t>
  </si>
  <si>
    <t>E01033593</t>
  </si>
  <si>
    <t>Westminster 015F</t>
  </si>
  <si>
    <t>MultiPolygon (((525237.34100000897888094 181558.42799997786642052, 525257.77700005646329373 181474.89299997998750769, 525310.68399997137021273 181490.73700000395183451, 525344.21899995929561555 181492.13000001886393875, 525359.75000002910383046 181401.50000000538420863, 525359.87199999997392297 181373.21899998534354381, 525323.28599996247794479 181369.75600005284650251, 525303.00300001178402454 181388.93199997252668254, 525278.9999999653082341 181380.99999996947008185, 525196.72900002344977111 181355.66100002216990106, 525179.01400003535673022 181400.38699996829382144, 525132.5 181517.81400002821465023, 525134.7040000141132623 181520.26299996615853161, 525225.20899999688845128 181553.91699997879914008, 525237.34100000897888094 181558.42799997786642052)))</t>
  </si>
  <si>
    <t>E01033606</t>
  </si>
  <si>
    <t>Westminster 014F</t>
  </si>
  <si>
    <t>MultiPolygon (((525582.18299995805136859 181638.54699989082291722, 525565.19000005815178156 181512.26000012221629731, 525519.70499994826968759 181514.33400000815163366, 525508.45199992577545345 181465.03699998496449552, 525471.99300009198486805 181459.111000095581403, 525489.10999990627169609 181425.03199986860272475, 525426.09000012127216905 181395.6919998817902524, 525454.24899992486461997 181280.52799991294159554, 525417.56399998906999826 181282.5490000234276522, 525438.2569999429397285 181211.96999996158410795, 525410.3990000244230032 181157.20499999998719431, 525395.29300008749123663 181196.66200003278208897, 525363.86200004303827882 181183.63299999557784759, 525323.2859999246429652 181369.75599989978945814, 525359.87199996726121753 181373.21899998837034218, 525359.74999987485352904 181401.49999988434137776, 525344.21900013857521117 181492.13000003996421583, 525310.68400007043965161 181490.73699991253670305, 525257.77700012573041022 181474.89299995527835563, 525237.34100004192441702 181558.42800009340862744, 525318.37200009741354734 181584.22399990033591166, 525314.43399988615419716 181718.79500000001280569, 525328.47799999918788671 181718.43100010641501285, 525402.94899987382814288 181687.39400009339442477, 525582.18299995805136859 181638.54699989082291722)))</t>
  </si>
  <si>
    <t>E01033607</t>
  </si>
  <si>
    <t>Westminster 014G</t>
  </si>
  <si>
    <t>MultiPolygon (((523858.39800009992904961 179872.7440000829519704, 523967.68200006400002167 179685.85800003979238681, 523973.02599989180453122 179673.65300001154537313, 523985.01800000434741378 179646.30700000547221862, 524035.9469999045250006 179530.58299990961677395, 524058.8270000220509246 179483.43100000635604374, 524031.99999996519181877 179463.0000000182481017, 524003.94599996227771044 179445.14799994061468169, 523994.40600001980783418 179443.53099996517994441, 523950.23899989214260131 179537.6789999429602176, 523819.00000008242204785 179422, 523792.09400002140318975 179437.71200002249679528, 523820.28300002572359517 179481.24699988806969486, 523822.00000006140908226 179512.00000005681067705, 523806.96699994744267315 179604.25699992597219534, 523742.83599991421215236 179546.45900002183043398, 523716.52600008447188884 179563.89199998180265538, 523784.99999993899837136 179622.99999996673432179, 523675.78399990615434945 179574.00799996047862805, 523643.66599997796583921 179660.84399994849809445, 523674.05999992799479514 179660.43899994448293, 523681.68200008175335824 179723.49499995852238499, 523710.48700005491264164 179721.83899991156067699, 523815.4739999829325825 179699.99999996196129359, 523865.02099996933247894 179699.22900002542883158, 523813.45500004419591278 179879.39300000004004687, 523858.39800009992904961 179872.7440000829519704)))</t>
  </si>
  <si>
    <t>E01001852</t>
  </si>
  <si>
    <t>Hammersmith and Fulham 007A</t>
  </si>
  <si>
    <t>E02000378</t>
  </si>
  <si>
    <t>Hammersmith and Fulham 007</t>
  </si>
  <si>
    <t>MultiPolygon (((523950.23899994866224006 179537.67899991752346978, 523994.40599999512778595 179443.5310000826139003, 524003.94599995843600482 179445.14799987472360954, 524031.99999997910344973 179462.99999995902180672, 524058.8270001204800792 179483.43099995734519325, 524164.7799999201670289 179356.47200006112689152, 524212.66200003278208897 179312.56699988272157498, 524355.93799999996554106 179167.51600006374064833, 524266.76599997765151784 179155.93300004079355858, 524237.72900004917755723 179143.8770000824588351, 524189.137000051967334 179207.9409999183844775, 524135.17599987873109058 179196.7200000002339948, 524112.88799996918532997 179241.93799996955203824, 524080.45200009393738583 179234.79499990478507243, 524059.31799995253095403 179244.81899995860294439, 524005.1880001257522963 179329.62500009688665159, 523969.58800004620570689 179328.69399995292769745, 523954.0000000002910383 179371.0009999182948377, 523929.99999987724004313 179311.99900008732220158, 523908.28600010287482291 179320.52600012792390771, 523844.40300003869924694 179345.60799987107748166, 523830.44499986618757248 179320.8100000256090425, 523834.94500013481592759 179348.43700009628082626, 523794.63399999996181577 179365.15000013922690414, 523831.8859999825945124 179417.49000010674353689, 523819.00000008009374142 179422.00000000614090823, 523950.23899994866224006 179537.67899991752346978)))</t>
  </si>
  <si>
    <t>E01001855</t>
  </si>
  <si>
    <t>Hammersmith and Fulham 010B</t>
  </si>
  <si>
    <t>E02000381</t>
  </si>
  <si>
    <t>Hammersmith and Fulham 010</t>
  </si>
  <si>
    <t>MultiPolygon (((523843.71200005791615695 179902.99900010289275087, 523858.3979999118600972 179872.74399997241562232, 523813.45500002289190888 179879.39300006785197183, 523865.02099999994970858 179699.22899999786750413, 523815.47399990289704874 179700.00000002401066013, 523710.4869999808142893 179721.83899988554185256, 523681.68200004933169112 179723.49499998922692612, 523674.06000008183764294 179660.43899991043144837, 523643.66599996970035136 179660.84399992899852805, 523650.29999990726355463 179725.27799989844788797, 523620.74999995704274625 179722.87500012101372704, 523610.56500010925810784 179722.33100012072827667, 523579.15299990109633654 179719.06799994641914964, 523540.00000003731111065 179714.9990000432881061, 523526.54600005189422518 179714.46200008335290477, 523462.66300012310966849 179691.07300005209981464, 523493.34300006664125249 179672.72300006402656436, 523503.92100000643404201 179640.88600004278123379, 523470.86500012030592188 179632.93899998336564749, 523553.79999998619314283 179645.95899996117805131, 523555.68999990646261722 179612.31899998665903695, 523557.49500001390697435 179582.3810000802623108, 523497.41000006522517651 179572.00000010023359209, 523499.00000007345806807 179537.95899991629994474, 523464.09000004682457075 179536.53399989716126584, 523441.84800007130252197 179619.91099988808855414, 523365.856000000028871 179626.17799999064300209, 523389.53100011218339205 179707.18799998392933048, 523427.2990000449353829 179728.4329999846231658, 523413.21899997844593599 179758.56199988746084273, 523556.1889999324339442 179814.12300005389261059, 523647.80800000863382593 179844.52500003392924555, 523694.40100003802217543 179859.35200002376222983, 523705.92900007375283167 179862.72000005497829989, 523767.56399994256207719 179880.72700006124796346, 523843.71200005791615695 179902.99900010289275087)))</t>
  </si>
  <si>
    <t>E01001857</t>
  </si>
  <si>
    <t>Hammersmith and Fulham 007D</t>
  </si>
  <si>
    <t>MultiPolygon (((524355.93800003838259727 179167.51599994601565413, 524466.83900006546173245 179009.13200015280744992, 524494.06799995573237538 178975.5330000034882687, 524536.25000012060627341 178990.4829999441280961, 524648.90599999995902181 178886.28299992368556559, 524575.88500011700671166 178798.00900005668518133, 524555.68399997614324093 178773.57899998509674333, 524526.00000003085006028 178790.0000000883883331, 524542.99999985727481544 178813.0010000491165556, 524491.39599996339529753 178861.68999998137587681, 524465.55300013103988022 178841.00799990788800642, 524417.99999994819518179 178907.99999995238613337, 524379.24600004742387682 178881.04100006489898078, 524422.67400009743869305 178825.07200007248320617, 524412.93999998352956027 178788.79599992471048608, 524371.99100001808255911 178739.82999998112791218, 524405.00000010035000741 178715.00000007683411241, 524493.26199995260685682 178635.72700008031097241, 524527.14700012432876974 178580.534000054030912, 524433.70999983523506671 178594.13899998739361763, 524452.99999984342139214 178611.99999988480703905, 524399.99999987939372659 178660.42900015707709827, 524372.90400015318300575 178626.51299994709552266, 524320.11500011896714568 178660.64600009436253458, 524287.44200012082001194 178658.78500011135474779, 524305.30700002319645137 178719.7369999734510202, 524236.8719998505548574 178694.16500014500343241, 524278.99999994883546606 178745.00000008146162145, 524210.85900013882201165 178767.88199989541317336, 524189.84399998496519402 178816.37699991872068495, 524166.99999988754279912 178801.00000011210795492, 524138.00000012532109395 178843.49299999990034848, 524191.00000008940696716 178908.99899986322270706, 524167.6410000174655579 178997.29600008894340135, 524060.84500009845942259 179014.80299988004844636, 524010.19900006474927068 178965.68600008057546802, 523988.18500000005587935 178988.32799992882064544, 524044.15999999985797331 179065.90900015080114827, 524048.68099996040109545 179065.96399988827761263, 524125.99999985919566825 179092.00099995994241908, 524211.37700011703418568 179062.3740000850521028, 524237.72899991658050567 179143.87699985902872868, 524266.76600005477666855 179155.93299986390047707, 524355.93800003838259727 179167.51599994601565413)))</t>
  </si>
  <si>
    <t>E01001866</t>
  </si>
  <si>
    <t>Hammersmith and Fulham 012A</t>
  </si>
  <si>
    <t>MultiPolygon (((524059.31800005387049168 179244.81899997181608342, 524080.45199998695170507 179234.79499999425024725, 524112.88799996831221506 179241.9379999678931199, 524135.17599992069881409 179196.72000001993728802, 524189.13700007298029959 179207.94099995912984014, 524237.7289999175700359 179143.87699999680626206, 524211.37699990038527176 179062.37399991785059683, 524125.99999997991835698 179092.00100008281879127, 524048.68100007472094148 179065.96399996979744174, 524044.16000000736676157 179065.90899999623070471, 523988.18499997130129486 178988.32800008734920993, 523882.23199994227616116 178922.44400000001769513, 523957.13700000784592703 179026.01200002743280493, 523918.7840000560390763 179065.33200008838321082, 523889.17999991704709828 179088.45600004625157453, 523887.7060000144992955 179119.1079999963985756, 523910.17199995537521318 179114.38199997201445512, 523880.59200008242623881 179126.41299998472095467, 523893.00999998324550688 179138.22399989957921207, 523925.24999992927769199 179148.65599992169882171, 523959.43199997872579843 179230.0500000900356099, 523932.24999997159466147 179242.84400008784723468, 523969.58800009643891826 179328.69399998462176882, 524005.18800003832438961 179329.625, 524059.31800005387049168 179244.81899997181608342)))</t>
  </si>
  <si>
    <t>E01001873</t>
  </si>
  <si>
    <t>Hammersmith and Fulham 010E</t>
  </si>
  <si>
    <t>MultiPolygon (((523679.45600019436096773 180464.84100007574306801, 523726.33800014137523249 180325.98599975681281649, 523744.99999990232754499 180252.05600014099036343, 523770.55900019302498549 180257.3220001891895663, 523806.26800013118190691 180173.15399991054437123, 523823.99999994394602254 180096.31200007698498666, 523778.53099994850344956 180079.64099981577601284, 523843.71199984877603129 179902.99900017856271006, 523767.56399992702063173 179880.72699993287096731, 523705.92900005838600919 179862.71999975858489051, 523694.40099990618182346 179859.35199984299833886, 523647.80799999483861029 179844.52500014932593331, 523556.1890002004802227 179814.12300023908028379, 523413.21900005487259477 179758.56199999334057793, 523427.29899983742507175 179728.43299974387628026, 523389.53100011427886784 179707.18800021478091367, 523300.98900002229493111 179655.22599999999511056, 523286.09400004328927025 179689.77999988448573276, 523379.9999999946448952 179756.84500024322187528, 523310.63200015021720901 179932.17199974006507546, 523310.93599994876421988 179993.36000018709455617, 523225.79399999894667417 180021.11900023129419424, 523196.69900004164082929 180044.88599986489862204, 523128.4989998362143524 180040.20000006558257155, 523115.18600017169956118 180067.45099997840588912, 523103.98900012369267642 180157.28199999398202635, 523149.82800002541625872 180175.70000005423207767, 523171.99999975925311446 180263.0000002121378202, 523120.43800002272473648 180378.11699981146375649, 523087.86900015122955665 180416.55700010794680566, 523123.35099980619270355 180487.40699975498137064, 523293.82100000930950046 180648.68199986362014897, 523305.71900006773648784 180445.09499976673396304, 523600.03100006957538426 180701.34400000001187436, 523679.45600019436096773 180464.84100007574306801)))</t>
  </si>
  <si>
    <t>E01001943</t>
  </si>
  <si>
    <t>Hammersmith and Fulham 004A</t>
  </si>
  <si>
    <t>E02000375</t>
  </si>
  <si>
    <t>Hammersmith and Fulham 004</t>
  </si>
  <si>
    <t>MultiPolygon (((523930.43200000154320151 180368.5049999327166006, 523962.5070000133709982 180256.18599995618569665, 523897.01400010980432853 180234.08799995516892523, 523914.73300005221972242 180115.14499998703831807, 523824.00000008853385225 180096.3120000000053551, 523806.26799996721092612 180173.15400001601665281, 523770.55900007684249431 180257.32200000205193646, 523745.00000011315569282 180252.05599990181508474, 523726.33799997909227386 180325.98599995599943213, 523679.45599998661782593 180464.8410000060684979, 523770.62500008073402569 180486.43700010323664173, 523757.92199997248826548 180538.40899995516519994, 523814.74999992147786543 180557.15599999998812564, 523841.43799994111759588 180455.56399991078069434, 523886.97399995912564918 180420.67999995368882082, 523917.03000000928295776 180418.68699988885782659, 523930.43200000154320151 180368.5049999327166006)))</t>
  </si>
  <si>
    <t>E01001944</t>
  </si>
  <si>
    <t>Hammersmith and Fulham 004B</t>
  </si>
  <si>
    <t>MultiPolygon (((524906.42599988146685064 179864.23000004916684702, 524974.30200011527631432 179709.29399989038938656, 525066.00000018603168428 179491.99999987773480825, 525012.12799984833691269 179469.93999982476816513, 525042.20300015446264297 179396.7069998522347305, 524942.29700018651783466 179274.6590000239375513, 524957.26100001239683479 179245.4440000279864762, 524847.9179999076295644 179175.60200014940346591, 524750.4650001396657899 179116.09400000004097819, 524721.00000009976793081 179185.99999987389310263, 524696.09200005617458373 179266.86200001594261266, 524678.79100014641880989 179246.47900016990024596, 524654.00099993252661079 179282.00000001557054929, 524616.66400007042102516 179269.1200000622193329, 524586.33399983891285956 179249.12899983927491121, 524487.58700017794035375 179277.03399984401767142, 524407.53999982087407261 179368.60600003594299778, 524377.03300004370976239 179338.5849999621277675, 524350.00299999362323433 179368.54799997800728306, 524324.99999981396831572 179396.99999991164077073, 524356.62999987578950822 179385.14399988341028802, 524423.58399991586338729 179425.0590001662785653, 524431.30099983024410903 179480.12000009996700101, 524470.82099992432631552 179485.92300009212340228, 524520.07999992172699422 179496.56499992313911207, 524521.71799993875902146 179450.56599986139917746, 524584.17899997788481414 179470.44699990583467297, 524637.99999985296744853 179534.00000008894130588, 524549.9999999221181497 179700.00000018463470042, 524508.00000010884832591 179788.99999989313073456, 524572.99999998090788722 179768.99999996312544681, 524686.87300016463268548 179826.02499982775771059, 524857.00000010151416063 179912, 524906.42599988146685064 179864.23000004916684702)))</t>
  </si>
  <si>
    <t>E01002864</t>
  </si>
  <si>
    <t>Kensington and Chelsea 009A</t>
  </si>
  <si>
    <t>E02000585</t>
  </si>
  <si>
    <t>Kensington and Chelsea 009</t>
  </si>
  <si>
    <t>MultiPolygon (((524376.47900006594136357 179703.2790000363602303, 524470.82099988381378353 179485.9229999159288127, 524431.30099986644927412 179480.11999994463985786, 524423.58400001563131809 179425.05900011013727635, 524356.62999990303069353 179385.14399998969747685, 524324.9999999632127583 179397.00000008597271517, 524350.00300001783762127 179368.54799986997386441, 524323.95999990683048964 179343.0800000820599962, 524354.06300012127030641 179306.12399997957982123, 524327.06999991193879396 179283.19500000000698492, 524216.52800003328593448 179396.9269999815733172, 524181.00000009697396308 179372.99999990582000464, 524212.66200013662455603 179312.56700012573855929, 524164.78000001166947186 179356.47200011214590631, 524058.82699986558873206 179483.43100014986703172, 524035.94700014329282567 179530.58300014180713333, 523985.0179999535321258 179646.30699988568085246, 523973.02600011619506404 179673.65299993424559943, 524002.38000012881821021 179707.70400005439296365, 524028.30500000453321263 179679.04399994859704748, 524057.00000007724156603 179701.99999994598329067, 524084.74400009599048644 179723.47500000090803951, 524178.00000007444759831 179795.00000003672903404, 524237.74900011176941916 179812.68600012210663408, 524248.90400000417139381 179890.51699999999254942, 524277.23000003583729267 179883.54200005391612649, 524376.47900006594136357 179703.2790000363602303)))</t>
  </si>
  <si>
    <t>E01002866</t>
  </si>
  <si>
    <t>Kensington and Chelsea 009B</t>
  </si>
  <si>
    <t>MultiPolygon (((524216.52799995557870716 179396.92699998433818109, 524327.06999996223021299 179283.1949999833595939, 524354.06300000997725874 179306.12399996083695441, 524323.96000011963769794 179343.08000003136112355, 524350.00299986195750535 179368.54799985865247436, 524377.03300004382617772 179338.58500009120325558, 524407.54000004485715181 179368.60599986888701096, 524487.58700010168831795 179277.03400000403053127, 524586.33399985998403281 179249.129000050452305, 524616.66399988869670779 179269.119999970193021, 524654.00099994800984859 179281.99999988998752087, 524678.79099987144581974 179246.4790000828797929, 524696.0920000325422734 179266.86200006207218394, 524720.9999999376013875 179185.99999992005177774, 524750.46499999985098839 179116.09400012367404997, 524536.25000014004763216 178990.48300008522346616, 524494.06800011789891869 178975.533000015624566, 524466.83900010713841766 179009.13199992489535362, 524355.93799996818415821 179167.51600000154576264, 524212.66200001852121204 179312.56699986234889366, 524180.99999999994179234 179373.0000000661239028, 524216.52799995557870716 179396.92699998433818109)))</t>
  </si>
  <si>
    <t>E01002867</t>
  </si>
  <si>
    <t>Kensington and Chelsea 009C</t>
  </si>
  <si>
    <t>MultiPolygon (((524259.16999988706083968 179918.34599990729475394, 524277.23000008292729035 179883.54199992012581788, 524248.90399992401944473 179890.51699993017246015, 524237.7490000455873087 179812.68600005170446821, 524177.99999993975507095 179794.99999993568053469, 524084.74399996735155582 179723.47500007654889487, 524057.00000004383036867 179701.99999997485429049, 524028.30500009853858501 179679.04399991474929266, 524002.38000012637348846 179707.70399988378630951, 523973.02599999809172004 179673.65300008998019621, 523967.68199991871370003 179685.85800003420445137, 523858.39799989107996225 179872.74400005882489495, 523843.712000000057742 179902.99899987169192173, 523919.28600003925384954 179930.66499999671941623, 523970.30100006866268814 179952.29900002747308463, 524130.99900011427234858 180013.10200012207496911, 524187.64500002795830369 180033.3959999501821585, 524283.1609999118372798 180066.37299988008453511, 524352.41400009032804519 180091.66699990996858105, 524363.25 180031.25999999156920239, 524259.16999988706083968 179918.34599990729475394)))</t>
  </si>
  <si>
    <t>E01002869</t>
  </si>
  <si>
    <t>Kensington and Chelsea 009E</t>
  </si>
  <si>
    <t>MultiPolygon (((523768.99099987186491489 180892.03299991009407677, 523769.99999989027855918 180772.22300003084819764, 523816.64400000107707456 180791.57099987316178158, 523863.46200014144415036 180811.25600013785879128, 523888.68799995025619864 180761.00000010701478459, 523859.47600009251618758 180729.14800007405574434, 523903.12499999377178028 180635.85899993707425892, 523976.50699992605950683 180656.12600003674742766, 524035.99099988373927772 180657.74699990500812419, 524093.41000009316485375 180696.15099989852751605, 524077.84399997163563967 180750.70300013202358969, 524142.98699998570373282 180768.30900013112113811, 524167.19799999997485429 180649.0529999028367456, 524125.5250000013038516 180578.23699988218140788, 524041.08299997076392174 180565.24900007536052726, 523999.9769999414565973 180510.89900005544768646, 523961.36199992836918682 180510.03599988258793019, 523985.41000011702999473 180390.6980000673502218, 523930.43199989903951064 180368.50500008990638889, 523917.02999994356650859 180418.68700014078058302, 523886.9740000074962154 180420.68000002345070243, 523841.43800004932563752 180455.56399997233529575, 523814.74999996897531673 180557.15600000263657421, 523757.92199996765702963 180538.40900008979951963, 523770.62500005849869922 180486.43700000175158493, 523679.45600012241629884 180464.84100000851321965, 523600.03099999995902181 180701.34399995062267408, 523619.19200006144819781 180721.74200003017904237, 523755.08999986737035215 180885.80500005354406312, 523768.99099987186491489 180892.03299991009407677)))</t>
  </si>
  <si>
    <t>E01002870</t>
  </si>
  <si>
    <t>Kensington and Chelsea 005A</t>
  </si>
  <si>
    <t>MultiPolygon (((523919.28599990403745323 179930.66499989171279594, 523843.71199994493508711 179902.99900000001071021, 523778.53100006212480366 180079.64099995733704418, 523824.00000008940696716 180096.31200007011648268, 523914.73300000495510176 180115.1449998980097007, 523897.01399995246902108 180234.0879999499884434, 523962.50700010563014075 180256.18599992076633498, 523930.43199988332344219 180368.50500000212923624, 523985.40999989054398611 180390.69799993932247162, 524128.90999996045138687 180438.625, 524146.91000012500444427 180407.93700009098392911, 524095.84100000490434468 180388.52400005928939208, 524103.62899990240111947 180306.18100001171114855, 524158.87100005592219532 180286.91799989881110378, 524193.00000011606607586 180212.00000011661904864, 524181.30999989208066836 180191.3950000410550274, 524258.94200001185527071 180108.65599990790360607, 524283.16099993779789656 180066.37300000913091935, 524187.64499990839976817 180033.39599997879122384, 524130.99900001147761941 180013.10199989198008552, 523970.3010000855429098 179952.29899991370621137, 523919.28599990403745323 179930.66499989171279594)))</t>
  </si>
  <si>
    <t>E01002873</t>
  </si>
  <si>
    <t>Kensington and Chelsea 007C</t>
  </si>
  <si>
    <t>MultiPolygon (((519648.27499995299149305 193402.71600021817721426, 519640.96200007735751569 193396.43499989379779436, 519501.21599989722017199 193399.31699996194220148, 519445.78499996871687472 193334.08699991749017499, 519476.61899993958650157 193255.84900007888791151, 519603.00000023300526664 193206.99999976585968398, 519588.36500023788539693 193134.67400016434839927, 519463.78699990367749706 193170.82399980557966046, 519428.47199981677113101 193099.57200023255427368, 519525.90899981308029965 193068.36599992800620385, 519575.93699986120918766 193071.08500014961464331, 519554.94300007109995931 192967.85300011307117529, 519539.6359998726984486 192984.89300013601314276, 519557.41200023627607152 192930.31999983446439728, 519757.3080000271438621 192986.34699983408791013, 519798.35300009994534776 192920.42200000927550718, 519810.21800014335894957 192898.41199983513797633, 519877.84399997181026265 192901.43699992369511165, 519854.34500003221910447 192659.85899992406484671, 519907.03400016197701916 192454.00199999997857958, 519841.96500013011973351 192457.79299992060987279, 519842.99999992782250047 192498.61299984352081083, 519799.63700003712438047 192513.56299994941218756, 519736.72999989095842466 192491.79800024683936499, 519712.1440000111469999 192500.57699981532641686, 519648.32000018114922568 192735.71399989048950374, 519692.79900008213007823 192747.02200009353691712, 519684.16100020450539887 192782.3980000713490881, 519585.0689998542657122 192758.70100021787220612, 519570.99999994336394593 192834.99999999118153937, 519486.74899982905481011 192865.12599977437639609, 519431.28000008227536455 192843.75699989960412495, 519376.00299975648522377 192864.87999988134833984, 519334.02499984164023772 192968.819000188523205, 519310.58400004199938849 193008.91899992901016958, 519271.00000007718335837 193000.00000009103678167, 519186.84599983802763745 193210.08800007475656457, 519220.41100002522580326 193236.72000005590962246, 519216.00400020729284734 193388.99899982387432829, 519292.13099989027250558 193368.30599982032435946, 519328.99999979691347107 193360.9999998590501491, 519406.95499984116759151 193344.05300004343735054, 519449.9999998701387085 193413.99999993617529981, 519530.00000009877840057 193445, 519649.99999994615791366 193426.0000001686566975, 519648.27499995299149305 193402.71600021817721426)))</t>
  </si>
  <si>
    <t>E01000186</t>
  </si>
  <si>
    <t>Barnet 014A</t>
  </si>
  <si>
    <t>E02000037</t>
  </si>
  <si>
    <t>Barnet 014</t>
  </si>
  <si>
    <t>MultiPolygon (((519910.76799997565103695 193559.32699990810942836, 519874.06299999612383544 193361.70300010303617455, 519770.52800012280931696 193352.31300001058843918, 519773.52600014087511227 193241.04800010361941531, 519752.09099988412344828 193146.11700014717644081, 519757.30799982254393399 192986.34700011319364421, 519557.41200000507524237 192930.32000000000698492, 519539.63599987811176106 192984.89300013490719721, 519554.94299995707115158 192967.85299984851735644, 519575.93699995143106207 193071.08499988890253007, 519525.9090000182040967 193068.36600009995163418, 519428.47200004436308518 193099.57200015481794253, 519463.78700014943024144 193170.82400015345774591, 519588.36500017519574612 193134.67400010157143697, 519603.00000013061799109 193207.00000016295234673, 519476.61899989261291921 193255.84900002623908222, 519445.78499988536350429 193334.08699996324139647, 519501.21600016759475693 193399.3169999681704212, 519640.96200005279388279 193396.43499996911850758, 519648.27499981469009072 193402.71600013531860895, 519650.00000015419209376 193425.99999984499299899, 519529.99999997875420377 193444.9999998792191036, 519450.00000011961674318 193413.99999990480137058, 519406.95499998092418537 193344.0529998300189618, 519328.9999998202547431 193360.99999991108779795, 519431.00000008539063856 193500.0000001207808964, 519513.99999992956873029 193524.00000000116415322, 519653.00000013923272491 193509.99999981309520081, 519650.00000015419209376 193622.37800010593491606, 519656.00000012427335605 193650.00000014671240933, 519789.71499997097998857 193703.85200000001350418, 519857.36000014177989215 193697.65600017114775255, 519900.2200000467710197 193685.77899994104518555, 519920.81900017976295203 193595.35500004002824426, 519910.76799997565103695 193559.32699990810942836)))</t>
  </si>
  <si>
    <t>E01000187</t>
  </si>
  <si>
    <t>Barnet 014B</t>
  </si>
  <si>
    <t>MultiPolygon (((519597.46299990551779047 194996.29899956181179732, 519746.06299984134966508 194597.06199964339612052, 519905.03100056969560683 194517.06199932351591997, 520059.58099953248165548 194390.07600010657915846, 520009.99999973556259647 194333.999999887048034, 520021.00000010355142877 194277.00000046071363613, 520093.52899999998044223 194255.73499940379406326, 519947.52800008049234748 193992.72400032129371539, 519770.54800053220242262 193974.55600048348424025, 519707.04599984170636162 193949.40899933909531683, 519639.69099982146872208 193914.23400007549207658, 519631.76200027548475191 193839.17800063249887899, 519686.4329994004801847 193709.98699964929255657, 519655.99999992322409526 193649.99999994901008904, 519650.0000003426684998 193622.37800005212193355, 519652.99999945069430396 193509.99999973029480316, 519513.99999938951805234 193524.00000057081342675, 519430.99999996152473614 193499.99999951975769363, 519329.00000026996713132 193360.99999945852323435, 519292.13100064138416201 193368.3060005109582562, 519216.00399932690197602 193388.99899965492659248, 519220.41099976992700249 193236.71999947799486108, 519186.84600032330490649 193210.0879999007738661, 519270.99999932176433504 192999.99999990811920725, 519310.58400063321460038 193008.91899977377033792, 519334.02499996987171471 192968.81900055316509679, 519376.00299984647426754 192864.8799996939196717, 519431.27999951445963234 192843.75699933612486348, 519437.99999969959026203 192796.00000052503310144, 519308.5630005223210901 192812.2099996397155337, 519147.86699943454004824 192875.73099988567992114, 519155.64199956750962883 192919.92600024241255596, 519111.61199994629714638 192961.8260002922907006, 519102.86600041348719969 192872.71099973749369383, 518986.28499961527995765 192915.33399938821094111, 518935.58600048278458416 192944.1790003291098401, 518886.00499932141974568 192962.70699978704215027, 518805.67199989868095145 192993.90399970120051876, 518587.99999954120721668 193046.00000033085234463, 518356.84999970247736201 192843.40899979433743283, 518389.9690001048729755 192799.75400023214751855, 518340.85300027200719342 192750.40000043821055442, 518203.1199997226940468 192934.69100027563399635, 517776.00400039087980986 193494.67500059126177803, 517484.43799975822912529 193878.90600015473319218, 517378.50000006862683222 194090.60900056545506231, 517364.68799999996554106 194202.43700025489670224, 517435.18800018809270114 194421.09400033092242666, 517498.06300053966697305 194434.92199959437130019, 517555.90500022959895432 194400.0019996068731416, 517576.81200054247165099 194424.79799948437721469, 517755.40600038861157373 194363.00000036117853597, 517938.49999957904219627 194364.31099970533978194, 518006.03000017261365429 194337.21999952095211484, 518134.24700003099860623 194359.42099986298126169, 518306.18799956061411649 194455.59400030685355887, 518588.49999961990397424 194466.00000021021696739, 518745.59400017315056175 194518.12500023317988962, 518855.84399979963200167 194614.93699972980539314, 519026.3129997305222787 194680.29700003619655035, 519218.5939996256493032 194682.29700035118730739, 519365.09399950364604592 194746.40600034044473432, 519556.68699991260655224 194729.29899980741902255, 519524.65599933220073581 194775.3910003756172955, 519597.46299990551779047 194996.29899956181179732)))</t>
  </si>
  <si>
    <t>E01000188</t>
  </si>
  <si>
    <t>Barnet 014C</t>
  </si>
  <si>
    <t>MultiPolygon (((518886.00500004237983376 192962.70699995313771069, 518826.19599985337117687 192903.87199991318630055, 518804.86699988570762798 192916.11799988025450148, 518742.00000013341195881 192844.99999991746153682, 518783.23599991877563298 192765.56700012515648268, 518726.35199990880209953 192715.88699987943982705, 518723.98599989444483072 192708.4729999017145019, 518700.8740000082179904 192641.23499988910043612, 518645.69699988758657128 192607.12400010673445649, 518654.21100002387538552 192570.36800003470852971, 518600.40200013376306742 192546.65399997122585773, 518643.80199989466927946 192461.94699994908296503, 518571.98600002960301936 192453.10899999999674037, 518544.61700007528997958 192488.69199991264031269, 518450.42500009277136996 192609.65499990776879713, 518382.06200007972074673 192696.80900011982885189, 518340.85299995762761682 192750.39999991812510416, 518389.96899989241501316 192799.7539999368309509, 518356.85000013338867575 192843.40900004169088788, 518587.99999987258343026 193046, 518805.67200001253513619 192993.90400005606352352, 518886.00500004237983376 192962.70699995313771069)))</t>
  </si>
  <si>
    <t>E01000189</t>
  </si>
  <si>
    <t>Barnet 014D</t>
  </si>
  <si>
    <t>MultiPolygon (((518905.78500004921806976 192795.61999991614720784, 519029.89499979332322255 192650.90500015552970581, 518999.33600020426092669 192682.21499979391228408, 518973.55100002372637391 192650.79700004938058555, 519119.4909999591181986 192455.34499997657258064, 519160.47899982257513329 192469.87300008998136036, 519187.71000020869541913 192429.17700004356447607, 519222.26800020295195282 192314.79999984122696333, 519175.85799985670018941 192299.93199981501675211, 519193.58299981406889856 192264.58299991040257737, 519165.00000001152511686 192241.99999982991721481, 519093.99999987304909155 192346.99999999767169356, 518791.7009998025605455 192232.46800016963970847, 518955.36399985541356727 192173.47000019031111151, 518911.74000009166775271 192041.10599999999976717, 518743.25200011825654656 192207.42699994242866524, 518628.8860001292778179 192369.83900015146355145, 518571.98599979712162167 192453.1089999993564561, 518643.80199981376063079 192461.94700007955543697, 518600.40200005943188444 192546.65400019712978974, 518654.21099993877578527 192570.36800010074512102, 518645.69700017699506134 192607.12400005111703649, 518700.87399994221050292 192641.23500016517937183, 518723.98599990247748792 192708.47299996117362753, 518726.35199997504241765 192715.8869998250156641, 518783.23599983775056899 192765.56700007888139226, 518742.00000013574026525 192845.00000011830707081, 518804.8669999873964116 192916.11799999998765998, 518826.19599980785278603 192903.87200011964887381, 518885.00000000168802217 192886.99999992290395312, 518905.78500004921806976 192795.61999991614720784)))</t>
  </si>
  <si>
    <t>E01000190</t>
  </si>
  <si>
    <t>Barnet 014E</t>
  </si>
  <si>
    <t>MultiPolygon (((518986.28500011336291209 192915.3340000907483045, 519102.86600008874665946 192872.71100002684397623, 519111.61200014717178419 192961.82600003448897041, 519155.64199987112078816 192919.92599995655473322, 519147.86700001108692959 192875.73100005151354708, 519308.56299995328299701 192812.20999984120135196, 519438.00000001169973984 192795.99999984542955644, 519431.27999981422908604 192843.75700013071764261, 519486.74899980070767924 192865.12600007627042942, 519570.99999988329363987 192835.00000003035529517, 519585.06900019099703059 192758.70099991234019399, 519684.16100014263065532 192782.39799981092801318, 519692.79899999278131872 192747.021999835036695, 519648.32000010501360521 192735.714000194799155, 519712.14399984042393044 192500.57700016995659098, 519723.35300000000279397 192448.94099984434433281, 519678.85200002824421972 192430.33199978768243454, 519627.82699995453003794 192576.1770001488912385, 519328.93199999758508056 192451.100000090431422, 519265.9999999551801011 192445.99999987648334354, 519239.99499997595557943 192479.61599986473447643, 519190.00200004788348451 192473.82400002775830217, 519187.70999986515380442 192429.17699986588559113, 519160.47899985627736896 192469.87299999812967144, 519119.49099979235325009 192455.34499981469707564, 518973.55099992494797334 192650.79700009903172031, 518999.33599996182601899 192682.21499997784849256, 519029.89499982504639775 192650.90499985869973898, 518905.78499999042833224 192795.62000002650893293, 518884.9999999082647264 192886.9999998283747118, 518826.19599999999627471 192903.87199986283667386, 518886.00500011403346434 192962.70700013407622464, 518935.58599997870624065 192944.17899989715078846, 518986.28500011336291209 192915.3340000907483045)))</t>
  </si>
  <si>
    <t>E01000191</t>
  </si>
  <si>
    <t>Barnet 014F</t>
  </si>
  <si>
    <t>MultiPolygon (((520224.59399998892331496 193643.5949997698480729, 520252.9689997952664271 193597.7659999442694243, 520274.03800005803350359 193611.00199996694573201, 520281.87200021452736109 193615.92400012511643581, 520311.67500014766119421 193552.1950001890945714, 520444.99999986420152709 193330.99999988125637174, 520448.41899977222783491 193324.91099990761722438, 520514.84599989204434678 193206.61800006753765047, 520492.39799983217380941 193227.07399993811850436, 520463.86200020671822131 193132.90399979951325804, 520381.99999996705446392 193082.99999982590088621, 520376.71299983124481514 193011.88400023267604411, 520302.18100007926113904 193026.45000021439045668, 520305.75800005707424134 192929.9229999088565819, 520339.47100016183685511 192887.65699975623283535, 520239.43799984455108643 192907.06999977276427671, 520221.37000000837724656 192820.06600006183725782, 520252.78599984821630642 192796.39300011735758744, 520255.83899986214237288 192666.62599999998928979, 520145.92999993613921106 192676.02299981709802523, 520169.00000012764940038 192844.99999983224552125, 520066.99999998993007466 192850.99999986926559359, 520050.99999989120988175 192698.0949998353025876, 520008.10399978386703879 192676.25000002005253918, 519970.73499991215066984 192739.21599980880273506, 519985.80199981341138482 192808.04000019413069822, 519937.56500014994526282 192833.19999975943937898, 519964.34599993663141504 192840.82299985073041171, 519965.03100021125283092 192906.58800023191724904, 519898.09200010792119429 192964.24200000753626227, 519903.59999996493570507 192973.99900022015208378, 520041.55500015249708667 193027.5630001180106774, 520097.8550000082468614 192979.00000016743433662, 520109.34499993163626641 193227.79400023751077242, 520078.00000005780020729 193253.99999989778734744, 520063.61399978224653751 193370.32199976011179388, 520082.26799980882788077 193293.53299984181649052, 520117.36999985825968906 193353.65300001611467451, 520094.73899985133903101 193477.9960001393337734, 520041.84699983964674175 193511.75399992484017275, 520017.40799999854061753 193612.41700019690324552, 520050.56800010486040264 193639.11699987002066337, 520088.53099999006371945 193606.31200008548330516, 520088.74999987834598869 193649.82800000003771856, 520224.59399998892331496 193643.5949997698480729)))</t>
  </si>
  <si>
    <t>E01000229</t>
  </si>
  <si>
    <t>Barnet 013B</t>
  </si>
  <si>
    <t>E02000036</t>
  </si>
  <si>
    <t>Barnet 013</t>
  </si>
  <si>
    <t>MultiPolygon (((519919.2190002798452042 193414.28100007100147195, 519913.10800001560710371 193369.64600004279054701, 519983.46899992931867018 193392.06600029807304963, 520058.24299989832798019 193424.87499999409192242, 520041.84699993295362219 193511.75400025476119481, 520094.73900019784923643 193477.99599998263875023, 520117.37000014033401385 193353.65299974975641817, 520082.2679999724496156 193293.53299971713568084, 520063.61399994243402034 193370.32199986424529925, 520077.99999987432966009 193254.00000006295158528, 520109.34499983524437994 193227.79400021463516168, 520097.85499977972358465 192979.00000013568205759, 520041.555000081716571 193027.56300011169514619, 519903.60000027320347726 192973.99899989887489937, 519898.09200001892168075 192964.24199985412997194, 519965.03099973115604371 192906.58799997097230516, 519964.34599989152047783 192840.82300007942831144, 519937.56499975349288434 192833.19999978097621351, 519985.80199974216520786 192808.04000016694772057, 519970.73499984410591424 192739.21599979983875528, 520008.10400009487057105 192676.25000012654345483, 520051.00000030203955248 192698.09500009214389138, 520067.00000007101334631 192851.0000001673179213, 520168.999999733583536 192844.9999997241247911, 520145.93000004586065188 192676.02299973418121226, 520096.24800002411939204 192448.35799985288758762, 520113.64100025908555835 192449.74400023740599863, 520106.88199989369604737 192384.37299999999231659, 520060.56299981940537691 192409.85900020686676726, 519920.68800015968736261 192384.73399978911038488, 519907.03400009532924742 192454.00200004613725469, 519854.344999770517461 192659.85899970040190965, 519877.8440001251292415 192901.43700023775454611, 519810.21800003095995635 192898.41199989826418459, 519798.35300002346048132 192920.42199979431461543, 519757.30799972958629951 192986.34700007707579061, 519752.09100026643136516 193146.11700019412091933, 519773.52599987271241844 193241.04800020909169689, 519770.52800019341520965 193352.31299972749548033, 519874.06300007126992568 193361.70300017279805616, 519910.76800012128660455 193559.32700004262733273, 519920.81899995403364301 193595.35500000001047738, 519992.49999991676304489 193582.12499985232716426, 519995.46900021017063409 193445.57799973283545114, 519919.2190002798452042 193414.28100007100147195)))</t>
  </si>
  <si>
    <t>E01000230</t>
  </si>
  <si>
    <t>Barnet 013C</t>
  </si>
  <si>
    <t>MultiPolygon (((520488.77600002416875213 193619.68200019921641797, 520619.93100010720081627 193417.18900006235344335, 520717.00099998700898141 193472.99900008155964315, 520841.99999985145404935 193428.99999983762972988, 520837.7370001079980284 193399.69299997264170088, 520877.97499982279259712 193371.459000068862224, 520863.29399993206607178 193278.85800008624210022, 520923.04499997739912942 193280.42200003596371971, 520941.6669998942525126 193336.45700005764956586, 520940.16699987789615989 193215.48600010244990699, 520988.14400003058835864 193212.93800012517021969, 520998.29099985503125936 193163.36599987096269615, 521067.63900013960665092 193157.91999991261400282, 521054.69800001539988443 193112.18799986859085038, 521094.28099980723345652 193091.87600018581724726, 520931.89599988877307624 192943.27099991255090572, 520904.08099983807187527 192879.36699995660455897, 520880.70100008818553761 192821.57699999999022111, 520762.99999983195448294 192838.00000012849341147, 520754.00000015465775505 192851.99999986030161381, 520657.27099984092637897 192853.21700009237974882, 520595.00000010477378964 192853.99999988210038282, 520570.99999984313035384 192945.99899980763439089, 520529.81099988229107112 192855.93599997053388506, 520339.47100016410695389 192887.6569997945043724, 520305.75800009956583381 192929.92299981755786575, 520302.18100001011043787 193026.4500000786210876, 520376.71299994725268334 193011.88399993666098453, 520381.99999988701893017 193082.99999985340400599, 520463.86199981992831454 193132.90400007754215039, 520492.39800019829999655 193227.07399992577848025, 520514.84599997167242691 193206.6179999721061904, 520448.41900003870250657 193324.91100003279279917, 520445.00000015296973288 193331.00000003181048669, 520311.67499996209517121 193552.19500000221887603, 520281.87200019269948825 193615.9239999562560115, 520355.97999994008569047 193663.17199999996228144, 520361.28699996427167207 193635.92400017427280545, 520488.77600002416875213 193619.68200019921641797)))</t>
  </si>
  <si>
    <t>E01000231</t>
  </si>
  <si>
    <t>Barnet 013D</t>
  </si>
  <si>
    <t>MultiPolygon (((520571.0000000991858542 192945.99900014520972036, 520594.99999996600672603 192854.00000004874891602, 520657.27100008935667574 192853.21699985570739955, 520753.99999996641417965 192851.9999998637358658, 520762.99999981845030561 192838.00000013751559891, 520880.70100000000093132 192821.57700002731871791, 520814.15799984231125563 192722.05699992048903368, 520875.31299986632075161 192625.16500012346659787, 520788.65700014942558482 192654.80700012200395577, 520647.7539998198626563 192404.72100016157492064, 520778.14199994644150138 192338.35300009360071272, 520810.07800017087720335 192477.40199988492531702, 520860.40199996659066528 192454.33700013888301328, 520816.09999992587836459 192323.29100005145301111, 520777.99999983329325914 192234.99999985480098985, 520666.83900000178255141 192282.080999955534935, 520564.00000003993045539 192328.99999992162338458, 520582.79100018093595281 192388.90100005126441829, 520550.83800007554236799 192427.40700006962288171, 520502.02699988341191784 192388.71199982883990742, 520472.98199999600183219 192417.01000003248918802, 520453.00000016548437998 192377.00000004755565897, 520422.05700016330229118 192404.50400006599375047, 520440.97199996665585786 192452.05700004563550465, 520387.79899983975337818 192451.24099987602676265, 520291.00000008370261639 192441.99999998111161403, 520253.7270001529250294 192491.47399984530056827, 520222.37900001025991514 192426.24100011275731958, 520113.64100017055170611 192449.74399997582077049, 520096.24800000002142042 192448.35800017509609461, 520145.92999993049306795 192676.02299982542172074, 520255.838999830535613 192666.62600007691071369, 520252.78600014332914725 192796.39300014506443404, 520221.37000008462928236 192820.06599999440368265, 520239.43800009693950415 192907.06999992788769305, 520339.47099991096183658 192887.65699994310853072, 520529.81099981005536392 192855.93599985129549168, 520571.0000000991858542 192945.99900014520972036)))</t>
  </si>
  <si>
    <t>E01000232</t>
  </si>
  <si>
    <t>Barnet 013E</t>
  </si>
  <si>
    <t>MultiPolygon (((520378.46899949782527983 194962.7659998697345145, 520561.09399947489146143 194881.78100027417531237, 520565.3130006113788113 194916.82799958242685534, 520783.86299984797369689 194841.52900006726849824, 520810.3750006309710443 194774.70300000233692117, 520855.81300030509009957 194788.46800055907806382, 520960.21900045336224139 194686.93699972255853936, 521081.12500009109498933 194626.64099965279456228, 521259.84399999241577461 194625.26599958731094375, 521272.90599945094436407 194747.50000011717202142, 521527.45799951715162024 194586.14300002073287033, 521596.21899986761854962 194540.21899990102974698, 521715.03100000246195123 194571.65599952769116499, 521711.53099960001418367 194670.71900045973598026, 521925.39999994990648702 194758.30899955893983133, 522070.31200019648531452 194652.2189998141839169, 522187.65600035671377555 194134.03100060508586466, 522187.75 193872.12500049785012379, 521918.81299955025315285 193687.73399938707007095, 521808.51300016604363918 193481.70399978972272947, 521754.91800000809598714 193380.93800042304792441, 521625.53100045392056927 193272.34399997242144309, 521451.80600050010252744 193246.49799975208588876, 521352.93199988541891798 193208.60800040361937135, 521267.70900031522614881 193191.78300045081414282, 521149.44800019997637719 193195.45399947333498858, 521094.28100048960186541 193091.87599960397346877, 521054.69800004770513624 193112.18799952580593526, 521067.63900055858539417 193157.92000012579956092, 520998.29099938709987327 193163.36600048237596639, 520988.14400027488591149 193212.93800055331666954, 520940.16700012428918853 193215.48599993347306736, 520941.66699937061639503 193336.45700044187833555, 520923.04500004323199391 193280.42199941800208762, 520863.29400029178941622 193278.85800033179111779, 520877.97499977279221639 193371.45900004502618685, 520837.73699973343173042 193399.69299939746269956, 520841.99999954423401505 193429.00000001656007953, 520717.00100027833832428 193472.99899978522444144, 520619.93099977029487491 193417.18899988013436086, 520488.77599961415398866 193619.68199983614613302, 520361.28699980996316299 193635.92400049767456949, 520355.98000009846873581 193663.17200008791405708, 520274.34399984194897115 194066.8909997453156393, 520199.7190000590053387 194217.9839994216163177, 520059.58099990495247766 194390.07600048213498667, 519905.03100006299791858 194517.06200047078891657, 519746.06300012941937894 194597.06200003827689216, 519597.46300019370391965 194996.29899976411252283, 519594.40599999995902181 195015.20500008293311112, 519609.31300033384468406 195107.79699959582649171, 519791.49900033528683707 195109.09399965382181108, 519925.15499940153677016 195151.37499978955020197, 519990.62499953579390422 195200.9840003960125614, 520138.37499985541217029 195191.46900051325792447, 520378.46899949782527983 194962.7659998697345145)))</t>
  </si>
  <si>
    <t>E01000228</t>
  </si>
  <si>
    <t>Barnet 007A</t>
  </si>
  <si>
    <t>E02000030</t>
  </si>
  <si>
    <t>Barnet 007</t>
  </si>
  <si>
    <t>MultiPolygon (((523002.0440004940610379 195852.72899980773217976, 523061.85199930658563972 195740.93700043845456094, 523057.28400055691599846 195697.74000012577744201, 523109.34900088224094361 195656.42899933163425885, 523185.98999957111664116 195575.58699931239243597, 523204.99999935546657071 195601.99999944114824757, 523278.77599940792424604 195542.92400018885382451, 523347.50500011641997844 195477.49499981830012985, 523266.31899976346176118 195355.06500046668224968, 523337.92099961213534698 195360.0240000860649161, 523465.00799992482643574 195306.46700081604649313, 523425.74399957770947367 195236.25600082305027172, 523444.49000018817605451 195173.45800083474023268, 523565.80899986554868519 195233.12799968247418292, 523548.05600022402359173 195320.1170004510495346, 523622.61400007689371705 195336.00900069408817217, 523644.91400053893448785 195238.93299925452447496, 523791.68599999998696148 195178.99999984161695465, 523777.09199908841401339 195101.0209993023017887, 523602.37499997398117557 195117.68700078094843775, 523439.81299990665866062 194995.89099966568755917, 523358.78100052603986114 195008.87499904917785898, 523332.84099964424967766 194961.16899933945387602, 523309.87500086973886937 194896.59399942535674199, 523259.5940004262374714 194892.68700012759654783, 523235.96899941720766947 194824.5779996823403053, 523200.99999953340739012 194825.73400073617813177, 523107.93799976701848209 194702.92199962731683627, 523053.40599969209870324 194728.01600055646849796, 522922.40600067330524325 194661.51599915252882056, 522885.56300008756807074 194691.99999921163544059, 522727.06300083815585822 194605.14099984307540581, 522533.68800083786481991 194632.06200093813822605, 522290.0930008422001265 194602.2339995313086547, 522070.3120006691897288 194652.21900072478456423, 521925.40000005892943591 194758.30900070650386624, 521711.53099989437032491 194670.71900038639432751, 521715.03099925385322422 194571.65600033922237344, 521596.21899990609381348 194540.21899989107623696, 521527.45799912145594135 194586.14300081442343071, 521272.90600086882477626 194747.50000013550743461, 521259.8439994819345884 194625.26599955357960425, 521081.12499944999581203 194626.64100034072180279, 520960.21899911924265325 194686.93700079910922796, 520855.81300047808326781 194788.46799920458579436, 520810.37500010512303561 194774.70300056843552738, 520783.8630000437842682 194841.52900020303786732, 520565.31299934582784772 194916.82800066767958924, 520561.09399979043519124 194881.78100071949302219, 520378.46899906947510317 194962.76599956411519088, 520138.37500092008849606 195191.46900024177739397, 519990.62500094994902611 195200.98399979417445138, 519925.15499945171177387 195151.37500094959978014, 519919.84400093386648223 195192.87500055733835325, 519913.59400000004097819 195225.2969995315943379, 519914.9059992436086759 195307.29699976110714488, 519999.40599984664004296 195331.95299928452004679, 520113.59400079626357183 195334.40599912207107991, 520194.59500064846361056 195290.59799959763768129, 520276.62099960673367605 195424.91399996192194521, 520399.56300017656758428 195315.34399994113482535, 520436.18799963762285188 195205.60900067910552025, 520445.68899927794700488 195195.39099999939207919, 520681.78200093563646078 195107.40699910541297868, 520710.718999071221333 195191.70300043496536091, 520714.73099964892026037 195200.9649990824109409, 520757.68800036009633914 195293.89099997948505916, 520805.71400083118351176 195267.6110009549302049, 521090.43800082436064258 195071.23400096216937527, 521395.17300013563362882 195039.43799972042324953, 521553.34399951121304184 195038.95299971775966696, 521762.46899953781394288 195219.6719996606989298, 521786.85399993136525154 195197.04600096799549647, 521891.46900058462051675 195043.98399999321554787, 522077.81300039845518768 195230.50000094342976809, 522302.56299985107034445 195358.98400052014039829, 522325.96899918769486248 195304.81199984744307585, 522455.21899949625367299 195410.18599933746736497, 522425.96900055534206331 195465.67200034920824692, 522477.63199980300851166 195504.07200057964655571, 522526.1239995650248602 195539.2570004925946705, 522719.93799957970622927 195677.18700060882838443, 522611.62499970174394548 195821.85899967854493298, 522644.93800000823102891 195850.14099970960523933, 522630.02999968267977238 195870.37500095192808658, 522676.18800079921493307 195879.95300010885694064, 522717.34400007320800796 195823.31200053010252304, 522803.07799985544988886 195883.08000070170965046, 522847.28100050147622824 195919.81200059916591272, 522897.15599961538100615 195852.39100082140066661, 522935.74900085036642849 195877.0160008164239116, 522895.25000077637378126 195933.78100044783786871, 523130.2070007006986998 196000.33800010895356536, 523162.60300094622652978 195954.01799945530365221, 523141.08100003266008571 195908.14099906792398542, 523002.0440004940610379 195852.72899980773217976)))</t>
  </si>
  <si>
    <t>E01000290</t>
  </si>
  <si>
    <t>Barnet 007F</t>
  </si>
  <si>
    <t>MultiPolygon (((522662.0930000867228955 197019.85899975427309982, 522776.30799962038872764 196863.59800033576902933, 522803.9379994937335141 196915.89100034150760621, 523109.86600064509548247 197164.50599935135687701, 523076.34400020143948495 196998.81900059460895136, 523131.29799966438440606 196639.71300006439560093, 523418.8370001902221702 196751.99800045575830154, 523418.96799999999348074 196707.29499939235392958, 523267.04100002296036109 196642.94199942488921806, 523247.01799961586948484 196613.15899968578014523, 523289.76300052035367116 196597.64600007041008212, 523297.97799966222373769 196550.92599941254593432, 523329.20100035233190283 196555.65400046625290997, 523361.45099941146327183 196510.01199974905466661, 523379.57099951000418514 196434.63300040288595483, 523259.4470001888112165 196414.00800035131396726, 523272.53199938021134585 196380.91999998563551344, 523338.34000037668738514 196380.19499970189644955, 523311.31100057810544968 196278.90999942514463328, 523381.00299998390255496 196051.52500012691598386, 523355.07499937451211736 196080.09099963848711923, 523256.84400059748440981 196220.18700040839030407, 523226.67400015360908583 196188.07099986801040359, 523142.46899936115369201 196074.09399982911418192, 523173.71900019160239026 196043.92200024594785646, 523130.20700009173015133 196000.33799977184389718, 522895.25000063813058659 195933.78099967355956323, 522935.74899988685501739 195877.01599950907984748, 522897.1559996556607075 195852.39100000975304283, 522847.28100045741302893 195919.81199937203200534, 522803.07799981499556452 195883.08000053773866966, 522717.34399978659348562 195823.3120004452066496, 522676.18799973645946011 195879.95300040076836012, 522630.03000025730580091 195870.37499983698944561, 522644.93800021259812638 195850.14100007538218051, 522611.62499998416751623 195821.85899986216099933, 522719.93800063774688169 195677.18700057070236653, 522526.12400029570562765 195539.25700060522649437, 522477.63200044562108815 195504.07199979372671805, 522425.96899979433510453 195465.67200013005640358, 522455.21900024759816006 195410.18599964430904947, 522325.96900053409626707 195304.81200032829656266, 522302.56300040159840137 195358.98400051789940335, 522077.81299998995382339 195230.50000043012551032, 521891.46900057973107323 195043.9840005615260452, 521786.85399998200591654 195197.04599946885718964, 521762.46900042338529602 195219.67199946727487259, 521553.3439997736713849 195038.95300054628751241, 521395.1730004457058385 195039.43799958267481998, 521090.43799939716700464 195071.23400063760345802, 520805.71400000003632158 195267.61099949202616699, 520903.00099996838252991 195374.12499950648634695, 521065.09300007560523227 195797.605999682971742, 521165.00000015913974494 196541.29699989032815211, 521099.78100048174383119 196561.40599987332825549, 521067.04100061813369393 196636.6000004356901627, 521110.90600037493277341 196700.49999935540836304, 521196.25100055924849585 196702.61799991034786217, 521300.93800022458890453 196614.98399958896334283, 521590.43799961829790846 196782.23399993602652103, 521745.34500027488684282 196843.35900011265766807, 521772.06400020443834364 196802.99999941379064694, 521919.30999980756314471 196882.65600051844376139, 521978.59299955709138885 196914.10900022624991834, 521956.25000059395097196 196964.78100008241017349, 522079.93800014571752399 197031.98400048940675333, 522201.093999604054261 197054.26599957104190253, 522236.2809995548450388 196971.8280001224775333, 522628.6249999237479642 197171.98399945374694653, 522662.0930000867228955 197019.85899975427309982)))</t>
  </si>
  <si>
    <t>E01000253</t>
  </si>
  <si>
    <t>Barnet 007B</t>
  </si>
  <si>
    <t>MultiPolygon (((521480.000000246160198 193248, 521494.80899999238317832 193199.62300021754344925, 521561.01799980679061264 193203.74000008942675777, 521585.07699996459996328 193101.69599975345772691, 521813.68099977110978216 192893.57500007093767636, 521679.4470001696026884 192756.5359998750500381, 521623.99999987054616213 192614.99999983925954439, 521594.00000009377254173 192427.00000017779530026, 521618.00000011397060007 192382.00000001562875696, 521619.9999998671701178 192348.99999986359034665, 521561.72500005725305527 192374.83600003793253563, 521542.08800005295779556 192298.96600015912554227, 521486.00000000273576006 192333.99999997520353645, 521365.9999999015708454 192324.00000021525193006, 521250.5879998694290407 192254.05400000000372529, 521154.99999984801979735 192392.99999990066862665, 521194.85199983138591051 192416.64799990865867585, 521174.21600010874681175 192460.28900006882031448, 521250.96699992776848376 192585.26599989100941457, 521182.95599987008608878 192660.61299979683826678, 521364.86500004288973287 192518.05400022250250913, 521387.41300001268973574 192571.13199980676290579, 521199.54899999452754855 192782.50699978301418014, 521122.70099999138619751 192837.48799993036664091, 521119.13300022890325636 192946.14600022495142184, 521151.00099975435296074 192945.99900008429540321, 521267.7090000121970661 193191.78300017115543596, 521352.93199994473252445 193208.608000213309424, 521451.80599985440494493 193246.49799999300739728, 521480.000000246160198 193248)))</t>
  </si>
  <si>
    <t>E01000263</t>
  </si>
  <si>
    <t>Barnet 016C</t>
  </si>
  <si>
    <t>E02000039</t>
  </si>
  <si>
    <t>Barnet 016</t>
  </si>
  <si>
    <t>MultiPolygon (((521267.70899997971719131 193191.78300003317417577, 521151.00099988240981475 192945.99900008845725097, 521119.1330001694150269 192946.14600002387305722, 521122.70099981204839423 192837.48799990955740213, 521199.54899984959047288 192782.50699990303837694, 521387.41300019359914586 192571.1319999567058403, 521364.86499974085018039 192518.05400031121098436, 521182.95599970407783985 192660.61299979701288976, 521250.96699970826739445 192585.2659997763694264, 521174.21600007766392082 192460.28900009940844029, 521194.85200029361294582 192416.64800006328732707, 521154.99999968725023791 192393.00000016955891624, 521250.58799991937121376 192254.05399970576399937, 521366.00000022567110136 192323.99999984772875905, 521485.99999984662281349 192333.99999976163962856, 521542.08800028800033033 192298.96600009576650336, 521561.724999888043385 192374.83599988211062737, 521620.00000026298221201 192349.00000028676004149, 521618.0000001493608579 192381.99999987171031535, 521774.71500024182023481 192348.81899972978862934, 521764.37100027437554672 192305.89200031460495666, 521753.00000029534567147 192260.00000013716635294, 521804.25899972987826914 192147.32700000249315053, 521600.72199985530460253 192189.55600032085203566, 521542.62700026918901131 192155.83000028048991226, 521568.88200019230134785 192128.54199977428652346, 521513.22900029417360201 192030.25700009986758232, 521481.03699981555109844 192074.98299978379509412, 521379.11500014155171812 192015.36400027992203832, 521386.32799989153863862 191978.67999981695902534, 521359.99999988480703905 191970.00000001734588295, 521383.66900014318525791 191931.53800030457205139, 521346.10699979454511777 191886.85699999998905696, 521273.87000028102193028 191995.25800016935681924, 521232.56500030437018722 192060.49600003470550291, 521209.6299999548937194 192096.92599985707784072, 521035.65499997435836121 192370.96600026090163738, 521020.61399979662382975 192394.70499999000458047, 520875.31300018058391288 192625.16499995256890543, 520814.15800027013756335 192722.05700008338317275, 520880.7009998022695072 192821.57699995394796133, 520904.08099968469468877 192879.36700025713071227, 520931.89599968335824087 192943.27099998318590224, 521094.28100008820183575 193091.8760002659400925, 521149.44800014648353681 193195.45399999999790452, 521267.70899997971719131 193191.78300003317417577)))</t>
  </si>
  <si>
    <t>E01000264</t>
  </si>
  <si>
    <t>Barnet 016D</t>
  </si>
  <si>
    <t>MultiPolygon (((522357.80299999716226012 191611.45599990047048777, 522425.36800024734111503 191601.20200013639987446, 522437.00000003597233444 191652.99999996618134901, 522340.99999976257095113 191684.99999984409078024, 522216.99999975587707013 191798.00000025259214453, 522187.84000010223826393 191927.45499989597010426, 522449.31700016366085038 191884.14199975971132517, 522575.32800030370708555 191951.52299968723673373, 522703.81800009054131806 191721.88699969771550968, 522670.69000023708213121 191700.49500009344774298, 522623.50399981730151922 191684.69100013663410209, 522653.04900000704219565 191655.05700018021161668, 522639.58400025812443346 191620.76400017508422025, 522691.45399996382184327 191641.18499977316241711, 522687.28500019037164748 191664.88099988555768505, 522864.90299976954702288 191745.49499996172380634, 522922.93700004945276305 191753.73800023220246658, 522947.1909999999916181 191714.54799978877417743, 522906.60800011764513329 191675.53399968182202429, 522895.13699997158255428 191568.57099998634657823, 522931.19499973428901285 191504.45400019225780852, 522816.3329998153494671 191489.15699976164614782, 522766.75899999175453559 191450.99100011272821575, 522776.88699981302488595 191415.97199991915840656, 522606.41800031025195494 191383.22500028883223422, 522636.82800020900322124 191293.60899989059544168, 522498.20999996119644493 191268.0579996959422715, 522393.94100026175146922 191301.22799995681270957, 522389.32300006243167445 191270.74500026382156648, 522344.31899988115765154 191277.34299993020249531, 522343.06400004448369145 191315.70799995595007204, 522390.18099970353068784 191338.12700010961270891, 522392.95199980679899454 191388.98400004146969877, 522350.74199976911768317 191375.56999996479135007, 522337.54800027294550091 191404.40699977515032515, 522353.08600020833546296 191471.36299987521488219, 522292.88100007077446207 191523.44700001185992733, 522255.65999999304767698 191475.55199993410496973, 522260.82700012600980699 191401.62499993076198734, 522210.57300019467948005 191377.74799989035818726, 522212.00000005483161658 191333.99900018551852554, 522045.38000023720087484 191321.87899995828047395, 522070.24700001114979386 191255.78599973060772754, 522046.95799991715466604 191126.69399986157077365, 522109.78299969842191786 191102.19899976649321616, 522089.87100010289577767 191038.36000029306160286, 522005.56000007968395948 191052.68299968307837844, 521922.00000012182863429 191370.00000012639793567, 521765.00000004115281627 191517.00100008354638703, 521757.65599990088958293 191554.68300024661584757, 521667.70499999995809048 191641.44199989011394791, 521862.23900017881533131 191732.94899998873006552, 521833.52699975325958803 192036.6249997069244273, 521963.77800026413751766 192018.01699978369288146, 521989.00899973069317639 191985.90199970410321839, 521963.25199973105918616 191907.96499973323079757, 522162.0609999806038104 191800.88499999948544428, 522211.99900013656588271 191723.39799973301705904, 522357.80299999716226012 191611.45599990047048777)))</t>
  </si>
  <si>
    <t>E01000256</t>
  </si>
  <si>
    <t>Barnet 016A</t>
  </si>
  <si>
    <t>MultiPolygon (((522007.32800000684801489 192638.89600038545904681, 521997.74700005364138633 192590.64099999933387153, 521802.05900023464346305 192605.61999990561162122, 521749.361999626387842 192541.04399980744346976, 521959.999000201059971 192499.00000028478098102, 521959.03700016613584012 192420.99400030623655766, 522025.08999980159569532 192411.29100022712373175, 522120.35400010336888954 192398.08999983867397532, 522108.12999972008401528 192441.97600027872249484, 522157.22500001522712409 192432.39500032551586628, 522159.69500010495539755 192392.24800029469770379, 522194.99999965616734698 192387.00000004330649972, 522206.26200000452809036 192480.74900019890628755, 522354.3530001295148395 192465.65200010608532466, 522362.979000139166601 192574.205000252724858, 522333.5109996153623797 192578.91900030249962583, 522334.95800000207964331 192621.99299961957149208, 522379.35400021763052791 192658.17499990123906173, 522456.18600021430756897 192674.14499999539111741, 522488.85100027709268034 192533.81399997003609315, 522474.05699973966693506 192413.54499964075512253, 522599.21400024648755789 192322.50000037311110646, 522400.51000031793955714 192237.72700005758088082, 522457.22200031270040199 192120.77099987905239686, 522627.20200029126135632 192017.3779997375968378, 522575.32800004701130092 191951.52299986631260253, 522449.31700023816665635 191884.14199981809360906, 522187.83999994280748069 191927.45499966022907756, 522217.00000039458973333 191797.99999990846845321, 522340.99999967485200614 191684.99999981289147399, 522436.99999988183844835 191652.99999974388629198, 522425.36800000601215288 191601.2019999276380986, 522357.80300037632696331 191611.45599975340883248, 522211.99899975734297186 191723.39799968907027505, 522162.06100019090808928 191800.8850002258841414, 521963.2519996814080514 191907.96499998492072336, 521989.00900016148807481 191985.90199962686165236, 521963.77800000424031168 192018.01699973043287173, 521833.52699967683292925 192036.62499973818194121, 521862.23899980867281556 191732.94899970191181637, 521667.70500027458183467 191641.44199993149959482, 521757.65599992772331461 191554.68300009056110866, 521765.00000001222360879 191517.00099963290267624, 521612.00000022526364774 191548.99999991449294612, 521679.16600017453311011 191445.43899994916864671, 521648.33099963149288669 191402.52400000003399327, 521545.27700007945531979 191569.00000015503610484, 521346.10699970874702558 191886.85699994710739702, 521383.66899961529998109 191931.53800038565532304, 521359.99999987933551893 191970.00000008192728274, 521386.32799980300478637 191978.67999966826755553, 521379.11500030034221709 192015.36399984668241814, 521481.03699962899554521 192074.9830002203816548, 521513.2289999479544349 192030.25699987134430557, 521568.88199999538483098 192128.54200000947457738, 521542.62700034771114588 192155.83000039326725528, 521600.72200011933455244 192189.55599997824174352, 521804.2590000715572387 192147.32700029702391475, 521753.00000018381979316 192259.99999962135916576, 521764.3710002627922222 192305.89200007353792898, 521774.71499990957090631 192348.81899984087795019, 521618.00000013952376321 192381.99999998314888217, 521593.99999969289638102 192426.99999973468948156, 521624.00000005372567102 192614.99999994263635017, 521679.44699966837652028 192756.53599967763875611, 521813.68099986715242267 192893.57499982640729286, 521912.24099998490419239 192981.96700000000419095, 521953.78499997535254806 192877.26999987193266861, 521945.83299962570890784 192718.89000025400309823, 522007.32800000684801489 192638.89600038545904681)))</t>
  </si>
  <si>
    <t>E01000258</t>
  </si>
  <si>
    <t>Barnet 016B</t>
  </si>
  <si>
    <t>MultiPolygon (((522005.56000005797250196 191052.68300024099880829, 522089.87099973048316315 191038.36000024748500437, 522109.78300032549304888 191102.19900019600754604, 522046.95800009701633826 191126.69399996500578709, 522070.24699988652719185 191255.78600030348752625, 522045.38000029302202165 191321.87900011049350724, 522211.99999989400384948 191333.99899976048618555, 522210.57300032797502354 191377.74800002650590613, 522260.82699994649738073 191401.62499984199530445, 522255.6600002545164898 191475.55199976899893954, 522292.8809996559866704 191523.44700014448608272, 522353.0860001869732514 191471.36299988400423899, 522337.54799987399019301 191404.40699987148400396, 522350.74199982249410823 191375.5700002255034633, 522392.95199982851045206 191388.98399988349410705, 522390.18099989299662411 191338.12699991351109929, 522343.06400004902388901 191315.70800019201124087, 522344.3189997894805856 191277.34299969649873674, 522389.32299979601521045 191270.74500020701088943, 522393.94099972950061783 191301.22799997500260361, 522498.21000012697186321 191268.05800006850040518, 522636.82800011400831863 191293.60900017950916663, 522606.41800004901597276 191383.22499993399833329, 522776.88700011547189206 191415.97199977751006372, 522976.76200002047698945 191466.98500009399140254, 522957.42299984948476776 191261.1139997270074673, 522831.05899967101868242 191203.43700008050655015, 522861.26799985999241471 191077.83299975350382738, 522751.37100004049716517 190920.68699968550936319, 522893.00000010652001947 190964.99900015851017088, 523059 190559.00099977198988199, 523011.60999973048456013 190436.9780003170017153, 522992.40499971801182255 190390.85899999050889164, 522930.93800030747661367 190415.15799999199225567, 522430.00000025099143386 190619.82000002500717528, 522298.61499978648498654 190657.30400035850470886, 522094.78099992300849408 190677.42200021448661573, 522075.98700000252574682 190717.54699983299360611, 521652.2809999649762176 191396.28100021599675529, 521648.33100034651579335 191402.52399996051099151, 521679.16600022849161178 191445.43900007149204612, 521612 191549.00000000948784873, 521764.99999995849793777 191517.00100004649721086, 521921.99999989697244018 191370.00000018099672161, 522005.56000005797250196 191052.68300024099880829)))</t>
  </si>
  <si>
    <t>E01000260</t>
  </si>
  <si>
    <t>Barnet 025E</t>
  </si>
  <si>
    <t>E02000048</t>
  </si>
  <si>
    <t>Barnet 025</t>
  </si>
  <si>
    <t>MultiPolygon (((523011.61000027100089937 190436.97800019627902657, 523339.81199981243116781 190297.95300014052190818, 523494.12499989225761965 190391.71900003749760799, 523534.54600031266454607 190296.66899981678579934, 523649.62499969586497173 190291.15600007053581066, 523746.62500029028160498 190246.46899997926084325, 523791.03200000402284786 190273.48299980809679255, 523805.47100020066136494 190195.02400026758550666, 523863.81899990868987516 190160.81699969046167098, 523919.32600024325074628 190180.78700018092058599, 523920.68200023099780083 190211.36699999988195486, 523959.92699982365593314 190218.82899970337166451, 523950.26700006175087765 190250.32400030497228727, 524027.86100005998741835 190308.90399998298380524, 524109.75100022065453231 190261.67700016614980996, 524072.2100002549123019 190225.49800016017979942, 524105.33299978548893705 190100.78199985509854741, 524120.95400015031918883 190100.51499983796384186, 524162.99499995802761987 190014.83199990435969085, 524225.05900021945126355 190020.36399998297565617, 524190.94300027028657496 189909.98999990613083355, 524240.76499997708015144 189909.48799993301508948, 524255.55700000002980232 189859.99999972022487782, 524107.44400024990318343 189775.37099971002317034, 524095.25300008885096759 189840.74700030480744317, 524061.61300002364441752 189848.37300008506281301, 524056.99999986682087183 189630.99999997080885805, 523972.23800005624070764 189558.17899980372749269, 523886.00600015837699175 189811.39399981242604554, 523864.56699999695410952 189832.73800020662019961, 523641.87400028842967004 189957.3189998785383068, 523617.30699998763157055 189977.59800019013346173, 523541.60899998346576467 190047.7200001105084084, 523531.76100025675259531 190057.69600008195266128, 523391.91599981719627976 190183.45800013723783195, 522992.40500000002793968 190390.85900005087023601, 523011.61000027100089937 190436.97800019627902657)))</t>
  </si>
  <si>
    <t>E01000198</t>
  </si>
  <si>
    <t>Barnet 025A</t>
  </si>
  <si>
    <t>MultiPolygon (((524379.83200005069375038 189916.09800014010397717, 524786.49899998994078487 189773.98700001774705015, 524787.2029998394427821 189826.08500024123350158, 524802.8159997679758817 189871.39199981378624216, 524845.00000003748573363 189856.99999992892844602, 524864.00000017287675291 189888.00000021202140488, 524858.09000013850163668 189832.14700027665821835, 524905.74000005039852113 189825.74899989675031975, 524911.25999971653800458 189723.15099988880683668, 524941.00000003725290298 189714.99999975686660036, 524978.15499970724340528 189709.33300012466497719, 524988.20300024526659399 189751.7390002946194727, 525027.50999974401202053 189739.91799986443948001, 525019.99999972933437675 189704.00000011388328858, 525154 189684.00000006466871127, 525094.66800027689896524 189591.70799992021056823, 524861.75300026952754706 189607.20499986349022947, 524858.93300001625902951 189653.89399978017900139, 524819.32100015378091484 189658.53000010867253877, 524751.8579998480854556 189668.0980002390278969, 524745.73500021267682314 189581.15099971671588719, 524688.55800022114999592 189585.70700007572304457, 524712.47000001836568117 189572.78600021300371736, 524681.66499991936143488 189519.46199991082539782, 524718.9349998040124774 189470.31500003102701157, 524654.99999986542388797 189412.99999978204141371, 524580.96599985891953111 189455.07199973971000873, 524578.11000018066260964 189355.13100014330120757, 524440.12499976891558617 189300.95300012271036394, 524281.62499983690213412 189295.71899985993513837, 524116.62400010350393131 189375.57099972915602848, 523998.56099990371149033 189520.91299979289760813, 523972.23799999995389953 189558.17900000399095006, 524056.99999998969724402 189630.99999990474316292, 524061.61300027521792799 189848.37300024455180392, 524095.2530001417035237 189840.74700024462072179, 524107.44400020915782079 189775.37099990321439691, 524255.55699994665337726 189860.00000026129418984, 524265.99999970616772771 189857.99999984275200404, 524322.55100027623120695 189834.53399997879751027, 524379.83200005069375038 189916.09800014010397717)))</t>
  </si>
  <si>
    <t>E01000201</t>
  </si>
  <si>
    <t>Barnet 028C</t>
  </si>
  <si>
    <t>MultiPolygon (((523998.56100022105965763 189520.91300004397635348, 524116.62399983557406813 189375.57100007263943553, 524281.62499996705446392 189295.71900015653227456, 524440.125 189300.95300009133643471, 524299.78799987421371043 189232.9699998470605351, 524208.16500016133068129 189137.83899990492500365, 524185.5710001215338707 189115.0420001239690464, 524071.94499993306817487 189137.57299979930394329, 524044.26700008491752669 189063.62499978978303261, 523951.11100010277004912 189090.64799990114988759, 523911.30900014541111887 189095.00000007092603482, 523731.98699984670383856 189069.00100005182321183, 523711.00000010896474123 189068.9999997989507392, 523585.0000001935986802 189049.99999994231620803, 523550.61600000003818423 189111.67299990812898614, 523555.49299994524335489 189140.17000004634610377, 523656.91600006172666326 189175.71800015369080938, 523640.00000015314435586 189246.00000000835279934, 523635.18499987473478541 189245.51799998749629594, 523642.83599990484071895 189339.13599982543382794, 523581.71800018451176584 189348.68499991364660673, 523579.00000002817250788 189390.99999978035339154, 523699.99599990615388379 189396.99999994575046003, 523837.99999982950976118 189460.99999993099481799, 523831.38100013561779633 189447.76099984557367861, 523862.42200001660967246 189412.54399982452741824, 523978.00000013079261407 189524.99999991623917595, 523972.23800010676495731 189558.17900005768751726, 523998.56100022105965763 189520.91300004397635348)))</t>
  </si>
  <si>
    <t>E01000238</t>
  </si>
  <si>
    <t>Barnet 034B</t>
  </si>
  <si>
    <t>E02000057</t>
  </si>
  <si>
    <t>Barnet 034</t>
  </si>
  <si>
    <t>MultiPolygon (((522992.40499971725512296 190390.85900028137257323, 523391.91599999996833503 190183.45799998685833998, 523340.16999985557049513 190125.83699978629010729, 523270.60100031626643613 190207.48899993518716656, 523204.87999974843114614 190202.0129999021301046, 523214.95599979785038158 190078.28699982829857618, 523177.76699990587076172 190095.64200004949816503, 523116.91900022362824529 190123.4649997056403663, 523074.47300014056963846 190069.04499986136215739, 523109.57800024177413434 190125.61300013741129078, 523016.99999980069696903 190169.00000032052048482, 523005.00000026548514143 190100.00000007462222129, 522970.93400011077756062 190120.02200000666198321, 522871.9999999042483978 190100.00000007462222129, 522865.83700020686956123 190122.90200031019048765, 522613.89499968505697325 190058.35699984469101764, 522645.94499975699000061 189910.07299981472897343, 522596.28699976782081649 189908.32099978142650798, 522564.00000016001285985 189814.0000001268053893, 522492.44399993657134473 189837.95200001366902143, 522486.60100020084064454 189796.69999972675577737, 522443.69400028447853401 189806.16299971792614087, 522454.00300015404354781 190004.86400012241210788, 522437.42700019420590252 189854.27300009524333291, 522383.23599980561994016 189875.22499977401457727, 522384.53999989264411852 190041.35100028093438596, 522389.59100012859562412 190054.00799999077571556, 522398.09699985943734646 190339.39800015350920148, 522206.05199995468137786 190355.45500018566963263, 522094.78099999995902181 190677.42200027321814559, 522298.61499967804411426 190657.30400002835085616, 522430.00000016181729734 190619.81999985754373483, 522930.93800007877871394 190415.15799999493174255, 522992.40499971725512296 190390.85900028137257323)))</t>
  </si>
  <si>
    <t>E01000240</t>
  </si>
  <si>
    <t>Barnet 031B</t>
  </si>
  <si>
    <t>E02000054</t>
  </si>
  <si>
    <t>Barnet 031</t>
  </si>
  <si>
    <t>MultiPolygon (((523270.60100005974527448 190207.48900009351200424, 523340.17000000918051228 190125.83700009307358414, 523391.91600004676729441 190183.45800018165027723, 523531.76100000005681068 190057.6960000038088765, 523474.10599986015586182 190018.46400006022304296, 523501.32499988534254953 189972.45999991340795532, 523479.6129998957621865 189936.99500005244044587, 523407.00000015838304535 190045.99999979432323016, 523372.68300008599180728 190038.67099995195167139, 523394.04299984133103862 189835.2590001703647431, 523293.03599988494534045 189664.12900021151290275, 523293.09299982251832262 189609.36599987326189876, 523165.44899985531810671 189756.75300011184299365, 523120.65099990856833756 189729.92399997328175232, 523115.34200009074993432 189793.0679998786363285, 523050.78300006140489131 189828.75899991867481731, 523011.32899999880464748 189822.26000014090095647, 522968.61200007417937741 189825.3299998601723928, 523035.17599990300368518 189518.88600002264138311, 522959.38699977344367653 189504.29099990651593544, 522950.33100017317337915 189573.23100005410378799, 522992.21499998815124854 189589.75200016092276201, 522992.56700022233417258 189636.46899999334709719, 522873.55799996259156615 189674.06200012282351963, 522837.1369999818271026 189619.38500015728641301, 522777.96800006798002869 189577.79600018003839068, 522701.76600016560405493 189600.64799983814009465, 522703.25900008337339386 189640.33500018483027816, 522743.21299984760116786 189633.25099988878355362, 522752.13400017551612109 189725.56300015517626889, 522616.33199985744431615 189731.14899999953922816, 522695.06200006499420851 189862.62700013691210188, 522645.94500001257983968 189910.07299989502644166, 522613.89500000001862645 190058.35699982690857723, 522865.83700020355172455 190122.90200010509579442, 522871.99999998725252226 190100.00000015558907762, 522970.93400004151044413 190120.0220000246190466, 523005.00000001862645149 190100.00000015558907762, 523017.00000020087463781 190168.99999982680310495, 523109.5779998698271811 190125.61299994401633739, 523074.47299990418832749 190069.04500005408772267, 523116.91899989231023937 190123.46499983430840075, 523177.76700022048316896 190095.64199992356589064, 523214.95599979435792193 190078.28700015103095211, 523204.88000003172783181 190202.01300006420933641, 523270.60100005974527448 190207.48900009351200424)))</t>
  </si>
  <si>
    <t>E01000241</t>
  </si>
  <si>
    <t>Barnet 031C</t>
  </si>
  <si>
    <t>MultiPolygon (((523641.8740001444821246 189957.31900008721277118, 523864.56700015813112259 189832.73799983394565061, 523886.00600005278829485 189811.3939999938593246, 523972.23799995135050267 189558.17900003041722812, 523978 189525.00000006592017598, 523862.42200011649401858 189412.54399999539600685, 523831.38099986157612875 189447.76100006265914999, 523838.00000015343539417 189461.00000000884756446, 523818.00000002857996151 189501.23999999978695996, 523704.39200010424247012 189449.45299984788289294, 523545.38999987294664606 189453.82400000651250593, 523466.9650001153931953 189400.72399989762925543, 523445.80899994698120281 189451.60499987911316566, 523422.66499999293591827 189446.73899986894684844, 523372.31200005859136581 189613.6400001535366755, 523350.95900013402570039 189653.16799993041786365, 523332.68999993207398802 189636.89300014131003991, 523293.03599999996367842 189664.1290000325825531, 523394.04300010640872642 189835.25899990397738293, 523372.68299984972691163 190038.67099999642232433, 523407.00000003125751391 190046.00000006495974958, 523479.61300010804552585 189936.99500000348780304, 523501.32499993947567418 189972.45999984900117852, 523474.10600016970420256 190018.46399998347624205, 523531.76099991920636967 190057.69600010235444643, 523541.60899996286025271 190047.72000015105004422, 523617.30700015224283561 189977.59800009103491902, 523641.8740001444821246 189957.31900008721277118)))</t>
  </si>
  <si>
    <t>E01000242</t>
  </si>
  <si>
    <t>Barnet 032B</t>
  </si>
  <si>
    <t>E02000055</t>
  </si>
  <si>
    <t>Barnet 032</t>
  </si>
  <si>
    <t>MultiPolygon (((524261.42899986839620396 188571.76700014548259787, 524311.47199990868102759 188560.85499989739037119, 524321.28799991018604487 188593.33899984927847981, 524368.98100015730597079 188588.17900015969644301, 524395.60099989338777959 188549.99100002794875763, 524413.52200006321072578 188428.82099998558987863, 524390.85400011274032295 188391.40999984473455697, 524483.2899999434594065 188352.4299999026407022, 524484.57500004861503839 188298.03800017136381939, 524547.72299991082400084 188329.40799987260834314, 524554.65899999998509884 188300.14500009364564903, 524509.25399989972356707 188280.59100010819383897, 524545.57700016361195594 188237.10000007075723261, 524522.8089998229406774 188210.02599986470886506, 524463.92899981746450067 188248.5709998928650748, 524424.88400004466529936 188217.37600004705018364, 524347.32300006633158773 188121.59399983141338453, 524314.63799988524988294 188128.08300000397139229, 524295.46500016946811229 188189.0870001194125507, 524263.85799986316123977 188166.84200008027255535, 524211.5630000518867746 188233.43100016485550441, 524196.60699999745702371 188252.83399993239436299, 524093.7130000208853744 188221.25299999976414256, 524064.2599998313235119 188245.89399984231567942, 523945.81800003489479423 188111.64699998436844908, 523925.97399998421315104 188088.96500003081746399, 523818.95900000003166497 188159.76999996046652086, 523981.30999992793658748 188421.20500011125113815, 524037.57099989580456167 188634.9239998257253319, 524048.71400001196889207 188709.94899996917229146, 524216.78700012376066297 188675.73800018048495986, 524222.06200002314290032 188622.82699986279476434, 524263.87700005137594417 188606.29499982157722116, 524261.42899986839620396 188571.76700014548259787)))</t>
  </si>
  <si>
    <t>E01000215</t>
  </si>
  <si>
    <t>Barnet 037B</t>
  </si>
  <si>
    <t>MultiPolygon (((522806.72299986245343462 189185.42000013752840459, 522925.82699999993201345 189146.72300016251392663, 523096.38100008748006076 189182.38299996251589619, 523116.51399998745182529 189116.57200020001619123, 523024.99999977496918291 189096.99999993751407601, 523028.88200002495432273 189039.57100015002652071, 523093.03500017494661734 189038.42499973753001541, 523072.53500018746126443 188848.11999988750903867, 523089.13699994998751208 188784.47399990001576953, 523237.09399987495271489 188863.34099982501356862, 523265.00200003746431321 188824.50100000001839362, 523432.99999971245415509 188907.99999973751255311, 523415.27199979993747547 188955.71799993750755675, 523453.99999979994026944 189007.99999976251274347, 523585.00000014994293451 189049.99999993751407601, 523711.00000008748611435 189069.00000021251617, 523731.03099999995902181 189041.13000013752025552, 523689.99100008746609092 189032.52800021250732243, 523717.22700012498535216 188876.41000018751947209, 523551.38900001248111948 188792.60599982502753846, 523547.07599977497011423 188768.12100026253028773, 523402.29899987496901304 188754.41400016253464855, 523141.55899984994903207 188619.31699982500867918, 523033.44100002496270463 188594.61300023752846755, 522936.18800018745241687 188591.21899981252499856, 522857.44100007496308535 188699.47300001251278445, 522777.28699973743641749 188797.72899982501985505, 522724.18000009993556887 188864.0900000500259921, 522556.03099999995902181 189030.65500027503003366, 522634.64300024998374283 189109.58099988751928322, 522639.99999973748344928 189204.00000018751597963, 522806.72299986245343462 189185.42000013752840459)))</t>
  </si>
  <si>
    <t>E01000237</t>
  </si>
  <si>
    <t>Barnet 032A</t>
  </si>
  <si>
    <t>MultiPolygon (((522383.23599971196381375 189875.22500025280169211, 522437.4270000159740448 189854.2730001088057179, 522454.00300028797937557 190004.86399977278779261, 522443.69400019838940352 189806.16300005439552478, 522441.32800013438099995 189791.96699967040331103, 522476.39499974076170474 189752.49500031999195926, 522464.76799984957324341 189719.92899988478166051, 522580.09999995515681803 189660.72600032319314778, 522563.00000021437881514 189621.99999982718145475, 522509.00000030075898394 189644.99999968000338413, 522493.66799981438089162 189609.03800030078855343, 522660.40599970240145922 189522.52199989120708779, 522694.59800004155840725 189343.66799987200647593, 522731.64800003200070933 189339.50099978561047465, 522744.77900032000616193 189409.88800002878997475, 522833.03499967360403389 189412.41700017280527391, 522927.99299993918975815 189439.03299989440711215, 522937.99999994557583705 189389.9999997568083927, 522900.67399973439751193 189383.33499984638183378, 522806.7229998207767494 189185.41999999360996298, 522639.9999999807914719 189204.00000005439505912, 522634.64300028159050271 189109.58099996799137443, 522556.03099977277452126 189030.65499999999883585, 522539.77700008958345279 189040.07700012158602476, 522406.36300019198097289 189093.02299975359346718, 522174.27599984320113435 189150.38200025921105407, 522133.56300005438970402 189164.57799998080008663, 522227.62700010876869783 189769.18599985598120838, 522243.27100026881089434 190016.01400012479280122, 522242.736000323202461 190035.72100025918916799, 522206.052000179188326 190355.45499999998719431, 522398.09700001595774665 190339.398000063985819, 522389.59099973435513675 190054.00800026560318656, 522384.53999968955758959 190041.35100016958313063, 522383.23599971196381375 189875.22500025280169211)))</t>
  </si>
  <si>
    <t>E01000239</t>
  </si>
  <si>
    <t>Barnet 031A</t>
  </si>
  <si>
    <t>MultiPolygon (((522556.03099984012078494 189030.65500014825374819, 522724.17999991308897734 188864.08999987863353454, 522695.56000008492264897 188880.70799999698647298, 522609.51299987721722573 188816.72300019371323287, 522524.41699993086513132 188574.82599996216595173, 522568.56199983006808907 188571.64100021150079556, 522571.00000018649734557 188532.99999984182068147, 522531.59499984869034961 188477.30200008852989413, 522543.49000011954922229 188361.45999989283154719, 522504.91300008934922516 188312.75100007592118345, 522471.32500013522803783 188304.68200000000069849, 522465.82899978826753795 188340.32000018711551093, 522462.21999993821373209 188371.1379999585042242, 522449.83999983558896929 188439.75800000230083242, 522384.99999985017348081 188466.00000000733416528, 522428.00000007124617696 188543.00000000323052518, 522391.06100002338644117 188564.62299985258141533, 522363.3510001854156144 188529.69100007833912969, 522260.80999987217364833 188540.75800004159100354, 522265.5890000166837126 188597.98400016111554578, 522146.09700012969551608 188610.14099999447353184, 522120.00000008766073734 188687.97099998616613448, 522078.69300008693244308 188673.80899999724351801, 522114.50599985872395337 189044.86499996186466888, 522133.5629999625380151 189164.57800000000861473, 522174.27600014448398724 189150.38200015321490355, 522406.36299982521450147 189093.02299991936888546, 522539.7770001477911137 189040.0770001458004117, 522556.03099984012078494 189030.65500014825374819)))</t>
  </si>
  <si>
    <t>E01000309</t>
  </si>
  <si>
    <t>Barnet 031D</t>
  </si>
  <si>
    <t>MultiPolygon (((522857.44100005069049075 188699.47299984900746495, 522936.18799986079102382 188591.21900004911003634, 523033.4410000664065592 188594.61299991566920653, 523052.47599983704276383 188573.89800003284472041, 523403.44100023276405409 188242.97800007532350719, 523449.0339997896226123 188290.65500001137843356, 523435.63699974195333198 188354.5329998889064882, 523576.42300003359559923 188339.19600011178408749, 523533.71800008282298222 188278.51700025447644293, 523526.00000022095628083 188237.99999999633291736, 523666.99999976676190272 188072.00000011490192264, 523668.99499999999534339 188026.93499973980942741, 523573.34699980157893151 187956.19099997726152651, 523527.00000002101296559 187978.00000023987377062, 523511.00000001955777407 187944.00000010346411727, 523479.57700014190049842 187974.19199977224343456, 523493.89399998431326821 187997.27399983309442177, 523351.6520002355100587 188051.02500008133938536, 523254.12799988518236205 188130.93200023562530987, 523234.36899982613977045 188081.75400013936450705, 523179.00000025669578463 188122.00000025270855986, 523098.8830000216839835 188088.97999978167354129, 523004.99999984109308571 188026.0000002441520337, 523016.79699978191638365 187969.92899984100949951, 522933.68899975396925583 188110.44800022820709273, 522913.11999984085559845 188097.05199984053615481, 522889.00000009743962437 187939.999999836407369, 522790.99999995535472408 187888.00000009848736227, 522602.12199999997392297 187912.71100000807200558, 522630.94699982419842854 187981.87900003878166899, 522680.63600008125649765 187982.38200025240075774, 522707.35899977845838293 188033.8560001285513863, 522651.31100009032525122 188020.08200023576500826, 522650.34699978592107072 188130.04100018282770179, 522788.00000002176966518 188149.00000018844730221, 522871.99999976251274347 188189.99999999205465429, 522908.4700002638855949 188154.04400023183552548, 523024.30699994997121394 188243.08199992225854658, 522995.83699998277006671 188272.67900025143171661, 523033.99999991036020219 188294.0000000013387762, 523080.40100000123493373 188247.51899990509264171, 522956.27999978873413056 188482.60100025159772485, 522976.87699978367891163 188402.32099995904718526, 522955.8589999673422426 188390.02000014460645616, 522908.36200017668306828 188415.2399998281034641, 522940.51900014333659783 188435.70300004084128886, 522899.87400019669439644 188443.15299980479176156, 522883.7099999442580156 188523.08099975378718227, 522837.00700011325534433 188529.9309997443924658, 522830.00000015884870663 188571.00000009272480384, 522904.63000000751344487 188591.55900020519038662, 522855.80100020789541304 188615.85700024056131952, 522776.86099987145280465 188721.93900024215690792, 522777.28700012661283836 188797.72899990150472149, 522857.44100005069049075 188699.47299984900746495)))</t>
  </si>
  <si>
    <t>E01000310</t>
  </si>
  <si>
    <t>Barnet 034C</t>
  </si>
  <si>
    <t>MultiPolygon (((523981.31000000005587935 188421.20499984611524269, 523818.95900004974100739 188159.76999976541264914, 523668.99500005913432688 188026.93500018958002329, 523666.99999979563290253 188072.00000003844616003, 523525.99999978166306391 188237.99999990366632119, 523533.71799989137798548 188278.51700011969660409, 523576.42299976944923401 188339.19600003358209506, 523435.63700013956986368 188354.53300007528741844, 523449.0340000165742822 188290.65500010643154383, 523403.44100016780430451 188242.97799983440199867, 523052.47600004455307499 188573.89799999591195956, 523033.4409999999916181 188594.6130002124409657, 523141.55900023260619491 188619.31700000626733527, 523402.29900001361966133 188754.41399985094903968, 523547.07600017223739997 188768.12099981040228158, 523798.46800023526884615 188589.4800000034738332, 523879.83799984864890575 188514.81300009964616038, 523913.00200013624271378 188484.22000016161473468, 523981.31000000005587935 188421.20499984611524269)))</t>
  </si>
  <si>
    <t>E01000311</t>
  </si>
  <si>
    <t>Barnet 034D</t>
  </si>
  <si>
    <t>MultiPolygon (((522908.36200007400475442 188415.24000015965430066, 522955.8590001423144713 188390.02000006852904335, 522976.87700004590442404 188402.32099993279553019, 522956.28000005765352398 188482.60100008099107072, 523080.40099990315502509 188247.51900011399993673, 523033.99999989796197042 188294.00000001039006747, 522995.8370000293944031 188272.67899981312802993, 523024.30699982173973694 188243.08200012764427811, 522908.46999994607176632 188154.04399998160079122, 522872.00000004406319931 188190.0000000994768925, 522787.99999983911402524 188148.99999996338738129, 522650.3470000367378816 188130.04100018218741752, 522566.16799999470822513 188124.92200014754780568, 522524.28399986709700897 188122.97899999999208376, 522504.9130000967415981 188312.75100015016505495, 522543.48999998020008206 188361.45999987763934769, 522531.59500002802815288 188477.30200000695185736, 522570.99999994121026248 188532.99999992587254383, 522568.56200006417930126 188571.64099987386725843, 522524.41699987096944824 188574.8260000660084188, 522609.51300013903528452 188816.72299988326267339, 522695.55999993334989995 188880.70800000004237518, 522724.18000013736309484 188864.09000017569633201, 522777.28699991846224293 188797.72899984184186906, 522776.86100012826500461 188721.93900017149280757, 522855.80100010940805078 188615.85700003209058195, 522904.62999986310023814 188591.55900004180148244, 522829.99999994155950844 188571.00000016289413907, 522837.00699998543132097 188529.93100008746841922, 522883.71000008197734132 188523.08099997695535421, 522899.87400013528531417 188443.15300018363632262, 522940.51900006737560034 188435.70299994177184999, 522908.36200007400475442 188415.24000015965430066)))</t>
  </si>
  <si>
    <t>E01000314</t>
  </si>
  <si>
    <t>Barnet 032F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</si>
</sst>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
  </numFmts>
  <fonts count="8">
    <font>
      <sz val="10"/>
      <color rgb="FF000000"/>
      <name val="Arial"/>
    </font>
    <font>
      <b/>
      <sz val="8"/>
      <color theme="1"/>
      <name val="Open Sans"/>
    </font>
    <font>
      <sz val="8"/>
      <color theme="1"/>
      <name val="Open Sans"/>
    </font>
    <font>
      <sz val="7"/>
      <color theme="1"/>
      <name val="Open Sans"/>
    </font>
    <font>
      <sz val="8"/>
      <color theme="1"/>
      <name val="Arial"/>
    </font>
    <font>
      <sz val="10"/>
      <color theme="1"/>
      <name val="Arial"/>
    </font>
    <font>
      <b/>
      <sz val="7"/>
      <color theme="1"/>
      <name val="Open Sans"/>
    </font>
    <font>
      <sz val="7"/>
      <color theme="1"/>
      <name val="Arial"/>
    </font>
  </fonts>
  <fills count="4">
    <fill>
      <patternFill patternType="none"/>
    </fill>
    <fill>
      <patternFill patternType="gray125"/>
    </fill>
    <fill>
      <patternFill patternType="solid">
        <fgColor rgb="FFFFF2CC"/>
        <bgColor rgb="FFFFF2CC"/>
      </patternFill>
    </fill>
    <fill>
      <patternFill patternType="solid">
        <fgColor rgb="FFEAD1DC"/>
        <bgColor rgb="FFEAD1DC"/>
      </patternFill>
    </fill>
  </fills>
  <borders count="2">
    <border>
      <left/>
      <right/>
      <top/>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43">
    <xf numFmtId="0" fontId="0" fillId="0" borderId="0" xfId="0" applyFont="1" applyAlignment="1"/>
    <xf numFmtId="0" fontId="1" fillId="2" borderId="0" xfId="0" applyFont="1" applyFill="1" applyAlignment="1"/>
    <xf numFmtId="0" fontId="2" fillId="2" borderId="0" xfId="0" applyFont="1" applyFill="1" applyAlignment="1"/>
    <xf numFmtId="3" fontId="2" fillId="2" borderId="0" xfId="0" applyNumberFormat="1" applyFont="1" applyFill="1" applyAlignment="1"/>
    <xf numFmtId="164" fontId="2" fillId="2" borderId="0" xfId="0" applyNumberFormat="1" applyFont="1" applyFill="1" applyAlignment="1"/>
    <xf numFmtId="10" fontId="2" fillId="2" borderId="0" xfId="0" applyNumberFormat="1" applyFont="1" applyFill="1" applyAlignment="1"/>
    <xf numFmtId="0" fontId="2" fillId="2" borderId="0" xfId="0" applyFont="1" applyFill="1"/>
    <xf numFmtId="0" fontId="2" fillId="0" borderId="0" xfId="0" applyFont="1" applyAlignment="1"/>
    <xf numFmtId="3" fontId="2" fillId="0" borderId="0" xfId="0" applyNumberFormat="1" applyFont="1" applyAlignment="1"/>
    <xf numFmtId="10" fontId="2" fillId="0" borderId="0" xfId="0" applyNumberFormat="1" applyFont="1" applyAlignment="1"/>
    <xf numFmtId="9" fontId="2" fillId="0" borderId="0" xfId="0" applyNumberFormat="1" applyFont="1" applyAlignment="1"/>
    <xf numFmtId="0" fontId="2" fillId="0" borderId="0" xfId="0" applyFont="1" applyAlignment="1"/>
    <xf numFmtId="0" fontId="2" fillId="0" borderId="0" xfId="0" applyFont="1"/>
    <xf numFmtId="164" fontId="2" fillId="0" borderId="0" xfId="0" applyNumberFormat="1" applyFont="1" applyAlignment="1"/>
    <xf numFmtId="164" fontId="2" fillId="0" borderId="0" xfId="0" applyNumberFormat="1" applyFont="1"/>
    <xf numFmtId="10" fontId="2" fillId="0" borderId="0" xfId="0" applyNumberFormat="1" applyFont="1"/>
    <xf numFmtId="0" fontId="3" fillId="0" borderId="0" xfId="0" applyFont="1" applyAlignment="1"/>
    <xf numFmtId="3" fontId="2" fillId="0" borderId="0" xfId="0" applyNumberFormat="1" applyFont="1"/>
    <xf numFmtId="0" fontId="1" fillId="0" borderId="0" xfId="0" applyFont="1" applyAlignment="1"/>
    <xf numFmtId="0" fontId="1" fillId="0" borderId="0" xfId="0" applyFont="1"/>
    <xf numFmtId="165" fontId="1" fillId="0" borderId="0" xfId="0" applyNumberFormat="1" applyFont="1"/>
    <xf numFmtId="0" fontId="1" fillId="0" borderId="0" xfId="0" applyFont="1" applyAlignment="1">
      <alignment wrapText="1"/>
    </xf>
    <xf numFmtId="165" fontId="2" fillId="2" borderId="0" xfId="0" applyNumberFormat="1" applyFont="1" applyFill="1" applyAlignment="1"/>
    <xf numFmtId="164" fontId="2" fillId="2" borderId="0" xfId="0" applyNumberFormat="1" applyFont="1" applyFill="1" applyAlignment="1"/>
    <xf numFmtId="0" fontId="2" fillId="2" borderId="0" xfId="0" applyFont="1" applyFill="1" applyAlignment="1">
      <alignment wrapText="1"/>
    </xf>
    <xf numFmtId="0" fontId="2" fillId="2" borderId="0" xfId="0" applyFont="1" applyFill="1" applyAlignment="1">
      <alignment wrapText="1"/>
    </xf>
    <xf numFmtId="0" fontId="2" fillId="0" borderId="0" xfId="0" applyFont="1"/>
    <xf numFmtId="165" fontId="2" fillId="0" borderId="0" xfId="0" applyNumberFormat="1" applyFont="1"/>
    <xf numFmtId="164" fontId="4" fillId="0" borderId="0" xfId="0" applyNumberFormat="1" applyFont="1"/>
    <xf numFmtId="10" fontId="4" fillId="0" borderId="0" xfId="0" applyNumberFormat="1" applyFont="1" applyAlignment="1"/>
    <xf numFmtId="10" fontId="2" fillId="0" borderId="0" xfId="0" applyNumberFormat="1" applyFont="1" applyAlignment="1">
      <alignment wrapText="1"/>
    </xf>
    <xf numFmtId="0" fontId="2" fillId="0" borderId="0" xfId="0" applyFont="1" applyAlignment="1">
      <alignment wrapText="1"/>
    </xf>
    <xf numFmtId="0" fontId="5" fillId="0" borderId="0" xfId="0" applyFont="1" applyAlignment="1"/>
    <xf numFmtId="3" fontId="5" fillId="0" borderId="0" xfId="0" applyNumberFormat="1" applyFont="1" applyAlignment="1"/>
    <xf numFmtId="0" fontId="6" fillId="3" borderId="1" xfId="0" applyFont="1" applyFill="1" applyBorder="1" applyAlignment="1"/>
    <xf numFmtId="0" fontId="6" fillId="3" borderId="1" xfId="0" applyFont="1" applyFill="1" applyBorder="1"/>
    <xf numFmtId="3" fontId="3" fillId="0" borderId="0" xfId="0" applyNumberFormat="1" applyFont="1" applyAlignment="1"/>
    <xf numFmtId="0" fontId="3" fillId="0" borderId="0" xfId="0" applyFont="1"/>
    <xf numFmtId="0" fontId="3" fillId="0" borderId="0" xfId="0" applyFont="1" applyAlignment="1">
      <alignment horizontal="right"/>
    </xf>
    <xf numFmtId="0" fontId="7" fillId="0" borderId="0" xfId="0" applyFont="1" applyAlignment="1"/>
    <xf numFmtId="3" fontId="7" fillId="0" borderId="0" xfId="0" applyNumberFormat="1" applyFont="1" applyAlignment="1"/>
    <xf numFmtId="0" fontId="7" fillId="0" borderId="0" xfId="0" applyFont="1"/>
    <xf numFmtId="3" fontId="3" fillId="0" borderId="0" xfId="0" applyNumberFormat="1"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H1000"/>
  <sheetViews>
    <sheetView tabSelected="1" workbookViewId="0">
      <pane ySplit="2" topLeftCell="A3" activePane="bottomLeft" state="frozen"/>
      <selection pane="bottomLeft" activeCell="B4" sqref="B4"/>
    </sheetView>
  </sheetViews>
  <sheetFormatPr defaultColWidth="14.42578125" defaultRowHeight="15.75" customHeight="1"/>
  <cols>
    <col min="1" max="34" width="8.85546875" customWidth="1"/>
  </cols>
  <sheetData>
    <row r="1" spans="1:34" ht="20.25" customHeight="1">
      <c r="A1" s="1" t="s">
        <v>0</v>
      </c>
      <c r="B1" s="1" t="s">
        <v>1</v>
      </c>
      <c r="C1" s="2" t="s">
        <v>2</v>
      </c>
      <c r="D1" s="2" t="s">
        <v>2</v>
      </c>
      <c r="E1" s="2" t="s">
        <v>2</v>
      </c>
      <c r="F1" s="3" t="s">
        <v>3</v>
      </c>
      <c r="G1" s="2" t="s">
        <v>4</v>
      </c>
      <c r="H1" s="2" t="s">
        <v>5</v>
      </c>
      <c r="I1" s="2" t="s">
        <v>6</v>
      </c>
      <c r="J1" s="2" t="s">
        <v>7</v>
      </c>
      <c r="K1" s="2" t="s">
        <v>8</v>
      </c>
      <c r="L1" s="2" t="s">
        <v>9</v>
      </c>
      <c r="M1" s="2" t="s">
        <v>10</v>
      </c>
      <c r="N1" s="2" t="s">
        <v>11</v>
      </c>
      <c r="O1" s="2" t="s">
        <v>12</v>
      </c>
      <c r="P1" s="2" t="s">
        <v>13</v>
      </c>
      <c r="Q1" s="2" t="s">
        <v>14</v>
      </c>
      <c r="R1" s="2" t="s">
        <v>15</v>
      </c>
      <c r="S1" s="2" t="s">
        <v>15</v>
      </c>
      <c r="T1" s="2" t="s">
        <v>15</v>
      </c>
      <c r="U1" s="2" t="s">
        <v>15</v>
      </c>
      <c r="V1" s="4" t="s">
        <v>16</v>
      </c>
      <c r="W1" s="4" t="s">
        <v>16</v>
      </c>
      <c r="X1" s="4" t="s">
        <v>16</v>
      </c>
      <c r="Y1" s="4" t="s">
        <v>16</v>
      </c>
      <c r="Z1" s="5" t="s">
        <v>17</v>
      </c>
      <c r="AA1" s="6"/>
      <c r="AB1" s="6"/>
      <c r="AC1" s="6"/>
      <c r="AD1" s="6"/>
      <c r="AE1" s="6"/>
      <c r="AF1" s="6"/>
      <c r="AG1" s="6"/>
      <c r="AH1" s="6"/>
    </row>
    <row r="2" spans="1:34" ht="12.75">
      <c r="A2" s="2" t="s">
        <v>18</v>
      </c>
      <c r="B2" s="2" t="s">
        <v>19</v>
      </c>
      <c r="C2" s="2" t="s">
        <v>20</v>
      </c>
      <c r="D2" s="2" t="s">
        <v>21</v>
      </c>
      <c r="E2" s="2" t="s">
        <v>22</v>
      </c>
      <c r="F2" s="3" t="s">
        <v>23</v>
      </c>
      <c r="G2" s="2" t="s">
        <v>24</v>
      </c>
      <c r="H2" s="2" t="s">
        <v>24</v>
      </c>
      <c r="I2" s="2" t="s">
        <v>25</v>
      </c>
      <c r="J2" s="2" t="s">
        <v>19</v>
      </c>
      <c r="K2" s="2" t="s">
        <v>19</v>
      </c>
      <c r="L2" s="2" t="s">
        <v>19</v>
      </c>
      <c r="M2" s="2" t="s">
        <v>19</v>
      </c>
      <c r="N2" s="2" t="s">
        <v>19</v>
      </c>
      <c r="O2" s="2" t="s">
        <v>19</v>
      </c>
      <c r="P2" s="2" t="s">
        <v>19</v>
      </c>
      <c r="Q2" s="2" t="s">
        <v>19</v>
      </c>
      <c r="R2" s="2" t="s">
        <v>20</v>
      </c>
      <c r="S2" s="2" t="s">
        <v>26</v>
      </c>
      <c r="T2" s="2" t="s">
        <v>27</v>
      </c>
      <c r="U2" s="2" t="s">
        <v>28</v>
      </c>
      <c r="V2" s="4" t="s">
        <v>29</v>
      </c>
      <c r="W2" s="4" t="s">
        <v>30</v>
      </c>
      <c r="X2" s="4" t="s">
        <v>20</v>
      </c>
      <c r="Y2" s="4" t="s">
        <v>21</v>
      </c>
      <c r="Z2" s="5" t="s">
        <v>31</v>
      </c>
      <c r="AA2" s="6"/>
      <c r="AB2" s="6"/>
      <c r="AC2" s="6"/>
      <c r="AD2" s="6"/>
      <c r="AE2" s="6"/>
      <c r="AF2" s="6"/>
      <c r="AG2" s="6"/>
      <c r="AH2" s="6"/>
    </row>
    <row r="3" spans="1:34" ht="12.75">
      <c r="A3" s="7" t="s">
        <v>32</v>
      </c>
      <c r="B3" s="7">
        <v>25</v>
      </c>
      <c r="C3" s="7">
        <v>1</v>
      </c>
      <c r="D3" s="7">
        <v>8</v>
      </c>
      <c r="E3" s="7">
        <v>4</v>
      </c>
      <c r="F3" s="8">
        <v>43593</v>
      </c>
      <c r="G3" s="9">
        <f>10285/F3</f>
        <v>0.23593237446379006</v>
      </c>
      <c r="H3" s="10">
        <f>5403/F3</f>
        <v>0.1239419172802973</v>
      </c>
      <c r="I3" s="9">
        <f>1744/1854</f>
        <v>0.9406688241639698</v>
      </c>
      <c r="J3" s="7">
        <v>2</v>
      </c>
      <c r="K3" s="7">
        <v>10</v>
      </c>
      <c r="L3" s="7">
        <v>13</v>
      </c>
      <c r="M3" s="7">
        <v>0</v>
      </c>
      <c r="N3" s="7">
        <v>0</v>
      </c>
      <c r="O3" s="7">
        <v>0</v>
      </c>
      <c r="P3" s="7">
        <v>0</v>
      </c>
      <c r="Q3" s="7">
        <v>0</v>
      </c>
      <c r="R3" s="7">
        <v>2.0113210000000001</v>
      </c>
      <c r="S3" s="7">
        <v>2.5760670000000001</v>
      </c>
      <c r="T3" s="11">
        <v>2.1980249999999999</v>
      </c>
      <c r="U3" s="12">
        <f t="shared" ref="U3:U119" si="0">S3-R3</f>
        <v>0.56474599999999997</v>
      </c>
      <c r="V3" s="13">
        <v>38.5</v>
      </c>
      <c r="W3" s="13">
        <v>39.143999999999998</v>
      </c>
      <c r="X3" s="13">
        <v>26.2</v>
      </c>
      <c r="Y3" s="14">
        <v>57.1</v>
      </c>
      <c r="Z3" s="9">
        <f>647/544</f>
        <v>1.1893382352941178</v>
      </c>
      <c r="AA3" s="12"/>
      <c r="AB3" s="12"/>
      <c r="AC3" s="12"/>
      <c r="AD3" s="12"/>
      <c r="AE3" s="12"/>
      <c r="AF3" s="12"/>
      <c r="AG3" s="12"/>
      <c r="AH3" s="12"/>
    </row>
    <row r="4" spans="1:34" ht="12.75">
      <c r="A4" s="7" t="s">
        <v>33</v>
      </c>
      <c r="B4" s="7">
        <v>12</v>
      </c>
      <c r="C4" s="7">
        <v>2</v>
      </c>
      <c r="D4" s="7">
        <v>6</v>
      </c>
      <c r="E4" s="7">
        <v>2</v>
      </c>
      <c r="F4" s="8">
        <v>24679</v>
      </c>
      <c r="G4" s="15">
        <f>4141/F4</f>
        <v>0.16779448113780948</v>
      </c>
      <c r="H4" s="15">
        <f>2079/F4</f>
        <v>8.424166295230763E-2</v>
      </c>
      <c r="I4" s="9">
        <f>2057/1854</f>
        <v>1.1094929881337647</v>
      </c>
      <c r="J4" s="7">
        <v>0</v>
      </c>
      <c r="K4" s="7">
        <v>0</v>
      </c>
      <c r="L4" s="7">
        <v>0</v>
      </c>
      <c r="M4" s="7">
        <v>0</v>
      </c>
      <c r="N4" s="7">
        <v>0</v>
      </c>
      <c r="O4" s="7">
        <v>1</v>
      </c>
      <c r="P4" s="7">
        <v>6</v>
      </c>
      <c r="Q4" s="7">
        <v>5</v>
      </c>
      <c r="R4" s="11">
        <v>2.6418119999999998</v>
      </c>
      <c r="S4" s="11">
        <v>3.1735039999999999</v>
      </c>
      <c r="T4" s="11">
        <v>3.0093864999999997</v>
      </c>
      <c r="U4" s="12">
        <f t="shared" si="0"/>
        <v>0.53169200000000005</v>
      </c>
      <c r="V4" s="14">
        <v>47.4</v>
      </c>
      <c r="W4" s="14">
        <v>44.966666666666669</v>
      </c>
      <c r="X4" s="14">
        <v>23.4</v>
      </c>
      <c r="Y4" s="14">
        <v>60.3</v>
      </c>
      <c r="Z4" s="9">
        <f>198.5/544</f>
        <v>0.36488970588235292</v>
      </c>
      <c r="AA4" s="12"/>
      <c r="AB4" s="12"/>
      <c r="AC4" s="12"/>
      <c r="AD4" s="12"/>
      <c r="AE4" s="12"/>
      <c r="AF4" s="12"/>
      <c r="AG4" s="12"/>
      <c r="AH4" s="12"/>
    </row>
    <row r="5" spans="1:34" ht="12.75">
      <c r="A5" s="7" t="s">
        <v>34</v>
      </c>
      <c r="B5" s="7">
        <v>20</v>
      </c>
      <c r="C5" s="7">
        <v>3</v>
      </c>
      <c r="D5" s="7">
        <v>10</v>
      </c>
      <c r="E5" s="7">
        <v>8</v>
      </c>
      <c r="F5" s="8">
        <v>43593</v>
      </c>
      <c r="G5" s="15">
        <f>9005/F5</f>
        <v>0.20656986213382883</v>
      </c>
      <c r="H5" s="15">
        <f>5651/F5</f>
        <v>0.12963090404422728</v>
      </c>
      <c r="I5" s="9">
        <f>2810/1854</f>
        <v>1.5156418554476807</v>
      </c>
      <c r="J5" s="7">
        <v>0</v>
      </c>
      <c r="K5" s="7">
        <v>0</v>
      </c>
      <c r="L5" s="7">
        <v>1</v>
      </c>
      <c r="M5" s="7">
        <v>3</v>
      </c>
      <c r="N5" s="7">
        <v>3</v>
      </c>
      <c r="O5" s="7">
        <v>5</v>
      </c>
      <c r="P5" s="7">
        <v>7</v>
      </c>
      <c r="Q5" s="7">
        <v>0</v>
      </c>
      <c r="R5" s="11">
        <v>2.154687</v>
      </c>
      <c r="S5" s="11">
        <v>2.815925</v>
      </c>
      <c r="T5" s="11">
        <v>2.4616949999999997</v>
      </c>
      <c r="U5" s="12">
        <f t="shared" si="0"/>
        <v>0.66123799999999999</v>
      </c>
      <c r="V5" s="14">
        <v>34.849999999999994</v>
      </c>
      <c r="W5" s="14">
        <v>35.415000000000006</v>
      </c>
      <c r="X5" s="14">
        <v>20.100000000000001</v>
      </c>
      <c r="Y5" s="14">
        <v>56</v>
      </c>
      <c r="Z5" s="9">
        <f>392.5/544</f>
        <v>0.72150735294117652</v>
      </c>
      <c r="AA5" s="12"/>
      <c r="AB5" s="12"/>
      <c r="AC5" s="12"/>
      <c r="AD5" s="12"/>
      <c r="AE5" s="12"/>
      <c r="AF5" s="12"/>
      <c r="AG5" s="12"/>
      <c r="AH5" s="12"/>
    </row>
    <row r="6" spans="1:34" ht="12.75">
      <c r="A6" s="7" t="s">
        <v>35</v>
      </c>
      <c r="B6" s="7">
        <v>9</v>
      </c>
      <c r="C6" s="7">
        <v>1</v>
      </c>
      <c r="D6" s="7">
        <v>7</v>
      </c>
      <c r="E6" s="7">
        <v>5</v>
      </c>
      <c r="F6" s="8">
        <v>15900</v>
      </c>
      <c r="G6" s="15">
        <f>3603/F6</f>
        <v>0.22660377358490566</v>
      </c>
      <c r="H6" s="15">
        <f>2163/F6</f>
        <v>0.1360377358490566</v>
      </c>
      <c r="I6" s="9">
        <f>1767/1854</f>
        <v>0.95307443365695788</v>
      </c>
      <c r="J6" s="7">
        <v>0</v>
      </c>
      <c r="K6" s="7">
        <v>0</v>
      </c>
      <c r="L6" s="7">
        <v>1</v>
      </c>
      <c r="M6" s="7">
        <v>7</v>
      </c>
      <c r="N6" s="7">
        <v>1</v>
      </c>
      <c r="O6" s="7">
        <v>0</v>
      </c>
      <c r="P6" s="7">
        <v>0</v>
      </c>
      <c r="Q6" s="7">
        <v>0</v>
      </c>
      <c r="R6" s="11">
        <v>2.2931180000000002</v>
      </c>
      <c r="S6" s="11">
        <v>2.893713</v>
      </c>
      <c r="T6" s="11">
        <v>2.3678949999999999</v>
      </c>
      <c r="U6" s="12">
        <f t="shared" si="0"/>
        <v>0.60059499999999977</v>
      </c>
      <c r="V6" s="14">
        <v>36.6</v>
      </c>
      <c r="W6" s="14">
        <v>39.233333333333334</v>
      </c>
      <c r="X6" s="14">
        <v>26.8</v>
      </c>
      <c r="Y6" s="14">
        <v>55.6</v>
      </c>
      <c r="Z6" s="9">
        <f>497/544</f>
        <v>0.91360294117647056</v>
      </c>
      <c r="AA6" s="12"/>
      <c r="AB6" s="12"/>
      <c r="AC6" s="12"/>
      <c r="AD6" s="12"/>
      <c r="AE6" s="12"/>
      <c r="AF6" s="12"/>
      <c r="AG6" s="12"/>
      <c r="AH6" s="12"/>
    </row>
    <row r="7" spans="1:34" ht="12.75">
      <c r="A7" s="7" t="s">
        <v>36</v>
      </c>
      <c r="B7" s="7">
        <v>7</v>
      </c>
      <c r="C7" s="7">
        <v>6</v>
      </c>
      <c r="D7" s="7">
        <v>9</v>
      </c>
      <c r="E7" s="7">
        <v>9</v>
      </c>
      <c r="F7" s="8">
        <v>11978</v>
      </c>
      <c r="G7" s="15">
        <f>2524/F7</f>
        <v>0.21071965269661044</v>
      </c>
      <c r="H7" s="15">
        <f>2034/F7</f>
        <v>0.16981132075471697</v>
      </c>
      <c r="I7" s="9">
        <f>1711/1854</f>
        <v>0.92286947141316078</v>
      </c>
      <c r="J7" s="7">
        <v>0</v>
      </c>
      <c r="K7" s="7">
        <v>4</v>
      </c>
      <c r="L7" s="7">
        <v>2</v>
      </c>
      <c r="M7" s="7">
        <v>1</v>
      </c>
      <c r="N7" s="7">
        <v>0</v>
      </c>
      <c r="O7" s="7">
        <v>0</v>
      </c>
      <c r="P7" s="7">
        <v>0</v>
      </c>
      <c r="Q7" s="7">
        <v>0</v>
      </c>
      <c r="R7" s="11">
        <v>2.0657740000000002</v>
      </c>
      <c r="S7" s="11">
        <v>2.5775459999999999</v>
      </c>
      <c r="T7" s="11">
        <v>2.280287</v>
      </c>
      <c r="U7" s="12">
        <f t="shared" si="0"/>
        <v>0.51177199999999967</v>
      </c>
      <c r="V7" s="14">
        <v>22.1</v>
      </c>
      <c r="W7" s="14">
        <v>21.957142857142859</v>
      </c>
      <c r="X7" s="14">
        <v>12.8</v>
      </c>
      <c r="Y7" s="14">
        <v>33.200000000000003</v>
      </c>
      <c r="Z7" s="9">
        <f>649/544</f>
        <v>1.193014705882353</v>
      </c>
      <c r="AA7" s="12"/>
      <c r="AB7" s="12"/>
      <c r="AC7" s="12"/>
      <c r="AD7" s="12"/>
      <c r="AE7" s="12"/>
      <c r="AF7" s="12"/>
      <c r="AG7" s="12"/>
      <c r="AH7" s="12"/>
    </row>
    <row r="8" spans="1:34" ht="12.75">
      <c r="A8" s="7" t="s">
        <v>37</v>
      </c>
      <c r="B8" s="7">
        <v>15</v>
      </c>
      <c r="C8" s="7">
        <v>2</v>
      </c>
      <c r="D8" s="7">
        <v>7</v>
      </c>
      <c r="E8" s="7">
        <v>4</v>
      </c>
      <c r="F8" s="8">
        <v>27730</v>
      </c>
      <c r="G8" s="15">
        <f>4582/F8</f>
        <v>0.16523620627479263</v>
      </c>
      <c r="H8" s="15">
        <f>2734/F8</f>
        <v>9.8593580959249916E-2</v>
      </c>
      <c r="I8" s="9">
        <f>1849/1854</f>
        <v>0.99730312837108959</v>
      </c>
      <c r="J8" s="7">
        <v>0</v>
      </c>
      <c r="K8" s="7">
        <v>0</v>
      </c>
      <c r="L8" s="7">
        <v>0</v>
      </c>
      <c r="M8" s="7">
        <v>4</v>
      </c>
      <c r="N8" s="7">
        <v>4</v>
      </c>
      <c r="O8" s="7">
        <v>2</v>
      </c>
      <c r="P8" s="7">
        <v>5</v>
      </c>
      <c r="Q8" s="7">
        <v>0</v>
      </c>
      <c r="R8" s="11">
        <v>2.070897</v>
      </c>
      <c r="S8" s="11">
        <v>2.971104</v>
      </c>
      <c r="T8" s="11">
        <v>2.5514290000000002</v>
      </c>
      <c r="U8" s="12">
        <f t="shared" si="0"/>
        <v>0.90020699999999998</v>
      </c>
      <c r="V8" s="14">
        <v>30.5</v>
      </c>
      <c r="W8" s="14">
        <v>27.179999999999996</v>
      </c>
      <c r="X8" s="14">
        <v>14.6</v>
      </c>
      <c r="Y8" s="14">
        <v>39.4</v>
      </c>
      <c r="Z8" s="9">
        <f>360/544</f>
        <v>0.66176470588235292</v>
      </c>
      <c r="AA8" s="12"/>
      <c r="AB8" s="12"/>
      <c r="AC8" s="12"/>
      <c r="AD8" s="12"/>
      <c r="AE8" s="12"/>
      <c r="AF8" s="12"/>
      <c r="AG8" s="12"/>
      <c r="AH8" s="12"/>
    </row>
    <row r="9" spans="1:34" ht="12.75">
      <c r="A9" s="7" t="s">
        <v>38</v>
      </c>
      <c r="B9" s="7">
        <v>33</v>
      </c>
      <c r="C9" s="7">
        <v>2</v>
      </c>
      <c r="D9" s="7">
        <v>9</v>
      </c>
      <c r="E9" s="7">
        <v>5</v>
      </c>
      <c r="F9" s="8">
        <v>62332</v>
      </c>
      <c r="G9" s="15">
        <f>12599/F9</f>
        <v>0.20212731823140601</v>
      </c>
      <c r="H9" s="15">
        <f>7878/F9</f>
        <v>0.12638773021882821</v>
      </c>
      <c r="I9" s="9">
        <f>1889/1854</f>
        <v>1.0188781014023733</v>
      </c>
      <c r="J9" s="7">
        <v>1</v>
      </c>
      <c r="K9" s="7">
        <v>8</v>
      </c>
      <c r="L9" s="7">
        <v>14</v>
      </c>
      <c r="M9" s="7">
        <v>5</v>
      </c>
      <c r="N9" s="7">
        <v>4</v>
      </c>
      <c r="O9" s="7">
        <v>1</v>
      </c>
      <c r="P9" s="7">
        <v>0</v>
      </c>
      <c r="Q9" s="7">
        <v>0</v>
      </c>
      <c r="R9" s="11">
        <v>1.982478</v>
      </c>
      <c r="S9" s="11">
        <v>2.6726070000000002</v>
      </c>
      <c r="T9" s="11">
        <v>2.3020830000000001</v>
      </c>
      <c r="U9" s="12">
        <f t="shared" si="0"/>
        <v>0.69012900000000021</v>
      </c>
      <c r="V9" s="14">
        <v>36.700000000000003</v>
      </c>
      <c r="W9" s="14">
        <v>36.966666666666669</v>
      </c>
      <c r="X9" s="14">
        <v>21.3</v>
      </c>
      <c r="Y9" s="14">
        <v>48.6</v>
      </c>
      <c r="Z9" s="9">
        <f>571/544</f>
        <v>1.0496323529411764</v>
      </c>
      <c r="AA9" s="12"/>
      <c r="AB9" s="12"/>
      <c r="AC9" s="12"/>
      <c r="AD9" s="12"/>
      <c r="AE9" s="12"/>
      <c r="AF9" s="12"/>
      <c r="AG9" s="12"/>
      <c r="AH9" s="12"/>
    </row>
    <row r="10" spans="1:34" ht="12.75">
      <c r="A10" s="7" t="s">
        <v>39</v>
      </c>
      <c r="B10" s="7">
        <v>2</v>
      </c>
      <c r="C10" s="7">
        <v>2</v>
      </c>
      <c r="D10" s="7">
        <v>3</v>
      </c>
      <c r="E10" s="7">
        <v>2.5</v>
      </c>
      <c r="F10" s="8">
        <v>3267</v>
      </c>
      <c r="G10" s="15">
        <f>303/F10</f>
        <v>9.2745638200183653E-2</v>
      </c>
      <c r="H10" s="15">
        <f>537/F10</f>
        <v>0.16437098255280075</v>
      </c>
      <c r="I10" s="9">
        <f>1634/1854</f>
        <v>0.88133764832793959</v>
      </c>
      <c r="J10" s="7">
        <v>0</v>
      </c>
      <c r="K10" s="7">
        <v>0</v>
      </c>
      <c r="L10" s="7">
        <v>0</v>
      </c>
      <c r="M10" s="7">
        <v>0</v>
      </c>
      <c r="N10" s="7">
        <v>0</v>
      </c>
      <c r="O10" s="7">
        <v>0</v>
      </c>
      <c r="P10" s="7">
        <v>0</v>
      </c>
      <c r="Q10" s="7">
        <v>2</v>
      </c>
      <c r="R10" s="11">
        <v>2.9602740000000001</v>
      </c>
      <c r="S10" s="11">
        <v>3.0068329999999999</v>
      </c>
      <c r="T10" s="11">
        <v>2.9835535000000002</v>
      </c>
      <c r="U10" s="12">
        <f t="shared" si="0"/>
        <v>4.6558999999999795E-2</v>
      </c>
      <c r="V10" s="14">
        <v>31.85</v>
      </c>
      <c r="W10" s="14">
        <v>31.85</v>
      </c>
      <c r="X10" s="14">
        <v>26.5</v>
      </c>
      <c r="Y10" s="14">
        <v>37.200000000000003</v>
      </c>
      <c r="Z10" s="9">
        <f>276.5/544</f>
        <v>0.50827205882352944</v>
      </c>
      <c r="AA10" s="12"/>
      <c r="AB10" s="12"/>
      <c r="AC10" s="12"/>
      <c r="AD10" s="12"/>
      <c r="AE10" s="12"/>
      <c r="AF10" s="12"/>
      <c r="AG10" s="12"/>
      <c r="AH10" s="12"/>
    </row>
    <row r="11" spans="1:34" ht="12.75">
      <c r="A11" s="7" t="s">
        <v>40</v>
      </c>
      <c r="B11" s="7">
        <v>9</v>
      </c>
      <c r="C11" s="7">
        <v>1</v>
      </c>
      <c r="D11" s="7">
        <v>6</v>
      </c>
      <c r="E11" s="7">
        <v>3</v>
      </c>
      <c r="F11" s="8">
        <v>15820</v>
      </c>
      <c r="G11" s="15">
        <f>2388/F11</f>
        <v>0.15094816687737042</v>
      </c>
      <c r="H11" s="15">
        <f>1034/F11</f>
        <v>6.5360303413400753E-2</v>
      </c>
      <c r="I11" s="9">
        <f>1758/1854</f>
        <v>0.94822006472491904</v>
      </c>
      <c r="J11" s="7">
        <v>0</v>
      </c>
      <c r="K11" s="7">
        <v>0</v>
      </c>
      <c r="L11" s="7">
        <v>0</v>
      </c>
      <c r="M11" s="7">
        <v>0</v>
      </c>
      <c r="N11" s="7">
        <v>0</v>
      </c>
      <c r="O11" s="7">
        <v>0</v>
      </c>
      <c r="P11" s="7">
        <v>1</v>
      </c>
      <c r="Q11" s="7">
        <v>8</v>
      </c>
      <c r="R11" s="11">
        <v>2.7463769999999998</v>
      </c>
      <c r="S11" s="11">
        <v>3.1154470000000001</v>
      </c>
      <c r="T11" s="11">
        <v>2.9786069999999998</v>
      </c>
      <c r="U11" s="12">
        <f t="shared" si="0"/>
        <v>0.36907000000000023</v>
      </c>
      <c r="V11" s="14">
        <v>46.1</v>
      </c>
      <c r="W11" s="14">
        <v>48.811111111111117</v>
      </c>
      <c r="X11" s="14">
        <v>28.9</v>
      </c>
      <c r="Y11" s="14">
        <v>65.900000000000006</v>
      </c>
      <c r="Z11" s="15">
        <f>211/544</f>
        <v>0.38786764705882354</v>
      </c>
      <c r="AA11" s="12"/>
      <c r="AB11" s="12"/>
      <c r="AC11" s="12"/>
      <c r="AD11" s="12"/>
      <c r="AE11" s="12"/>
      <c r="AF11" s="12"/>
      <c r="AG11" s="12"/>
      <c r="AH11" s="12"/>
    </row>
    <row r="12" spans="1:34" ht="12.75">
      <c r="A12" s="7" t="s">
        <v>41</v>
      </c>
      <c r="B12" s="7">
        <v>11</v>
      </c>
      <c r="C12" s="7">
        <v>2</v>
      </c>
      <c r="D12" s="7">
        <v>7</v>
      </c>
      <c r="E12" s="7">
        <v>4</v>
      </c>
      <c r="F12" s="8">
        <v>22915</v>
      </c>
      <c r="G12" s="15">
        <f>3349/F12</f>
        <v>0.14614881082260528</v>
      </c>
      <c r="H12" s="15">
        <f>2003/F12</f>
        <v>8.7409993454069385E-2</v>
      </c>
      <c r="I12" s="9">
        <f>2083/1854</f>
        <v>1.1235167206040992</v>
      </c>
      <c r="J12" s="7">
        <v>0</v>
      </c>
      <c r="K12" s="7">
        <v>0</v>
      </c>
      <c r="L12" s="7">
        <v>0</v>
      </c>
      <c r="M12" s="7">
        <v>0</v>
      </c>
      <c r="N12" s="7">
        <v>0</v>
      </c>
      <c r="O12" s="7">
        <v>0</v>
      </c>
      <c r="P12" s="7">
        <v>11</v>
      </c>
      <c r="Q12" s="7">
        <v>0</v>
      </c>
      <c r="R12" s="11">
        <v>2.6658379999999999</v>
      </c>
      <c r="S12" s="11">
        <v>2.9994100000000001</v>
      </c>
      <c r="T12" s="11">
        <v>2.740856</v>
      </c>
      <c r="U12" s="12">
        <f t="shared" si="0"/>
        <v>0.3335720000000002</v>
      </c>
      <c r="V12" s="14">
        <v>30</v>
      </c>
      <c r="W12" s="14">
        <v>27.872727272727275</v>
      </c>
      <c r="X12" s="14">
        <v>16.5</v>
      </c>
      <c r="Y12" s="14">
        <v>40.4</v>
      </c>
      <c r="Z12" s="9">
        <f>294/544</f>
        <v>0.5404411764705882</v>
      </c>
      <c r="AA12" s="12"/>
      <c r="AB12" s="12"/>
      <c r="AC12" s="12"/>
      <c r="AD12" s="12"/>
      <c r="AE12" s="12"/>
      <c r="AF12" s="12"/>
      <c r="AG12" s="12"/>
      <c r="AH12" s="12"/>
    </row>
    <row r="13" spans="1:34" ht="12.75">
      <c r="A13" s="7" t="s">
        <v>42</v>
      </c>
      <c r="B13" s="7">
        <v>10</v>
      </c>
      <c r="C13" s="7">
        <v>3</v>
      </c>
      <c r="D13" s="7">
        <v>7</v>
      </c>
      <c r="E13" s="7">
        <v>3.5</v>
      </c>
      <c r="F13" s="8">
        <v>21758</v>
      </c>
      <c r="G13" s="15">
        <f>2350/F13</f>
        <v>0.10800625057450133</v>
      </c>
      <c r="H13" s="15">
        <f>1857/F13</f>
        <v>8.5347918007169774E-2</v>
      </c>
      <c r="I13" s="9">
        <f>2176/1854</f>
        <v>1.1736785329018338</v>
      </c>
      <c r="J13" s="7">
        <v>0</v>
      </c>
      <c r="K13" s="7">
        <v>0</v>
      </c>
      <c r="L13" s="7">
        <v>0</v>
      </c>
      <c r="M13" s="7">
        <v>0</v>
      </c>
      <c r="N13" s="7">
        <v>2</v>
      </c>
      <c r="O13" s="7">
        <v>0</v>
      </c>
      <c r="P13" s="7">
        <v>0</v>
      </c>
      <c r="Q13" s="7">
        <v>8</v>
      </c>
      <c r="R13" s="11">
        <v>2.8471199999999999</v>
      </c>
      <c r="S13" s="11">
        <v>3.0900889999999999</v>
      </c>
      <c r="T13" s="11">
        <v>2.9725035000000002</v>
      </c>
      <c r="U13" s="12">
        <f t="shared" si="0"/>
        <v>0.24296899999999999</v>
      </c>
      <c r="V13" s="14">
        <v>44.2</v>
      </c>
      <c r="W13" s="14">
        <v>41.769999999999996</v>
      </c>
      <c r="X13" s="14">
        <v>30.9</v>
      </c>
      <c r="Y13" s="14">
        <v>51.1</v>
      </c>
      <c r="Z13" s="9">
        <f>286/544</f>
        <v>0.52573529411764708</v>
      </c>
      <c r="AA13" s="12"/>
      <c r="AB13" s="12"/>
      <c r="AC13" s="12"/>
      <c r="AD13" s="12"/>
      <c r="AE13" s="12"/>
      <c r="AF13" s="12"/>
      <c r="AG13" s="12"/>
      <c r="AH13" s="12"/>
    </row>
    <row r="14" spans="1:34" ht="12.75">
      <c r="A14" s="7" t="s">
        <v>43</v>
      </c>
      <c r="B14" s="7">
        <v>8</v>
      </c>
      <c r="C14" s="7">
        <v>2</v>
      </c>
      <c r="D14" s="7">
        <v>6</v>
      </c>
      <c r="E14" s="7">
        <v>4.5</v>
      </c>
      <c r="F14" s="8">
        <v>16098</v>
      </c>
      <c r="G14" s="15">
        <f>1954/F14</f>
        <v>0.12138153807926451</v>
      </c>
      <c r="H14" s="15">
        <f>1256/F14</f>
        <v>7.80221145483911E-2</v>
      </c>
      <c r="I14" s="9">
        <f>2012/1854</f>
        <v>1.0852211434735706</v>
      </c>
      <c r="J14" s="7">
        <v>0</v>
      </c>
      <c r="K14" s="7">
        <v>0</v>
      </c>
      <c r="L14" s="7">
        <v>0</v>
      </c>
      <c r="M14" s="7">
        <v>0</v>
      </c>
      <c r="N14" s="7">
        <v>0</v>
      </c>
      <c r="O14" s="7">
        <v>0</v>
      </c>
      <c r="P14" s="7">
        <v>3</v>
      </c>
      <c r="Q14" s="7">
        <v>5</v>
      </c>
      <c r="R14" s="11">
        <v>2.7592210000000001</v>
      </c>
      <c r="S14" s="11">
        <v>3.0931030000000002</v>
      </c>
      <c r="T14" s="11">
        <v>2.8509935</v>
      </c>
      <c r="U14" s="12">
        <f t="shared" si="0"/>
        <v>0.33388200000000001</v>
      </c>
      <c r="V14" s="14">
        <v>33.25</v>
      </c>
      <c r="W14" s="14">
        <v>34.475000000000001</v>
      </c>
      <c r="X14" s="14">
        <v>16.899999999999999</v>
      </c>
      <c r="Y14" s="14">
        <v>53.9</v>
      </c>
      <c r="Z14" s="9">
        <f>297.5/544</f>
        <v>0.546875</v>
      </c>
      <c r="AA14" s="12"/>
      <c r="AB14" s="12"/>
      <c r="AC14" s="12"/>
      <c r="AD14" s="12"/>
      <c r="AE14" s="12"/>
      <c r="AF14" s="12"/>
      <c r="AG14" s="12"/>
      <c r="AH14" s="12"/>
    </row>
    <row r="15" spans="1:34" ht="12.75">
      <c r="A15" s="7" t="s">
        <v>44</v>
      </c>
      <c r="B15" s="7">
        <v>11</v>
      </c>
      <c r="C15" s="7">
        <v>2</v>
      </c>
      <c r="D15" s="7">
        <v>6</v>
      </c>
      <c r="E15" s="7">
        <v>3</v>
      </c>
      <c r="F15" s="8">
        <v>19871</v>
      </c>
      <c r="G15" s="15">
        <f>2862/F15</f>
        <v>0.14402898696593025</v>
      </c>
      <c r="H15" s="15">
        <f>1845/F15</f>
        <v>9.2848875245332391E-2</v>
      </c>
      <c r="I15" s="9">
        <f>1806/1854</f>
        <v>0.97411003236245952</v>
      </c>
      <c r="J15" s="7">
        <v>0</v>
      </c>
      <c r="K15" s="7">
        <v>0</v>
      </c>
      <c r="L15" s="7">
        <v>0</v>
      </c>
      <c r="M15" s="7">
        <v>0</v>
      </c>
      <c r="N15" s="7">
        <v>0</v>
      </c>
      <c r="O15" s="7">
        <v>1</v>
      </c>
      <c r="P15" s="7">
        <v>4</v>
      </c>
      <c r="Q15" s="7">
        <v>6</v>
      </c>
      <c r="R15" s="11">
        <v>2.7370890000000001</v>
      </c>
      <c r="S15" s="11">
        <v>3.0710350000000002</v>
      </c>
      <c r="T15" s="11">
        <v>2.961881</v>
      </c>
      <c r="U15" s="12">
        <f t="shared" si="0"/>
        <v>0.33394600000000008</v>
      </c>
      <c r="V15" s="14">
        <v>41.7</v>
      </c>
      <c r="W15" s="14">
        <v>38.918181818181814</v>
      </c>
      <c r="X15" s="14">
        <v>28.6</v>
      </c>
      <c r="Y15" s="14">
        <v>52.8</v>
      </c>
      <c r="Z15" s="15">
        <f>257/544</f>
        <v>0.47242647058823528</v>
      </c>
      <c r="AA15" s="12"/>
      <c r="AB15" s="12"/>
      <c r="AC15" s="12"/>
      <c r="AD15" s="12"/>
      <c r="AE15" s="12"/>
      <c r="AF15" s="12"/>
      <c r="AG15" s="12"/>
      <c r="AH15" s="12"/>
    </row>
    <row r="16" spans="1:34" ht="12.75">
      <c r="A16" s="7" t="s">
        <v>45</v>
      </c>
      <c r="B16" s="7">
        <v>19</v>
      </c>
      <c r="C16" s="7">
        <v>2</v>
      </c>
      <c r="D16" s="7">
        <v>9</v>
      </c>
      <c r="E16" s="7">
        <v>6</v>
      </c>
      <c r="F16" s="8">
        <v>38024</v>
      </c>
      <c r="G16" s="15">
        <f>4909/F16</f>
        <v>0.12910267199663369</v>
      </c>
      <c r="H16" s="15">
        <f>3677/F16</f>
        <v>9.6702082895013669E-2</v>
      </c>
      <c r="I16" s="9">
        <f>2001/1854</f>
        <v>1.0792880258899675</v>
      </c>
      <c r="J16" s="7">
        <v>0</v>
      </c>
      <c r="K16" s="7">
        <v>0</v>
      </c>
      <c r="L16" s="7">
        <v>0</v>
      </c>
      <c r="M16" s="7">
        <v>0</v>
      </c>
      <c r="N16" s="7">
        <v>0</v>
      </c>
      <c r="O16" s="7">
        <v>0</v>
      </c>
      <c r="P16" s="7">
        <v>0</v>
      </c>
      <c r="Q16" s="7">
        <v>19</v>
      </c>
      <c r="R16" s="11">
        <v>2.6954250000000002</v>
      </c>
      <c r="S16" s="11">
        <v>3.120098</v>
      </c>
      <c r="T16" s="11">
        <v>2.974434</v>
      </c>
      <c r="U16" s="12">
        <f t="shared" si="0"/>
        <v>0.42467299999999986</v>
      </c>
      <c r="V16" s="14">
        <v>41.2</v>
      </c>
      <c r="W16" s="14">
        <v>43.121052631578955</v>
      </c>
      <c r="X16" s="14">
        <v>19.7</v>
      </c>
      <c r="Y16" s="14">
        <v>66.599999999999994</v>
      </c>
      <c r="Z16" s="9">
        <f>180/544</f>
        <v>0.33088235294117646</v>
      </c>
      <c r="AA16" s="12"/>
      <c r="AB16" s="12"/>
      <c r="AC16" s="12"/>
      <c r="AD16" s="12"/>
      <c r="AE16" s="12"/>
      <c r="AF16" s="12"/>
      <c r="AG16" s="12"/>
      <c r="AH16" s="12"/>
    </row>
    <row r="17" spans="1:34" ht="12.75">
      <c r="A17" s="7" t="s">
        <v>46</v>
      </c>
      <c r="B17" s="7">
        <v>5</v>
      </c>
      <c r="C17" s="7">
        <v>2</v>
      </c>
      <c r="D17" s="7">
        <v>5</v>
      </c>
      <c r="E17" s="7">
        <v>3</v>
      </c>
      <c r="F17" s="8">
        <v>12786</v>
      </c>
      <c r="G17" s="15">
        <f>2016/F17</f>
        <v>0.15767245424683246</v>
      </c>
      <c r="H17" s="15">
        <f>584/F17</f>
        <v>4.5674956984201473E-2</v>
      </c>
      <c r="I17" s="9">
        <f>2557/1854</f>
        <v>1.3791801510248112</v>
      </c>
      <c r="J17" s="7">
        <v>0</v>
      </c>
      <c r="K17" s="7">
        <v>0</v>
      </c>
      <c r="L17" s="7">
        <v>2</v>
      </c>
      <c r="M17" s="7">
        <v>2</v>
      </c>
      <c r="N17" s="7">
        <v>0</v>
      </c>
      <c r="O17" s="7">
        <v>1</v>
      </c>
      <c r="P17" s="7">
        <v>0</v>
      </c>
      <c r="Q17" s="7">
        <v>0</v>
      </c>
      <c r="R17" s="11">
        <v>2.7894739999999998</v>
      </c>
      <c r="S17" s="11">
        <v>2.97709</v>
      </c>
      <c r="T17" s="11">
        <v>2.9064290000000002</v>
      </c>
      <c r="U17" s="12">
        <f t="shared" si="0"/>
        <v>0.18761600000000023</v>
      </c>
      <c r="V17" s="14">
        <v>41.8</v>
      </c>
      <c r="W17" s="14">
        <v>39.74</v>
      </c>
      <c r="X17" s="14">
        <v>24.5</v>
      </c>
      <c r="Y17" s="14">
        <v>52.4</v>
      </c>
      <c r="Z17" s="9">
        <f>363/544</f>
        <v>0.66727941176470584</v>
      </c>
      <c r="AA17" s="12"/>
      <c r="AB17" s="12"/>
      <c r="AC17" s="12"/>
      <c r="AD17" s="12"/>
      <c r="AE17" s="12"/>
      <c r="AF17" s="12"/>
      <c r="AG17" s="12"/>
      <c r="AH17" s="12"/>
    </row>
    <row r="18" spans="1:34" ht="12.75">
      <c r="A18" s="7" t="s">
        <v>47</v>
      </c>
      <c r="B18" s="7">
        <v>9</v>
      </c>
      <c r="C18" s="7">
        <v>1</v>
      </c>
      <c r="D18" s="7">
        <v>9</v>
      </c>
      <c r="E18" s="7">
        <v>5</v>
      </c>
      <c r="F18" s="8">
        <v>19173</v>
      </c>
      <c r="G18" s="15">
        <f>3402/F18</f>
        <v>0.1774370208105148</v>
      </c>
      <c r="H18" s="15">
        <f>2452/F18</f>
        <v>0.12788817608094716</v>
      </c>
      <c r="I18" s="9">
        <f>2130/1854</f>
        <v>1.1488673139158576</v>
      </c>
      <c r="J18" s="7">
        <v>0</v>
      </c>
      <c r="K18" s="7">
        <v>0</v>
      </c>
      <c r="L18" s="7">
        <v>0</v>
      </c>
      <c r="M18" s="7">
        <v>0</v>
      </c>
      <c r="N18" s="7">
        <v>0</v>
      </c>
      <c r="O18" s="7">
        <v>1</v>
      </c>
      <c r="P18" s="7">
        <v>2</v>
      </c>
      <c r="Q18" s="7">
        <v>6</v>
      </c>
      <c r="R18" s="11">
        <v>2.701031</v>
      </c>
      <c r="S18" s="11">
        <v>3.120098</v>
      </c>
      <c r="T18" s="11">
        <v>2.8217110000000001</v>
      </c>
      <c r="U18" s="12">
        <f t="shared" si="0"/>
        <v>0.41906700000000008</v>
      </c>
      <c r="V18" s="14">
        <v>43.4</v>
      </c>
      <c r="W18" s="14">
        <v>47.411111111111111</v>
      </c>
      <c r="X18" s="14">
        <v>31.9</v>
      </c>
      <c r="Y18" s="14">
        <v>76.400000000000006</v>
      </c>
      <c r="Z18" s="9">
        <f>331/544</f>
        <v>0.60845588235294112</v>
      </c>
      <c r="AA18" s="12"/>
      <c r="AB18" s="12"/>
      <c r="AC18" s="12"/>
      <c r="AD18" s="12"/>
      <c r="AE18" s="12"/>
      <c r="AF18" s="12"/>
      <c r="AG18" s="12"/>
      <c r="AH18" s="12"/>
    </row>
    <row r="19" spans="1:34" ht="12.75">
      <c r="A19" s="7" t="s">
        <v>48</v>
      </c>
      <c r="B19" s="7">
        <v>9</v>
      </c>
      <c r="C19" s="7">
        <v>3</v>
      </c>
      <c r="D19" s="7">
        <v>8</v>
      </c>
      <c r="E19" s="7">
        <v>5</v>
      </c>
      <c r="F19" s="8">
        <v>16985</v>
      </c>
      <c r="G19" s="15">
        <f>2381/F19</f>
        <v>0.14018251398292611</v>
      </c>
      <c r="H19" s="15">
        <f>2275/F19</f>
        <v>0.13394171327642038</v>
      </c>
      <c r="I19" s="9">
        <f>1887/1854</f>
        <v>1.0177993527508091</v>
      </c>
      <c r="J19" s="7">
        <v>0</v>
      </c>
      <c r="K19" s="7">
        <v>0</v>
      </c>
      <c r="L19" s="7">
        <v>0</v>
      </c>
      <c r="M19" s="7">
        <v>0</v>
      </c>
      <c r="N19" s="7">
        <v>0</v>
      </c>
      <c r="O19" s="7">
        <v>1</v>
      </c>
      <c r="P19" s="7">
        <v>0</v>
      </c>
      <c r="Q19" s="7">
        <v>8</v>
      </c>
      <c r="R19" s="11">
        <v>2.731773</v>
      </c>
      <c r="S19" s="11">
        <v>3.1501519999999998</v>
      </c>
      <c r="T19" s="11">
        <v>2.9827590000000002</v>
      </c>
      <c r="U19" s="12">
        <f t="shared" si="0"/>
        <v>0.41837899999999983</v>
      </c>
      <c r="V19" s="14">
        <v>43.1</v>
      </c>
      <c r="W19" s="14">
        <v>42.222222222222221</v>
      </c>
      <c r="X19" s="14">
        <v>25.9</v>
      </c>
      <c r="Y19" s="14">
        <v>61.2</v>
      </c>
      <c r="Z19" s="9">
        <f>358/544</f>
        <v>0.65808823529411764</v>
      </c>
      <c r="AA19" s="12"/>
      <c r="AB19" s="12"/>
      <c r="AC19" s="12"/>
      <c r="AD19" s="12"/>
      <c r="AE19" s="12"/>
      <c r="AF19" s="12"/>
      <c r="AG19" s="12"/>
      <c r="AH19" s="12"/>
    </row>
    <row r="20" spans="1:34" ht="12.75">
      <c r="A20" s="7" t="s">
        <v>49</v>
      </c>
      <c r="B20" s="7">
        <v>14</v>
      </c>
      <c r="C20" s="7">
        <v>2</v>
      </c>
      <c r="D20" s="7">
        <v>9</v>
      </c>
      <c r="E20" s="7">
        <v>7.5</v>
      </c>
      <c r="F20" s="8">
        <v>23222</v>
      </c>
      <c r="G20" s="15">
        <f>3171/F20</f>
        <v>0.13655154594780811</v>
      </c>
      <c r="H20" s="15">
        <f>3106/F20</f>
        <v>0.13375247610024976</v>
      </c>
      <c r="I20" s="9">
        <f>1659/1854</f>
        <v>0.89482200647249188</v>
      </c>
      <c r="J20" s="7">
        <v>0</v>
      </c>
      <c r="K20" s="7">
        <v>0</v>
      </c>
      <c r="L20" s="7">
        <v>0</v>
      </c>
      <c r="M20" s="7">
        <v>0</v>
      </c>
      <c r="N20" s="7">
        <v>0</v>
      </c>
      <c r="O20" s="7">
        <v>2</v>
      </c>
      <c r="P20" s="7">
        <v>12</v>
      </c>
      <c r="Q20" s="7">
        <v>0</v>
      </c>
      <c r="R20" s="11">
        <v>2.636625</v>
      </c>
      <c r="S20" s="11">
        <v>3.1112739999999999</v>
      </c>
      <c r="T20" s="11">
        <v>2.8779954999999999</v>
      </c>
      <c r="U20" s="12">
        <f t="shared" si="0"/>
        <v>0.47464899999999988</v>
      </c>
      <c r="V20" s="14">
        <v>31.35</v>
      </c>
      <c r="W20" s="14">
        <v>31.6</v>
      </c>
      <c r="X20" s="14">
        <v>21.2</v>
      </c>
      <c r="Y20" s="14">
        <v>44.8</v>
      </c>
      <c r="Z20" s="9">
        <f>389.5/544</f>
        <v>0.71599264705882348</v>
      </c>
      <c r="AA20" s="12"/>
      <c r="AB20" s="12"/>
      <c r="AC20" s="12"/>
      <c r="AD20" s="12"/>
      <c r="AE20" s="12"/>
      <c r="AF20" s="12"/>
      <c r="AG20" s="12"/>
      <c r="AH20" s="12"/>
    </row>
    <row r="21" spans="1:34" ht="12.75">
      <c r="A21" s="7" t="s">
        <v>50</v>
      </c>
      <c r="B21" s="7">
        <v>8</v>
      </c>
      <c r="C21" s="7">
        <v>1</v>
      </c>
      <c r="D21" s="7">
        <v>9</v>
      </c>
      <c r="E21" s="7">
        <v>4.5</v>
      </c>
      <c r="F21" s="8">
        <v>10634</v>
      </c>
      <c r="G21" s="15">
        <f>1633/F21</f>
        <v>0.15356403987210834</v>
      </c>
      <c r="H21" s="15">
        <f>2507/F21</f>
        <v>0.23575324431070152</v>
      </c>
      <c r="I21" s="9">
        <f>1329/1854</f>
        <v>0.71682847896440127</v>
      </c>
      <c r="J21" s="7">
        <v>0</v>
      </c>
      <c r="K21" s="7">
        <v>0</v>
      </c>
      <c r="L21" s="7">
        <v>1</v>
      </c>
      <c r="M21" s="7">
        <v>1</v>
      </c>
      <c r="N21" s="7">
        <v>6</v>
      </c>
      <c r="O21" s="7">
        <v>0</v>
      </c>
      <c r="P21" s="7">
        <v>0</v>
      </c>
      <c r="Q21" s="7">
        <v>0</v>
      </c>
      <c r="R21" s="11">
        <v>2.6536590000000002</v>
      </c>
      <c r="S21" s="11">
        <v>3.2397260000000001</v>
      </c>
      <c r="T21" s="11">
        <v>2.8397570000000001</v>
      </c>
      <c r="U21" s="12">
        <f t="shared" si="0"/>
        <v>0.58606699999999989</v>
      </c>
      <c r="V21" s="14">
        <v>24.200000000000003</v>
      </c>
      <c r="W21" s="14">
        <v>27.912500000000001</v>
      </c>
      <c r="X21" s="14">
        <v>11.4</v>
      </c>
      <c r="Y21" s="14">
        <v>54.2</v>
      </c>
      <c r="Z21" s="9">
        <f>345.5/544</f>
        <v>0.63511029411764708</v>
      </c>
      <c r="AA21" s="12"/>
      <c r="AB21" s="12"/>
      <c r="AC21" s="12"/>
      <c r="AD21" s="12"/>
      <c r="AE21" s="12"/>
      <c r="AF21" s="12"/>
      <c r="AG21" s="12"/>
      <c r="AH21" s="12"/>
    </row>
    <row r="22" spans="1:34" ht="12.75">
      <c r="A22" s="7" t="s">
        <v>51</v>
      </c>
      <c r="B22" s="7">
        <v>15</v>
      </c>
      <c r="C22" s="7">
        <v>2</v>
      </c>
      <c r="D22" s="7">
        <v>10</v>
      </c>
      <c r="E22" s="7">
        <v>6</v>
      </c>
      <c r="F22" s="8">
        <v>30143</v>
      </c>
      <c r="G22" s="15">
        <f>4213/F22</f>
        <v>0.13976711010848289</v>
      </c>
      <c r="H22" s="15">
        <f>4316/F22</f>
        <v>0.14318415552532926</v>
      </c>
      <c r="I22" s="9">
        <f>2010/1854</f>
        <v>1.0841423948220066</v>
      </c>
      <c r="J22" s="7">
        <v>0</v>
      </c>
      <c r="K22" s="7">
        <v>0</v>
      </c>
      <c r="L22" s="7">
        <v>0</v>
      </c>
      <c r="M22" s="7">
        <v>0</v>
      </c>
      <c r="N22" s="7">
        <v>0</v>
      </c>
      <c r="O22" s="7">
        <v>2</v>
      </c>
      <c r="P22" s="7">
        <v>2</v>
      </c>
      <c r="Q22" s="7">
        <v>11</v>
      </c>
      <c r="R22" s="11">
        <v>2.7664209999999998</v>
      </c>
      <c r="S22" s="11">
        <v>3.2426360000000001</v>
      </c>
      <c r="T22" s="11">
        <v>2.9377249999999999</v>
      </c>
      <c r="U22" s="12">
        <f t="shared" si="0"/>
        <v>0.47621500000000028</v>
      </c>
      <c r="V22" s="14">
        <v>24.4</v>
      </c>
      <c r="W22" s="14">
        <v>23.800000000000004</v>
      </c>
      <c r="X22" s="14">
        <v>14.2</v>
      </c>
      <c r="Y22" s="14">
        <v>33.299999999999997</v>
      </c>
      <c r="Z22" s="9">
        <f>302/544</f>
        <v>0.55514705882352944</v>
      </c>
      <c r="AA22" s="12"/>
      <c r="AB22" s="12"/>
      <c r="AC22" s="12"/>
      <c r="AD22" s="12"/>
      <c r="AE22" s="12"/>
      <c r="AF22" s="12"/>
      <c r="AG22" s="12"/>
      <c r="AH22" s="12"/>
    </row>
    <row r="23" spans="1:34" ht="12.75">
      <c r="A23" s="7" t="s">
        <v>52</v>
      </c>
      <c r="B23" s="7">
        <v>14</v>
      </c>
      <c r="C23" s="7">
        <v>2</v>
      </c>
      <c r="D23" s="7">
        <v>8</v>
      </c>
      <c r="E23" s="7">
        <v>5</v>
      </c>
      <c r="F23" s="8">
        <v>23001</v>
      </c>
      <c r="G23" s="15">
        <f>3529/F23</f>
        <v>0.15342811182122518</v>
      </c>
      <c r="H23" s="15">
        <f>3036/F23</f>
        <v>0.13199426111908177</v>
      </c>
      <c r="I23" s="9">
        <f>1643/1854</f>
        <v>0.88619201725997843</v>
      </c>
      <c r="J23" s="7">
        <v>0</v>
      </c>
      <c r="K23" s="7">
        <v>0</v>
      </c>
      <c r="L23" s="7">
        <v>0</v>
      </c>
      <c r="M23" s="7">
        <v>0</v>
      </c>
      <c r="N23" s="7">
        <v>3</v>
      </c>
      <c r="O23" s="7">
        <v>0</v>
      </c>
      <c r="P23" s="7">
        <v>9</v>
      </c>
      <c r="Q23" s="7">
        <v>2</v>
      </c>
      <c r="R23" s="11">
        <v>2.6521620000000001</v>
      </c>
      <c r="S23" s="11">
        <v>3.1112739999999999</v>
      </c>
      <c r="T23" s="11">
        <v>2.9155030000000002</v>
      </c>
      <c r="U23" s="12">
        <f t="shared" si="0"/>
        <v>0.45911199999999974</v>
      </c>
      <c r="V23" s="14">
        <v>27.55</v>
      </c>
      <c r="W23" s="14">
        <v>27.749999999999996</v>
      </c>
      <c r="X23" s="14">
        <v>17.2</v>
      </c>
      <c r="Y23" s="14">
        <v>44.8</v>
      </c>
      <c r="Z23" s="9">
        <f>309.5/544</f>
        <v>0.5689338235294118</v>
      </c>
      <c r="AA23" s="12"/>
      <c r="AB23" s="12"/>
      <c r="AC23" s="12"/>
      <c r="AD23" s="12"/>
      <c r="AE23" s="12"/>
      <c r="AF23" s="12"/>
      <c r="AG23" s="12"/>
      <c r="AH23" s="12"/>
    </row>
    <row r="24" spans="1:34" ht="12.75">
      <c r="A24" s="7" t="s">
        <v>53</v>
      </c>
      <c r="B24" s="7">
        <v>8</v>
      </c>
      <c r="C24" s="7">
        <v>2</v>
      </c>
      <c r="D24" s="7">
        <v>3</v>
      </c>
      <c r="E24" s="7">
        <v>2</v>
      </c>
      <c r="F24" s="8">
        <v>20646</v>
      </c>
      <c r="G24" s="9">
        <f>5317/F24</f>
        <v>0.25753172527366075</v>
      </c>
      <c r="H24" s="15">
        <f>1170/F24</f>
        <v>5.6669572798605058E-2</v>
      </c>
      <c r="I24" s="9">
        <f>2581/1854</f>
        <v>1.3921251348435815</v>
      </c>
      <c r="J24" s="7">
        <v>0</v>
      </c>
      <c r="K24" s="7">
        <v>0</v>
      </c>
      <c r="L24" s="7">
        <v>2</v>
      </c>
      <c r="M24" s="7">
        <v>2</v>
      </c>
      <c r="N24" s="7">
        <v>3</v>
      </c>
      <c r="O24" s="7">
        <v>1</v>
      </c>
      <c r="P24" s="7">
        <v>0</v>
      </c>
      <c r="Q24" s="7">
        <v>0</v>
      </c>
      <c r="R24" s="11">
        <v>2.62635</v>
      </c>
      <c r="S24" s="11">
        <v>3.1704349999999999</v>
      </c>
      <c r="T24" s="11">
        <v>2.9052595000000001</v>
      </c>
      <c r="U24" s="12">
        <f t="shared" si="0"/>
        <v>0.54408499999999993</v>
      </c>
      <c r="V24" s="14">
        <v>68.400000000000006</v>
      </c>
      <c r="W24" s="14">
        <v>67.275000000000006</v>
      </c>
      <c r="X24" s="14">
        <v>50.7</v>
      </c>
      <c r="Y24" s="14">
        <v>78.900000000000006</v>
      </c>
      <c r="Z24" s="9">
        <f>341/544</f>
        <v>0.62683823529411764</v>
      </c>
      <c r="AA24" s="12"/>
      <c r="AB24" s="12"/>
      <c r="AC24" s="12"/>
      <c r="AD24" s="12"/>
      <c r="AE24" s="12"/>
      <c r="AF24" s="12"/>
      <c r="AG24" s="12"/>
      <c r="AH24" s="12"/>
    </row>
    <row r="25" spans="1:34" ht="12.75">
      <c r="A25" s="7" t="s">
        <v>54</v>
      </c>
      <c r="B25" s="7">
        <v>2</v>
      </c>
      <c r="C25" s="7">
        <v>3</v>
      </c>
      <c r="D25" s="7">
        <v>7</v>
      </c>
      <c r="E25" s="7">
        <v>5</v>
      </c>
      <c r="F25" s="8">
        <v>3263</v>
      </c>
      <c r="G25" s="15">
        <f>583/F25</f>
        <v>0.1786699356420472</v>
      </c>
      <c r="H25" s="15">
        <f>256/F25</f>
        <v>7.8455409132699966E-2</v>
      </c>
      <c r="I25" s="9">
        <f>1632/1854</f>
        <v>0.88025889967637538</v>
      </c>
      <c r="J25" s="7">
        <v>0</v>
      </c>
      <c r="K25" s="7">
        <v>0</v>
      </c>
      <c r="L25" s="7">
        <v>0</v>
      </c>
      <c r="M25" s="7">
        <v>0</v>
      </c>
      <c r="N25" s="7">
        <v>0</v>
      </c>
      <c r="O25" s="7">
        <v>0</v>
      </c>
      <c r="P25" s="7">
        <v>2</v>
      </c>
      <c r="Q25" s="7">
        <v>0</v>
      </c>
      <c r="R25" s="11">
        <v>2.8818100000000002</v>
      </c>
      <c r="S25" s="11">
        <v>3.1094889999999999</v>
      </c>
      <c r="T25" s="11">
        <v>2.9956494999999999</v>
      </c>
      <c r="U25" s="12">
        <f t="shared" si="0"/>
        <v>0.22767899999999974</v>
      </c>
      <c r="V25" s="14">
        <v>35.35</v>
      </c>
      <c r="W25" s="14">
        <v>35.350000000000009</v>
      </c>
      <c r="X25" s="14">
        <v>22.1</v>
      </c>
      <c r="Y25" s="14">
        <v>48.6</v>
      </c>
      <c r="Z25" s="9">
        <f>432.5/544</f>
        <v>0.79503676470588236</v>
      </c>
      <c r="AA25" s="12"/>
      <c r="AB25" s="12"/>
      <c r="AC25" s="12"/>
      <c r="AD25" s="12"/>
      <c r="AE25" s="12"/>
      <c r="AF25" s="12"/>
      <c r="AG25" s="12"/>
      <c r="AH25" s="12"/>
    </row>
    <row r="26" spans="1:34" ht="12.75">
      <c r="A26" s="7" t="s">
        <v>55</v>
      </c>
      <c r="B26" s="7">
        <v>20</v>
      </c>
      <c r="C26" s="7">
        <v>2</v>
      </c>
      <c r="D26" s="7">
        <v>5</v>
      </c>
      <c r="E26" s="7">
        <v>3</v>
      </c>
      <c r="F26" s="8">
        <v>45729</v>
      </c>
      <c r="G26" s="15">
        <f>5861/F26</f>
        <v>0.12816812088608978</v>
      </c>
      <c r="H26" s="15">
        <f>2901/F26</f>
        <v>6.3438955586170701E-2</v>
      </c>
      <c r="I26" s="9">
        <f>2286/1854</f>
        <v>1.233009708737864</v>
      </c>
      <c r="J26" s="7">
        <v>0</v>
      </c>
      <c r="K26" s="7">
        <v>0</v>
      </c>
      <c r="L26" s="7">
        <v>0</v>
      </c>
      <c r="M26" s="7">
        <v>0</v>
      </c>
      <c r="N26" s="7">
        <v>0</v>
      </c>
      <c r="O26" s="7">
        <v>0</v>
      </c>
      <c r="P26" s="7">
        <v>14</v>
      </c>
      <c r="Q26" s="7">
        <v>6</v>
      </c>
      <c r="R26" s="11">
        <v>2.7515909999999999</v>
      </c>
      <c r="S26" s="11">
        <v>3.094398</v>
      </c>
      <c r="T26" s="11">
        <v>2.8912279999999999</v>
      </c>
      <c r="U26" s="12">
        <f t="shared" si="0"/>
        <v>0.34280700000000008</v>
      </c>
      <c r="V26" s="14">
        <v>34.35</v>
      </c>
      <c r="W26" s="14">
        <v>35.339999999999989</v>
      </c>
      <c r="X26" s="14">
        <v>17.100000000000001</v>
      </c>
      <c r="Y26" s="14">
        <v>53.9</v>
      </c>
      <c r="Z26" s="9">
        <f>258/544</f>
        <v>0.47426470588235292</v>
      </c>
      <c r="AA26" s="12"/>
      <c r="AB26" s="12"/>
      <c r="AC26" s="12"/>
      <c r="AD26" s="12"/>
      <c r="AE26" s="12"/>
      <c r="AF26" s="12"/>
      <c r="AG26" s="12"/>
      <c r="AH26" s="12"/>
    </row>
    <row r="27" spans="1:34" ht="12.75">
      <c r="A27" s="7" t="s">
        <v>56</v>
      </c>
      <c r="B27" s="7">
        <v>28</v>
      </c>
      <c r="C27" s="7">
        <v>1</v>
      </c>
      <c r="D27" s="7">
        <v>8</v>
      </c>
      <c r="E27" s="7">
        <v>2</v>
      </c>
      <c r="F27" s="8">
        <v>50868</v>
      </c>
      <c r="G27" s="15">
        <f>9712/F27</f>
        <v>0.19092553275143509</v>
      </c>
      <c r="H27" s="15">
        <f>6245/F27</f>
        <v>0.12276873476448848</v>
      </c>
      <c r="I27" s="9">
        <f>1817/1854</f>
        <v>0.98004314994606256</v>
      </c>
      <c r="J27" s="7">
        <v>0</v>
      </c>
      <c r="K27" s="7">
        <v>0</v>
      </c>
      <c r="L27" s="7">
        <v>1</v>
      </c>
      <c r="M27" s="7">
        <v>4</v>
      </c>
      <c r="N27" s="7">
        <v>12</v>
      </c>
      <c r="O27" s="7">
        <v>4</v>
      </c>
      <c r="P27" s="7">
        <v>4</v>
      </c>
      <c r="Q27" s="7">
        <v>3</v>
      </c>
      <c r="R27" s="11">
        <v>2.5238100000000001</v>
      </c>
      <c r="S27" s="11">
        <v>3.2051759999999998</v>
      </c>
      <c r="T27" s="11">
        <v>2.8824575000000001</v>
      </c>
      <c r="U27" s="12">
        <f t="shared" si="0"/>
        <v>0.68136599999999969</v>
      </c>
      <c r="V27" s="14">
        <v>42.400000000000006</v>
      </c>
      <c r="W27" s="14">
        <v>43.892857142857132</v>
      </c>
      <c r="X27" s="14">
        <v>21.2</v>
      </c>
      <c r="Y27" s="14">
        <v>62.6</v>
      </c>
      <c r="Z27" s="15">
        <f>312.5/544</f>
        <v>0.57444852941176472</v>
      </c>
      <c r="AA27" s="12"/>
      <c r="AB27" s="12"/>
      <c r="AC27" s="12"/>
      <c r="AD27" s="12"/>
      <c r="AE27" s="12"/>
      <c r="AF27" s="12"/>
      <c r="AG27" s="12"/>
      <c r="AH27" s="12"/>
    </row>
    <row r="28" spans="1:34" ht="12.75">
      <c r="A28" s="7" t="s">
        <v>57</v>
      </c>
      <c r="B28" s="7">
        <v>9</v>
      </c>
      <c r="C28" s="7">
        <v>2</v>
      </c>
      <c r="D28" s="7">
        <v>5</v>
      </c>
      <c r="E28" s="7">
        <v>3</v>
      </c>
      <c r="F28" s="8">
        <v>18433</v>
      </c>
      <c r="G28" s="15">
        <f>3837/F28</f>
        <v>0.20815927955297564</v>
      </c>
      <c r="H28" s="15">
        <f>1232/F28</f>
        <v>6.6836651657353655E-2</v>
      </c>
      <c r="I28" s="9">
        <f>2048/1854</f>
        <v>1.1046386192017259</v>
      </c>
      <c r="J28" s="7">
        <v>0</v>
      </c>
      <c r="K28" s="7">
        <v>0</v>
      </c>
      <c r="L28" s="7">
        <v>0</v>
      </c>
      <c r="M28" s="7">
        <v>0</v>
      </c>
      <c r="N28" s="7">
        <v>1</v>
      </c>
      <c r="O28" s="7">
        <v>3</v>
      </c>
      <c r="P28" s="7">
        <v>5</v>
      </c>
      <c r="Q28" s="7">
        <v>0</v>
      </c>
      <c r="R28" s="11">
        <v>2.6546639999999999</v>
      </c>
      <c r="S28" s="11">
        <v>3.0207999999999999</v>
      </c>
      <c r="T28" s="11">
        <v>2.854562</v>
      </c>
      <c r="U28" s="12">
        <f t="shared" si="0"/>
        <v>0.36613600000000002</v>
      </c>
      <c r="V28" s="14">
        <v>58.8</v>
      </c>
      <c r="W28" s="14">
        <v>54.477777777777781</v>
      </c>
      <c r="X28" s="14">
        <v>24.5</v>
      </c>
      <c r="Y28" s="14">
        <v>77.599999999999994</v>
      </c>
      <c r="Z28" s="9">
        <f>291/544</f>
        <v>0.53492647058823528</v>
      </c>
      <c r="AA28" s="12"/>
      <c r="AB28" s="12"/>
      <c r="AC28" s="12"/>
      <c r="AD28" s="12"/>
      <c r="AE28" s="12"/>
      <c r="AF28" s="12"/>
      <c r="AG28" s="12"/>
      <c r="AH28" s="12"/>
    </row>
    <row r="29" spans="1:34" ht="12.75">
      <c r="A29" s="7" t="s">
        <v>58</v>
      </c>
      <c r="B29" s="7">
        <v>18</v>
      </c>
      <c r="C29" s="7">
        <v>2</v>
      </c>
      <c r="D29" s="7">
        <v>9</v>
      </c>
      <c r="E29" s="7">
        <v>5</v>
      </c>
      <c r="F29" s="8">
        <v>33434</v>
      </c>
      <c r="G29" s="15">
        <f>5848/F29</f>
        <v>0.17491176646527487</v>
      </c>
      <c r="H29" s="15">
        <f>3810/F29</f>
        <v>0.11395585332296465</v>
      </c>
      <c r="I29" s="9">
        <f>1857/1854</f>
        <v>1.0016181229773462</v>
      </c>
      <c r="J29" s="7">
        <v>0</v>
      </c>
      <c r="K29" s="7">
        <v>1</v>
      </c>
      <c r="L29" s="7">
        <v>3</v>
      </c>
      <c r="M29" s="7">
        <v>1</v>
      </c>
      <c r="N29" s="7">
        <v>9</v>
      </c>
      <c r="O29" s="7">
        <v>3</v>
      </c>
      <c r="P29" s="7">
        <v>1</v>
      </c>
      <c r="Q29" s="7">
        <v>0</v>
      </c>
      <c r="R29" s="11">
        <v>2.0229339999999998</v>
      </c>
      <c r="S29" s="11">
        <v>3.0296189999999998</v>
      </c>
      <c r="T29" s="11">
        <v>2.5148894999999998</v>
      </c>
      <c r="U29" s="12">
        <f t="shared" si="0"/>
        <v>1.0066850000000001</v>
      </c>
      <c r="V29" s="14">
        <v>49.6</v>
      </c>
      <c r="W29" s="14">
        <v>44.31578947368422</v>
      </c>
      <c r="X29" s="14">
        <v>22</v>
      </c>
      <c r="Y29" s="14">
        <v>68.2</v>
      </c>
      <c r="Z29" s="9">
        <f>475/544</f>
        <v>0.87316176470588236</v>
      </c>
      <c r="AA29" s="12"/>
      <c r="AB29" s="12"/>
      <c r="AC29" s="12"/>
      <c r="AD29" s="12"/>
      <c r="AE29" s="12"/>
      <c r="AF29" s="12"/>
      <c r="AG29" s="12"/>
      <c r="AH29" s="12"/>
    </row>
    <row r="30" spans="1:34" ht="12.75">
      <c r="A30" s="7" t="s">
        <v>59</v>
      </c>
      <c r="B30" s="7">
        <v>11</v>
      </c>
      <c r="C30" s="7">
        <v>2</v>
      </c>
      <c r="D30" s="7">
        <v>7</v>
      </c>
      <c r="E30" s="7">
        <v>3</v>
      </c>
      <c r="F30" s="8">
        <v>22911</v>
      </c>
      <c r="G30" s="15">
        <f>3925/F30</f>
        <v>0.17131508882196325</v>
      </c>
      <c r="H30" s="15">
        <f>1818/F30</f>
        <v>7.9350530312950113E-2</v>
      </c>
      <c r="I30" s="9">
        <f>2083/1854</f>
        <v>1.1235167206040992</v>
      </c>
      <c r="J30" s="7">
        <v>0</v>
      </c>
      <c r="K30" s="7">
        <v>0</v>
      </c>
      <c r="L30" s="7">
        <v>4</v>
      </c>
      <c r="M30" s="7">
        <v>2</v>
      </c>
      <c r="N30" s="7">
        <v>3</v>
      </c>
      <c r="O30" s="7">
        <v>1</v>
      </c>
      <c r="P30" s="7">
        <v>1</v>
      </c>
      <c r="Q30" s="7">
        <v>0</v>
      </c>
      <c r="R30" s="11">
        <v>2.347</v>
      </c>
      <c r="S30" s="11">
        <v>3.1266080000000001</v>
      </c>
      <c r="T30" s="11">
        <v>2.8404039999999999</v>
      </c>
      <c r="U30" s="12">
        <f t="shared" si="0"/>
        <v>0.77960800000000008</v>
      </c>
      <c r="V30" s="14">
        <v>39.700000000000003</v>
      </c>
      <c r="W30" s="14">
        <v>37.690909090909095</v>
      </c>
      <c r="X30" s="14">
        <v>13.5</v>
      </c>
      <c r="Y30" s="14">
        <v>57</v>
      </c>
      <c r="Z30" s="15">
        <f>365/544</f>
        <v>0.67095588235294112</v>
      </c>
      <c r="AA30" s="12"/>
      <c r="AB30" s="12"/>
      <c r="AC30" s="12"/>
      <c r="AD30" s="12"/>
      <c r="AE30" s="12"/>
      <c r="AF30" s="12"/>
      <c r="AG30" s="12"/>
      <c r="AH30" s="12"/>
    </row>
    <row r="31" spans="1:34" ht="12.75">
      <c r="A31" s="7" t="s">
        <v>60</v>
      </c>
      <c r="B31" s="7">
        <v>9</v>
      </c>
      <c r="C31" s="7">
        <v>6</v>
      </c>
      <c r="D31" s="7">
        <v>8</v>
      </c>
      <c r="E31" s="7">
        <v>7</v>
      </c>
      <c r="F31" s="8">
        <v>15807</v>
      </c>
      <c r="G31" s="15">
        <f>3199/F31</f>
        <v>0.20237869298412095</v>
      </c>
      <c r="H31" s="15">
        <f>2524/F31</f>
        <v>0.15967609287024737</v>
      </c>
      <c r="I31" s="9">
        <f>1756/1854</f>
        <v>0.94714131607335494</v>
      </c>
      <c r="J31" s="7">
        <v>1</v>
      </c>
      <c r="K31" s="7">
        <v>4</v>
      </c>
      <c r="L31" s="7">
        <v>1</v>
      </c>
      <c r="M31" s="7">
        <v>3</v>
      </c>
      <c r="N31" s="7">
        <v>0</v>
      </c>
      <c r="O31" s="7">
        <v>0</v>
      </c>
      <c r="P31" s="7">
        <v>0</v>
      </c>
      <c r="Q31" s="7">
        <v>0</v>
      </c>
      <c r="R31" s="11">
        <v>1.892261</v>
      </c>
      <c r="S31" s="11">
        <v>2.5371169999999998</v>
      </c>
      <c r="T31" s="11">
        <v>2.1877680000000002</v>
      </c>
      <c r="U31" s="12">
        <f t="shared" si="0"/>
        <v>0.64485599999999987</v>
      </c>
      <c r="V31" s="14">
        <v>68.099999999999994</v>
      </c>
      <c r="W31" s="14">
        <v>65.244444444444426</v>
      </c>
      <c r="X31" s="14">
        <v>49.5</v>
      </c>
      <c r="Y31" s="14">
        <v>72.3</v>
      </c>
      <c r="Z31" s="9">
        <f>727/544</f>
        <v>1.3363970588235294</v>
      </c>
      <c r="AA31" s="12"/>
      <c r="AB31" s="12"/>
      <c r="AC31" s="12"/>
      <c r="AD31" s="12"/>
      <c r="AE31" s="12"/>
      <c r="AF31" s="12"/>
      <c r="AG31" s="12"/>
      <c r="AH31" s="12"/>
    </row>
    <row r="32" spans="1:34" ht="12.75">
      <c r="A32" s="7" t="s">
        <v>61</v>
      </c>
      <c r="B32" s="7">
        <v>5</v>
      </c>
      <c r="C32" s="7">
        <v>6</v>
      </c>
      <c r="D32" s="7">
        <v>9</v>
      </c>
      <c r="E32" s="7">
        <v>8</v>
      </c>
      <c r="F32" s="8">
        <v>8448</v>
      </c>
      <c r="G32" s="15">
        <f>1788/F32</f>
        <v>0.21164772727272727</v>
      </c>
      <c r="H32" s="15">
        <f>1265/F32</f>
        <v>0.14973958333333334</v>
      </c>
      <c r="I32" s="9">
        <f>1690/1854</f>
        <v>0.9115426105717368</v>
      </c>
      <c r="J32" s="7">
        <v>0</v>
      </c>
      <c r="K32" s="7">
        <v>2</v>
      </c>
      <c r="L32" s="7">
        <v>2</v>
      </c>
      <c r="M32" s="7">
        <v>1</v>
      </c>
      <c r="N32" s="7">
        <v>0</v>
      </c>
      <c r="O32" s="7">
        <v>0</v>
      </c>
      <c r="P32" s="7">
        <v>0</v>
      </c>
      <c r="Q32" s="7">
        <v>0</v>
      </c>
      <c r="R32" s="11">
        <v>2.1398799999999998</v>
      </c>
      <c r="S32" s="11">
        <v>2.6413129999999998</v>
      </c>
      <c r="T32" s="11">
        <v>2.3005930000000001</v>
      </c>
      <c r="U32" s="12">
        <f t="shared" si="0"/>
        <v>0.50143300000000002</v>
      </c>
      <c r="V32" s="14">
        <v>31</v>
      </c>
      <c r="W32" s="14">
        <v>46.080000000000013</v>
      </c>
      <c r="X32" s="14">
        <v>28</v>
      </c>
      <c r="Y32" s="14">
        <v>74.599999999999994</v>
      </c>
      <c r="Z32" s="9">
        <f>611/544</f>
        <v>1.1231617647058822</v>
      </c>
      <c r="AA32" s="12"/>
      <c r="AB32" s="12"/>
      <c r="AC32" s="12"/>
      <c r="AD32" s="12"/>
      <c r="AE32" s="12"/>
      <c r="AF32" s="12"/>
      <c r="AG32" s="12"/>
      <c r="AH32" s="12"/>
    </row>
    <row r="33" spans="1:34" ht="16.5" customHeight="1">
      <c r="A33" s="7" t="s">
        <v>62</v>
      </c>
      <c r="B33" s="7">
        <v>36</v>
      </c>
      <c r="C33" s="7">
        <v>2</v>
      </c>
      <c r="D33" s="7">
        <v>10</v>
      </c>
      <c r="E33" s="7">
        <v>6</v>
      </c>
      <c r="F33" s="8">
        <v>69257</v>
      </c>
      <c r="G33" s="15">
        <f>14927/F33</f>
        <v>0.21553056008778895</v>
      </c>
      <c r="H33" s="15">
        <f>10400/F33</f>
        <v>0.15016532624861026</v>
      </c>
      <c r="I33" s="9">
        <f>1924/1854</f>
        <v>1.0377562028047465</v>
      </c>
      <c r="J33" s="7">
        <v>5</v>
      </c>
      <c r="K33" s="7">
        <v>13</v>
      </c>
      <c r="L33" s="7">
        <v>12</v>
      </c>
      <c r="M33" s="7">
        <v>6</v>
      </c>
      <c r="N33" s="7">
        <v>0</v>
      </c>
      <c r="O33" s="7">
        <v>0</v>
      </c>
      <c r="P33" s="7">
        <v>0</v>
      </c>
      <c r="Q33" s="7">
        <v>0</v>
      </c>
      <c r="R33" s="11">
        <v>1.7026619999999999</v>
      </c>
      <c r="S33" s="11">
        <v>2.192504</v>
      </c>
      <c r="T33" s="11">
        <v>1.9264325</v>
      </c>
      <c r="U33" s="12">
        <f t="shared" si="0"/>
        <v>0.48984200000000011</v>
      </c>
      <c r="V33" s="14">
        <v>17</v>
      </c>
      <c r="W33" s="14">
        <v>33.608333333333341</v>
      </c>
      <c r="X33" s="14">
        <v>6.8</v>
      </c>
      <c r="Y33" s="14">
        <v>81.3</v>
      </c>
      <c r="Z33" s="9">
        <f>750/544</f>
        <v>1.3786764705882353</v>
      </c>
      <c r="AA33" s="12"/>
      <c r="AB33" s="12"/>
      <c r="AC33" s="12"/>
      <c r="AD33" s="12"/>
      <c r="AE33" s="12"/>
      <c r="AF33" s="12"/>
      <c r="AG33" s="12"/>
      <c r="AH33" s="12"/>
    </row>
    <row r="34" spans="1:34" ht="12.75">
      <c r="A34" s="7" t="s">
        <v>63</v>
      </c>
      <c r="B34" s="7">
        <v>10</v>
      </c>
      <c r="C34" s="7">
        <v>1</v>
      </c>
      <c r="D34" s="7">
        <v>6</v>
      </c>
      <c r="E34" s="7">
        <v>2</v>
      </c>
      <c r="F34" s="8">
        <v>24935</v>
      </c>
      <c r="G34" s="15">
        <f>6234/F34</f>
        <v>0.25001002606777623</v>
      </c>
      <c r="H34" s="15">
        <f>1521/F34</f>
        <v>6.099859635051133E-2</v>
      </c>
      <c r="I34" s="9">
        <f>2494/1854</f>
        <v>1.3451995685005393</v>
      </c>
      <c r="J34" s="7">
        <v>0</v>
      </c>
      <c r="K34" s="7">
        <v>0</v>
      </c>
      <c r="L34" s="7">
        <v>0</v>
      </c>
      <c r="M34" s="7">
        <v>2</v>
      </c>
      <c r="N34" s="7">
        <v>4</v>
      </c>
      <c r="O34" s="7">
        <v>4</v>
      </c>
      <c r="P34" s="7">
        <v>0</v>
      </c>
      <c r="Q34" s="7">
        <v>0</v>
      </c>
      <c r="R34" s="11">
        <v>2.6174390000000001</v>
      </c>
      <c r="S34" s="11">
        <v>3.1704349999999999</v>
      </c>
      <c r="T34" s="11">
        <v>2.8096559999999999</v>
      </c>
      <c r="U34" s="12">
        <f t="shared" si="0"/>
        <v>0.55299599999999982</v>
      </c>
      <c r="V34" s="14">
        <v>62.400000000000006</v>
      </c>
      <c r="W34" s="14">
        <v>64.689999999999984</v>
      </c>
      <c r="X34" s="14">
        <v>58.4</v>
      </c>
      <c r="Y34" s="14">
        <v>78</v>
      </c>
      <c r="Z34" s="15">
        <f>335.5/544</f>
        <v>0.61672794117647056</v>
      </c>
      <c r="AA34" s="12"/>
      <c r="AB34" s="12"/>
      <c r="AC34" s="12"/>
      <c r="AD34" s="12"/>
      <c r="AE34" s="12"/>
      <c r="AF34" s="12"/>
      <c r="AG34" s="12"/>
      <c r="AH34" s="12"/>
    </row>
    <row r="35" spans="1:34" ht="12.75">
      <c r="A35" s="7" t="s">
        <v>64</v>
      </c>
      <c r="B35" s="7">
        <v>13</v>
      </c>
      <c r="C35" s="7">
        <v>1</v>
      </c>
      <c r="D35" s="7">
        <v>7</v>
      </c>
      <c r="E35" s="7">
        <v>3</v>
      </c>
      <c r="F35" s="8">
        <v>25910</v>
      </c>
      <c r="G35" s="15">
        <f>3818/F35</f>
        <v>0.14735623311462756</v>
      </c>
      <c r="H35" s="15">
        <f>2392/F35</f>
        <v>9.2319567734465452E-2</v>
      </c>
      <c r="I35" s="9">
        <f>1993/1854</f>
        <v>1.0749730312837109</v>
      </c>
      <c r="J35" s="7">
        <v>0</v>
      </c>
      <c r="K35" s="7">
        <v>0</v>
      </c>
      <c r="L35" s="7">
        <v>0</v>
      </c>
      <c r="M35" s="7">
        <v>1</v>
      </c>
      <c r="N35" s="7">
        <v>5</v>
      </c>
      <c r="O35" s="7">
        <v>2</v>
      </c>
      <c r="P35" s="7">
        <v>4</v>
      </c>
      <c r="Q35" s="7">
        <v>0</v>
      </c>
      <c r="R35" s="11">
        <v>2.5328650000000001</v>
      </c>
      <c r="S35" s="11">
        <v>3.1639219999999999</v>
      </c>
      <c r="T35" s="11">
        <v>2.778397</v>
      </c>
      <c r="U35" s="12">
        <f t="shared" si="0"/>
        <v>0.63105699999999976</v>
      </c>
      <c r="V35" s="14">
        <v>31</v>
      </c>
      <c r="W35" s="14">
        <v>32.876923076923084</v>
      </c>
      <c r="X35" s="14">
        <v>24.4</v>
      </c>
      <c r="Y35" s="14">
        <v>43.6</v>
      </c>
      <c r="Z35" s="9">
        <f>274/544</f>
        <v>0.50367647058823528</v>
      </c>
      <c r="AA35" s="12"/>
      <c r="AB35" s="12"/>
      <c r="AC35" s="12"/>
      <c r="AD35" s="12"/>
      <c r="AE35" s="12"/>
      <c r="AF35" s="12"/>
      <c r="AG35" s="12"/>
      <c r="AH35" s="12"/>
    </row>
    <row r="36" spans="1:34" ht="12.75">
      <c r="A36" s="7" t="s">
        <v>65</v>
      </c>
      <c r="B36" s="7">
        <v>26</v>
      </c>
      <c r="C36" s="7">
        <v>2</v>
      </c>
      <c r="D36" s="7">
        <v>8</v>
      </c>
      <c r="E36" s="7">
        <v>3</v>
      </c>
      <c r="F36" s="8">
        <v>47917</v>
      </c>
      <c r="G36" s="15">
        <f>6488/F36</f>
        <v>0.13540079721184548</v>
      </c>
      <c r="H36" s="15">
        <f>3870/F36</f>
        <v>8.0764655550222261E-2</v>
      </c>
      <c r="I36" s="9">
        <f>1843/1854</f>
        <v>0.99406688241639696</v>
      </c>
      <c r="J36" s="7">
        <v>0</v>
      </c>
      <c r="K36" s="7">
        <v>0</v>
      </c>
      <c r="L36" s="7">
        <v>0</v>
      </c>
      <c r="M36" s="7">
        <v>0</v>
      </c>
      <c r="N36" s="7">
        <v>1</v>
      </c>
      <c r="O36" s="7">
        <v>7</v>
      </c>
      <c r="P36" s="7">
        <v>18</v>
      </c>
      <c r="Q36" s="7">
        <v>0</v>
      </c>
      <c r="R36" s="11">
        <v>2.4741939999999998</v>
      </c>
      <c r="S36" s="11">
        <v>3.0671919999999999</v>
      </c>
      <c r="T36" s="11">
        <v>2.7719135000000001</v>
      </c>
      <c r="U36" s="12">
        <f t="shared" si="0"/>
        <v>0.59299800000000014</v>
      </c>
      <c r="V36" s="14">
        <v>38.400000000000006</v>
      </c>
      <c r="W36" s="14">
        <v>39.611538461538458</v>
      </c>
      <c r="X36" s="14">
        <v>18.8</v>
      </c>
      <c r="Y36" s="14">
        <v>63.3</v>
      </c>
      <c r="Z36" s="15">
        <f>261.5/544</f>
        <v>0.48069852941176472</v>
      </c>
      <c r="AA36" s="12"/>
      <c r="AB36" s="12"/>
      <c r="AC36" s="12"/>
      <c r="AD36" s="12"/>
      <c r="AE36" s="12"/>
      <c r="AF36" s="12"/>
      <c r="AG36" s="12"/>
      <c r="AH36" s="12"/>
    </row>
    <row r="37" spans="1:34" ht="12.75">
      <c r="A37" s="7" t="s">
        <v>66</v>
      </c>
      <c r="B37" s="7">
        <v>19</v>
      </c>
      <c r="C37" s="7">
        <v>2</v>
      </c>
      <c r="D37" s="7">
        <v>6</v>
      </c>
      <c r="E37" s="7">
        <v>3</v>
      </c>
      <c r="F37" s="8">
        <v>33386</v>
      </c>
      <c r="G37" s="15">
        <f>5186/F37</f>
        <v>0.15533457137722398</v>
      </c>
      <c r="H37" s="15">
        <f>2505/F37</f>
        <v>7.5031450308512548E-2</v>
      </c>
      <c r="I37" s="9">
        <f>1757/1854</f>
        <v>0.94768069039913705</v>
      </c>
      <c r="J37" s="7">
        <v>0</v>
      </c>
      <c r="K37" s="7">
        <v>0</v>
      </c>
      <c r="L37" s="7">
        <v>0</v>
      </c>
      <c r="M37" s="7">
        <v>2</v>
      </c>
      <c r="N37" s="7">
        <v>5</v>
      </c>
      <c r="O37" s="7">
        <v>6</v>
      </c>
      <c r="P37" s="7">
        <v>4</v>
      </c>
      <c r="Q37" s="7">
        <v>1</v>
      </c>
      <c r="R37" s="11">
        <v>2.3824049999999999</v>
      </c>
      <c r="S37" s="11">
        <v>3.0671919999999999</v>
      </c>
      <c r="T37" s="11">
        <v>2.7567050000000002</v>
      </c>
      <c r="U37" s="12">
        <f t="shared" si="0"/>
        <v>0.68478700000000003</v>
      </c>
      <c r="V37" s="14">
        <v>48.5</v>
      </c>
      <c r="W37" s="14">
        <v>48.531578947368416</v>
      </c>
      <c r="X37" s="14">
        <v>22.6</v>
      </c>
      <c r="Y37" s="14">
        <v>74.2</v>
      </c>
      <c r="Z37" s="15">
        <f>288/544</f>
        <v>0.52941176470588236</v>
      </c>
      <c r="AA37" s="12"/>
      <c r="AB37" s="12"/>
      <c r="AC37" s="12"/>
      <c r="AD37" s="12"/>
      <c r="AE37" s="12"/>
      <c r="AF37" s="12"/>
      <c r="AG37" s="12"/>
      <c r="AH37" s="12"/>
    </row>
    <row r="38" spans="1:34" ht="12.75">
      <c r="A38" s="7" t="s">
        <v>67</v>
      </c>
      <c r="B38" s="7">
        <v>25</v>
      </c>
      <c r="C38" s="7">
        <v>1</v>
      </c>
      <c r="D38" s="7">
        <v>4</v>
      </c>
      <c r="E38" s="7">
        <v>2</v>
      </c>
      <c r="F38" s="8">
        <v>47263</v>
      </c>
      <c r="G38" s="15">
        <f>12381/F38</f>
        <v>0.26195967247106616</v>
      </c>
      <c r="H38" s="15">
        <f>3897/F38</f>
        <v>8.2453504855806867E-2</v>
      </c>
      <c r="I38" s="15">
        <f>1891/1854</f>
        <v>1.0199568500539373</v>
      </c>
      <c r="J38" s="7">
        <v>0</v>
      </c>
      <c r="K38" s="7">
        <v>0</v>
      </c>
      <c r="L38" s="7">
        <v>2</v>
      </c>
      <c r="M38" s="7">
        <v>7</v>
      </c>
      <c r="N38" s="7">
        <v>7</v>
      </c>
      <c r="O38" s="7">
        <v>6</v>
      </c>
      <c r="P38" s="7">
        <v>3</v>
      </c>
      <c r="Q38" s="7">
        <v>0</v>
      </c>
      <c r="R38" s="11">
        <v>2.2810480000000002</v>
      </c>
      <c r="S38" s="11">
        <v>2.9440719999999998</v>
      </c>
      <c r="T38" s="11">
        <v>2.7528920000000001</v>
      </c>
      <c r="U38" s="12">
        <f t="shared" si="0"/>
        <v>0.66302399999999961</v>
      </c>
      <c r="V38" s="14">
        <v>47.2</v>
      </c>
      <c r="W38" s="14">
        <v>47.816000000000003</v>
      </c>
      <c r="X38" s="14">
        <v>20.5</v>
      </c>
      <c r="Y38" s="14">
        <v>66.5</v>
      </c>
      <c r="Z38" s="15">
        <f>292/544</f>
        <v>0.53676470588235292</v>
      </c>
      <c r="AA38" s="12"/>
      <c r="AB38" s="12"/>
      <c r="AC38" s="12"/>
      <c r="AD38" s="12"/>
      <c r="AE38" s="12"/>
      <c r="AF38" s="12"/>
      <c r="AG38" s="12"/>
      <c r="AH38" s="12"/>
    </row>
    <row r="39" spans="1:34" ht="12.75">
      <c r="A39" s="7" t="s">
        <v>68</v>
      </c>
      <c r="B39" s="7">
        <v>10</v>
      </c>
      <c r="C39" s="7">
        <v>2</v>
      </c>
      <c r="D39" s="7">
        <v>9</v>
      </c>
      <c r="E39" s="7">
        <v>4.5</v>
      </c>
      <c r="F39" s="8">
        <v>20791</v>
      </c>
      <c r="G39" s="15">
        <f>3961/F39</f>
        <v>0.19051512673753065</v>
      </c>
      <c r="H39" s="15">
        <f>1201/F39</f>
        <v>5.7765379250637294E-2</v>
      </c>
      <c r="I39" s="9">
        <f>2079/1854</f>
        <v>1.1213592233009708</v>
      </c>
      <c r="J39" s="7">
        <v>0</v>
      </c>
      <c r="K39" s="7">
        <v>0</v>
      </c>
      <c r="L39" s="7">
        <v>0</v>
      </c>
      <c r="M39" s="7">
        <v>1</v>
      </c>
      <c r="N39" s="7">
        <v>5</v>
      </c>
      <c r="O39" s="7">
        <v>3</v>
      </c>
      <c r="P39" s="7">
        <v>1</v>
      </c>
      <c r="Q39" s="7">
        <v>0</v>
      </c>
      <c r="R39" s="11">
        <v>2.6012819999999999</v>
      </c>
      <c r="S39" s="11">
        <v>3.1704349999999999</v>
      </c>
      <c r="T39" s="11">
        <v>2.8444265</v>
      </c>
      <c r="U39" s="12">
        <f t="shared" si="0"/>
        <v>0.56915300000000002</v>
      </c>
      <c r="V39" s="14">
        <v>45.55</v>
      </c>
      <c r="W39" s="14">
        <v>50.43</v>
      </c>
      <c r="X39" s="14">
        <v>33.4</v>
      </c>
      <c r="Y39" s="14">
        <v>72.099999999999994</v>
      </c>
      <c r="Z39" s="15">
        <f>282/544</f>
        <v>0.51838235294117652</v>
      </c>
      <c r="AA39" s="12"/>
      <c r="AB39" s="12"/>
      <c r="AC39" s="12"/>
      <c r="AD39" s="12"/>
      <c r="AE39" s="12"/>
      <c r="AF39" s="12"/>
      <c r="AG39" s="12"/>
      <c r="AH39" s="12"/>
    </row>
    <row r="40" spans="1:34" ht="12.75">
      <c r="A40" s="7" t="s">
        <v>69</v>
      </c>
      <c r="B40" s="7">
        <v>7</v>
      </c>
      <c r="C40" s="7">
        <v>2</v>
      </c>
      <c r="D40" s="7">
        <v>7</v>
      </c>
      <c r="E40" s="7">
        <v>6</v>
      </c>
      <c r="F40" s="8">
        <v>13497</v>
      </c>
      <c r="G40" s="15">
        <f>2812/F40</f>
        <v>0.2083425946506631</v>
      </c>
      <c r="H40" s="15">
        <f>1366/F40</f>
        <v>0.10120767577980291</v>
      </c>
      <c r="I40" s="9">
        <f>1928/1854</f>
        <v>1.0399137001078749</v>
      </c>
      <c r="J40" s="7">
        <v>0</v>
      </c>
      <c r="K40" s="7">
        <v>0</v>
      </c>
      <c r="L40" s="7">
        <v>1</v>
      </c>
      <c r="M40" s="7">
        <v>2</v>
      </c>
      <c r="N40" s="7">
        <v>4</v>
      </c>
      <c r="O40" s="7">
        <v>0</v>
      </c>
      <c r="P40" s="7">
        <v>0</v>
      </c>
      <c r="Q40" s="7">
        <v>0</v>
      </c>
      <c r="R40" s="11">
        <v>2.3234569999999999</v>
      </c>
      <c r="S40" s="11">
        <v>2.8289580000000001</v>
      </c>
      <c r="T40" s="11">
        <v>2.585833</v>
      </c>
      <c r="U40" s="12">
        <f t="shared" si="0"/>
        <v>0.5055010000000002</v>
      </c>
      <c r="V40" s="14">
        <v>24.3</v>
      </c>
      <c r="W40" s="14">
        <v>24.314285714285713</v>
      </c>
      <c r="X40" s="14">
        <v>15.1</v>
      </c>
      <c r="Y40" s="14">
        <v>40.200000000000003</v>
      </c>
      <c r="Z40" s="15">
        <f>499/544</f>
        <v>0.91727941176470584</v>
      </c>
      <c r="AA40" s="12"/>
      <c r="AB40" s="12"/>
      <c r="AC40" s="12"/>
      <c r="AD40" s="12"/>
      <c r="AE40" s="12"/>
      <c r="AF40" s="12"/>
      <c r="AG40" s="12"/>
      <c r="AH40" s="12"/>
    </row>
    <row r="41" spans="1:34" ht="12.75">
      <c r="A41" s="7" t="s">
        <v>70</v>
      </c>
      <c r="B41" s="7">
        <v>8</v>
      </c>
      <c r="C41" s="7">
        <v>2</v>
      </c>
      <c r="D41" s="7">
        <v>4</v>
      </c>
      <c r="E41" s="7">
        <v>3</v>
      </c>
      <c r="F41" s="8">
        <v>20067</v>
      </c>
      <c r="G41" s="15">
        <f>2989/F41</f>
        <v>0.14895101410275577</v>
      </c>
      <c r="H41" s="15">
        <f>1131/F41</f>
        <v>5.6361190013454923E-2</v>
      </c>
      <c r="I41" s="9">
        <f>2508/1854</f>
        <v>1.3527508090614886</v>
      </c>
      <c r="J41" s="7">
        <v>0</v>
      </c>
      <c r="K41" s="7">
        <v>0</v>
      </c>
      <c r="L41" s="7">
        <v>0</v>
      </c>
      <c r="M41" s="7">
        <v>0</v>
      </c>
      <c r="N41" s="7">
        <v>1</v>
      </c>
      <c r="O41" s="7">
        <v>2</v>
      </c>
      <c r="P41" s="7">
        <v>5</v>
      </c>
      <c r="Q41" s="7">
        <v>1</v>
      </c>
      <c r="R41" s="11">
        <v>2.6110060000000002</v>
      </c>
      <c r="S41" s="11">
        <v>2.9446599999999998</v>
      </c>
      <c r="T41" s="11">
        <v>2.7474500000000002</v>
      </c>
      <c r="U41" s="12">
        <f t="shared" si="0"/>
        <v>0.33365399999999967</v>
      </c>
      <c r="V41" s="14">
        <v>57.05</v>
      </c>
      <c r="W41" s="14">
        <v>55.125</v>
      </c>
      <c r="X41" s="14">
        <v>42.1</v>
      </c>
      <c r="Y41" s="14">
        <v>64.099999999999994</v>
      </c>
      <c r="Z41" s="15">
        <f>202/544</f>
        <v>0.37132352941176472</v>
      </c>
      <c r="AA41" s="12"/>
      <c r="AB41" s="12"/>
      <c r="AC41" s="12"/>
      <c r="AD41" s="12"/>
      <c r="AE41" s="12"/>
      <c r="AF41" s="12"/>
      <c r="AG41" s="12"/>
      <c r="AH41" s="12"/>
    </row>
    <row r="42" spans="1:34" ht="12.75">
      <c r="A42" s="7" t="s">
        <v>71</v>
      </c>
      <c r="B42" s="7">
        <v>10</v>
      </c>
      <c r="C42" s="7">
        <v>2</v>
      </c>
      <c r="D42" s="7">
        <v>8</v>
      </c>
      <c r="E42" s="7">
        <v>6.5</v>
      </c>
      <c r="F42" s="8">
        <v>18769</v>
      </c>
      <c r="G42" s="15">
        <f>3098/F42</f>
        <v>0.16505940646811232</v>
      </c>
      <c r="H42" s="15">
        <f>1875/F42</f>
        <v>9.9898769247162872E-2</v>
      </c>
      <c r="I42" s="9">
        <f>1877/1854</f>
        <v>1.0124056094929881</v>
      </c>
      <c r="J42" s="7">
        <v>0</v>
      </c>
      <c r="K42" s="7">
        <v>0</v>
      </c>
      <c r="L42" s="7">
        <v>2</v>
      </c>
      <c r="M42" s="7">
        <v>2</v>
      </c>
      <c r="N42" s="7">
        <v>2</v>
      </c>
      <c r="O42" s="7">
        <v>1</v>
      </c>
      <c r="P42" s="7">
        <v>2</v>
      </c>
      <c r="Q42" s="7">
        <v>0</v>
      </c>
      <c r="R42" s="11">
        <v>2.0990510000000002</v>
      </c>
      <c r="S42" s="11">
        <v>2.7259829999999998</v>
      </c>
      <c r="T42" s="7">
        <v>2.4223509999999999</v>
      </c>
      <c r="U42" s="12">
        <f t="shared" si="0"/>
        <v>0.6269319999999996</v>
      </c>
      <c r="V42" s="14">
        <v>33.9</v>
      </c>
      <c r="W42" s="14">
        <v>35.776923076923076</v>
      </c>
      <c r="X42" s="14">
        <v>12.6</v>
      </c>
      <c r="Y42" s="14">
        <v>64.099999999999994</v>
      </c>
      <c r="Z42" s="15">
        <f>366/544</f>
        <v>0.67279411764705888</v>
      </c>
      <c r="AA42" s="12"/>
      <c r="AB42" s="12"/>
      <c r="AC42" s="12"/>
      <c r="AD42" s="12"/>
      <c r="AE42" s="12"/>
      <c r="AF42" s="12"/>
      <c r="AG42" s="12"/>
      <c r="AH42" s="12"/>
    </row>
    <row r="43" spans="1:34" ht="12.75">
      <c r="A43" s="7" t="s">
        <v>72</v>
      </c>
      <c r="B43" s="7">
        <v>24</v>
      </c>
      <c r="C43" s="7">
        <v>2</v>
      </c>
      <c r="D43" s="7">
        <v>10</v>
      </c>
      <c r="E43" s="7">
        <v>7</v>
      </c>
      <c r="F43" s="8">
        <v>40265</v>
      </c>
      <c r="G43" s="15">
        <f>7299/F43</f>
        <v>0.18127405935676147</v>
      </c>
      <c r="H43" s="15">
        <f>6457/F43</f>
        <v>0.16036259778964362</v>
      </c>
      <c r="I43" s="9">
        <f>1678/1854</f>
        <v>0.90507011866235165</v>
      </c>
      <c r="J43" s="7">
        <v>1</v>
      </c>
      <c r="K43" s="7">
        <v>6</v>
      </c>
      <c r="L43" s="7">
        <v>8</v>
      </c>
      <c r="M43" s="7">
        <v>2</v>
      </c>
      <c r="N43" s="7">
        <v>3</v>
      </c>
      <c r="O43" s="7">
        <v>2</v>
      </c>
      <c r="P43" s="7">
        <v>0</v>
      </c>
      <c r="Q43" s="7">
        <v>2</v>
      </c>
      <c r="R43" s="11">
        <v>1.7667729999999999</v>
      </c>
      <c r="S43" s="11">
        <v>2.7259829999999998</v>
      </c>
      <c r="T43" s="11">
        <v>2.1330355000000001</v>
      </c>
      <c r="U43" s="12">
        <f t="shared" si="0"/>
        <v>0.9592099999999999</v>
      </c>
      <c r="V43" s="14">
        <v>14.05</v>
      </c>
      <c r="W43" s="14">
        <v>18.004166666666666</v>
      </c>
      <c r="X43" s="14">
        <v>6.1</v>
      </c>
      <c r="Y43" s="14">
        <v>57.9</v>
      </c>
      <c r="Z43" s="15">
        <f>637.5/544</f>
        <v>1.171875</v>
      </c>
      <c r="AA43" s="12"/>
      <c r="AB43" s="12"/>
      <c r="AC43" s="12"/>
      <c r="AD43" s="12"/>
      <c r="AE43" s="12"/>
      <c r="AF43" s="12"/>
      <c r="AG43" s="12"/>
      <c r="AH43" s="12"/>
    </row>
    <row r="44" spans="1:34" ht="12.75">
      <c r="A44" s="7" t="s">
        <v>73</v>
      </c>
      <c r="B44" s="7">
        <v>10</v>
      </c>
      <c r="C44" s="7">
        <v>2</v>
      </c>
      <c r="D44" s="7">
        <v>7</v>
      </c>
      <c r="E44" s="7">
        <v>4</v>
      </c>
      <c r="F44" s="8">
        <v>18509</v>
      </c>
      <c r="G44" s="15">
        <f>4006/F44</f>
        <v>0.2164352477173267</v>
      </c>
      <c r="H44" s="15">
        <f>2688/F44</f>
        <v>0.1452266464962991</v>
      </c>
      <c r="I44" s="9">
        <f>1851/1854</f>
        <v>0.99838187702265369</v>
      </c>
      <c r="J44" s="7">
        <v>0</v>
      </c>
      <c r="K44" s="7">
        <v>0</v>
      </c>
      <c r="L44" s="7">
        <v>10</v>
      </c>
      <c r="M44" s="7">
        <v>0</v>
      </c>
      <c r="N44" s="7">
        <v>0</v>
      </c>
      <c r="O44" s="7">
        <v>0</v>
      </c>
      <c r="P44" s="7">
        <v>0</v>
      </c>
      <c r="Q44" s="7">
        <v>0</v>
      </c>
      <c r="R44" s="11">
        <v>2.1695479999999998</v>
      </c>
      <c r="S44" s="11">
        <v>2.6087069999999999</v>
      </c>
      <c r="T44" s="11">
        <v>2.3631799999999998</v>
      </c>
      <c r="U44" s="12">
        <f t="shared" si="0"/>
        <v>0.43915900000000008</v>
      </c>
      <c r="V44" s="14">
        <v>25.4</v>
      </c>
      <c r="W44" s="14">
        <v>26.72</v>
      </c>
      <c r="X44" s="14">
        <v>13.8</v>
      </c>
      <c r="Y44" s="14">
        <v>39.299999999999997</v>
      </c>
      <c r="Z44" s="15">
        <f>569.5/544</f>
        <v>1.046875</v>
      </c>
      <c r="AA44" s="12"/>
      <c r="AB44" s="12"/>
      <c r="AC44" s="12"/>
      <c r="AD44" s="12"/>
      <c r="AE44" s="12"/>
      <c r="AF44" s="12"/>
      <c r="AG44" s="12"/>
      <c r="AH44" s="12"/>
    </row>
    <row r="45" spans="1:34" ht="12.75">
      <c r="A45" s="7" t="s">
        <v>74</v>
      </c>
      <c r="B45" s="7">
        <v>11</v>
      </c>
      <c r="C45" s="7">
        <v>3</v>
      </c>
      <c r="D45" s="7">
        <v>8</v>
      </c>
      <c r="E45" s="7">
        <v>5</v>
      </c>
      <c r="F45" s="8">
        <v>21722</v>
      </c>
      <c r="G45" s="15">
        <f>4133/F45</f>
        <v>0.19026793112973023</v>
      </c>
      <c r="H45" s="15">
        <f>2605/F45</f>
        <v>0.11992450050639904</v>
      </c>
      <c r="I45" s="9">
        <f>1975/1854</f>
        <v>1.0652642934196332</v>
      </c>
      <c r="J45" s="7">
        <v>0</v>
      </c>
      <c r="K45" s="7">
        <v>0</v>
      </c>
      <c r="L45" s="7">
        <v>4</v>
      </c>
      <c r="M45" s="7">
        <v>3</v>
      </c>
      <c r="N45" s="7">
        <v>2</v>
      </c>
      <c r="O45" s="7">
        <v>1</v>
      </c>
      <c r="P45" s="7">
        <v>1</v>
      </c>
      <c r="Q45" s="7">
        <v>0</v>
      </c>
      <c r="R45" s="11">
        <v>2.0545079999999998</v>
      </c>
      <c r="S45" s="11">
        <v>2.4345189999999999</v>
      </c>
      <c r="T45" s="11">
        <v>2.180653</v>
      </c>
      <c r="U45" s="12">
        <f t="shared" si="0"/>
        <v>0.3800110000000001</v>
      </c>
      <c r="V45" s="14">
        <v>35.5</v>
      </c>
      <c r="W45" s="14">
        <v>31.40909090909091</v>
      </c>
      <c r="X45" s="14">
        <v>15.3</v>
      </c>
      <c r="Y45" s="14">
        <v>52.5</v>
      </c>
      <c r="Z45" s="15">
        <f>522/544</f>
        <v>0.9595588235294118</v>
      </c>
      <c r="AA45" s="12"/>
      <c r="AB45" s="12"/>
      <c r="AC45" s="12"/>
      <c r="AD45" s="12"/>
      <c r="AE45" s="12"/>
      <c r="AF45" s="12"/>
      <c r="AG45" s="12"/>
      <c r="AH45" s="12"/>
    </row>
    <row r="46" spans="1:34" ht="12.75">
      <c r="A46" s="7" t="s">
        <v>75</v>
      </c>
      <c r="B46" s="7">
        <v>35</v>
      </c>
      <c r="C46" s="7">
        <v>1</v>
      </c>
      <c r="D46" s="7">
        <v>5</v>
      </c>
      <c r="E46" s="7">
        <v>3</v>
      </c>
      <c r="F46" s="8">
        <v>71167</v>
      </c>
      <c r="G46" s="15">
        <f>13389/F46</f>
        <v>0.18813495018758694</v>
      </c>
      <c r="H46" s="15">
        <f>15131/F46</f>
        <v>0.21261258729467308</v>
      </c>
      <c r="I46" s="15">
        <f>2033/1854</f>
        <v>1.0965480043149947</v>
      </c>
      <c r="J46" s="7">
        <v>0</v>
      </c>
      <c r="K46" s="7">
        <v>0</v>
      </c>
      <c r="L46" s="7">
        <v>0</v>
      </c>
      <c r="M46" s="7">
        <v>2</v>
      </c>
      <c r="N46" s="7">
        <v>13</v>
      </c>
      <c r="O46" s="7">
        <v>10</v>
      </c>
      <c r="P46" s="7">
        <v>10</v>
      </c>
      <c r="Q46" s="7">
        <v>0</v>
      </c>
      <c r="R46" s="11">
        <v>2.5222769999999999</v>
      </c>
      <c r="S46" s="11">
        <v>2.9576190000000002</v>
      </c>
      <c r="T46" s="11">
        <v>2.7307519999999998</v>
      </c>
      <c r="U46" s="12">
        <f t="shared" si="0"/>
        <v>0.43534200000000034</v>
      </c>
      <c r="V46" s="14">
        <v>42.6</v>
      </c>
      <c r="W46" s="14">
        <v>42.037142857142861</v>
      </c>
      <c r="X46" s="14">
        <v>20.5</v>
      </c>
      <c r="Y46" s="14">
        <v>64</v>
      </c>
      <c r="Z46" s="15">
        <f>267/544</f>
        <v>0.49080882352941174</v>
      </c>
      <c r="AA46" s="12"/>
      <c r="AB46" s="12"/>
      <c r="AC46" s="12"/>
      <c r="AD46" s="12"/>
      <c r="AE46" s="12"/>
      <c r="AF46" s="12"/>
      <c r="AG46" s="12"/>
      <c r="AH46" s="12"/>
    </row>
    <row r="47" spans="1:34" ht="12.75">
      <c r="A47" s="7" t="s">
        <v>76</v>
      </c>
      <c r="B47" s="7">
        <v>19</v>
      </c>
      <c r="C47" s="7">
        <v>1</v>
      </c>
      <c r="D47" s="7">
        <v>5</v>
      </c>
      <c r="E47" s="7">
        <v>3</v>
      </c>
      <c r="F47" s="8">
        <v>37517</v>
      </c>
      <c r="G47" s="15">
        <f>7313/F47</f>
        <v>0.19492496734813552</v>
      </c>
      <c r="H47" s="15">
        <f>3241/F47</f>
        <v>8.6387504331369783E-2</v>
      </c>
      <c r="I47" s="9">
        <f>1975/1854</f>
        <v>1.0652642934196332</v>
      </c>
      <c r="J47" s="7">
        <v>0</v>
      </c>
      <c r="K47" s="7">
        <v>0</v>
      </c>
      <c r="L47" s="7">
        <v>2</v>
      </c>
      <c r="M47" s="7">
        <v>4</v>
      </c>
      <c r="N47" s="7">
        <v>1</v>
      </c>
      <c r="O47" s="7">
        <v>6</v>
      </c>
      <c r="P47" s="7">
        <v>5</v>
      </c>
      <c r="Q47" s="7">
        <v>0</v>
      </c>
      <c r="R47" s="11">
        <v>2.4539520000000001</v>
      </c>
      <c r="S47" s="11">
        <v>2.9828199999999998</v>
      </c>
      <c r="T47" s="11">
        <v>2.7270759999999998</v>
      </c>
      <c r="U47" s="12">
        <f t="shared" si="0"/>
        <v>0.52886799999999967</v>
      </c>
      <c r="V47" s="14">
        <v>61.1</v>
      </c>
      <c r="W47" s="14">
        <v>59.626315789473679</v>
      </c>
      <c r="X47" s="14">
        <v>34.700000000000003</v>
      </c>
      <c r="Y47" s="14">
        <v>77.5</v>
      </c>
      <c r="Z47" s="15">
        <f>337/544</f>
        <v>0.61948529411764708</v>
      </c>
      <c r="AA47" s="12"/>
      <c r="AB47" s="12"/>
      <c r="AC47" s="12"/>
      <c r="AD47" s="12"/>
      <c r="AE47" s="12"/>
      <c r="AF47" s="12"/>
      <c r="AG47" s="12"/>
      <c r="AH47" s="12"/>
    </row>
    <row r="48" spans="1:34" ht="12.75">
      <c r="A48" s="7" t="s">
        <v>77</v>
      </c>
      <c r="B48" s="7">
        <v>16</v>
      </c>
      <c r="C48" s="7">
        <v>2</v>
      </c>
      <c r="D48" s="7">
        <v>10</v>
      </c>
      <c r="E48" s="7">
        <v>6</v>
      </c>
      <c r="F48" s="8">
        <v>27614</v>
      </c>
      <c r="G48" s="15">
        <f>5583/F48</f>
        <v>0.20218005359600202</v>
      </c>
      <c r="H48" s="15">
        <f>4911/F48</f>
        <v>0.17784457159411893</v>
      </c>
      <c r="I48" s="9">
        <f>1624/1854</f>
        <v>0.87594390507011866</v>
      </c>
      <c r="J48" s="7">
        <v>2</v>
      </c>
      <c r="K48" s="7">
        <v>6</v>
      </c>
      <c r="L48" s="7">
        <v>8</v>
      </c>
      <c r="M48" s="7">
        <v>1</v>
      </c>
      <c r="N48" s="7">
        <v>0</v>
      </c>
      <c r="O48" s="7">
        <v>0</v>
      </c>
      <c r="P48" s="7">
        <v>0</v>
      </c>
      <c r="Q48" s="7">
        <v>0</v>
      </c>
      <c r="R48" s="11">
        <v>1.672588</v>
      </c>
      <c r="S48" s="11">
        <v>2.3326920000000002</v>
      </c>
      <c r="T48" s="7">
        <v>2.0206490000000001</v>
      </c>
      <c r="U48" s="12">
        <f t="shared" si="0"/>
        <v>0.66010400000000025</v>
      </c>
      <c r="V48" s="14">
        <v>17.399999999999999</v>
      </c>
      <c r="W48" s="14">
        <v>16.988235294117644</v>
      </c>
      <c r="X48" s="14">
        <v>8.1</v>
      </c>
      <c r="Y48" s="14">
        <v>31.6</v>
      </c>
      <c r="Z48" s="15">
        <f>670/544</f>
        <v>1.2316176470588236</v>
      </c>
      <c r="AA48" s="12"/>
      <c r="AB48" s="12"/>
      <c r="AC48" s="12"/>
      <c r="AD48" s="12"/>
      <c r="AE48" s="12"/>
      <c r="AF48" s="12"/>
      <c r="AG48" s="12"/>
      <c r="AH48" s="12"/>
    </row>
    <row r="49" spans="1:34" ht="12.75">
      <c r="A49" s="7" t="s">
        <v>78</v>
      </c>
      <c r="B49" s="7">
        <v>14</v>
      </c>
      <c r="C49" s="7">
        <v>2</v>
      </c>
      <c r="D49" s="7">
        <v>4</v>
      </c>
      <c r="E49" s="7">
        <v>2.5</v>
      </c>
      <c r="F49" s="8">
        <v>28876</v>
      </c>
      <c r="G49" s="15">
        <f>5905/F49</f>
        <v>0.204495082421388</v>
      </c>
      <c r="H49" s="15">
        <f>2631/F49</f>
        <v>9.1113727663111238E-2</v>
      </c>
      <c r="I49" s="9">
        <f>2063/1854</f>
        <v>1.1127292340884574</v>
      </c>
      <c r="J49" s="7">
        <v>0</v>
      </c>
      <c r="K49" s="7">
        <v>0</v>
      </c>
      <c r="L49" s="7">
        <v>3</v>
      </c>
      <c r="M49" s="7">
        <v>5</v>
      </c>
      <c r="N49" s="7">
        <v>4</v>
      </c>
      <c r="O49" s="7">
        <v>2</v>
      </c>
      <c r="P49" s="7">
        <v>0</v>
      </c>
      <c r="Q49" s="7">
        <v>0</v>
      </c>
      <c r="R49" s="11">
        <v>2.578049</v>
      </c>
      <c r="S49" s="11">
        <v>2.8974060000000001</v>
      </c>
      <c r="T49" s="11">
        <v>2.7238505000000002</v>
      </c>
      <c r="U49" s="12">
        <f t="shared" si="0"/>
        <v>0.31935700000000011</v>
      </c>
      <c r="V49" s="14">
        <v>56.45</v>
      </c>
      <c r="W49" s="14">
        <v>58.25714285714286</v>
      </c>
      <c r="X49" s="14">
        <v>39.799999999999997</v>
      </c>
      <c r="Y49" s="14">
        <v>72.2</v>
      </c>
      <c r="Z49" s="15">
        <f>337.5/544</f>
        <v>0.62040441176470584</v>
      </c>
      <c r="AA49" s="12"/>
      <c r="AB49" s="12"/>
      <c r="AC49" s="12"/>
      <c r="AD49" s="12"/>
      <c r="AE49" s="12"/>
      <c r="AF49" s="12"/>
      <c r="AG49" s="12"/>
      <c r="AH49" s="12"/>
    </row>
    <row r="50" spans="1:34" ht="12.75">
      <c r="A50" s="7" t="s">
        <v>79</v>
      </c>
      <c r="B50" s="7">
        <v>7</v>
      </c>
      <c r="C50" s="7">
        <v>3</v>
      </c>
      <c r="D50" s="7">
        <v>4</v>
      </c>
      <c r="E50" s="7">
        <v>4</v>
      </c>
      <c r="F50" s="8">
        <v>13029</v>
      </c>
      <c r="G50" s="15">
        <f>2119/F50</f>
        <v>0.16263719395195333</v>
      </c>
      <c r="H50" s="15">
        <f>940/F50</f>
        <v>7.2146749558676795E-2</v>
      </c>
      <c r="I50" s="9">
        <f>1861/1854</f>
        <v>1.0037756202804746</v>
      </c>
      <c r="J50" s="7">
        <v>0</v>
      </c>
      <c r="K50" s="7">
        <v>0</v>
      </c>
      <c r="L50" s="7">
        <v>0</v>
      </c>
      <c r="M50" s="7">
        <v>0</v>
      </c>
      <c r="N50" s="7">
        <v>2</v>
      </c>
      <c r="O50" s="7">
        <v>1</v>
      </c>
      <c r="P50" s="7">
        <v>4</v>
      </c>
      <c r="Q50" s="7">
        <v>0</v>
      </c>
      <c r="R50" s="11">
        <v>2.07891</v>
      </c>
      <c r="S50" s="11">
        <v>2.7793679999999998</v>
      </c>
      <c r="T50" s="11">
        <v>2.4029410000000002</v>
      </c>
      <c r="U50" s="12">
        <f t="shared" si="0"/>
        <v>0.7004579999999998</v>
      </c>
      <c r="V50" s="14">
        <v>39.9</v>
      </c>
      <c r="W50" s="14">
        <v>42.885714285714286</v>
      </c>
      <c r="X50" s="14">
        <v>33.799999999999997</v>
      </c>
      <c r="Y50" s="14">
        <v>53.9</v>
      </c>
      <c r="Z50" s="15">
        <f>360/544</f>
        <v>0.66176470588235292</v>
      </c>
      <c r="AA50" s="12"/>
      <c r="AB50" s="12"/>
      <c r="AC50" s="12"/>
      <c r="AD50" s="12"/>
      <c r="AE50" s="12"/>
      <c r="AF50" s="12"/>
      <c r="AG50" s="12"/>
      <c r="AH50" s="12"/>
    </row>
    <row r="51" spans="1:34" ht="12.75">
      <c r="A51" s="7" t="s">
        <v>80</v>
      </c>
      <c r="B51" s="7">
        <v>16</v>
      </c>
      <c r="C51" s="7">
        <v>2</v>
      </c>
      <c r="D51" s="7">
        <v>7</v>
      </c>
      <c r="E51" s="7">
        <v>3</v>
      </c>
      <c r="F51" s="8">
        <v>38349</v>
      </c>
      <c r="G51" s="15">
        <f>7736/F51</f>
        <v>0.2017262510104566</v>
      </c>
      <c r="H51" s="15">
        <f>2618/F51</f>
        <v>6.8267751440715535E-2</v>
      </c>
      <c r="I51" s="15">
        <f>2397/1854</f>
        <v>1.2928802588996764</v>
      </c>
      <c r="J51" s="7">
        <v>0</v>
      </c>
      <c r="K51" s="7">
        <v>0</v>
      </c>
      <c r="L51" s="7">
        <v>0</v>
      </c>
      <c r="M51" s="7">
        <v>0</v>
      </c>
      <c r="N51" s="7">
        <v>2</v>
      </c>
      <c r="O51" s="7">
        <v>7</v>
      </c>
      <c r="P51" s="7">
        <v>6</v>
      </c>
      <c r="Q51" s="7">
        <v>1</v>
      </c>
      <c r="R51" s="11">
        <v>2.5970970000000002</v>
      </c>
      <c r="S51" s="11">
        <v>3.0197449999999999</v>
      </c>
      <c r="T51" s="11">
        <v>2.6863039999999998</v>
      </c>
      <c r="U51" s="12">
        <f t="shared" si="0"/>
        <v>0.42264799999999969</v>
      </c>
      <c r="V51" s="14">
        <v>62.2</v>
      </c>
      <c r="W51" s="14">
        <v>58.6875</v>
      </c>
      <c r="X51" s="14">
        <v>33.4</v>
      </c>
      <c r="Y51" s="14">
        <v>76.099999999999994</v>
      </c>
      <c r="Z51" s="15">
        <f>273/544</f>
        <v>0.50183823529411764</v>
      </c>
      <c r="AA51" s="12"/>
      <c r="AB51" s="12"/>
      <c r="AC51" s="12"/>
      <c r="AD51" s="12"/>
      <c r="AE51" s="12"/>
      <c r="AF51" s="12"/>
      <c r="AG51" s="12"/>
      <c r="AH51" s="12"/>
    </row>
    <row r="52" spans="1:34" ht="12.75">
      <c r="A52" s="7" t="s">
        <v>81</v>
      </c>
      <c r="B52" s="7">
        <v>11</v>
      </c>
      <c r="C52" s="7">
        <v>2</v>
      </c>
      <c r="D52" s="7">
        <v>10</v>
      </c>
      <c r="E52" s="7">
        <v>8</v>
      </c>
      <c r="F52" s="8">
        <v>22560</v>
      </c>
      <c r="G52" s="15">
        <f>4700/F52</f>
        <v>0.20833333333333334</v>
      </c>
      <c r="H52" s="15">
        <f>3189/F52</f>
        <v>0.14135638297872341</v>
      </c>
      <c r="I52" s="9">
        <f>2051/1854</f>
        <v>1.1062567421790723</v>
      </c>
      <c r="J52" s="7">
        <v>1</v>
      </c>
      <c r="K52" s="7">
        <v>1</v>
      </c>
      <c r="L52" s="7">
        <v>4</v>
      </c>
      <c r="M52" s="7">
        <v>2</v>
      </c>
      <c r="N52" s="7">
        <v>0</v>
      </c>
      <c r="O52" s="7">
        <v>2</v>
      </c>
      <c r="P52" s="7">
        <v>1</v>
      </c>
      <c r="Q52" s="7">
        <v>0</v>
      </c>
      <c r="R52" s="11">
        <v>1.6176889999999999</v>
      </c>
      <c r="S52" s="11">
        <v>2.2819129999999999</v>
      </c>
      <c r="T52" s="11">
        <v>1.842684</v>
      </c>
      <c r="U52" s="12">
        <f t="shared" si="0"/>
        <v>0.66422399999999993</v>
      </c>
      <c r="V52" s="14">
        <v>16.3</v>
      </c>
      <c r="W52" s="14">
        <v>16.636363636363637</v>
      </c>
      <c r="X52" s="14">
        <v>10.199999999999999</v>
      </c>
      <c r="Y52" s="14">
        <v>23</v>
      </c>
      <c r="Z52" s="15">
        <f t="shared" ref="Z52:Z53" si="1">819/544</f>
        <v>1.505514705882353</v>
      </c>
      <c r="AA52" s="12"/>
      <c r="AB52" s="12"/>
      <c r="AC52" s="12"/>
      <c r="AD52" s="12"/>
      <c r="AE52" s="12"/>
      <c r="AF52" s="12"/>
      <c r="AG52" s="12"/>
      <c r="AH52" s="12"/>
    </row>
    <row r="53" spans="1:34" ht="12.75">
      <c r="A53" s="7" t="s">
        <v>82</v>
      </c>
      <c r="B53" s="7">
        <v>17</v>
      </c>
      <c r="C53" s="7">
        <v>2</v>
      </c>
      <c r="D53" s="7">
        <v>10</v>
      </c>
      <c r="E53" s="7">
        <v>8</v>
      </c>
      <c r="F53" s="8">
        <v>32468</v>
      </c>
      <c r="G53" s="15">
        <f>6644/F53</f>
        <v>0.20463225329555254</v>
      </c>
      <c r="H53" s="15">
        <f>5556/F53</f>
        <v>0.17112233583836392</v>
      </c>
      <c r="I53" s="9">
        <f>1910/1854</f>
        <v>1.0302049622437972</v>
      </c>
      <c r="J53" s="7">
        <v>4</v>
      </c>
      <c r="K53" s="7">
        <v>3</v>
      </c>
      <c r="L53" s="7">
        <v>5</v>
      </c>
      <c r="M53" s="7">
        <v>2</v>
      </c>
      <c r="N53" s="7">
        <v>0</v>
      </c>
      <c r="O53" s="7">
        <v>2</v>
      </c>
      <c r="P53" s="7">
        <v>1</v>
      </c>
      <c r="Q53" s="7">
        <v>0</v>
      </c>
      <c r="R53" s="11">
        <v>1.5775490000000001</v>
      </c>
      <c r="S53" s="11">
        <v>2.2819129999999999</v>
      </c>
      <c r="T53" s="11">
        <v>1.774081</v>
      </c>
      <c r="U53" s="12">
        <f t="shared" si="0"/>
        <v>0.70436399999999977</v>
      </c>
      <c r="V53" s="14">
        <v>13.4</v>
      </c>
      <c r="W53" s="14">
        <v>13.923529411764704</v>
      </c>
      <c r="X53" s="14">
        <v>5</v>
      </c>
      <c r="Y53" s="14">
        <v>23</v>
      </c>
      <c r="Z53" s="15">
        <f t="shared" si="1"/>
        <v>1.505514705882353</v>
      </c>
      <c r="AA53" s="12"/>
      <c r="AB53" s="12"/>
      <c r="AC53" s="12"/>
      <c r="AD53" s="12"/>
      <c r="AE53" s="12"/>
      <c r="AF53" s="12"/>
      <c r="AG53" s="12"/>
      <c r="AH53" s="12"/>
    </row>
    <row r="54" spans="1:34" ht="12.75">
      <c r="A54" s="7" t="s">
        <v>83</v>
      </c>
      <c r="B54" s="7">
        <v>25</v>
      </c>
      <c r="C54" s="7">
        <v>2</v>
      </c>
      <c r="D54" s="7">
        <v>10</v>
      </c>
      <c r="E54" s="7">
        <v>8</v>
      </c>
      <c r="F54" s="8">
        <v>50084</v>
      </c>
      <c r="G54" s="15">
        <f>9646/F54</f>
        <v>0.19259643798418657</v>
      </c>
      <c r="H54" s="15">
        <f>8681/F54</f>
        <v>0.17332880760322658</v>
      </c>
      <c r="I54" s="9">
        <f>1855/1854</f>
        <v>1.000539374325782</v>
      </c>
      <c r="J54" s="7">
        <v>2</v>
      </c>
      <c r="K54" s="7">
        <v>6</v>
      </c>
      <c r="L54" s="7">
        <v>9</v>
      </c>
      <c r="M54" s="7">
        <v>3</v>
      </c>
      <c r="N54" s="7">
        <v>1</v>
      </c>
      <c r="O54" s="7">
        <v>2</v>
      </c>
      <c r="P54" s="7">
        <v>2</v>
      </c>
      <c r="Q54" s="7">
        <v>2</v>
      </c>
      <c r="R54" s="11">
        <v>1.5746070000000001</v>
      </c>
      <c r="S54" s="11">
        <v>2.8668849999999999</v>
      </c>
      <c r="T54" s="7">
        <v>1.856854</v>
      </c>
      <c r="U54" s="12">
        <f t="shared" si="0"/>
        <v>1.2922779999999998</v>
      </c>
      <c r="V54" s="14">
        <v>27.8</v>
      </c>
      <c r="W54" s="14">
        <v>29.225925925925928</v>
      </c>
      <c r="X54" s="14">
        <v>5.7</v>
      </c>
      <c r="Y54" s="14">
        <v>59.5</v>
      </c>
      <c r="Z54" s="15">
        <f>746/544</f>
        <v>1.3713235294117647</v>
      </c>
      <c r="AA54" s="12"/>
      <c r="AB54" s="12"/>
      <c r="AC54" s="12"/>
      <c r="AD54" s="12"/>
      <c r="AE54" s="12"/>
      <c r="AF54" s="12"/>
      <c r="AG54" s="12"/>
      <c r="AH54" s="12"/>
    </row>
    <row r="55" spans="1:34" ht="12.75">
      <c r="A55" s="7" t="s">
        <v>84</v>
      </c>
      <c r="B55" s="7">
        <v>5</v>
      </c>
      <c r="C55" s="7">
        <v>4</v>
      </c>
      <c r="D55" s="7">
        <v>7</v>
      </c>
      <c r="E55" s="7">
        <v>6</v>
      </c>
      <c r="F55" s="8">
        <v>9599</v>
      </c>
      <c r="G55" s="15">
        <f>2095/F55</f>
        <v>0.21825190123971247</v>
      </c>
      <c r="H55" s="15">
        <f>1387/F55</f>
        <v>0.14449421814772373</v>
      </c>
      <c r="I55" s="9">
        <f>1920/1854</f>
        <v>1.035598705501618</v>
      </c>
      <c r="J55" s="7">
        <v>0</v>
      </c>
      <c r="K55" s="7">
        <v>2</v>
      </c>
      <c r="L55" s="7">
        <v>0</v>
      </c>
      <c r="M55" s="7">
        <v>2</v>
      </c>
      <c r="N55" s="7">
        <v>0</v>
      </c>
      <c r="O55" s="7">
        <v>1</v>
      </c>
      <c r="P55" s="7">
        <v>0</v>
      </c>
      <c r="Q55" s="7">
        <v>0</v>
      </c>
      <c r="R55" s="11">
        <v>1.782146</v>
      </c>
      <c r="S55" s="11">
        <v>2.4062299999999999</v>
      </c>
      <c r="T55" s="11">
        <v>1.871092</v>
      </c>
      <c r="U55" s="12">
        <f t="shared" si="0"/>
        <v>0.62408399999999986</v>
      </c>
      <c r="V55" s="14">
        <v>22</v>
      </c>
      <c r="W55" s="14">
        <v>23.459999999999994</v>
      </c>
      <c r="X55" s="14">
        <v>16.3</v>
      </c>
      <c r="Y55" s="14">
        <v>32.9</v>
      </c>
      <c r="Z55" s="15">
        <f>701/544</f>
        <v>1.2886029411764706</v>
      </c>
      <c r="AA55" s="12"/>
      <c r="AB55" s="12"/>
      <c r="AC55" s="12"/>
      <c r="AD55" s="12"/>
      <c r="AE55" s="12"/>
      <c r="AF55" s="12"/>
      <c r="AG55" s="12"/>
      <c r="AH55" s="12"/>
    </row>
    <row r="56" spans="1:34" ht="12.75">
      <c r="A56" s="7" t="s">
        <v>85</v>
      </c>
      <c r="B56" s="7">
        <v>7</v>
      </c>
      <c r="C56" s="7">
        <v>4</v>
      </c>
      <c r="D56" s="7">
        <v>9</v>
      </c>
      <c r="E56" s="7">
        <v>6</v>
      </c>
      <c r="F56" s="8">
        <v>12444</v>
      </c>
      <c r="G56" s="15">
        <f>2783/F56</f>
        <v>0.22364191578270654</v>
      </c>
      <c r="H56" s="15">
        <f>1920/F56</f>
        <v>0.15429122468659595</v>
      </c>
      <c r="I56" s="9">
        <f>1778/1854</f>
        <v>0.95900755124056092</v>
      </c>
      <c r="J56" s="7">
        <v>2</v>
      </c>
      <c r="K56" s="7">
        <v>1</v>
      </c>
      <c r="L56" s="7">
        <v>3</v>
      </c>
      <c r="M56" s="7">
        <v>1</v>
      </c>
      <c r="N56" s="7">
        <v>0</v>
      </c>
      <c r="O56" s="7">
        <v>0</v>
      </c>
      <c r="P56" s="7">
        <v>0</v>
      </c>
      <c r="Q56" s="7">
        <v>0</v>
      </c>
      <c r="R56" s="11">
        <v>1.692215</v>
      </c>
      <c r="S56" s="11">
        <v>2.2360920000000002</v>
      </c>
      <c r="T56" s="11">
        <v>1.923289</v>
      </c>
      <c r="U56" s="12">
        <f t="shared" si="0"/>
        <v>0.54387700000000017</v>
      </c>
      <c r="V56" s="14">
        <v>21.3</v>
      </c>
      <c r="W56" s="14">
        <v>23.114285714285717</v>
      </c>
      <c r="X56" s="14">
        <v>11.8</v>
      </c>
      <c r="Y56" s="14">
        <v>31.3</v>
      </c>
      <c r="Z56" s="15">
        <f>936/544</f>
        <v>1.7205882352941178</v>
      </c>
      <c r="AA56" s="12"/>
      <c r="AB56" s="12"/>
      <c r="AC56" s="12"/>
      <c r="AD56" s="12"/>
      <c r="AE56" s="12"/>
      <c r="AF56" s="12"/>
      <c r="AG56" s="12"/>
      <c r="AH56" s="12"/>
    </row>
    <row r="57" spans="1:34" ht="12.75">
      <c r="A57" s="7" t="s">
        <v>86</v>
      </c>
      <c r="B57" s="7">
        <v>7</v>
      </c>
      <c r="C57" s="7">
        <v>2</v>
      </c>
      <c r="D57" s="7">
        <v>5</v>
      </c>
      <c r="E57" s="7">
        <v>3</v>
      </c>
      <c r="F57" s="8">
        <v>18785</v>
      </c>
      <c r="G57" s="15">
        <f>4202/F57</f>
        <v>0.22368911365451158</v>
      </c>
      <c r="H57" s="15">
        <f>1100/F57</f>
        <v>5.8557359595421882E-2</v>
      </c>
      <c r="I57" s="9">
        <f>2684/1854</f>
        <v>1.447680690399137</v>
      </c>
      <c r="J57" s="7">
        <v>0</v>
      </c>
      <c r="K57" s="7">
        <v>0</v>
      </c>
      <c r="L57" s="7">
        <v>0</v>
      </c>
      <c r="M57" s="7">
        <v>2</v>
      </c>
      <c r="N57" s="7">
        <v>1</v>
      </c>
      <c r="O57" s="7">
        <v>2</v>
      </c>
      <c r="P57" s="7">
        <v>2</v>
      </c>
      <c r="Q57" s="7">
        <v>0</v>
      </c>
      <c r="R57" s="11">
        <v>2.6460530000000002</v>
      </c>
      <c r="S57" s="11">
        <v>2.854562</v>
      </c>
      <c r="T57" s="11">
        <v>2.684488</v>
      </c>
      <c r="U57" s="12">
        <f t="shared" si="0"/>
        <v>0.20850899999999983</v>
      </c>
      <c r="V57" s="14">
        <v>61.2</v>
      </c>
      <c r="W57" s="14">
        <v>59.671428571428571</v>
      </c>
      <c r="X57" s="14">
        <v>30.8</v>
      </c>
      <c r="Y57" s="14">
        <v>81.5</v>
      </c>
      <c r="Z57" s="9">
        <f>340/544</f>
        <v>0.625</v>
      </c>
      <c r="AA57" s="12"/>
      <c r="AB57" s="12"/>
      <c r="AC57" s="12"/>
      <c r="AD57" s="12"/>
      <c r="AE57" s="12"/>
      <c r="AF57" s="12"/>
      <c r="AG57" s="12"/>
      <c r="AH57" s="12"/>
    </row>
    <row r="58" spans="1:34" ht="12.75">
      <c r="A58" s="7" t="s">
        <v>87</v>
      </c>
      <c r="B58" s="7">
        <v>5</v>
      </c>
      <c r="C58" s="7">
        <v>2</v>
      </c>
      <c r="D58" s="7">
        <v>5</v>
      </c>
      <c r="E58" s="7">
        <v>4</v>
      </c>
      <c r="F58" s="8">
        <v>11641</v>
      </c>
      <c r="G58" s="15">
        <f>2663/F58</f>
        <v>0.22876041577184092</v>
      </c>
      <c r="H58" s="15">
        <f>1524/F58</f>
        <v>0.13091658792199984</v>
      </c>
      <c r="I58" s="9">
        <f>2328/1854</f>
        <v>1.2556634304207119</v>
      </c>
      <c r="J58" s="7">
        <v>0</v>
      </c>
      <c r="K58" s="7">
        <v>1</v>
      </c>
      <c r="L58" s="7">
        <v>2</v>
      </c>
      <c r="M58" s="7">
        <v>1</v>
      </c>
      <c r="N58" s="7">
        <v>1</v>
      </c>
      <c r="O58" s="7">
        <v>0</v>
      </c>
      <c r="P58" s="7">
        <v>0</v>
      </c>
      <c r="Q58" s="7">
        <v>0</v>
      </c>
      <c r="R58" s="11">
        <v>1.976205</v>
      </c>
      <c r="S58" s="11">
        <v>2.4062299999999999</v>
      </c>
      <c r="T58" s="11">
        <v>2.3194849999999998</v>
      </c>
      <c r="U58" s="12">
        <f t="shared" si="0"/>
        <v>0.43002499999999988</v>
      </c>
      <c r="V58" s="14">
        <v>43.9</v>
      </c>
      <c r="W58" s="14">
        <v>40.940000000000005</v>
      </c>
      <c r="X58" s="14">
        <v>32.9</v>
      </c>
      <c r="Y58" s="14">
        <v>48.6</v>
      </c>
      <c r="Z58" s="15">
        <f>868/544</f>
        <v>1.5955882352941178</v>
      </c>
      <c r="AA58" s="12"/>
      <c r="AB58" s="12"/>
      <c r="AC58" s="12"/>
      <c r="AD58" s="12"/>
      <c r="AE58" s="12"/>
      <c r="AF58" s="12"/>
      <c r="AG58" s="12"/>
      <c r="AH58" s="12"/>
    </row>
    <row r="59" spans="1:34" ht="12.75">
      <c r="A59" s="7" t="s">
        <v>88</v>
      </c>
      <c r="B59" s="7">
        <v>26</v>
      </c>
      <c r="C59" s="7">
        <v>1</v>
      </c>
      <c r="D59" s="7">
        <v>7</v>
      </c>
      <c r="E59" s="7">
        <v>2</v>
      </c>
      <c r="F59" s="8">
        <v>53447</v>
      </c>
      <c r="G59" s="15">
        <f>9549/F59</f>
        <v>0.17866297453552116</v>
      </c>
      <c r="H59" s="15">
        <f>4466/F59</f>
        <v>8.3559413998914811E-2</v>
      </c>
      <c r="I59" s="9">
        <f>2056/1854</f>
        <v>1.1089536138079827</v>
      </c>
      <c r="J59" s="7">
        <v>0</v>
      </c>
      <c r="K59" s="7">
        <v>0</v>
      </c>
      <c r="L59" s="7">
        <v>0</v>
      </c>
      <c r="M59" s="7">
        <v>3</v>
      </c>
      <c r="N59" s="7">
        <v>2</v>
      </c>
      <c r="O59" s="7">
        <v>4</v>
      </c>
      <c r="P59" s="7">
        <v>10</v>
      </c>
      <c r="Q59" s="7">
        <v>7</v>
      </c>
      <c r="R59" s="11">
        <v>2.412185</v>
      </c>
      <c r="S59" s="11">
        <v>3.0159180000000001</v>
      </c>
      <c r="T59" s="11">
        <v>2.6264905000000001</v>
      </c>
      <c r="U59" s="12">
        <f t="shared" si="0"/>
        <v>0.60373300000000008</v>
      </c>
      <c r="V59" s="14">
        <v>50.25</v>
      </c>
      <c r="W59" s="14">
        <v>44.692307692307693</v>
      </c>
      <c r="X59" s="14">
        <v>24.5</v>
      </c>
      <c r="Y59" s="14">
        <v>60</v>
      </c>
      <c r="Z59" s="9">
        <f>278.5/544</f>
        <v>0.51194852941176472</v>
      </c>
      <c r="AA59" s="12"/>
      <c r="AB59" s="12"/>
      <c r="AC59" s="12"/>
      <c r="AD59" s="12"/>
      <c r="AE59" s="12"/>
      <c r="AF59" s="12"/>
      <c r="AG59" s="12"/>
      <c r="AH59" s="12"/>
    </row>
    <row r="60" spans="1:34" ht="12.75">
      <c r="A60" s="7" t="s">
        <v>89</v>
      </c>
      <c r="B60" s="7">
        <v>15</v>
      </c>
      <c r="C60" s="7">
        <v>2</v>
      </c>
      <c r="D60" s="7">
        <v>5</v>
      </c>
      <c r="E60" s="7">
        <v>3</v>
      </c>
      <c r="F60" s="8">
        <v>31582</v>
      </c>
      <c r="G60" s="15">
        <f>6036/F60</f>
        <v>0.1911215249192578</v>
      </c>
      <c r="H60" s="15">
        <f>3072/F60</f>
        <v>9.7270597175606363E-2</v>
      </c>
      <c r="I60" s="9">
        <f>2105/1854</f>
        <v>1.1353829557713053</v>
      </c>
      <c r="J60" s="7">
        <v>0</v>
      </c>
      <c r="K60" s="7">
        <v>1</v>
      </c>
      <c r="L60" s="7">
        <v>6</v>
      </c>
      <c r="M60" s="7">
        <v>4</v>
      </c>
      <c r="N60" s="7">
        <v>2</v>
      </c>
      <c r="O60" s="7">
        <v>2</v>
      </c>
      <c r="P60" s="7">
        <v>0</v>
      </c>
      <c r="Q60" s="7">
        <v>0</v>
      </c>
      <c r="R60" s="11">
        <v>2.257692</v>
      </c>
      <c r="S60" s="11">
        <v>3.017007</v>
      </c>
      <c r="T60" s="11">
        <v>2.597696</v>
      </c>
      <c r="U60" s="12">
        <f t="shared" si="0"/>
        <v>0.75931499999999996</v>
      </c>
      <c r="V60" s="14">
        <v>51.6</v>
      </c>
      <c r="W60" s="14">
        <v>52.626666666666658</v>
      </c>
      <c r="X60" s="14">
        <v>42.2</v>
      </c>
      <c r="Y60" s="14">
        <v>68.400000000000006</v>
      </c>
      <c r="Z60" s="15">
        <f>402/544</f>
        <v>0.73897058823529416</v>
      </c>
      <c r="AA60" s="12"/>
      <c r="AB60" s="12"/>
      <c r="AC60" s="12"/>
      <c r="AD60" s="12"/>
      <c r="AE60" s="12"/>
      <c r="AF60" s="12"/>
      <c r="AG60" s="12"/>
      <c r="AH60" s="12"/>
    </row>
    <row r="61" spans="1:34" ht="12.75">
      <c r="A61" s="7" t="s">
        <v>90</v>
      </c>
      <c r="B61" s="7">
        <v>18</v>
      </c>
      <c r="C61" s="7">
        <v>3</v>
      </c>
      <c r="D61" s="7">
        <v>6</v>
      </c>
      <c r="E61" s="7">
        <v>4</v>
      </c>
      <c r="F61" s="8">
        <v>35779</v>
      </c>
      <c r="G61" s="15">
        <f>7226/F61</f>
        <v>0.20196204477486793</v>
      </c>
      <c r="H61" s="15">
        <f>3961/F61</f>
        <v>0.11070739819447162</v>
      </c>
      <c r="I61" s="9">
        <f>1988/1854</f>
        <v>1.0722761596548005</v>
      </c>
      <c r="J61" s="7">
        <v>0</v>
      </c>
      <c r="K61" s="7">
        <v>1</v>
      </c>
      <c r="L61" s="7">
        <v>4</v>
      </c>
      <c r="M61" s="7">
        <v>4</v>
      </c>
      <c r="N61" s="7">
        <v>4</v>
      </c>
      <c r="O61" s="7">
        <v>4</v>
      </c>
      <c r="P61" s="7">
        <v>1</v>
      </c>
      <c r="Q61" s="7">
        <v>0</v>
      </c>
      <c r="R61" s="11">
        <v>2.146401</v>
      </c>
      <c r="S61" s="11">
        <v>2.5060090000000002</v>
      </c>
      <c r="T61" s="11">
        <v>2.3044045</v>
      </c>
      <c r="U61" s="12">
        <f t="shared" si="0"/>
        <v>0.35960800000000015</v>
      </c>
      <c r="V61" s="14">
        <v>56.95</v>
      </c>
      <c r="W61" s="14">
        <v>56.31666666666667</v>
      </c>
      <c r="X61" s="14">
        <v>36.6</v>
      </c>
      <c r="Y61" s="14">
        <v>84.9</v>
      </c>
      <c r="Z61" s="15">
        <f>491/544</f>
        <v>0.90257352941176472</v>
      </c>
      <c r="AA61" s="12"/>
      <c r="AB61" s="12"/>
      <c r="AC61" s="12"/>
      <c r="AD61" s="12"/>
      <c r="AE61" s="12"/>
      <c r="AF61" s="12"/>
      <c r="AG61" s="12"/>
      <c r="AH61" s="12"/>
    </row>
    <row r="62" spans="1:34" ht="12.75">
      <c r="A62" s="7" t="s">
        <v>91</v>
      </c>
      <c r="B62" s="7">
        <v>27</v>
      </c>
      <c r="C62" s="7">
        <v>1</v>
      </c>
      <c r="D62" s="7">
        <v>8</v>
      </c>
      <c r="E62" s="7">
        <v>4</v>
      </c>
      <c r="F62" s="8">
        <v>50348</v>
      </c>
      <c r="G62" s="15">
        <f>10748/F62</f>
        <v>0.21347421943274808</v>
      </c>
      <c r="H62" s="15">
        <f>4808/F62</f>
        <v>9.5495352347660281E-2</v>
      </c>
      <c r="I62" s="9">
        <f>1865/1854</f>
        <v>1.005933117583603</v>
      </c>
      <c r="J62" s="7">
        <v>0</v>
      </c>
      <c r="K62" s="7">
        <v>1</v>
      </c>
      <c r="L62" s="7">
        <v>10</v>
      </c>
      <c r="M62" s="7">
        <v>5</v>
      </c>
      <c r="N62" s="7">
        <v>6</v>
      </c>
      <c r="O62" s="7">
        <v>1</v>
      </c>
      <c r="P62" s="7">
        <v>4</v>
      </c>
      <c r="Q62" s="7">
        <v>0</v>
      </c>
      <c r="R62" s="11">
        <v>1.8968609999999999</v>
      </c>
      <c r="S62" s="11">
        <v>2.8173910000000002</v>
      </c>
      <c r="T62" s="11">
        <v>2.1465809999999999</v>
      </c>
      <c r="U62" s="12">
        <f t="shared" si="0"/>
        <v>0.92053000000000029</v>
      </c>
      <c r="V62" s="14">
        <v>43.8</v>
      </c>
      <c r="W62" s="14">
        <v>42.462962962962962</v>
      </c>
      <c r="X62" s="14">
        <v>13.8</v>
      </c>
      <c r="Y62" s="14">
        <v>68.599999999999994</v>
      </c>
      <c r="Z62" s="15">
        <f>448/544</f>
        <v>0.82352941176470584</v>
      </c>
      <c r="AA62" s="12"/>
      <c r="AB62" s="12"/>
      <c r="AC62" s="12"/>
      <c r="AD62" s="12"/>
      <c r="AE62" s="12"/>
      <c r="AF62" s="12"/>
      <c r="AG62" s="12"/>
      <c r="AH62" s="12"/>
    </row>
    <row r="63" spans="1:34" ht="12.75">
      <c r="A63" s="7" t="s">
        <v>92</v>
      </c>
      <c r="B63" s="7">
        <v>9</v>
      </c>
      <c r="C63" s="7">
        <v>3</v>
      </c>
      <c r="D63" s="7">
        <v>6</v>
      </c>
      <c r="E63" s="7">
        <v>4</v>
      </c>
      <c r="F63" s="8">
        <v>18878</v>
      </c>
      <c r="G63" s="15">
        <f>3032/F63</f>
        <v>0.16061023413497191</v>
      </c>
      <c r="H63" s="15">
        <f>1552/F63</f>
        <v>8.2212098739273223E-2</v>
      </c>
      <c r="I63" s="9">
        <f>2098/1854</f>
        <v>1.1316073354908307</v>
      </c>
      <c r="J63" s="7">
        <v>0</v>
      </c>
      <c r="K63" s="7">
        <v>0</v>
      </c>
      <c r="L63" s="7">
        <v>0</v>
      </c>
      <c r="M63" s="7">
        <v>0</v>
      </c>
      <c r="N63" s="7">
        <v>0</v>
      </c>
      <c r="O63" s="7">
        <v>3</v>
      </c>
      <c r="P63" s="7">
        <v>6</v>
      </c>
      <c r="Q63" s="7">
        <v>0</v>
      </c>
      <c r="R63" s="11">
        <v>2.1786289999999999</v>
      </c>
      <c r="S63" s="11">
        <v>2.8173910000000002</v>
      </c>
      <c r="T63" s="11">
        <v>2.3363100000000001</v>
      </c>
      <c r="U63" s="12">
        <f t="shared" si="0"/>
        <v>0.63876200000000027</v>
      </c>
      <c r="V63" s="14">
        <v>37.5</v>
      </c>
      <c r="W63" s="14">
        <v>37.677777777777777</v>
      </c>
      <c r="X63" s="14">
        <v>27.5</v>
      </c>
      <c r="Y63" s="14">
        <v>55.1</v>
      </c>
      <c r="Z63" s="15">
        <f>411/544</f>
        <v>0.75551470588235292</v>
      </c>
      <c r="AA63" s="12"/>
      <c r="AB63" s="12"/>
      <c r="AC63" s="12"/>
      <c r="AD63" s="12"/>
      <c r="AE63" s="12"/>
      <c r="AF63" s="12"/>
      <c r="AG63" s="12"/>
      <c r="AH63" s="12"/>
    </row>
    <row r="64" spans="1:34" ht="12.75">
      <c r="A64" s="7" t="s">
        <v>93</v>
      </c>
      <c r="B64" s="7">
        <v>10</v>
      </c>
      <c r="C64" s="7">
        <v>2</v>
      </c>
      <c r="D64" s="7">
        <v>5</v>
      </c>
      <c r="E64" s="7">
        <v>3</v>
      </c>
      <c r="F64" s="8">
        <v>20251</v>
      </c>
      <c r="G64" s="15">
        <f>3403/F64</f>
        <v>0.16804108439089427</v>
      </c>
      <c r="H64" s="15">
        <f>1458/F64</f>
        <v>7.1996444620018765E-2</v>
      </c>
      <c r="I64" s="9">
        <f>2025/1854</f>
        <v>1.0922330097087378</v>
      </c>
      <c r="J64" s="7">
        <v>0</v>
      </c>
      <c r="K64" s="7">
        <v>0</v>
      </c>
      <c r="L64" s="7">
        <v>1</v>
      </c>
      <c r="M64" s="7">
        <v>0</v>
      </c>
      <c r="N64" s="7">
        <v>2</v>
      </c>
      <c r="O64" s="7">
        <v>2</v>
      </c>
      <c r="P64" s="7">
        <v>5</v>
      </c>
      <c r="Q64" s="7">
        <v>0</v>
      </c>
      <c r="R64" s="11">
        <v>2.3875289999999998</v>
      </c>
      <c r="S64" s="11">
        <v>2.7918319999999999</v>
      </c>
      <c r="T64" s="11">
        <v>2.5958550000000002</v>
      </c>
      <c r="U64" s="12">
        <f t="shared" si="0"/>
        <v>0.40430300000000008</v>
      </c>
      <c r="V64" s="14">
        <v>52.65</v>
      </c>
      <c r="W64" s="14">
        <v>53.23</v>
      </c>
      <c r="X64" s="14">
        <v>30.6</v>
      </c>
      <c r="Y64" s="14">
        <v>67.5</v>
      </c>
      <c r="Z64" s="15">
        <f>339/544</f>
        <v>0.62316176470588236</v>
      </c>
      <c r="AA64" s="12"/>
      <c r="AB64" s="12"/>
      <c r="AC64" s="12"/>
      <c r="AD64" s="12"/>
      <c r="AE64" s="12"/>
      <c r="AF64" s="12"/>
      <c r="AG64" s="12"/>
      <c r="AH64" s="12"/>
    </row>
    <row r="65" spans="1:34" ht="12.75">
      <c r="A65" s="7" t="s">
        <v>94</v>
      </c>
      <c r="B65" s="7">
        <v>9</v>
      </c>
      <c r="C65" s="7">
        <v>2</v>
      </c>
      <c r="D65" s="7">
        <v>5</v>
      </c>
      <c r="E65" s="7">
        <v>3.5</v>
      </c>
      <c r="F65" s="8">
        <v>18509</v>
      </c>
      <c r="G65" s="15">
        <f>4738/F65</f>
        <v>0.25598357555783674</v>
      </c>
      <c r="H65" s="15">
        <f>1507/F65</f>
        <v>8.1419849802798636E-2</v>
      </c>
      <c r="I65" s="9">
        <f>2057/1854</f>
        <v>1.1094929881337647</v>
      </c>
      <c r="J65" s="7">
        <v>0</v>
      </c>
      <c r="K65" s="7">
        <v>0</v>
      </c>
      <c r="L65" s="7">
        <v>6</v>
      </c>
      <c r="M65" s="7">
        <v>1</v>
      </c>
      <c r="N65" s="7">
        <v>1</v>
      </c>
      <c r="O65" s="7">
        <v>1</v>
      </c>
      <c r="P65" s="7">
        <v>0</v>
      </c>
      <c r="Q65" s="7">
        <v>0</v>
      </c>
      <c r="R65" s="11">
        <v>2.4022139999999998</v>
      </c>
      <c r="S65" s="11">
        <v>2.600746</v>
      </c>
      <c r="T65" s="7">
        <v>2.5519949999999998</v>
      </c>
      <c r="U65" s="12">
        <f t="shared" si="0"/>
        <v>0.19853200000000015</v>
      </c>
      <c r="V65" s="14">
        <v>62.8</v>
      </c>
      <c r="W65" s="14">
        <v>61.488888888888887</v>
      </c>
      <c r="X65" s="14">
        <v>41.5</v>
      </c>
      <c r="Y65" s="14">
        <v>83</v>
      </c>
      <c r="Z65" s="15">
        <f>528/544</f>
        <v>0.97058823529411764</v>
      </c>
      <c r="AA65" s="12"/>
      <c r="AB65" s="12"/>
      <c r="AC65" s="12"/>
      <c r="AD65" s="12"/>
      <c r="AE65" s="12"/>
      <c r="AF65" s="12"/>
      <c r="AG65" s="12"/>
      <c r="AH65" s="12"/>
    </row>
    <row r="66" spans="1:34" ht="12.75">
      <c r="A66" s="7" t="s">
        <v>95</v>
      </c>
      <c r="B66" s="7">
        <v>7</v>
      </c>
      <c r="C66" s="7">
        <v>2</v>
      </c>
      <c r="D66" s="7">
        <v>7</v>
      </c>
      <c r="E66" s="7">
        <v>4</v>
      </c>
      <c r="F66" s="8">
        <v>19734</v>
      </c>
      <c r="G66" s="15">
        <f>1923/F66</f>
        <v>9.7446032228640928E-2</v>
      </c>
      <c r="H66" s="15">
        <f>745/F66</f>
        <v>3.7752102969494272E-2</v>
      </c>
      <c r="I66" s="15">
        <f>2819/1854</f>
        <v>1.5204962243797195</v>
      </c>
      <c r="J66" s="7">
        <v>0</v>
      </c>
      <c r="K66" s="7">
        <v>0</v>
      </c>
      <c r="L66" s="7">
        <v>0</v>
      </c>
      <c r="M66" s="7">
        <v>0</v>
      </c>
      <c r="N66" s="7">
        <v>0</v>
      </c>
      <c r="O66" s="7">
        <v>0</v>
      </c>
      <c r="P66" s="7">
        <v>2</v>
      </c>
      <c r="Q66" s="7">
        <v>5</v>
      </c>
      <c r="R66" s="11">
        <v>2.758756</v>
      </c>
      <c r="S66" s="11">
        <v>2.9315790000000002</v>
      </c>
      <c r="T66" s="11">
        <v>2.9315790000000002</v>
      </c>
      <c r="U66" s="12">
        <f t="shared" si="0"/>
        <v>0.17282300000000017</v>
      </c>
      <c r="V66" s="14">
        <v>34.1</v>
      </c>
      <c r="W66" s="14">
        <v>41.928571428571431</v>
      </c>
      <c r="X66" s="14">
        <v>24.7</v>
      </c>
      <c r="Y66" s="14">
        <v>64.099999999999994</v>
      </c>
      <c r="Z66" s="15">
        <f>241/544</f>
        <v>0.44301470588235292</v>
      </c>
      <c r="AA66" s="12"/>
      <c r="AB66" s="12"/>
      <c r="AC66" s="12"/>
      <c r="AD66" s="12"/>
      <c r="AE66" s="12"/>
      <c r="AF66" s="12"/>
      <c r="AG66" s="12"/>
      <c r="AH66" s="12"/>
    </row>
    <row r="67" spans="1:34" ht="12.75">
      <c r="A67" s="7" t="s">
        <v>96</v>
      </c>
      <c r="B67" s="7">
        <v>21</v>
      </c>
      <c r="C67" s="7">
        <v>1</v>
      </c>
      <c r="D67" s="7">
        <v>5</v>
      </c>
      <c r="E67" s="7">
        <v>2</v>
      </c>
      <c r="F67" s="8">
        <v>38696</v>
      </c>
      <c r="G67" s="9">
        <f>8829/F67</f>
        <v>0.22816311763489766</v>
      </c>
      <c r="H67" s="15">
        <f>3828/F67</f>
        <v>9.8924953483564199E-2</v>
      </c>
      <c r="I67" s="15">
        <f>1843/1854</f>
        <v>0.99406688241639696</v>
      </c>
      <c r="J67" s="7">
        <v>0</v>
      </c>
      <c r="K67" s="7">
        <v>0</v>
      </c>
      <c r="L67" s="7">
        <v>5</v>
      </c>
      <c r="M67" s="7">
        <v>4</v>
      </c>
      <c r="N67" s="7">
        <v>1</v>
      </c>
      <c r="O67" s="7">
        <v>3</v>
      </c>
      <c r="P67" s="7">
        <v>7</v>
      </c>
      <c r="Q67" s="7">
        <v>0</v>
      </c>
      <c r="R67" s="11">
        <v>2.197368</v>
      </c>
      <c r="S67" s="11">
        <v>2.801736</v>
      </c>
      <c r="T67" s="11">
        <v>2.5497619999999999</v>
      </c>
      <c r="U67" s="12">
        <f t="shared" si="0"/>
        <v>0.60436800000000002</v>
      </c>
      <c r="V67" s="14">
        <v>53.3</v>
      </c>
      <c r="W67" s="14">
        <v>51.785714285714285</v>
      </c>
      <c r="X67" s="14">
        <v>27.8</v>
      </c>
      <c r="Y67" s="14">
        <v>62.4</v>
      </c>
      <c r="Z67" s="15">
        <f>375/544</f>
        <v>0.68933823529411764</v>
      </c>
      <c r="AA67" s="12"/>
      <c r="AB67" s="12"/>
      <c r="AC67" s="12"/>
      <c r="AD67" s="12"/>
      <c r="AE67" s="12"/>
      <c r="AF67" s="12"/>
      <c r="AG67" s="12"/>
      <c r="AH67" s="12"/>
    </row>
    <row r="68" spans="1:34" ht="12.75">
      <c r="A68" s="7" t="s">
        <v>97</v>
      </c>
      <c r="B68" s="7">
        <v>11</v>
      </c>
      <c r="C68" s="7">
        <v>3</v>
      </c>
      <c r="D68" s="7">
        <v>10</v>
      </c>
      <c r="E68" s="7">
        <v>4</v>
      </c>
      <c r="F68" s="8">
        <v>23098</v>
      </c>
      <c r="G68" s="15">
        <f>3444/F68</f>
        <v>0.14910381851242532</v>
      </c>
      <c r="H68" s="15">
        <f>1610/F68</f>
        <v>6.9703004589141915E-2</v>
      </c>
      <c r="I68" s="9">
        <f>2100/1854</f>
        <v>1.1326860841423949</v>
      </c>
      <c r="J68" s="7">
        <v>0</v>
      </c>
      <c r="K68" s="7">
        <v>0</v>
      </c>
      <c r="L68" s="7">
        <v>1</v>
      </c>
      <c r="M68" s="7">
        <v>3</v>
      </c>
      <c r="N68" s="7">
        <v>3</v>
      </c>
      <c r="O68" s="7">
        <v>1</v>
      </c>
      <c r="P68" s="7">
        <v>3</v>
      </c>
      <c r="Q68" s="7">
        <v>0</v>
      </c>
      <c r="R68" s="11">
        <v>2.5901489999999998</v>
      </c>
      <c r="S68" s="11">
        <v>2.9338669999999998</v>
      </c>
      <c r="T68" s="11">
        <v>2.7804350000000002</v>
      </c>
      <c r="U68" s="12">
        <f t="shared" si="0"/>
        <v>0.34371799999999997</v>
      </c>
      <c r="V68" s="14">
        <v>33.299999999999997</v>
      </c>
      <c r="W68" s="14">
        <v>30.563636363636363</v>
      </c>
      <c r="X68" s="14">
        <v>14.9</v>
      </c>
      <c r="Y68" s="14">
        <v>43.1</v>
      </c>
      <c r="Z68" s="15">
        <f>276/544</f>
        <v>0.50735294117647056</v>
      </c>
      <c r="AA68" s="12"/>
      <c r="AB68" s="12"/>
      <c r="AC68" s="12"/>
      <c r="AD68" s="12"/>
      <c r="AE68" s="12"/>
      <c r="AF68" s="12"/>
      <c r="AG68" s="12"/>
      <c r="AH68" s="12"/>
    </row>
    <row r="69" spans="1:34" ht="12.75">
      <c r="A69" s="7" t="s">
        <v>98</v>
      </c>
      <c r="B69" s="7">
        <v>4</v>
      </c>
      <c r="C69" s="7">
        <v>3</v>
      </c>
      <c r="D69" s="7">
        <v>7</v>
      </c>
      <c r="E69" s="7">
        <v>4</v>
      </c>
      <c r="F69" s="8">
        <v>8169</v>
      </c>
      <c r="G69" s="15">
        <f>1265/F69</f>
        <v>0.15485371526502631</v>
      </c>
      <c r="H69" s="15">
        <f>547/F69</f>
        <v>6.6960460276655656E-2</v>
      </c>
      <c r="I69" s="9">
        <f>2042/1854</f>
        <v>1.1014023732470335</v>
      </c>
      <c r="J69" s="7">
        <v>0</v>
      </c>
      <c r="K69" s="7">
        <v>0</v>
      </c>
      <c r="L69" s="7">
        <v>0</v>
      </c>
      <c r="M69" s="7">
        <v>0</v>
      </c>
      <c r="N69" s="7">
        <v>2</v>
      </c>
      <c r="O69" s="7">
        <v>1</v>
      </c>
      <c r="P69" s="7">
        <v>0</v>
      </c>
      <c r="Q69" s="7">
        <v>1</v>
      </c>
      <c r="R69" s="11">
        <v>2.8376030000000001</v>
      </c>
      <c r="S69" s="11">
        <v>3.110922</v>
      </c>
      <c r="T69" s="16">
        <f>MEDIAN(T65:T68)</f>
        <v>2.6662150000000002</v>
      </c>
      <c r="U69" s="12">
        <f t="shared" si="0"/>
        <v>0.27331899999999987</v>
      </c>
      <c r="V69" s="14">
        <v>38.65</v>
      </c>
      <c r="W69" s="14">
        <v>37.1</v>
      </c>
      <c r="X69" s="14">
        <v>30.3</v>
      </c>
      <c r="Y69" s="14">
        <v>40.799999999999997</v>
      </c>
      <c r="Z69" s="15">
        <f>299/544</f>
        <v>0.54963235294117652</v>
      </c>
      <c r="AA69" s="12"/>
      <c r="AB69" s="12"/>
      <c r="AC69" s="12"/>
      <c r="AD69" s="12"/>
      <c r="AE69" s="12"/>
      <c r="AF69" s="12"/>
      <c r="AG69" s="12"/>
      <c r="AH69" s="12"/>
    </row>
    <row r="70" spans="1:34" ht="12.75">
      <c r="A70" s="7" t="s">
        <v>99</v>
      </c>
      <c r="B70" s="7">
        <v>18</v>
      </c>
      <c r="C70" s="7">
        <v>2</v>
      </c>
      <c r="D70" s="7">
        <v>7</v>
      </c>
      <c r="E70" s="7">
        <v>5</v>
      </c>
      <c r="F70" s="8">
        <v>38787</v>
      </c>
      <c r="G70" s="15">
        <f>4129/F70</f>
        <v>0.10645319308015572</v>
      </c>
      <c r="H70" s="15">
        <f>2363/F70</f>
        <v>6.0922474024802123E-2</v>
      </c>
      <c r="I70" s="9">
        <f>2155/1854</f>
        <v>1.1623516720604099</v>
      </c>
      <c r="J70" s="7">
        <v>0</v>
      </c>
      <c r="K70" s="7">
        <v>0</v>
      </c>
      <c r="L70" s="7">
        <v>0</v>
      </c>
      <c r="M70" s="7">
        <v>0</v>
      </c>
      <c r="N70" s="7">
        <v>0</v>
      </c>
      <c r="O70" s="7">
        <v>0</v>
      </c>
      <c r="P70" s="7">
        <v>2</v>
      </c>
      <c r="Q70" s="7">
        <v>16</v>
      </c>
      <c r="R70" s="11">
        <v>2.7758620000000001</v>
      </c>
      <c r="S70" s="11">
        <v>3.0814699999999999</v>
      </c>
      <c r="T70" s="11">
        <v>2.9487945</v>
      </c>
      <c r="U70" s="12">
        <f t="shared" si="0"/>
        <v>0.30560799999999988</v>
      </c>
      <c r="V70" s="14">
        <v>40.5</v>
      </c>
      <c r="W70" s="14">
        <v>40.877777777777773</v>
      </c>
      <c r="X70" s="14">
        <v>28.9</v>
      </c>
      <c r="Y70" s="14">
        <v>60.4</v>
      </c>
      <c r="Z70" s="15">
        <f>262.5/544</f>
        <v>0.48253676470588236</v>
      </c>
      <c r="AA70" s="12"/>
      <c r="AB70" s="12"/>
      <c r="AC70" s="12"/>
      <c r="AD70" s="12"/>
      <c r="AE70" s="12"/>
      <c r="AF70" s="12"/>
      <c r="AG70" s="12"/>
      <c r="AH70" s="12"/>
    </row>
    <row r="71" spans="1:34" ht="12.75">
      <c r="A71" s="7" t="s">
        <v>100</v>
      </c>
      <c r="B71" s="7">
        <v>16</v>
      </c>
      <c r="C71" s="7">
        <v>1</v>
      </c>
      <c r="D71" s="7">
        <v>4</v>
      </c>
      <c r="E71" s="7">
        <v>2</v>
      </c>
      <c r="F71" s="8">
        <v>34366</v>
      </c>
      <c r="G71" s="15">
        <f>8312/F71</f>
        <v>0.2418669615317465</v>
      </c>
      <c r="H71" s="15">
        <f>2564/F71</f>
        <v>7.4608624803584933E-2</v>
      </c>
      <c r="I71" s="9">
        <f>2148/1854</f>
        <v>1.1585760517799353</v>
      </c>
      <c r="J71" s="7">
        <v>0</v>
      </c>
      <c r="K71" s="7">
        <v>6</v>
      </c>
      <c r="L71" s="7">
        <v>3</v>
      </c>
      <c r="M71" s="7">
        <v>3</v>
      </c>
      <c r="N71" s="7">
        <v>2</v>
      </c>
      <c r="O71" s="7">
        <v>2</v>
      </c>
      <c r="P71" s="7">
        <v>0</v>
      </c>
      <c r="Q71" s="7">
        <v>0</v>
      </c>
      <c r="R71" s="11">
        <v>2.2099060000000001</v>
      </c>
      <c r="S71" s="11">
        <v>2.8865400000000001</v>
      </c>
      <c r="T71" s="11">
        <v>2.5003235000000004</v>
      </c>
      <c r="U71" s="12">
        <f t="shared" si="0"/>
        <v>0.67663399999999996</v>
      </c>
      <c r="V71" s="14">
        <v>62.15</v>
      </c>
      <c r="W71" s="14">
        <v>60.349999999999987</v>
      </c>
      <c r="X71" s="14">
        <v>41.5</v>
      </c>
      <c r="Y71" s="14">
        <v>69.3</v>
      </c>
      <c r="Z71" s="15">
        <f>465/544</f>
        <v>0.85477941176470584</v>
      </c>
      <c r="AA71" s="12"/>
      <c r="AB71" s="12"/>
      <c r="AC71" s="12"/>
      <c r="AD71" s="12"/>
      <c r="AE71" s="12"/>
      <c r="AF71" s="12"/>
      <c r="AG71" s="12"/>
      <c r="AH71" s="12"/>
    </row>
    <row r="72" spans="1:34" ht="12.75">
      <c r="A72" s="7" t="s">
        <v>101</v>
      </c>
      <c r="B72" s="7">
        <v>6</v>
      </c>
      <c r="C72" s="7">
        <v>2</v>
      </c>
      <c r="D72" s="7">
        <v>6</v>
      </c>
      <c r="E72" s="7">
        <v>3</v>
      </c>
      <c r="F72" s="8">
        <v>12385</v>
      </c>
      <c r="G72" s="15">
        <f>2572/F72</f>
        <v>0.20767056923698021</v>
      </c>
      <c r="H72" s="15">
        <f>682/F72</f>
        <v>5.5066612838110617E-2</v>
      </c>
      <c r="I72" s="9">
        <f>2064/1854</f>
        <v>1.1132686084142396</v>
      </c>
      <c r="J72" s="7">
        <v>0</v>
      </c>
      <c r="K72" s="7">
        <v>1</v>
      </c>
      <c r="L72" s="7">
        <v>4</v>
      </c>
      <c r="M72" s="7">
        <v>1</v>
      </c>
      <c r="N72" s="7">
        <v>0</v>
      </c>
      <c r="O72" s="7">
        <v>0</v>
      </c>
      <c r="P72" s="7">
        <v>0</v>
      </c>
      <c r="Q72" s="7">
        <v>0</v>
      </c>
      <c r="R72" s="11">
        <v>2.3135759999999999</v>
      </c>
      <c r="S72" s="11">
        <v>2.6591580000000001</v>
      </c>
      <c r="T72" s="11">
        <v>2.4769190000000001</v>
      </c>
      <c r="U72" s="12">
        <f t="shared" si="0"/>
        <v>0.34558200000000028</v>
      </c>
      <c r="V72" s="14">
        <v>51.55</v>
      </c>
      <c r="W72" s="14">
        <v>52.75</v>
      </c>
      <c r="X72" s="14">
        <v>45.4</v>
      </c>
      <c r="Y72" s="14">
        <v>61.9</v>
      </c>
      <c r="Z72" s="15">
        <f>464.5/544</f>
        <v>0.85386029411764708</v>
      </c>
      <c r="AA72" s="12"/>
      <c r="AB72" s="12"/>
      <c r="AC72" s="12"/>
      <c r="AD72" s="12"/>
      <c r="AE72" s="12"/>
      <c r="AF72" s="12"/>
      <c r="AG72" s="12"/>
      <c r="AH72" s="12"/>
    </row>
    <row r="73" spans="1:34" ht="12.75">
      <c r="A73" s="7" t="s">
        <v>102</v>
      </c>
      <c r="B73" s="7">
        <v>27</v>
      </c>
      <c r="C73" s="7">
        <v>1</v>
      </c>
      <c r="D73" s="7">
        <v>9</v>
      </c>
      <c r="E73" s="7">
        <v>3</v>
      </c>
      <c r="F73" s="8">
        <v>52227</v>
      </c>
      <c r="G73" s="15">
        <f>12425/F73</f>
        <v>0.23790376625117277</v>
      </c>
      <c r="H73" s="15">
        <f>5354/F73</f>
        <v>0.10251402531257779</v>
      </c>
      <c r="I73" s="9">
        <f>1934/1854</f>
        <v>1.0431499460625675</v>
      </c>
      <c r="J73" s="7">
        <v>1</v>
      </c>
      <c r="K73" s="7">
        <v>7</v>
      </c>
      <c r="L73" s="7">
        <v>13</v>
      </c>
      <c r="M73" s="7">
        <v>4</v>
      </c>
      <c r="N73" s="7">
        <v>0</v>
      </c>
      <c r="O73" s="7">
        <v>0</v>
      </c>
      <c r="P73" s="7">
        <v>0</v>
      </c>
      <c r="Q73" s="7">
        <v>0</v>
      </c>
      <c r="R73" s="11">
        <v>2.1248130000000001</v>
      </c>
      <c r="S73" s="11">
        <v>2.816802</v>
      </c>
      <c r="T73" s="11">
        <v>2.463603</v>
      </c>
      <c r="U73" s="12">
        <f t="shared" si="0"/>
        <v>0.69198899999999997</v>
      </c>
      <c r="V73" s="14">
        <v>49.6</v>
      </c>
      <c r="W73" s="14">
        <v>46.425925925925917</v>
      </c>
      <c r="X73" s="14">
        <v>19.600000000000001</v>
      </c>
      <c r="Y73" s="14">
        <v>65.099999999999994</v>
      </c>
      <c r="Z73" s="9">
        <f>615/544</f>
        <v>1.130514705882353</v>
      </c>
      <c r="AA73" s="12"/>
      <c r="AB73" s="12"/>
      <c r="AC73" s="12"/>
      <c r="AD73" s="12"/>
      <c r="AE73" s="12"/>
      <c r="AF73" s="12"/>
      <c r="AG73" s="12"/>
      <c r="AH73" s="12"/>
    </row>
    <row r="74" spans="1:34" ht="12.75">
      <c r="A74" s="7" t="s">
        <v>103</v>
      </c>
      <c r="B74" s="7">
        <v>18</v>
      </c>
      <c r="C74" s="7">
        <v>1</v>
      </c>
      <c r="D74" s="7">
        <v>6</v>
      </c>
      <c r="E74" s="7">
        <v>2</v>
      </c>
      <c r="F74" s="8">
        <v>36797</v>
      </c>
      <c r="G74" s="15">
        <f>10248/F74</f>
        <v>0.27850096475256136</v>
      </c>
      <c r="H74" s="15">
        <f>3239/F74</f>
        <v>8.8023480175014268E-2</v>
      </c>
      <c r="I74" s="9">
        <f>2044/1854</f>
        <v>1.1024811218985977</v>
      </c>
      <c r="J74" s="7">
        <v>3</v>
      </c>
      <c r="K74" s="7">
        <v>8</v>
      </c>
      <c r="L74" s="7">
        <v>7</v>
      </c>
      <c r="M74" s="7">
        <v>0</v>
      </c>
      <c r="N74" s="7">
        <v>0</v>
      </c>
      <c r="O74" s="7">
        <v>0</v>
      </c>
      <c r="P74" s="7">
        <v>0</v>
      </c>
      <c r="Q74" s="7">
        <v>0</v>
      </c>
      <c r="R74" s="11">
        <v>1.660226</v>
      </c>
      <c r="S74" s="11">
        <v>2.8865400000000001</v>
      </c>
      <c r="T74" s="11">
        <v>2.4266550000000002</v>
      </c>
      <c r="U74" s="12">
        <f t="shared" si="0"/>
        <v>1.2263140000000001</v>
      </c>
      <c r="V74" s="14">
        <v>48.15</v>
      </c>
      <c r="W74" s="14">
        <v>41.605555555555561</v>
      </c>
      <c r="X74" s="14">
        <v>14.2</v>
      </c>
      <c r="Y74" s="14">
        <v>66.5</v>
      </c>
      <c r="Z74" s="15">
        <f>574.5/544</f>
        <v>1.0560661764705883</v>
      </c>
      <c r="AA74" s="12"/>
      <c r="AB74" s="12"/>
      <c r="AC74" s="12"/>
      <c r="AD74" s="12"/>
      <c r="AE74" s="12"/>
      <c r="AF74" s="12"/>
      <c r="AG74" s="12"/>
      <c r="AH74" s="12"/>
    </row>
    <row r="75" spans="1:34" ht="12.75">
      <c r="A75" s="7" t="s">
        <v>104</v>
      </c>
      <c r="B75" s="7">
        <v>10</v>
      </c>
      <c r="C75" s="7">
        <v>3</v>
      </c>
      <c r="D75" s="7">
        <v>9</v>
      </c>
      <c r="E75" s="7">
        <v>5</v>
      </c>
      <c r="F75" s="8">
        <v>17895</v>
      </c>
      <c r="G75" s="15">
        <f>3004/F75</f>
        <v>0.16786811958647668</v>
      </c>
      <c r="H75" s="15">
        <f>1289/F75</f>
        <v>7.2031293657446219E-2</v>
      </c>
      <c r="I75" s="9">
        <f>1790/1854</f>
        <v>0.96548004314994607</v>
      </c>
      <c r="J75" s="7">
        <v>0</v>
      </c>
      <c r="K75" s="7">
        <v>0</v>
      </c>
      <c r="L75" s="7">
        <v>1</v>
      </c>
      <c r="M75" s="7">
        <v>4</v>
      </c>
      <c r="N75" s="7">
        <v>4</v>
      </c>
      <c r="O75" s="7">
        <v>1</v>
      </c>
      <c r="P75" s="7">
        <v>0</v>
      </c>
      <c r="Q75" s="7">
        <v>0</v>
      </c>
      <c r="R75" s="11">
        <v>2.271363</v>
      </c>
      <c r="S75" s="11">
        <v>2.5963539999999998</v>
      </c>
      <c r="T75" s="11">
        <v>2.4725169999999999</v>
      </c>
      <c r="U75" s="12">
        <f t="shared" si="0"/>
        <v>0.32499099999999981</v>
      </c>
      <c r="V75" s="14">
        <v>35.75</v>
      </c>
      <c r="W75" s="14">
        <v>37.700000000000003</v>
      </c>
      <c r="X75" s="14">
        <v>16.7</v>
      </c>
      <c r="Y75" s="14">
        <v>65.5</v>
      </c>
      <c r="Z75" s="15">
        <f>338/544</f>
        <v>0.62132352941176472</v>
      </c>
      <c r="AA75" s="12"/>
      <c r="AB75" s="12"/>
      <c r="AC75" s="12"/>
      <c r="AD75" s="12"/>
      <c r="AE75" s="12"/>
      <c r="AF75" s="12"/>
      <c r="AG75" s="12"/>
      <c r="AH75" s="12"/>
    </row>
    <row r="76" spans="1:34" ht="12.75">
      <c r="A76" s="7" t="s">
        <v>105</v>
      </c>
      <c r="B76" s="7">
        <v>8</v>
      </c>
      <c r="C76" s="7">
        <v>2</v>
      </c>
      <c r="D76" s="7">
        <v>7</v>
      </c>
      <c r="E76" s="7">
        <v>4.5</v>
      </c>
      <c r="F76" s="8">
        <v>14743</v>
      </c>
      <c r="G76" s="15">
        <f>2796/F76</f>
        <v>0.18964932510343893</v>
      </c>
      <c r="H76" s="15">
        <f>1467/F76</f>
        <v>9.9504849759207759E-2</v>
      </c>
      <c r="I76" s="9">
        <f>1843/1854</f>
        <v>0.99406688241639696</v>
      </c>
      <c r="J76" s="7">
        <v>0</v>
      </c>
      <c r="K76" s="7">
        <v>0</v>
      </c>
      <c r="L76" s="7">
        <v>3</v>
      </c>
      <c r="M76" s="7">
        <v>2</v>
      </c>
      <c r="N76" s="7">
        <v>0</v>
      </c>
      <c r="O76" s="7">
        <v>2</v>
      </c>
      <c r="P76" s="7">
        <v>1</v>
      </c>
      <c r="Q76" s="7">
        <v>0</v>
      </c>
      <c r="R76" s="11">
        <v>2.1420620000000001</v>
      </c>
      <c r="S76" s="11">
        <v>2.5641699999999998</v>
      </c>
      <c r="T76" s="11">
        <v>2.2589629999999996</v>
      </c>
      <c r="U76" s="12">
        <f t="shared" si="0"/>
        <v>0.42210799999999971</v>
      </c>
      <c r="V76" s="14">
        <v>33.549999999999997</v>
      </c>
      <c r="W76" s="14">
        <v>34.287500000000001</v>
      </c>
      <c r="X76" s="14">
        <v>23.7</v>
      </c>
      <c r="Y76" s="14">
        <v>49.8</v>
      </c>
      <c r="Z76" s="15">
        <f>415.5/544</f>
        <v>0.76378676470588236</v>
      </c>
      <c r="AA76" s="12"/>
      <c r="AB76" s="12"/>
      <c r="AC76" s="12"/>
      <c r="AD76" s="12"/>
      <c r="AE76" s="12"/>
      <c r="AF76" s="12"/>
      <c r="AG76" s="12"/>
      <c r="AH76" s="12"/>
    </row>
    <row r="77" spans="1:34" ht="12.75">
      <c r="A77" s="7" t="s">
        <v>106</v>
      </c>
      <c r="B77" s="7">
        <v>20</v>
      </c>
      <c r="C77" s="7">
        <v>2</v>
      </c>
      <c r="D77" s="7">
        <v>7</v>
      </c>
      <c r="E77" s="7">
        <v>3</v>
      </c>
      <c r="F77" s="8">
        <v>38597</v>
      </c>
      <c r="G77" s="15">
        <f>10331/F77</f>
        <v>0.26766328989299687</v>
      </c>
      <c r="H77" s="15">
        <f>3325/F77</f>
        <v>8.6146591704018449E-2</v>
      </c>
      <c r="I77" s="9">
        <f>1930/1854</f>
        <v>1.0409924487594391</v>
      </c>
      <c r="J77" s="7">
        <v>3</v>
      </c>
      <c r="K77" s="7">
        <v>4</v>
      </c>
      <c r="L77" s="7">
        <v>6</v>
      </c>
      <c r="M77" s="7">
        <v>5</v>
      </c>
      <c r="N77" s="7">
        <v>0</v>
      </c>
      <c r="O77" s="7">
        <v>0</v>
      </c>
      <c r="P77" s="7">
        <v>1</v>
      </c>
      <c r="Q77" s="7">
        <v>0</v>
      </c>
      <c r="R77" s="11">
        <v>1.90445</v>
      </c>
      <c r="S77" s="11">
        <v>2.8865400000000001</v>
      </c>
      <c r="T77" s="11">
        <v>2.3638690000000002</v>
      </c>
      <c r="U77" s="12">
        <f t="shared" si="0"/>
        <v>0.98209000000000013</v>
      </c>
      <c r="V77" s="14">
        <v>79.849999999999994</v>
      </c>
      <c r="W77" s="14">
        <v>77.594999999999999</v>
      </c>
      <c r="X77" s="14">
        <v>56.7</v>
      </c>
      <c r="Y77" s="14">
        <v>84.2</v>
      </c>
      <c r="Z77" s="15">
        <f>481.5/544</f>
        <v>0.88511029411764708</v>
      </c>
      <c r="AA77" s="12"/>
      <c r="AB77" s="12"/>
      <c r="AC77" s="12"/>
      <c r="AD77" s="12"/>
      <c r="AE77" s="12"/>
      <c r="AF77" s="12"/>
      <c r="AG77" s="12"/>
      <c r="AH77" s="12"/>
    </row>
    <row r="78" spans="1:34" ht="12.75">
      <c r="A78" s="7" t="s">
        <v>107</v>
      </c>
      <c r="B78" s="7">
        <v>12</v>
      </c>
      <c r="C78" s="7">
        <v>5</v>
      </c>
      <c r="D78" s="7">
        <v>9</v>
      </c>
      <c r="E78" s="7">
        <v>7</v>
      </c>
      <c r="F78" s="8">
        <v>20130</v>
      </c>
      <c r="G78" s="15">
        <f>3655/F78</f>
        <v>0.18156979632389469</v>
      </c>
      <c r="H78" s="15">
        <f>2044/F78</f>
        <v>0.10153999006458023</v>
      </c>
      <c r="I78" s="9">
        <f>1678/1854</f>
        <v>0.90507011866235165</v>
      </c>
      <c r="J78" s="7">
        <v>0</v>
      </c>
      <c r="K78" s="7">
        <v>2</v>
      </c>
      <c r="L78" s="7">
        <v>2</v>
      </c>
      <c r="M78" s="7">
        <v>1</v>
      </c>
      <c r="N78" s="7">
        <v>4</v>
      </c>
      <c r="O78" s="7">
        <v>2</v>
      </c>
      <c r="P78" s="7">
        <v>0</v>
      </c>
      <c r="Q78" s="7">
        <v>0</v>
      </c>
      <c r="R78" s="11">
        <v>2.1240380000000001</v>
      </c>
      <c r="S78" s="11">
        <v>2.6582940000000002</v>
      </c>
      <c r="T78" s="11">
        <v>2.3507530000000001</v>
      </c>
      <c r="U78" s="12">
        <f t="shared" si="0"/>
        <v>0.53425600000000006</v>
      </c>
      <c r="V78" s="14">
        <v>19.700000000000003</v>
      </c>
      <c r="W78" s="14">
        <v>21.741666666666671</v>
      </c>
      <c r="X78" s="14">
        <v>6.6</v>
      </c>
      <c r="Y78" s="14">
        <v>41.7</v>
      </c>
      <c r="Z78" s="15">
        <f>451.5/544</f>
        <v>0.82996323529411764</v>
      </c>
      <c r="AA78" s="12"/>
      <c r="AB78" s="12"/>
      <c r="AC78" s="12"/>
      <c r="AD78" s="12"/>
      <c r="AE78" s="12"/>
      <c r="AF78" s="12"/>
      <c r="AG78" s="12"/>
      <c r="AH78" s="12"/>
    </row>
    <row r="79" spans="1:34" ht="12.75">
      <c r="A79" s="7" t="s">
        <v>108</v>
      </c>
      <c r="B79" s="7">
        <v>12</v>
      </c>
      <c r="C79" s="7">
        <v>3</v>
      </c>
      <c r="D79" s="7">
        <v>9</v>
      </c>
      <c r="E79" s="7">
        <v>8</v>
      </c>
      <c r="F79" s="8">
        <v>22630</v>
      </c>
      <c r="G79" s="15">
        <f>3243/F79</f>
        <v>0.14330534688466637</v>
      </c>
      <c r="H79" s="15">
        <f>1650/F79</f>
        <v>7.2912063632346438E-2</v>
      </c>
      <c r="I79" s="9">
        <f>1886/1854</f>
        <v>1.0172599784250269</v>
      </c>
      <c r="J79" s="7">
        <v>0</v>
      </c>
      <c r="K79" s="7">
        <v>0</v>
      </c>
      <c r="L79" s="7">
        <v>0</v>
      </c>
      <c r="M79" s="7">
        <v>1</v>
      </c>
      <c r="N79" s="7">
        <v>2</v>
      </c>
      <c r="O79" s="7">
        <v>3</v>
      </c>
      <c r="P79" s="7">
        <v>2</v>
      </c>
      <c r="Q79" s="7">
        <v>3</v>
      </c>
      <c r="R79" s="11">
        <v>2.2627389999999998</v>
      </c>
      <c r="S79" s="11">
        <v>2.97193</v>
      </c>
      <c r="T79" s="11">
        <v>2.54</v>
      </c>
      <c r="U79" s="12">
        <f t="shared" si="0"/>
        <v>0.70919100000000013</v>
      </c>
      <c r="V79" s="14">
        <v>15.05</v>
      </c>
      <c r="W79" s="14">
        <v>19.191666666666666</v>
      </c>
      <c r="X79" s="14">
        <v>10.8</v>
      </c>
      <c r="Y79" s="14">
        <v>39.200000000000003</v>
      </c>
      <c r="Z79" s="15">
        <f>391/544</f>
        <v>0.71875</v>
      </c>
      <c r="AA79" s="12"/>
      <c r="AB79" s="12"/>
      <c r="AC79" s="12"/>
      <c r="AD79" s="12"/>
      <c r="AE79" s="12"/>
      <c r="AF79" s="12"/>
      <c r="AG79" s="12"/>
      <c r="AH79" s="12"/>
    </row>
    <row r="80" spans="1:34" ht="12.75">
      <c r="A80" s="7" t="s">
        <v>109</v>
      </c>
      <c r="B80" s="7">
        <v>10</v>
      </c>
      <c r="C80" s="7">
        <v>3</v>
      </c>
      <c r="D80" s="7">
        <v>8</v>
      </c>
      <c r="E80" s="7">
        <v>7</v>
      </c>
      <c r="F80" s="8">
        <v>19935</v>
      </c>
      <c r="G80" s="15">
        <f>2957/F80</f>
        <v>0.14833207925758715</v>
      </c>
      <c r="H80" s="15">
        <f>2102/F80</f>
        <v>0.10544268873839981</v>
      </c>
      <c r="I80" s="9">
        <f>1994/1854</f>
        <v>1.0755124056094929</v>
      </c>
      <c r="J80" s="7">
        <v>0</v>
      </c>
      <c r="K80" s="7">
        <v>0</v>
      </c>
      <c r="L80" s="7">
        <v>3</v>
      </c>
      <c r="M80" s="7">
        <v>3</v>
      </c>
      <c r="N80" s="7">
        <v>0</v>
      </c>
      <c r="O80" s="7">
        <v>0</v>
      </c>
      <c r="P80" s="7">
        <v>1</v>
      </c>
      <c r="Q80" s="7">
        <v>3</v>
      </c>
      <c r="R80" s="11">
        <v>2.3190840000000001</v>
      </c>
      <c r="S80" s="11">
        <v>2.702823</v>
      </c>
      <c r="T80" s="11">
        <v>2.4959189999999998</v>
      </c>
      <c r="U80" s="12">
        <f t="shared" si="0"/>
        <v>0.38373899999999983</v>
      </c>
      <c r="V80" s="14">
        <v>20.149999999999999</v>
      </c>
      <c r="W80" s="14">
        <v>23.44</v>
      </c>
      <c r="X80" s="14">
        <v>14.6</v>
      </c>
      <c r="Y80" s="14">
        <v>55.9</v>
      </c>
      <c r="Z80" s="15">
        <f>435.5/544</f>
        <v>0.80055147058823528</v>
      </c>
      <c r="AA80" s="12"/>
      <c r="AB80" s="12"/>
      <c r="AC80" s="12"/>
      <c r="AD80" s="12"/>
      <c r="AE80" s="12"/>
      <c r="AF80" s="12"/>
      <c r="AG80" s="12"/>
      <c r="AH80" s="12"/>
    </row>
    <row r="81" spans="1:34" ht="12.75">
      <c r="A81" s="7" t="s">
        <v>110</v>
      </c>
      <c r="B81" s="7">
        <v>12</v>
      </c>
      <c r="C81" s="7">
        <v>2</v>
      </c>
      <c r="D81" s="7">
        <v>9</v>
      </c>
      <c r="E81" s="7">
        <v>5</v>
      </c>
      <c r="F81" s="8">
        <v>24675</v>
      </c>
      <c r="G81" s="15">
        <f>4099/F81</f>
        <v>0.1661195542046606</v>
      </c>
      <c r="H81" s="15">
        <f>2108/F81</f>
        <v>8.5430597771023298E-2</v>
      </c>
      <c r="I81" s="9">
        <f>1898/1854</f>
        <v>1.0237324703344122</v>
      </c>
      <c r="J81" s="7">
        <v>0</v>
      </c>
      <c r="K81" s="7">
        <v>0</v>
      </c>
      <c r="L81" s="7">
        <v>0</v>
      </c>
      <c r="M81" s="7">
        <v>2</v>
      </c>
      <c r="N81" s="7">
        <v>2</v>
      </c>
      <c r="O81" s="7">
        <v>4</v>
      </c>
      <c r="P81" s="7">
        <v>2</v>
      </c>
      <c r="Q81" s="7">
        <v>3</v>
      </c>
      <c r="R81" s="11">
        <v>2.4449860000000001</v>
      </c>
      <c r="S81" s="11">
        <v>2.9978120000000001</v>
      </c>
      <c r="T81" s="7">
        <v>2.8400699999999999</v>
      </c>
      <c r="U81" s="12">
        <f t="shared" si="0"/>
        <v>0.55282600000000004</v>
      </c>
      <c r="V81" s="14">
        <v>27.9</v>
      </c>
      <c r="W81" s="14">
        <v>33.061538461538461</v>
      </c>
      <c r="X81" s="14">
        <v>13.9</v>
      </c>
      <c r="Y81" s="14">
        <v>67.5</v>
      </c>
      <c r="Z81" s="15">
        <f>405/544</f>
        <v>0.74448529411764708</v>
      </c>
      <c r="AA81" s="12"/>
      <c r="AB81" s="12"/>
      <c r="AC81" s="12"/>
      <c r="AD81" s="12"/>
      <c r="AE81" s="12"/>
      <c r="AF81" s="12"/>
      <c r="AG81" s="12"/>
      <c r="AH81" s="12"/>
    </row>
    <row r="82" spans="1:34" ht="12.75">
      <c r="A82" s="7" t="s">
        <v>111</v>
      </c>
      <c r="B82" s="7">
        <v>14</v>
      </c>
      <c r="C82" s="7">
        <v>3</v>
      </c>
      <c r="D82" s="7">
        <v>9</v>
      </c>
      <c r="E82" s="7">
        <v>6</v>
      </c>
      <c r="F82" s="8">
        <v>24652</v>
      </c>
      <c r="G82" s="15">
        <f>3504/F82</f>
        <v>0.14213856887879281</v>
      </c>
      <c r="H82" s="15">
        <f>1954/F82</f>
        <v>7.9263345773162422E-2</v>
      </c>
      <c r="I82" s="9">
        <f>1761/1854</f>
        <v>0.94983818770226536</v>
      </c>
      <c r="J82" s="7">
        <v>0</v>
      </c>
      <c r="K82" s="7">
        <v>0</v>
      </c>
      <c r="L82" s="7">
        <v>0</v>
      </c>
      <c r="M82" s="7">
        <v>1</v>
      </c>
      <c r="N82" s="7">
        <v>5</v>
      </c>
      <c r="O82" s="7">
        <v>5</v>
      </c>
      <c r="P82" s="7">
        <v>3</v>
      </c>
      <c r="Q82" s="7">
        <v>0</v>
      </c>
      <c r="R82" s="11">
        <v>2.1649389999999999</v>
      </c>
      <c r="S82" s="11">
        <v>2.6181030000000001</v>
      </c>
      <c r="T82" s="11">
        <v>2.434301</v>
      </c>
      <c r="U82" s="12">
        <f t="shared" si="0"/>
        <v>0.45316400000000012</v>
      </c>
      <c r="V82" s="14">
        <v>24.65</v>
      </c>
      <c r="W82" s="14">
        <v>23.914285714285715</v>
      </c>
      <c r="X82" s="14">
        <v>16.399999999999999</v>
      </c>
      <c r="Y82" s="14">
        <v>39.200000000000003</v>
      </c>
      <c r="Z82" s="15">
        <f>347.5/544</f>
        <v>0.63878676470588236</v>
      </c>
      <c r="AA82" s="12"/>
      <c r="AB82" s="12"/>
      <c r="AC82" s="12"/>
      <c r="AD82" s="12"/>
      <c r="AE82" s="12"/>
      <c r="AF82" s="12"/>
      <c r="AG82" s="12"/>
      <c r="AH82" s="12"/>
    </row>
    <row r="83" spans="1:34" ht="12.75">
      <c r="A83" s="7" t="s">
        <v>112</v>
      </c>
      <c r="B83" s="7">
        <v>18</v>
      </c>
      <c r="C83" s="7">
        <v>3</v>
      </c>
      <c r="D83" s="7">
        <v>9</v>
      </c>
      <c r="E83" s="7">
        <v>6</v>
      </c>
      <c r="F83" s="8">
        <v>32829</v>
      </c>
      <c r="G83" s="15">
        <f>5436/F83</f>
        <v>0.16558530567486063</v>
      </c>
      <c r="H83" s="15">
        <f>3245/F83</f>
        <v>9.884553291297328E-2</v>
      </c>
      <c r="I83" s="9">
        <f>1824/1854</f>
        <v>0.98381877022653719</v>
      </c>
      <c r="J83" s="7">
        <v>0</v>
      </c>
      <c r="K83" s="7">
        <v>0</v>
      </c>
      <c r="L83" s="7">
        <v>0</v>
      </c>
      <c r="M83" s="7">
        <v>5</v>
      </c>
      <c r="N83" s="7">
        <v>7</v>
      </c>
      <c r="O83" s="7">
        <v>2</v>
      </c>
      <c r="P83" s="7">
        <v>4</v>
      </c>
      <c r="Q83" s="7">
        <v>0</v>
      </c>
      <c r="R83" s="11">
        <v>2.1859039999999998</v>
      </c>
      <c r="S83" s="11">
        <v>2.4994519999999998</v>
      </c>
      <c r="T83" s="11">
        <v>2.3603339999999999</v>
      </c>
      <c r="U83" s="12">
        <f t="shared" si="0"/>
        <v>0.31354799999999994</v>
      </c>
      <c r="V83" s="14">
        <v>41.3</v>
      </c>
      <c r="W83" s="14">
        <v>42.81666666666667</v>
      </c>
      <c r="X83" s="14">
        <v>23.8</v>
      </c>
      <c r="Y83" s="14">
        <v>64.400000000000006</v>
      </c>
      <c r="Z83" s="15">
        <f>387.5/544</f>
        <v>0.7123161764705882</v>
      </c>
      <c r="AA83" s="12"/>
      <c r="AB83" s="12"/>
      <c r="AC83" s="12"/>
      <c r="AD83" s="12"/>
      <c r="AE83" s="12"/>
      <c r="AF83" s="12"/>
      <c r="AG83" s="12"/>
      <c r="AH83" s="12"/>
    </row>
    <row r="84" spans="1:34" ht="12.75">
      <c r="A84" s="7" t="s">
        <v>113</v>
      </c>
      <c r="B84" s="7">
        <v>18</v>
      </c>
      <c r="C84" s="7">
        <v>3</v>
      </c>
      <c r="D84" s="11">
        <v>10</v>
      </c>
      <c r="E84" s="7">
        <v>8</v>
      </c>
      <c r="F84" s="8">
        <v>29453</v>
      </c>
      <c r="G84" s="15">
        <f>5937/F84</f>
        <v>0.20157539130139546</v>
      </c>
      <c r="H84" s="15">
        <f>4974/F84</f>
        <v>0.16887923131769259</v>
      </c>
      <c r="I84" s="9">
        <f>1636/1854</f>
        <v>0.8824163969795038</v>
      </c>
      <c r="J84" s="7">
        <v>0</v>
      </c>
      <c r="K84" s="7">
        <v>5</v>
      </c>
      <c r="L84" s="7">
        <v>11</v>
      </c>
      <c r="M84" s="7">
        <v>1</v>
      </c>
      <c r="N84" s="7">
        <v>0</v>
      </c>
      <c r="O84" s="7">
        <v>1</v>
      </c>
      <c r="P84" s="7">
        <v>0</v>
      </c>
      <c r="Q84" s="7">
        <v>0</v>
      </c>
      <c r="R84" s="11">
        <v>1.9172130000000001</v>
      </c>
      <c r="S84" s="11">
        <v>2.6123249999999998</v>
      </c>
      <c r="T84" s="11">
        <v>2.09483</v>
      </c>
      <c r="U84" s="12">
        <f t="shared" si="0"/>
        <v>0.69511199999999973</v>
      </c>
      <c r="V84" s="14">
        <v>20.3</v>
      </c>
      <c r="W84" s="14">
        <v>23.100000000000005</v>
      </c>
      <c r="X84" s="14">
        <v>12.1</v>
      </c>
      <c r="Y84" s="14">
        <v>49</v>
      </c>
      <c r="Z84" s="15">
        <f>709.5/544</f>
        <v>1.3042279411764706</v>
      </c>
      <c r="AA84" s="12"/>
      <c r="AB84" s="12"/>
      <c r="AC84" s="12"/>
      <c r="AD84" s="12"/>
      <c r="AE84" s="12"/>
      <c r="AF84" s="12"/>
      <c r="AG84" s="12"/>
      <c r="AH84" s="12"/>
    </row>
    <row r="85" spans="1:34" ht="12.75">
      <c r="A85" s="7" t="s">
        <v>114</v>
      </c>
      <c r="B85" s="7">
        <v>19</v>
      </c>
      <c r="C85" s="7">
        <v>2</v>
      </c>
      <c r="D85" s="7">
        <v>9</v>
      </c>
      <c r="E85" s="7">
        <v>4</v>
      </c>
      <c r="F85" s="8">
        <v>34690</v>
      </c>
      <c r="G85" s="15">
        <f>7826/F85</f>
        <v>0.22559815508792158</v>
      </c>
      <c r="H85" s="15">
        <f>4514/F85</f>
        <v>0.13012395503026808</v>
      </c>
      <c r="I85" s="9">
        <f>1826/1854</f>
        <v>0.9848975188781014</v>
      </c>
      <c r="J85" s="7">
        <v>0</v>
      </c>
      <c r="K85" s="7">
        <v>3</v>
      </c>
      <c r="L85" s="7">
        <v>11</v>
      </c>
      <c r="M85" s="7">
        <v>2</v>
      </c>
      <c r="N85" s="7">
        <v>3</v>
      </c>
      <c r="O85" s="7">
        <v>0</v>
      </c>
      <c r="P85" s="7">
        <v>0</v>
      </c>
      <c r="Q85" s="7">
        <v>0</v>
      </c>
      <c r="R85" s="11">
        <v>2.0220880000000001</v>
      </c>
      <c r="S85" s="11">
        <v>2.4414910000000001</v>
      </c>
      <c r="T85" s="11">
        <v>2.160841</v>
      </c>
      <c r="U85" s="12">
        <f t="shared" si="0"/>
        <v>0.41940299999999997</v>
      </c>
      <c r="V85" s="14">
        <v>28.5</v>
      </c>
      <c r="W85" s="14">
        <v>29.378947368421048</v>
      </c>
      <c r="X85" s="14">
        <v>17.2</v>
      </c>
      <c r="Y85" s="14">
        <v>43</v>
      </c>
      <c r="Z85" s="15">
        <f>687/544</f>
        <v>1.2628676470588236</v>
      </c>
      <c r="AA85" s="12"/>
      <c r="AB85" s="12"/>
      <c r="AC85" s="12"/>
      <c r="AD85" s="12"/>
      <c r="AE85" s="12"/>
      <c r="AF85" s="12"/>
      <c r="AG85" s="12"/>
      <c r="AH85" s="12"/>
    </row>
    <row r="86" spans="1:34" ht="12.75">
      <c r="A86" s="7" t="s">
        <v>115</v>
      </c>
      <c r="B86" s="7">
        <v>24</v>
      </c>
      <c r="C86" s="7">
        <v>4</v>
      </c>
      <c r="D86" s="7">
        <v>10</v>
      </c>
      <c r="E86" s="7">
        <v>8</v>
      </c>
      <c r="F86" s="8">
        <v>40379</v>
      </c>
      <c r="G86" s="15">
        <f>8095/F86</f>
        <v>0.20047549468783279</v>
      </c>
      <c r="H86" s="15">
        <f>5844/F86</f>
        <v>0.14472869560910373</v>
      </c>
      <c r="I86" s="9">
        <f>1682/1854</f>
        <v>0.90722761596548007</v>
      </c>
      <c r="J86" s="7">
        <v>0</v>
      </c>
      <c r="K86" s="7">
        <v>1</v>
      </c>
      <c r="L86" s="7">
        <v>12</v>
      </c>
      <c r="M86" s="7">
        <v>6</v>
      </c>
      <c r="N86" s="7">
        <v>0</v>
      </c>
      <c r="O86" s="7">
        <v>3</v>
      </c>
      <c r="P86" s="7">
        <v>2</v>
      </c>
      <c r="Q86" s="7">
        <v>0</v>
      </c>
      <c r="R86" s="11">
        <v>1.8359049999999999</v>
      </c>
      <c r="S86" s="11">
        <v>2.3897270000000002</v>
      </c>
      <c r="T86" s="11">
        <v>2.0305784999999998</v>
      </c>
      <c r="U86" s="12">
        <f t="shared" si="0"/>
        <v>0.55382200000000026</v>
      </c>
      <c r="V86" s="14">
        <v>22.200000000000003</v>
      </c>
      <c r="W86" s="14">
        <v>21.679166666666671</v>
      </c>
      <c r="X86" s="14">
        <v>10.3</v>
      </c>
      <c r="Y86" s="14">
        <v>48.6</v>
      </c>
      <c r="Z86" s="15">
        <f>656.5/544</f>
        <v>1.2068014705882353</v>
      </c>
      <c r="AA86" s="12"/>
      <c r="AB86" s="12"/>
      <c r="AC86" s="12"/>
      <c r="AD86" s="12"/>
      <c r="AE86" s="12"/>
      <c r="AF86" s="12"/>
      <c r="AG86" s="12"/>
      <c r="AH86" s="12"/>
    </row>
    <row r="87" spans="1:34" ht="12.75">
      <c r="A87" s="7" t="s">
        <v>116</v>
      </c>
      <c r="B87" s="7">
        <v>6</v>
      </c>
      <c r="C87" s="7">
        <v>8</v>
      </c>
      <c r="D87" s="7">
        <v>10</v>
      </c>
      <c r="E87" s="7">
        <v>10</v>
      </c>
      <c r="F87" s="8">
        <v>10046</v>
      </c>
      <c r="G87" s="15">
        <f>1947/F87</f>
        <v>0.1938084809874577</v>
      </c>
      <c r="H87" s="15">
        <f>2027/F87</f>
        <v>0.20177184949233526</v>
      </c>
      <c r="I87" s="9">
        <f>1674/1854</f>
        <v>0.90291262135922334</v>
      </c>
      <c r="J87" s="7">
        <v>0</v>
      </c>
      <c r="K87" s="7">
        <v>3</v>
      </c>
      <c r="L87" s="7">
        <v>2</v>
      </c>
      <c r="M87" s="7">
        <v>3</v>
      </c>
      <c r="N87" s="7">
        <v>0</v>
      </c>
      <c r="O87" s="7">
        <v>0</v>
      </c>
      <c r="P87" s="7">
        <v>0</v>
      </c>
      <c r="Q87" s="7">
        <v>0</v>
      </c>
      <c r="R87" s="11">
        <v>1.907899</v>
      </c>
      <c r="S87" s="11">
        <v>2.179262</v>
      </c>
      <c r="T87" s="11">
        <v>2.0267125000000004</v>
      </c>
      <c r="U87" s="12">
        <f t="shared" si="0"/>
        <v>0.27136300000000002</v>
      </c>
      <c r="V87" s="14">
        <v>20.85</v>
      </c>
      <c r="W87" s="14">
        <v>22.016666666666666</v>
      </c>
      <c r="X87" s="14">
        <v>16.8</v>
      </c>
      <c r="Y87" s="14">
        <v>28.4</v>
      </c>
      <c r="Z87" s="15">
        <f>811/544</f>
        <v>1.4908088235294117</v>
      </c>
      <c r="AA87" s="12"/>
      <c r="AB87" s="12"/>
      <c r="AC87" s="12"/>
      <c r="AD87" s="12"/>
      <c r="AE87" s="12"/>
      <c r="AF87" s="12"/>
      <c r="AG87" s="12"/>
      <c r="AH87" s="12"/>
    </row>
    <row r="88" spans="1:34" ht="12.75">
      <c r="A88" s="7" t="s">
        <v>117</v>
      </c>
      <c r="B88" s="7">
        <v>14</v>
      </c>
      <c r="C88" s="7">
        <v>2</v>
      </c>
      <c r="D88" s="7">
        <v>7</v>
      </c>
      <c r="E88" s="7">
        <v>3</v>
      </c>
      <c r="F88" s="8">
        <v>23001</v>
      </c>
      <c r="G88" s="15">
        <f>5196/F88</f>
        <v>0.2259032215990609</v>
      </c>
      <c r="H88" s="15">
        <f>2564/F88</f>
        <v>0.11147341419938264</v>
      </c>
      <c r="I88" s="9">
        <f>1643/1854</f>
        <v>0.88619201725997843</v>
      </c>
      <c r="J88" s="7">
        <v>0</v>
      </c>
      <c r="K88" s="7">
        <v>3</v>
      </c>
      <c r="L88" s="7">
        <v>5</v>
      </c>
      <c r="M88" s="7">
        <v>2</v>
      </c>
      <c r="N88" s="7">
        <v>1</v>
      </c>
      <c r="O88" s="7">
        <v>0</v>
      </c>
      <c r="P88" s="7">
        <v>0</v>
      </c>
      <c r="Q88" s="7">
        <v>0</v>
      </c>
      <c r="R88" s="11">
        <v>2.0386649999999999</v>
      </c>
      <c r="S88" s="11">
        <v>2.8146100000000001</v>
      </c>
      <c r="T88" s="11">
        <v>2.2986519999999997</v>
      </c>
      <c r="U88" s="12">
        <f t="shared" si="0"/>
        <v>0.77594500000000011</v>
      </c>
      <c r="V88" s="14">
        <v>29.049999999999997</v>
      </c>
      <c r="W88" s="14">
        <v>33.321428571428569</v>
      </c>
      <c r="X88" s="14">
        <v>10.4</v>
      </c>
      <c r="Y88" s="14">
        <v>66.400000000000006</v>
      </c>
      <c r="Z88" s="15">
        <f>546.5/544</f>
        <v>1.0045955882352942</v>
      </c>
      <c r="AA88" s="12"/>
      <c r="AB88" s="12"/>
      <c r="AC88" s="12"/>
      <c r="AD88" s="12"/>
      <c r="AE88" s="12"/>
      <c r="AF88" s="12"/>
      <c r="AG88" s="12"/>
      <c r="AH88" s="12"/>
    </row>
    <row r="89" spans="1:34" ht="12.75">
      <c r="A89" s="7" t="s">
        <v>118</v>
      </c>
      <c r="B89" s="7">
        <v>8</v>
      </c>
      <c r="C89" s="7">
        <v>3</v>
      </c>
      <c r="D89" s="7">
        <v>9</v>
      </c>
      <c r="E89" s="7">
        <v>5</v>
      </c>
      <c r="F89" s="8">
        <v>14270</v>
      </c>
      <c r="G89" s="15">
        <f>2629/F89</f>
        <v>0.18423265592151367</v>
      </c>
      <c r="H89" s="15">
        <f>1591/F89</f>
        <v>0.1114926419060967</v>
      </c>
      <c r="I89" s="9">
        <f>1784/1854</f>
        <v>0.96224379719525355</v>
      </c>
      <c r="J89" s="7">
        <v>0</v>
      </c>
      <c r="K89" s="7">
        <v>0</v>
      </c>
      <c r="L89" s="7">
        <v>6</v>
      </c>
      <c r="M89" s="7">
        <v>2</v>
      </c>
      <c r="N89" s="7">
        <v>0</v>
      </c>
      <c r="O89" s="7">
        <v>0</v>
      </c>
      <c r="P89" s="7">
        <v>0</v>
      </c>
      <c r="Q89" s="7">
        <v>0</v>
      </c>
      <c r="R89" s="11">
        <v>2.234467</v>
      </c>
      <c r="S89" s="11">
        <v>2.5562499999999999</v>
      </c>
      <c r="T89" s="11">
        <v>2.3465350000000003</v>
      </c>
      <c r="U89" s="12">
        <f t="shared" si="0"/>
        <v>0.32178299999999993</v>
      </c>
      <c r="V89" s="14">
        <v>27.4</v>
      </c>
      <c r="W89" s="14">
        <v>28.237500000000001</v>
      </c>
      <c r="X89" s="14">
        <v>19.7</v>
      </c>
      <c r="Y89" s="14">
        <v>44.5</v>
      </c>
      <c r="Z89" s="15">
        <f>452/544</f>
        <v>0.83088235294117652</v>
      </c>
      <c r="AA89" s="12"/>
      <c r="AB89" s="12"/>
      <c r="AC89" s="12"/>
      <c r="AD89" s="12"/>
      <c r="AE89" s="12"/>
      <c r="AF89" s="12"/>
      <c r="AG89" s="12"/>
      <c r="AH89" s="12"/>
    </row>
    <row r="90" spans="1:34" ht="12.75">
      <c r="A90" s="7" t="s">
        <v>119</v>
      </c>
      <c r="B90" s="7">
        <v>7</v>
      </c>
      <c r="C90" s="7">
        <v>3</v>
      </c>
      <c r="D90" s="7">
        <v>10</v>
      </c>
      <c r="E90" s="7">
        <v>8</v>
      </c>
      <c r="F90" s="8">
        <v>11346</v>
      </c>
      <c r="G90" s="15">
        <f>2282/F90</f>
        <v>0.20112815089018157</v>
      </c>
      <c r="H90" s="15">
        <f>1843/F90</f>
        <v>0.16243610082848581</v>
      </c>
      <c r="I90" s="9">
        <f>1621/1854</f>
        <v>0.87432578209277234</v>
      </c>
      <c r="J90" s="7">
        <v>0</v>
      </c>
      <c r="K90" s="7">
        <v>4</v>
      </c>
      <c r="L90" s="7">
        <v>3</v>
      </c>
      <c r="M90" s="7">
        <v>0</v>
      </c>
      <c r="N90" s="7">
        <v>0</v>
      </c>
      <c r="O90" s="7">
        <v>0</v>
      </c>
      <c r="P90" s="7">
        <v>0</v>
      </c>
      <c r="Q90" s="7">
        <v>0</v>
      </c>
      <c r="R90" s="11">
        <v>2.0234809999999999</v>
      </c>
      <c r="S90" s="11">
        <v>2.546357</v>
      </c>
      <c r="T90" s="11">
        <v>2.2511809999999999</v>
      </c>
      <c r="U90" s="12">
        <f t="shared" si="0"/>
        <v>0.52287600000000012</v>
      </c>
      <c r="V90" s="14">
        <v>30.2</v>
      </c>
      <c r="W90" s="14">
        <v>30.085714285714285</v>
      </c>
      <c r="X90" s="14">
        <v>22.2</v>
      </c>
      <c r="Y90" s="14">
        <v>39.1</v>
      </c>
      <c r="Z90" s="15">
        <f>710/544</f>
        <v>1.3051470588235294</v>
      </c>
      <c r="AA90" s="12"/>
      <c r="AB90" s="12"/>
      <c r="AC90" s="12"/>
      <c r="AD90" s="12"/>
      <c r="AE90" s="12"/>
      <c r="AF90" s="12"/>
      <c r="AG90" s="12"/>
      <c r="AH90" s="12"/>
    </row>
    <row r="91" spans="1:34" ht="12.75">
      <c r="A91" s="7" t="s">
        <v>120</v>
      </c>
      <c r="B91" s="7">
        <v>21</v>
      </c>
      <c r="C91" s="7">
        <v>4</v>
      </c>
      <c r="D91" s="7">
        <v>10</v>
      </c>
      <c r="E91" s="7">
        <v>7</v>
      </c>
      <c r="F91" s="8">
        <v>34933</v>
      </c>
      <c r="G91" s="15">
        <f>7400/F91</f>
        <v>0.21183408238628232</v>
      </c>
      <c r="H91" s="15">
        <f>5531/F91</f>
        <v>0.15833166347007127</v>
      </c>
      <c r="I91" s="9">
        <f>1663/1854</f>
        <v>0.8969795037756203</v>
      </c>
      <c r="J91" s="7">
        <v>1</v>
      </c>
      <c r="K91" s="7">
        <v>8</v>
      </c>
      <c r="L91" s="7">
        <v>11</v>
      </c>
      <c r="M91" s="7">
        <v>1</v>
      </c>
      <c r="N91" s="7">
        <v>0</v>
      </c>
      <c r="O91" s="7">
        <v>0</v>
      </c>
      <c r="P91" s="7">
        <v>0</v>
      </c>
      <c r="Q91" s="7">
        <v>0</v>
      </c>
      <c r="R91" s="11">
        <v>1.8468899999999999</v>
      </c>
      <c r="S91" s="11">
        <v>2.6420370000000002</v>
      </c>
      <c r="T91" s="11">
        <v>2.2447020000000002</v>
      </c>
      <c r="U91" s="12">
        <f t="shared" si="0"/>
        <v>0.79514700000000027</v>
      </c>
      <c r="V91" s="14">
        <v>32.1</v>
      </c>
      <c r="W91" s="14">
        <v>33.142857142857146</v>
      </c>
      <c r="X91" s="14">
        <v>12.3</v>
      </c>
      <c r="Y91" s="14">
        <v>56.2</v>
      </c>
      <c r="Z91" s="15">
        <f>725/544</f>
        <v>1.3327205882352942</v>
      </c>
      <c r="AA91" s="12"/>
      <c r="AB91" s="12"/>
      <c r="AC91" s="12"/>
      <c r="AD91" s="12"/>
      <c r="AE91" s="12"/>
      <c r="AF91" s="12"/>
      <c r="AG91" s="12"/>
      <c r="AH91" s="12"/>
    </row>
    <row r="92" spans="1:34" ht="12.75">
      <c r="A92" s="7" t="s">
        <v>121</v>
      </c>
      <c r="B92" s="7">
        <v>8</v>
      </c>
      <c r="C92" s="7">
        <v>5</v>
      </c>
      <c r="D92" s="7">
        <v>8</v>
      </c>
      <c r="E92" s="7">
        <v>6.5</v>
      </c>
      <c r="F92" s="8">
        <v>13575</v>
      </c>
      <c r="G92" s="15">
        <f>2948/F92</f>
        <v>0.21716390423572743</v>
      </c>
      <c r="H92" s="15">
        <f>2113/F92</f>
        <v>0.15565377532228361</v>
      </c>
      <c r="I92" s="9">
        <f>1697/1854</f>
        <v>0.91531823085221142</v>
      </c>
      <c r="J92" s="7">
        <v>2</v>
      </c>
      <c r="K92" s="7">
        <v>2</v>
      </c>
      <c r="L92" s="7">
        <v>4</v>
      </c>
      <c r="M92" s="7">
        <v>0</v>
      </c>
      <c r="N92" s="7">
        <v>0</v>
      </c>
      <c r="O92" s="7">
        <v>0</v>
      </c>
      <c r="P92" s="7">
        <v>0</v>
      </c>
      <c r="Q92" s="7">
        <v>0</v>
      </c>
      <c r="R92" s="11">
        <v>1.8218049999999999</v>
      </c>
      <c r="S92" s="11">
        <v>2.1636470000000001</v>
      </c>
      <c r="T92" s="11">
        <v>2.0390950000000001</v>
      </c>
      <c r="U92" s="12">
        <f t="shared" si="0"/>
        <v>0.3418420000000002</v>
      </c>
      <c r="V92" s="14">
        <v>14.55</v>
      </c>
      <c r="W92" s="14">
        <v>14.7125</v>
      </c>
      <c r="X92" s="14">
        <v>10.1</v>
      </c>
      <c r="Y92" s="14">
        <v>19.8</v>
      </c>
      <c r="Z92" s="15">
        <f>772/544</f>
        <v>1.4191176470588236</v>
      </c>
      <c r="AA92" s="12"/>
      <c r="AB92" s="12"/>
      <c r="AC92" s="12"/>
      <c r="AD92" s="12"/>
      <c r="AE92" s="12"/>
      <c r="AF92" s="12"/>
      <c r="AG92" s="12"/>
      <c r="AH92" s="12"/>
    </row>
    <row r="93" spans="1:34" ht="12.75">
      <c r="A93" s="7" t="s">
        <v>122</v>
      </c>
      <c r="B93" s="7">
        <v>9</v>
      </c>
      <c r="C93" s="7">
        <v>2</v>
      </c>
      <c r="D93" s="7">
        <v>5</v>
      </c>
      <c r="E93" s="7">
        <v>4</v>
      </c>
      <c r="F93" s="8">
        <v>18832</v>
      </c>
      <c r="G93" s="15">
        <f>3637/F93</f>
        <v>0.19312871707731522</v>
      </c>
      <c r="H93" s="15">
        <f>2257/F93</f>
        <v>0.11984919286321155</v>
      </c>
      <c r="I93" s="9">
        <f>2092/1854</f>
        <v>1.1283710895361381</v>
      </c>
      <c r="J93" s="7">
        <v>0</v>
      </c>
      <c r="K93" s="7">
        <v>1</v>
      </c>
      <c r="L93" s="7">
        <v>6</v>
      </c>
      <c r="M93" s="7">
        <v>2</v>
      </c>
      <c r="N93" s="7">
        <v>0</v>
      </c>
      <c r="O93" s="7">
        <v>0</v>
      </c>
      <c r="P93" s="7">
        <v>0</v>
      </c>
      <c r="Q93" s="7">
        <v>0</v>
      </c>
      <c r="R93" s="11">
        <v>2.0621849999999999</v>
      </c>
      <c r="S93" s="11">
        <v>2.4325230000000002</v>
      </c>
      <c r="T93" s="11">
        <v>2.1943039999999998</v>
      </c>
      <c r="U93" s="12">
        <f t="shared" si="0"/>
        <v>0.37033800000000028</v>
      </c>
      <c r="V93" s="14">
        <v>31</v>
      </c>
      <c r="W93" s="14">
        <v>29.288888888888891</v>
      </c>
      <c r="X93" s="14">
        <v>19.899999999999999</v>
      </c>
      <c r="Y93" s="14">
        <v>41</v>
      </c>
      <c r="Z93" s="15">
        <f>505/544</f>
        <v>0.9283088235294118</v>
      </c>
      <c r="AA93" s="12"/>
      <c r="AB93" s="12"/>
      <c r="AC93" s="12"/>
      <c r="AD93" s="12"/>
      <c r="AE93" s="12"/>
      <c r="AF93" s="12"/>
      <c r="AG93" s="12"/>
      <c r="AH93" s="12"/>
    </row>
    <row r="94" spans="1:34" ht="12.75">
      <c r="A94" s="7" t="s">
        <v>123</v>
      </c>
      <c r="B94" s="7">
        <v>12</v>
      </c>
      <c r="C94" s="7">
        <v>5</v>
      </c>
      <c r="D94" s="7">
        <v>10</v>
      </c>
      <c r="E94" s="7">
        <v>8</v>
      </c>
      <c r="F94" s="8">
        <v>21153</v>
      </c>
      <c r="G94" s="15">
        <f>3579/F94</f>
        <v>0.16919585874344065</v>
      </c>
      <c r="H94" s="15">
        <f>2518/F94</f>
        <v>0.11903748877227817</v>
      </c>
      <c r="I94" s="9">
        <f>1763/1854</f>
        <v>0.95091693635382957</v>
      </c>
      <c r="J94" s="7">
        <v>0</v>
      </c>
      <c r="K94" s="7">
        <v>1</v>
      </c>
      <c r="L94" s="7">
        <v>2</v>
      </c>
      <c r="M94" s="7">
        <v>3</v>
      </c>
      <c r="N94" s="7">
        <v>2</v>
      </c>
      <c r="O94" s="7">
        <v>1</v>
      </c>
      <c r="P94" s="7">
        <v>3</v>
      </c>
      <c r="Q94" s="7">
        <v>0</v>
      </c>
      <c r="R94" s="11">
        <v>2.1328339999999999</v>
      </c>
      <c r="S94" s="11">
        <v>2.6632419999999999</v>
      </c>
      <c r="T94" s="11">
        <v>2.3554310000000003</v>
      </c>
      <c r="U94" s="12">
        <f t="shared" si="0"/>
        <v>0.53040799999999999</v>
      </c>
      <c r="V94" s="14">
        <v>14.7</v>
      </c>
      <c r="W94" s="14">
        <v>14.95833333333333</v>
      </c>
      <c r="X94" s="14">
        <v>6.2</v>
      </c>
      <c r="Y94" s="14">
        <v>20.9</v>
      </c>
      <c r="Z94" s="15">
        <f>540/544</f>
        <v>0.99264705882352944</v>
      </c>
      <c r="AA94" s="12"/>
      <c r="AB94" s="12"/>
      <c r="AC94" s="12"/>
      <c r="AD94" s="12"/>
      <c r="AE94" s="12"/>
      <c r="AF94" s="12"/>
      <c r="AG94" s="12"/>
      <c r="AH94" s="12"/>
    </row>
    <row r="95" spans="1:34" ht="12.75">
      <c r="A95" s="7" t="s">
        <v>124</v>
      </c>
      <c r="B95" s="7">
        <v>8</v>
      </c>
      <c r="C95" s="7">
        <v>3</v>
      </c>
      <c r="D95" s="7">
        <v>10</v>
      </c>
      <c r="E95" s="7">
        <v>9</v>
      </c>
      <c r="F95" s="8">
        <v>14538</v>
      </c>
      <c r="G95" s="15">
        <f>3483/F95</f>
        <v>0.23957903425505572</v>
      </c>
      <c r="H95" s="15">
        <f>2129/F95</f>
        <v>0.14644380244875499</v>
      </c>
      <c r="I95" s="9">
        <f>1817/1854</f>
        <v>0.98004314994606256</v>
      </c>
      <c r="J95" s="7">
        <v>0</v>
      </c>
      <c r="K95" s="7">
        <v>1</v>
      </c>
      <c r="L95" s="7">
        <v>7</v>
      </c>
      <c r="M95" s="7">
        <v>0</v>
      </c>
      <c r="N95" s="7">
        <v>0</v>
      </c>
      <c r="O95" s="7">
        <v>0</v>
      </c>
      <c r="P95" s="7">
        <v>0</v>
      </c>
      <c r="Q95" s="7">
        <v>0</v>
      </c>
      <c r="R95" s="11">
        <v>2.0484439999999999</v>
      </c>
      <c r="S95" s="11">
        <v>2.362857</v>
      </c>
      <c r="T95" s="11">
        <v>2.2555740000000002</v>
      </c>
      <c r="U95" s="12">
        <f t="shared" si="0"/>
        <v>0.31441300000000005</v>
      </c>
      <c r="V95" s="14">
        <v>10.6</v>
      </c>
      <c r="W95" s="14">
        <v>12.512499999999999</v>
      </c>
      <c r="X95" s="14">
        <v>5.6</v>
      </c>
      <c r="Y95" s="14">
        <v>31</v>
      </c>
      <c r="Z95" s="15">
        <f>610.5/544</f>
        <v>1.1222426470588236</v>
      </c>
      <c r="AA95" s="12"/>
      <c r="AB95" s="12"/>
      <c r="AC95" s="12"/>
      <c r="AD95" s="12"/>
      <c r="AE95" s="12"/>
      <c r="AF95" s="12"/>
      <c r="AG95" s="12"/>
      <c r="AH95" s="12"/>
    </row>
    <row r="96" spans="1:34" ht="12.75">
      <c r="A96" s="7" t="s">
        <v>125</v>
      </c>
      <c r="B96" s="7">
        <v>8</v>
      </c>
      <c r="C96" s="7">
        <v>5</v>
      </c>
      <c r="D96" s="7">
        <v>9</v>
      </c>
      <c r="E96" s="7">
        <v>7.5</v>
      </c>
      <c r="F96" s="8">
        <v>14533</v>
      </c>
      <c r="G96" s="15">
        <f>2796/F96</f>
        <v>0.19238973370948875</v>
      </c>
      <c r="H96" s="15">
        <f>1971/F96</f>
        <v>0.13562237666001514</v>
      </c>
      <c r="I96" s="9">
        <f>1871/1854</f>
        <v>1.0091693635382957</v>
      </c>
      <c r="J96" s="7">
        <v>0</v>
      </c>
      <c r="K96" s="7">
        <v>0</v>
      </c>
      <c r="L96" s="7">
        <v>3</v>
      </c>
      <c r="M96" s="7">
        <v>2</v>
      </c>
      <c r="N96" s="7">
        <v>1</v>
      </c>
      <c r="O96" s="7">
        <v>1</v>
      </c>
      <c r="P96" s="7">
        <v>1</v>
      </c>
      <c r="Q96" s="7">
        <v>0</v>
      </c>
      <c r="R96" s="11">
        <v>2.0310320000000002</v>
      </c>
      <c r="S96" s="11">
        <v>2.5215550000000002</v>
      </c>
      <c r="T96" s="11">
        <v>2.3698709999999998</v>
      </c>
      <c r="U96" s="12">
        <f t="shared" si="0"/>
        <v>0.49052300000000004</v>
      </c>
      <c r="V96" s="14">
        <v>15.7</v>
      </c>
      <c r="W96" s="14">
        <v>15.600000000000001</v>
      </c>
      <c r="X96" s="14">
        <v>11.4</v>
      </c>
      <c r="Y96" s="14">
        <v>21.1</v>
      </c>
      <c r="Z96" s="15">
        <f>586/544</f>
        <v>1.0772058823529411</v>
      </c>
      <c r="AA96" s="12"/>
      <c r="AB96" s="12"/>
      <c r="AC96" s="12"/>
      <c r="AD96" s="12"/>
      <c r="AE96" s="12"/>
      <c r="AF96" s="12"/>
      <c r="AG96" s="12"/>
      <c r="AH96" s="12"/>
    </row>
    <row r="97" spans="1:34" ht="12.75">
      <c r="A97" s="7" t="s">
        <v>126</v>
      </c>
      <c r="B97" s="7">
        <v>20</v>
      </c>
      <c r="C97" s="7">
        <v>2</v>
      </c>
      <c r="D97" s="7">
        <v>10</v>
      </c>
      <c r="E97" s="7">
        <v>8.5</v>
      </c>
      <c r="F97" s="8">
        <v>32995</v>
      </c>
      <c r="G97" s="15">
        <f>7400/F97</f>
        <v>0.22427640551598726</v>
      </c>
      <c r="H97" s="15">
        <f>4671/F97</f>
        <v>0.14156690407637521</v>
      </c>
      <c r="I97" s="9">
        <f>1650/1854</f>
        <v>0.88996763754045305</v>
      </c>
      <c r="J97" s="7">
        <v>1</v>
      </c>
      <c r="K97" s="7">
        <v>5</v>
      </c>
      <c r="L97" s="7">
        <v>12</v>
      </c>
      <c r="M97" s="7">
        <v>2</v>
      </c>
      <c r="N97" s="7">
        <v>0</v>
      </c>
      <c r="O97" s="7">
        <v>0</v>
      </c>
      <c r="P97" s="7">
        <v>0</v>
      </c>
      <c r="Q97" s="7">
        <v>0</v>
      </c>
      <c r="R97" s="11">
        <v>1.9382109999999999</v>
      </c>
      <c r="S97" s="11">
        <v>2.8629470000000001</v>
      </c>
      <c r="T97" s="11">
        <v>2.3176635000000001</v>
      </c>
      <c r="U97" s="12">
        <f t="shared" si="0"/>
        <v>0.92473600000000022</v>
      </c>
      <c r="V97" s="14">
        <v>18</v>
      </c>
      <c r="W97" s="14">
        <v>19.810000000000006</v>
      </c>
      <c r="X97" s="14">
        <v>7.8</v>
      </c>
      <c r="Y97" s="14">
        <v>50.7</v>
      </c>
      <c r="Z97" s="15">
        <f>684.5/544</f>
        <v>1.2582720588235294</v>
      </c>
      <c r="AA97" s="12"/>
      <c r="AB97" s="12"/>
      <c r="AC97" s="12"/>
      <c r="AD97" s="12"/>
      <c r="AE97" s="12"/>
      <c r="AF97" s="12"/>
      <c r="AG97" s="12"/>
      <c r="AH97" s="12"/>
    </row>
    <row r="98" spans="1:34" ht="12.75">
      <c r="A98" s="7" t="s">
        <v>127</v>
      </c>
      <c r="B98" s="7">
        <v>24</v>
      </c>
      <c r="C98" s="7">
        <v>2</v>
      </c>
      <c r="D98" s="7">
        <v>7</v>
      </c>
      <c r="E98" s="7">
        <v>5</v>
      </c>
      <c r="F98" s="8">
        <v>49800</v>
      </c>
      <c r="G98" s="15">
        <f>9966/F98</f>
        <v>0.20012048192771084</v>
      </c>
      <c r="H98" s="15">
        <f>6223/F98</f>
        <v>0.12495983935742971</v>
      </c>
      <c r="I98" s="9">
        <f>2075/1854</f>
        <v>1.1192017259978424</v>
      </c>
      <c r="J98" s="7">
        <v>0</v>
      </c>
      <c r="K98" s="7">
        <v>4</v>
      </c>
      <c r="L98" s="7">
        <v>11</v>
      </c>
      <c r="M98" s="7">
        <v>8</v>
      </c>
      <c r="N98" s="7">
        <v>1</v>
      </c>
      <c r="O98" s="7">
        <v>0</v>
      </c>
      <c r="P98" s="7">
        <v>0</v>
      </c>
      <c r="Q98" s="7">
        <v>0</v>
      </c>
      <c r="R98" s="11">
        <v>2.024632</v>
      </c>
      <c r="S98" s="11">
        <v>2.9876960000000001</v>
      </c>
      <c r="T98" s="11">
        <v>2.2517355000000001</v>
      </c>
      <c r="U98" s="12">
        <f t="shared" si="0"/>
        <v>0.96306400000000014</v>
      </c>
      <c r="V98" s="14">
        <v>73.45</v>
      </c>
      <c r="W98" s="14">
        <v>62.287499999999994</v>
      </c>
      <c r="X98" s="14">
        <v>19.7</v>
      </c>
      <c r="Y98" s="14">
        <v>87.1</v>
      </c>
      <c r="Z98" s="15">
        <f>749.5/544</f>
        <v>1.3777573529411764</v>
      </c>
      <c r="AA98" s="12"/>
      <c r="AB98" s="12"/>
      <c r="AC98" s="12"/>
      <c r="AD98" s="12"/>
      <c r="AE98" s="12"/>
      <c r="AF98" s="12"/>
      <c r="AG98" s="12"/>
      <c r="AH98" s="12"/>
    </row>
    <row r="99" spans="1:34" ht="12.75">
      <c r="A99" s="7" t="s">
        <v>128</v>
      </c>
      <c r="B99" s="7">
        <v>9</v>
      </c>
      <c r="C99" s="7">
        <v>2</v>
      </c>
      <c r="D99" s="7">
        <v>8</v>
      </c>
      <c r="E99" s="7">
        <v>4</v>
      </c>
      <c r="F99" s="8">
        <v>18933</v>
      </c>
      <c r="G99" s="15">
        <f>3669/F99</f>
        <v>0.19378862303913802</v>
      </c>
      <c r="H99" s="15">
        <f>1472/F99</f>
        <v>7.7747847673374532E-2</v>
      </c>
      <c r="I99" s="9">
        <f>2104/1854</f>
        <v>1.1348435814455231</v>
      </c>
      <c r="J99" s="7">
        <v>0</v>
      </c>
      <c r="K99" s="7">
        <v>0</v>
      </c>
      <c r="L99" s="7">
        <v>0</v>
      </c>
      <c r="M99" s="7">
        <v>0</v>
      </c>
      <c r="N99" s="7">
        <v>3</v>
      </c>
      <c r="O99" s="7">
        <v>3</v>
      </c>
      <c r="P99" s="7">
        <v>3</v>
      </c>
      <c r="Q99" s="7">
        <v>0</v>
      </c>
      <c r="R99" s="11">
        <v>2.6319210000000002</v>
      </c>
      <c r="S99" s="11">
        <v>3.0536469999999998</v>
      </c>
      <c r="T99" s="11">
        <v>2.9041980000000001</v>
      </c>
      <c r="U99" s="12">
        <f t="shared" si="0"/>
        <v>0.4217259999999996</v>
      </c>
      <c r="V99" s="14">
        <v>55</v>
      </c>
      <c r="W99" s="14">
        <v>51.688888888888897</v>
      </c>
      <c r="X99" s="14">
        <v>23.8</v>
      </c>
      <c r="Y99" s="14">
        <v>78.900000000000006</v>
      </c>
      <c r="Z99" s="15">
        <f>347/544</f>
        <v>0.63786764705882348</v>
      </c>
      <c r="AA99" s="12"/>
      <c r="AB99" s="12"/>
      <c r="AC99" s="12"/>
      <c r="AD99" s="12"/>
      <c r="AE99" s="12"/>
      <c r="AF99" s="12"/>
      <c r="AG99" s="12"/>
      <c r="AH99" s="12"/>
    </row>
    <row r="100" spans="1:34" ht="12.75">
      <c r="A100" s="7" t="s">
        <v>129</v>
      </c>
      <c r="B100" s="7">
        <v>12</v>
      </c>
      <c r="C100" s="7">
        <v>2</v>
      </c>
      <c r="D100" s="7">
        <v>6</v>
      </c>
      <c r="E100" s="7">
        <v>4</v>
      </c>
      <c r="F100" s="8">
        <v>24840</v>
      </c>
      <c r="G100" s="15">
        <f>5672/F100</f>
        <v>0.228341384863124</v>
      </c>
      <c r="H100" s="15">
        <f>2831/F100</f>
        <v>0.11396940418679549</v>
      </c>
      <c r="I100" s="9">
        <f>2070/1854</f>
        <v>1.116504854368932</v>
      </c>
      <c r="J100" s="7">
        <v>2</v>
      </c>
      <c r="K100" s="7">
        <v>4</v>
      </c>
      <c r="L100" s="7">
        <v>6</v>
      </c>
      <c r="M100" s="7">
        <v>0</v>
      </c>
      <c r="N100" s="7">
        <v>0</v>
      </c>
      <c r="O100" s="7">
        <v>0</v>
      </c>
      <c r="P100" s="7">
        <v>0</v>
      </c>
      <c r="Q100" s="7">
        <v>0</v>
      </c>
      <c r="R100" s="11">
        <v>2.063653</v>
      </c>
      <c r="S100" s="11">
        <v>2.77765</v>
      </c>
      <c r="T100" s="11">
        <v>2.3500354999999997</v>
      </c>
      <c r="U100" s="12">
        <f t="shared" si="0"/>
        <v>0.71399699999999999</v>
      </c>
      <c r="V100" s="14">
        <v>47.8</v>
      </c>
      <c r="W100" s="14">
        <v>52.15</v>
      </c>
      <c r="X100" s="14">
        <v>31.8</v>
      </c>
      <c r="Y100" s="14">
        <v>83.2</v>
      </c>
      <c r="Z100" s="15">
        <f>839/544</f>
        <v>1.5422794117647058</v>
      </c>
      <c r="AA100" s="12"/>
      <c r="AB100" s="12"/>
      <c r="AC100" s="12"/>
      <c r="AD100" s="12"/>
      <c r="AE100" s="12"/>
      <c r="AF100" s="12"/>
      <c r="AG100" s="12"/>
      <c r="AH100" s="12"/>
    </row>
    <row r="101" spans="1:34" ht="12.75">
      <c r="A101" s="7" t="s">
        <v>130</v>
      </c>
      <c r="B101" s="7">
        <v>15</v>
      </c>
      <c r="C101" s="7">
        <v>2</v>
      </c>
      <c r="D101" s="7">
        <v>7</v>
      </c>
      <c r="E101" s="7">
        <v>4</v>
      </c>
      <c r="F101" s="8">
        <v>28520</v>
      </c>
      <c r="G101" s="15">
        <f>6533/F101</f>
        <v>0.22906732117812062</v>
      </c>
      <c r="H101" s="15">
        <f>3801/F101</f>
        <v>0.13327489481065918</v>
      </c>
      <c r="I101" s="9">
        <f>1901/1854</f>
        <v>1.0253505933117584</v>
      </c>
      <c r="J101" s="7">
        <v>2</v>
      </c>
      <c r="K101" s="7">
        <v>3</v>
      </c>
      <c r="L101" s="7">
        <v>7</v>
      </c>
      <c r="M101" s="7">
        <v>2</v>
      </c>
      <c r="N101" s="7">
        <v>1</v>
      </c>
      <c r="O101" s="7">
        <v>0</v>
      </c>
      <c r="P101" s="7">
        <v>0</v>
      </c>
      <c r="Q101" s="7">
        <v>0</v>
      </c>
      <c r="R101" s="11">
        <v>1.949759</v>
      </c>
      <c r="S101" s="11">
        <v>2.4728680000000001</v>
      </c>
      <c r="T101" s="11">
        <v>2.099364</v>
      </c>
      <c r="U101" s="12">
        <f t="shared" si="0"/>
        <v>0.52310900000000005</v>
      </c>
      <c r="V101" s="14">
        <v>34.1</v>
      </c>
      <c r="W101" s="14">
        <v>34.626666666666672</v>
      </c>
      <c r="X101" s="14">
        <v>19.899999999999999</v>
      </c>
      <c r="Y101" s="14">
        <v>52.3</v>
      </c>
      <c r="Z101" s="15">
        <f>788/544</f>
        <v>1.4485294117647058</v>
      </c>
      <c r="AA101" s="12"/>
      <c r="AB101" s="12"/>
      <c r="AC101" s="12"/>
      <c r="AD101" s="12"/>
      <c r="AE101" s="12"/>
      <c r="AF101" s="12"/>
      <c r="AG101" s="12"/>
      <c r="AH101" s="12"/>
    </row>
    <row r="102" spans="1:34" ht="12.75">
      <c r="A102" s="7" t="s">
        <v>131</v>
      </c>
      <c r="B102" s="7">
        <v>13</v>
      </c>
      <c r="C102" s="7">
        <v>2</v>
      </c>
      <c r="D102" s="7">
        <v>6</v>
      </c>
      <c r="E102" s="7">
        <v>3</v>
      </c>
      <c r="F102" s="8">
        <v>22621</v>
      </c>
      <c r="G102" s="15">
        <f>4874/F102</f>
        <v>0.21546350736041731</v>
      </c>
      <c r="H102" s="15">
        <f>2485/F102</f>
        <v>0.10985367578798462</v>
      </c>
      <c r="I102" s="9">
        <f>1740/1854</f>
        <v>0.93851132686084138</v>
      </c>
      <c r="J102" s="7">
        <v>0</v>
      </c>
      <c r="K102" s="7">
        <v>1</v>
      </c>
      <c r="L102" s="7">
        <v>9</v>
      </c>
      <c r="M102" s="7">
        <v>1</v>
      </c>
      <c r="N102" s="7">
        <v>1</v>
      </c>
      <c r="O102" s="7">
        <v>1</v>
      </c>
      <c r="P102" s="7">
        <v>0</v>
      </c>
      <c r="Q102" s="7">
        <v>0</v>
      </c>
      <c r="R102" s="11">
        <v>1.992075</v>
      </c>
      <c r="S102" s="11">
        <v>2.4740609999999998</v>
      </c>
      <c r="T102" s="11">
        <v>2.252618</v>
      </c>
      <c r="U102" s="12">
        <f t="shared" si="0"/>
        <v>0.4819859999999998</v>
      </c>
      <c r="V102" s="14">
        <v>49.9</v>
      </c>
      <c r="W102" s="14">
        <v>47.876923076923063</v>
      </c>
      <c r="X102" s="14">
        <v>31.6</v>
      </c>
      <c r="Y102" s="14">
        <v>63.4</v>
      </c>
      <c r="Z102" s="15">
        <f>493/544</f>
        <v>0.90625</v>
      </c>
      <c r="AA102" s="12"/>
      <c r="AB102" s="12"/>
      <c r="AC102" s="12"/>
      <c r="AD102" s="12"/>
      <c r="AE102" s="12"/>
      <c r="AF102" s="12"/>
      <c r="AG102" s="12"/>
      <c r="AH102" s="12"/>
    </row>
    <row r="103" spans="1:34" ht="12.75">
      <c r="A103" s="7" t="s">
        <v>132</v>
      </c>
      <c r="B103" s="7">
        <v>8</v>
      </c>
      <c r="C103" s="7">
        <v>4</v>
      </c>
      <c r="D103" s="7">
        <v>5</v>
      </c>
      <c r="E103" s="7">
        <v>4.5</v>
      </c>
      <c r="F103" s="8">
        <v>17108</v>
      </c>
      <c r="G103" s="15">
        <f>3546/F103</f>
        <v>0.20727145195230301</v>
      </c>
      <c r="H103" s="15">
        <f>1690/F103</f>
        <v>9.878419452887538E-2</v>
      </c>
      <c r="I103" s="9">
        <f>2139/1854</f>
        <v>1.1537216828478964</v>
      </c>
      <c r="J103" s="7">
        <v>0</v>
      </c>
      <c r="K103" s="7">
        <v>3</v>
      </c>
      <c r="L103" s="7">
        <v>5</v>
      </c>
      <c r="M103" s="7">
        <v>0</v>
      </c>
      <c r="N103" s="7">
        <v>0</v>
      </c>
      <c r="O103" s="7">
        <v>0</v>
      </c>
      <c r="P103" s="7">
        <v>0</v>
      </c>
      <c r="Q103" s="7">
        <v>0</v>
      </c>
      <c r="R103" s="11">
        <v>2.409834</v>
      </c>
      <c r="S103" s="11">
        <v>2.77765</v>
      </c>
      <c r="T103" s="11">
        <v>2.6054705</v>
      </c>
      <c r="U103" s="12">
        <f t="shared" si="0"/>
        <v>0.36781599999999992</v>
      </c>
      <c r="V103" s="14">
        <v>54.6</v>
      </c>
      <c r="W103" s="14">
        <v>59.15</v>
      </c>
      <c r="X103" s="14">
        <v>36.299999999999997</v>
      </c>
      <c r="Y103" s="14">
        <v>83</v>
      </c>
      <c r="Z103" s="15">
        <f>763.5/544</f>
        <v>1.4034926470588236</v>
      </c>
      <c r="AA103" s="12"/>
      <c r="AB103" s="12"/>
      <c r="AC103" s="12"/>
      <c r="AD103" s="12"/>
      <c r="AE103" s="12"/>
      <c r="AF103" s="12"/>
      <c r="AG103" s="12"/>
      <c r="AH103" s="12"/>
    </row>
    <row r="104" spans="1:34" ht="12.75">
      <c r="A104" s="7" t="s">
        <v>133</v>
      </c>
      <c r="B104" s="7">
        <v>5</v>
      </c>
      <c r="C104" s="7">
        <v>6</v>
      </c>
      <c r="D104" s="7">
        <v>10</v>
      </c>
      <c r="E104" s="7">
        <v>9</v>
      </c>
      <c r="F104" s="8">
        <v>8671</v>
      </c>
      <c r="G104" s="15">
        <f>1768/F104</f>
        <v>0.20389805097451275</v>
      </c>
      <c r="H104" s="15">
        <f>1407/F104</f>
        <v>0.16226502133548609</v>
      </c>
      <c r="I104" s="9">
        <f>1734/1854</f>
        <v>0.93527508090614886</v>
      </c>
      <c r="J104" s="7">
        <v>0</v>
      </c>
      <c r="K104" s="7">
        <v>2</v>
      </c>
      <c r="L104" s="7">
        <v>3</v>
      </c>
      <c r="M104" s="7">
        <v>0</v>
      </c>
      <c r="N104" s="7">
        <v>0</v>
      </c>
      <c r="O104" s="7">
        <v>0</v>
      </c>
      <c r="P104" s="7">
        <v>0</v>
      </c>
      <c r="Q104" s="7">
        <v>0</v>
      </c>
      <c r="R104" s="11">
        <v>2.0686789999999999</v>
      </c>
      <c r="S104" s="11">
        <v>2.4605980000000001</v>
      </c>
      <c r="T104" s="11">
        <v>2.3107760000000002</v>
      </c>
      <c r="U104" s="12">
        <f t="shared" si="0"/>
        <v>0.39191900000000013</v>
      </c>
      <c r="V104" s="14">
        <v>14</v>
      </c>
      <c r="W104" s="14">
        <v>16.7</v>
      </c>
      <c r="X104" s="14">
        <v>8.5</v>
      </c>
      <c r="Y104" s="14">
        <v>33.700000000000003</v>
      </c>
      <c r="Z104" s="15">
        <f>678/544</f>
        <v>1.2463235294117647</v>
      </c>
      <c r="AA104" s="12"/>
      <c r="AB104" s="12"/>
      <c r="AC104" s="12"/>
      <c r="AD104" s="12"/>
      <c r="AE104" s="12"/>
      <c r="AF104" s="12"/>
      <c r="AG104" s="12"/>
      <c r="AH104" s="12"/>
    </row>
    <row r="105" spans="1:34" ht="12.75">
      <c r="A105" s="7" t="s">
        <v>134</v>
      </c>
      <c r="B105" s="7">
        <v>6</v>
      </c>
      <c r="C105" s="7">
        <v>3</v>
      </c>
      <c r="D105" s="7">
        <v>10</v>
      </c>
      <c r="E105" s="7">
        <v>8</v>
      </c>
      <c r="F105" s="8">
        <v>9624</v>
      </c>
      <c r="G105" s="15">
        <f>1884/F105</f>
        <v>0.19576059850374064</v>
      </c>
      <c r="H105" s="15">
        <f>1681/F105</f>
        <v>0.17466749792186201</v>
      </c>
      <c r="I105" s="9">
        <f>1604/1854</f>
        <v>0.86515641855447678</v>
      </c>
      <c r="J105" s="7">
        <v>1</v>
      </c>
      <c r="K105" s="7">
        <v>2</v>
      </c>
      <c r="L105" s="7">
        <v>3</v>
      </c>
      <c r="M105" s="7">
        <v>0</v>
      </c>
      <c r="N105" s="7">
        <v>0</v>
      </c>
      <c r="O105" s="7">
        <v>0</v>
      </c>
      <c r="P105" s="7">
        <v>0</v>
      </c>
      <c r="Q105" s="7">
        <v>0</v>
      </c>
      <c r="R105" s="11">
        <v>2.1185010000000002</v>
      </c>
      <c r="S105" s="11">
        <v>2.5354990000000002</v>
      </c>
      <c r="T105" s="11">
        <v>2.1773195000000003</v>
      </c>
      <c r="U105" s="12">
        <f t="shared" si="0"/>
        <v>0.41699799999999998</v>
      </c>
      <c r="V105" s="14">
        <v>17.55</v>
      </c>
      <c r="W105" s="14">
        <v>19.75</v>
      </c>
      <c r="X105" s="14">
        <v>15</v>
      </c>
      <c r="Y105" s="14">
        <v>31.7</v>
      </c>
      <c r="Z105" s="15">
        <f>611/544</f>
        <v>1.1231617647058822</v>
      </c>
      <c r="AA105" s="12"/>
      <c r="AB105" s="12"/>
      <c r="AC105" s="12"/>
      <c r="AD105" s="12"/>
      <c r="AE105" s="12"/>
      <c r="AF105" s="12"/>
      <c r="AG105" s="12"/>
      <c r="AH105" s="12"/>
    </row>
    <row r="106" spans="1:34" ht="12.75">
      <c r="A106" s="7" t="s">
        <v>135</v>
      </c>
      <c r="B106" s="7">
        <v>11</v>
      </c>
      <c r="C106" s="7">
        <v>4</v>
      </c>
      <c r="D106" s="7">
        <v>8</v>
      </c>
      <c r="E106" s="7">
        <v>7</v>
      </c>
      <c r="F106" s="8">
        <v>18813</v>
      </c>
      <c r="G106" s="15">
        <f>3435/F106</f>
        <v>0.18258650932865572</v>
      </c>
      <c r="H106" s="15">
        <f>2525/F106</f>
        <v>0.13421570190825494</v>
      </c>
      <c r="I106" s="9">
        <f>1710/1854</f>
        <v>0.92233009708737868</v>
      </c>
      <c r="J106" s="7">
        <v>0</v>
      </c>
      <c r="K106" s="7">
        <v>2</v>
      </c>
      <c r="L106" s="7">
        <v>3</v>
      </c>
      <c r="M106" s="7">
        <v>4</v>
      </c>
      <c r="N106" s="7">
        <v>2</v>
      </c>
      <c r="O106" s="7">
        <v>0</v>
      </c>
      <c r="P106" s="7">
        <v>0</v>
      </c>
      <c r="Q106" s="7">
        <v>0</v>
      </c>
      <c r="R106" s="11">
        <v>2.2100900000000001</v>
      </c>
      <c r="S106" s="11">
        <v>2.8018459999999998</v>
      </c>
      <c r="T106" s="11">
        <v>2.4396949999999999</v>
      </c>
      <c r="U106" s="12">
        <f t="shared" si="0"/>
        <v>0.59175599999999973</v>
      </c>
      <c r="V106" s="14">
        <v>20.6</v>
      </c>
      <c r="W106" s="14">
        <v>20.136363636363637</v>
      </c>
      <c r="X106" s="14">
        <v>12.5</v>
      </c>
      <c r="Y106" s="14">
        <v>28.8</v>
      </c>
      <c r="Z106" s="15">
        <f>525/544</f>
        <v>0.96507352941176472</v>
      </c>
      <c r="AA106" s="12"/>
      <c r="AB106" s="12"/>
      <c r="AC106" s="12"/>
      <c r="AD106" s="12"/>
      <c r="AE106" s="12"/>
      <c r="AF106" s="12"/>
      <c r="AG106" s="12"/>
      <c r="AH106" s="12"/>
    </row>
    <row r="107" spans="1:34" ht="12.75">
      <c r="A107" s="7" t="s">
        <v>136</v>
      </c>
      <c r="B107" s="7">
        <v>21</v>
      </c>
      <c r="C107" s="7">
        <v>2</v>
      </c>
      <c r="D107" s="7">
        <v>10</v>
      </c>
      <c r="E107" s="7">
        <v>5</v>
      </c>
      <c r="F107" s="8">
        <v>32339</v>
      </c>
      <c r="G107" s="15">
        <f>4931/F107</f>
        <v>0.15247843161507776</v>
      </c>
      <c r="H107" s="15">
        <f>4108/F107</f>
        <v>0.12702928352762918</v>
      </c>
      <c r="I107" s="9">
        <f>1540/1854</f>
        <v>0.83063646170442285</v>
      </c>
      <c r="J107" s="7">
        <v>0</v>
      </c>
      <c r="K107" s="7">
        <v>1</v>
      </c>
      <c r="L107" s="7">
        <v>1</v>
      </c>
      <c r="M107" s="7">
        <v>2</v>
      </c>
      <c r="N107" s="7">
        <v>3</v>
      </c>
      <c r="O107" s="7">
        <v>5</v>
      </c>
      <c r="P107" s="7">
        <v>8</v>
      </c>
      <c r="Q107" s="7">
        <v>1</v>
      </c>
      <c r="R107" s="11">
        <v>2.2010890000000001</v>
      </c>
      <c r="S107" s="11">
        <v>3.1020080000000001</v>
      </c>
      <c r="T107" s="11">
        <v>2.7792020000000002</v>
      </c>
      <c r="U107" s="12">
        <f t="shared" si="0"/>
        <v>0.90091900000000003</v>
      </c>
      <c r="V107" s="14">
        <v>32.799999999999997</v>
      </c>
      <c r="W107" s="14">
        <v>31.676190476190474</v>
      </c>
      <c r="X107" s="14">
        <v>15</v>
      </c>
      <c r="Y107" s="14">
        <v>49.5</v>
      </c>
      <c r="Z107" s="15">
        <f>300/544</f>
        <v>0.55147058823529416</v>
      </c>
      <c r="AA107" s="12"/>
      <c r="AB107" s="12"/>
      <c r="AC107" s="12"/>
      <c r="AD107" s="12"/>
      <c r="AE107" s="12"/>
      <c r="AF107" s="12"/>
      <c r="AG107" s="12"/>
      <c r="AH107" s="12"/>
    </row>
    <row r="108" spans="1:34" ht="12.75">
      <c r="A108" s="7" t="s">
        <v>137</v>
      </c>
      <c r="B108" s="7">
        <v>13</v>
      </c>
      <c r="C108" s="7">
        <v>3</v>
      </c>
      <c r="D108" s="7">
        <v>9</v>
      </c>
      <c r="E108" s="7">
        <v>8</v>
      </c>
      <c r="F108" s="8">
        <v>21640</v>
      </c>
      <c r="G108" s="15">
        <f>4722/F108</f>
        <v>0.21820702402957487</v>
      </c>
      <c r="H108" s="15">
        <f>3508/F108</f>
        <v>0.16210720887245841</v>
      </c>
      <c r="I108" s="9">
        <f>1665/1854</f>
        <v>0.89805825242718451</v>
      </c>
      <c r="J108" s="7">
        <v>5</v>
      </c>
      <c r="K108" s="7">
        <v>4</v>
      </c>
      <c r="L108" s="7">
        <v>4</v>
      </c>
      <c r="M108" s="7">
        <v>0</v>
      </c>
      <c r="N108" s="7">
        <v>0</v>
      </c>
      <c r="O108" s="7">
        <v>0</v>
      </c>
      <c r="P108" s="7">
        <v>0</v>
      </c>
      <c r="Q108" s="7">
        <v>0</v>
      </c>
      <c r="R108" s="11">
        <v>1.842778</v>
      </c>
      <c r="S108" s="11">
        <v>2.4232659999999999</v>
      </c>
      <c r="T108" s="11">
        <v>2.1612239999999998</v>
      </c>
      <c r="U108" s="12">
        <f t="shared" si="0"/>
        <v>0.58048799999999989</v>
      </c>
      <c r="V108" s="14">
        <v>30</v>
      </c>
      <c r="W108" s="14">
        <v>33.769230769230774</v>
      </c>
      <c r="X108" s="14">
        <v>16.8</v>
      </c>
      <c r="Y108" s="14">
        <v>53.2</v>
      </c>
      <c r="Z108" s="15">
        <f>761/544</f>
        <v>1.3988970588235294</v>
      </c>
      <c r="AA108" s="12"/>
      <c r="AB108" s="12"/>
      <c r="AC108" s="12"/>
      <c r="AD108" s="12"/>
      <c r="AE108" s="12"/>
      <c r="AF108" s="12"/>
      <c r="AG108" s="12"/>
      <c r="AH108" s="12"/>
    </row>
    <row r="109" spans="1:34" ht="12.75">
      <c r="A109" s="7" t="s">
        <v>138</v>
      </c>
      <c r="B109" s="7">
        <v>28</v>
      </c>
      <c r="C109" s="7">
        <v>2</v>
      </c>
      <c r="D109" s="7">
        <v>9</v>
      </c>
      <c r="E109" s="7">
        <v>5</v>
      </c>
      <c r="F109" s="8">
        <v>48525</v>
      </c>
      <c r="G109" s="15">
        <f>10987/F109</f>
        <v>0.22641937145801133</v>
      </c>
      <c r="H109" s="15">
        <f>7012/F109</f>
        <v>0.14450283359093252</v>
      </c>
      <c r="I109" s="9">
        <f>1733/1854</f>
        <v>0.93473570658036675</v>
      </c>
      <c r="J109" s="7">
        <v>3</v>
      </c>
      <c r="K109" s="7">
        <v>7</v>
      </c>
      <c r="L109" s="7">
        <v>11</v>
      </c>
      <c r="M109" s="7">
        <v>7</v>
      </c>
      <c r="N109" s="7">
        <v>0</v>
      </c>
      <c r="O109" s="7">
        <v>0</v>
      </c>
      <c r="P109" s="7">
        <v>0</v>
      </c>
      <c r="Q109" s="7">
        <v>0</v>
      </c>
      <c r="R109" s="11">
        <v>2.1492040000000001</v>
      </c>
      <c r="S109" s="11">
        <v>2.8587929999999999</v>
      </c>
      <c r="T109" s="11">
        <v>2.277123</v>
      </c>
      <c r="U109" s="12">
        <f t="shared" si="0"/>
        <v>0.7095889999999998</v>
      </c>
      <c r="V109" s="14">
        <v>51.45</v>
      </c>
      <c r="W109" s="14">
        <v>49.235714285714288</v>
      </c>
      <c r="X109" s="14">
        <v>20.399999999999999</v>
      </c>
      <c r="Y109" s="14">
        <v>67.7</v>
      </c>
      <c r="Z109" s="15">
        <f>653.5/544</f>
        <v>1.2012867647058822</v>
      </c>
      <c r="AA109" s="12"/>
      <c r="AB109" s="12"/>
      <c r="AC109" s="12"/>
      <c r="AD109" s="12"/>
      <c r="AE109" s="12"/>
      <c r="AF109" s="12"/>
      <c r="AG109" s="12"/>
      <c r="AH109" s="12"/>
    </row>
    <row r="110" spans="1:34" ht="12.75">
      <c r="A110" s="7" t="s">
        <v>139</v>
      </c>
      <c r="B110" s="7">
        <v>31</v>
      </c>
      <c r="C110" s="7">
        <v>2</v>
      </c>
      <c r="D110" s="7">
        <v>7</v>
      </c>
      <c r="E110" s="7">
        <v>3</v>
      </c>
      <c r="F110" s="8">
        <v>59061</v>
      </c>
      <c r="G110" s="15">
        <f>14766/F110</f>
        <v>0.25001269873520598</v>
      </c>
      <c r="H110" s="15">
        <f>6213/F110</f>
        <v>0.10519632244628435</v>
      </c>
      <c r="I110" s="9">
        <f>1905/1854</f>
        <v>1.0275080906148868</v>
      </c>
      <c r="J110" s="7">
        <v>3</v>
      </c>
      <c r="K110" s="7">
        <v>12</v>
      </c>
      <c r="L110" s="7">
        <v>14</v>
      </c>
      <c r="M110" s="7">
        <v>2</v>
      </c>
      <c r="N110" s="7">
        <v>0</v>
      </c>
      <c r="O110" s="7">
        <v>0</v>
      </c>
      <c r="P110" s="7">
        <v>0</v>
      </c>
      <c r="Q110" s="7">
        <v>0</v>
      </c>
      <c r="R110" s="11">
        <v>1.842778</v>
      </c>
      <c r="S110" s="11">
        <v>2.8438430000000001</v>
      </c>
      <c r="T110" s="11">
        <v>2.2470370000000002</v>
      </c>
      <c r="U110" s="12">
        <f t="shared" si="0"/>
        <v>1.0010650000000001</v>
      </c>
      <c r="V110" s="14">
        <v>64.099999999999994</v>
      </c>
      <c r="W110" s="14">
        <v>65.393548387096772</v>
      </c>
      <c r="X110" s="14">
        <v>30</v>
      </c>
      <c r="Y110" s="14">
        <v>89.9</v>
      </c>
      <c r="Z110" s="15">
        <f>658/544</f>
        <v>1.2095588235294117</v>
      </c>
      <c r="AA110" s="12"/>
      <c r="AB110" s="12"/>
      <c r="AC110" s="12"/>
      <c r="AD110" s="12"/>
      <c r="AE110" s="12"/>
      <c r="AF110" s="12"/>
      <c r="AG110" s="12"/>
      <c r="AH110" s="12"/>
    </row>
    <row r="111" spans="1:34" ht="12.75">
      <c r="A111" s="7" t="s">
        <v>140</v>
      </c>
      <c r="B111" s="7">
        <v>16</v>
      </c>
      <c r="C111" s="7">
        <v>2</v>
      </c>
      <c r="D111" s="7">
        <v>8</v>
      </c>
      <c r="E111" s="7">
        <v>6</v>
      </c>
      <c r="F111" s="8">
        <v>29135</v>
      </c>
      <c r="G111" s="15">
        <f>5317/F111</f>
        <v>0.18249528059035525</v>
      </c>
      <c r="H111" s="15">
        <f>3767/F111</f>
        <v>0.12929466277672902</v>
      </c>
      <c r="I111" s="9">
        <f>1821/1854</f>
        <v>0.98220064724919098</v>
      </c>
      <c r="J111" s="7">
        <v>0</v>
      </c>
      <c r="K111" s="7">
        <v>3</v>
      </c>
      <c r="L111" s="7">
        <v>4</v>
      </c>
      <c r="M111" s="7">
        <v>4</v>
      </c>
      <c r="N111" s="7">
        <v>4</v>
      </c>
      <c r="O111" s="7">
        <v>0</v>
      </c>
      <c r="P111" s="7">
        <v>1</v>
      </c>
      <c r="Q111" s="7">
        <v>0</v>
      </c>
      <c r="R111" s="11">
        <v>2.1509</v>
      </c>
      <c r="S111" s="11">
        <v>2.9333960000000001</v>
      </c>
      <c r="T111" s="11">
        <v>2.5286049999999998</v>
      </c>
      <c r="U111" s="12">
        <f t="shared" si="0"/>
        <v>0.78249600000000008</v>
      </c>
      <c r="V111" s="14">
        <v>34.65</v>
      </c>
      <c r="W111" s="14">
        <v>35.418749999999996</v>
      </c>
      <c r="X111" s="14">
        <v>18.399999999999999</v>
      </c>
      <c r="Y111" s="14">
        <v>52.9</v>
      </c>
      <c r="Z111" s="15">
        <f>532/544</f>
        <v>0.9779411764705882</v>
      </c>
      <c r="AA111" s="12"/>
      <c r="AB111" s="12"/>
      <c r="AC111" s="12"/>
      <c r="AD111" s="12"/>
      <c r="AE111" s="12"/>
      <c r="AF111" s="12"/>
      <c r="AG111" s="12"/>
      <c r="AH111" s="12"/>
    </row>
    <row r="112" spans="1:34" ht="12.75">
      <c r="A112" s="7" t="s">
        <v>141</v>
      </c>
      <c r="B112" s="7">
        <v>9</v>
      </c>
      <c r="C112" s="7">
        <v>1</v>
      </c>
      <c r="D112" s="7">
        <v>4</v>
      </c>
      <c r="E112" s="7">
        <v>2</v>
      </c>
      <c r="F112" s="8">
        <v>19440</v>
      </c>
      <c r="G112" s="15">
        <f>3787/F112</f>
        <v>0.1948045267489712</v>
      </c>
      <c r="H112" s="15">
        <f>1247/F112</f>
        <v>6.4146090534979425E-2</v>
      </c>
      <c r="I112" s="9">
        <f>2160/1854</f>
        <v>1.1650485436893203</v>
      </c>
      <c r="J112" s="7">
        <v>0</v>
      </c>
      <c r="K112" s="7">
        <v>0</v>
      </c>
      <c r="L112" s="7">
        <v>0</v>
      </c>
      <c r="M112" s="7">
        <v>2</v>
      </c>
      <c r="N112" s="7">
        <v>2</v>
      </c>
      <c r="O112" s="7">
        <v>1</v>
      </c>
      <c r="P112" s="7">
        <v>3</v>
      </c>
      <c r="Q112" s="7">
        <v>1</v>
      </c>
      <c r="R112" s="11">
        <v>1.9860869999999999</v>
      </c>
      <c r="S112" s="11">
        <v>2.8274159999999999</v>
      </c>
      <c r="T112" s="11">
        <v>2.2466219999999999</v>
      </c>
      <c r="U112" s="12">
        <f t="shared" si="0"/>
        <v>0.84132899999999999</v>
      </c>
      <c r="V112" s="14">
        <v>58.9</v>
      </c>
      <c r="W112" s="14">
        <v>56.755555555555553</v>
      </c>
      <c r="X112" s="14">
        <v>47</v>
      </c>
      <c r="Y112" s="14">
        <v>63.8</v>
      </c>
      <c r="Z112" s="15">
        <f>372/544</f>
        <v>0.68382352941176472</v>
      </c>
      <c r="AA112" s="12"/>
      <c r="AB112" s="12"/>
      <c r="AC112" s="12"/>
      <c r="AD112" s="12"/>
      <c r="AE112" s="12"/>
      <c r="AF112" s="12"/>
      <c r="AG112" s="12"/>
      <c r="AH112" s="12"/>
    </row>
    <row r="113" spans="1:34" ht="12.75">
      <c r="A113" s="7" t="s">
        <v>142</v>
      </c>
      <c r="B113" s="7">
        <v>16</v>
      </c>
      <c r="C113" s="7">
        <v>1</v>
      </c>
      <c r="D113" s="7">
        <v>9</v>
      </c>
      <c r="E113" s="7">
        <v>3.5</v>
      </c>
      <c r="F113" s="8">
        <v>27950</v>
      </c>
      <c r="G113" s="15">
        <f>5948/F113</f>
        <v>0.21280858676207515</v>
      </c>
      <c r="H113" s="15">
        <f>3984/F113</f>
        <v>0.14254025044722718</v>
      </c>
      <c r="I113" s="9">
        <f>1747/1854</f>
        <v>0.94228694714131611</v>
      </c>
      <c r="J113" s="7">
        <v>0</v>
      </c>
      <c r="K113" s="7">
        <v>3</v>
      </c>
      <c r="L113" s="7">
        <v>6</v>
      </c>
      <c r="M113" s="7">
        <v>4</v>
      </c>
      <c r="N113" s="7">
        <v>2</v>
      </c>
      <c r="O113" s="7">
        <v>0</v>
      </c>
      <c r="P113" s="7">
        <v>1</v>
      </c>
      <c r="Q113" s="7">
        <v>0</v>
      </c>
      <c r="R113" s="11">
        <v>1.7562500000000001</v>
      </c>
      <c r="S113" s="11">
        <v>2.3809819999999999</v>
      </c>
      <c r="T113" s="11">
        <v>1.9797285</v>
      </c>
      <c r="U113" s="12">
        <f t="shared" si="0"/>
        <v>0.62473199999999984</v>
      </c>
      <c r="V113" s="14">
        <v>42.05</v>
      </c>
      <c r="W113" s="14">
        <v>38.593750000000007</v>
      </c>
      <c r="X113" s="14">
        <v>15.6</v>
      </c>
      <c r="Y113" s="14">
        <v>59.5</v>
      </c>
      <c r="Z113" s="15">
        <f>585/544</f>
        <v>1.0753676470588236</v>
      </c>
      <c r="AA113" s="12"/>
      <c r="AB113" s="12"/>
      <c r="AC113" s="12"/>
      <c r="AD113" s="12"/>
      <c r="AE113" s="12"/>
      <c r="AF113" s="12"/>
      <c r="AG113" s="12"/>
      <c r="AH113" s="12"/>
    </row>
    <row r="114" spans="1:34" ht="12.75">
      <c r="A114" s="7" t="s">
        <v>143</v>
      </c>
      <c r="B114" s="7">
        <v>14</v>
      </c>
      <c r="C114" s="7">
        <v>2</v>
      </c>
      <c r="D114" s="7">
        <v>8</v>
      </c>
      <c r="E114" s="7">
        <v>4.5</v>
      </c>
      <c r="F114" s="8">
        <v>22294</v>
      </c>
      <c r="G114" s="15">
        <f>4036/F114</f>
        <v>0.18103525612272361</v>
      </c>
      <c r="H114" s="15">
        <f>2885/F114</f>
        <v>0.12940701534045035</v>
      </c>
      <c r="I114" s="9">
        <f>1592/1854</f>
        <v>0.85868392664509174</v>
      </c>
      <c r="J114" s="7">
        <v>0</v>
      </c>
      <c r="K114" s="7">
        <v>0</v>
      </c>
      <c r="L114" s="7">
        <v>0</v>
      </c>
      <c r="M114" s="7">
        <v>3</v>
      </c>
      <c r="N114" s="7">
        <v>1</v>
      </c>
      <c r="O114" s="7">
        <v>2</v>
      </c>
      <c r="P114" s="7">
        <v>6</v>
      </c>
      <c r="Q114" s="7">
        <v>2</v>
      </c>
      <c r="R114" s="11">
        <v>2.5200999999999998</v>
      </c>
      <c r="S114" s="11">
        <v>3.1015570000000001</v>
      </c>
      <c r="T114" s="11">
        <v>2.9019105000000001</v>
      </c>
      <c r="U114" s="12">
        <f t="shared" si="0"/>
        <v>0.58145700000000033</v>
      </c>
      <c r="V114" s="14">
        <v>34.049999999999997</v>
      </c>
      <c r="W114" s="14">
        <v>36.557142857142864</v>
      </c>
      <c r="X114" s="14">
        <v>21</v>
      </c>
      <c r="Y114" s="14">
        <v>61.3</v>
      </c>
      <c r="Z114" s="15">
        <f>358/544</f>
        <v>0.65808823529411764</v>
      </c>
      <c r="AA114" s="12"/>
      <c r="AB114" s="12"/>
      <c r="AC114" s="12"/>
      <c r="AD114" s="12"/>
      <c r="AE114" s="12"/>
      <c r="AF114" s="12"/>
      <c r="AG114" s="12"/>
      <c r="AH114" s="12"/>
    </row>
    <row r="115" spans="1:34" ht="12.75">
      <c r="A115" s="7" t="s">
        <v>144</v>
      </c>
      <c r="B115" s="7">
        <v>10</v>
      </c>
      <c r="C115" s="7">
        <v>4</v>
      </c>
      <c r="D115" s="7">
        <v>10</v>
      </c>
      <c r="E115" s="7">
        <v>7.5</v>
      </c>
      <c r="F115" s="8">
        <v>18266</v>
      </c>
      <c r="G115" s="15">
        <f>4488/F115</f>
        <v>0.24570239789773349</v>
      </c>
      <c r="H115" s="15">
        <f>3055/F115</f>
        <v>0.16725062958502135</v>
      </c>
      <c r="I115" s="9">
        <f>1827/1854</f>
        <v>0.9854368932038835</v>
      </c>
      <c r="J115" s="7">
        <v>2</v>
      </c>
      <c r="K115" s="7">
        <v>4</v>
      </c>
      <c r="L115" s="7">
        <v>3</v>
      </c>
      <c r="M115" s="7">
        <v>1</v>
      </c>
      <c r="N115" s="7">
        <v>0</v>
      </c>
      <c r="O115" s="7">
        <v>0</v>
      </c>
      <c r="P115" s="7">
        <v>0</v>
      </c>
      <c r="Q115" s="7">
        <v>0</v>
      </c>
      <c r="R115" s="11">
        <v>2.1248800000000001</v>
      </c>
      <c r="S115" s="11">
        <v>2.6875740000000001</v>
      </c>
      <c r="T115" s="11">
        <v>2.2801369999999999</v>
      </c>
      <c r="U115" s="12">
        <f t="shared" si="0"/>
        <v>0.56269400000000003</v>
      </c>
      <c r="V115" s="14">
        <v>33.450000000000003</v>
      </c>
      <c r="W115" s="14">
        <v>38.239999999999995</v>
      </c>
      <c r="X115" s="14">
        <v>29.7</v>
      </c>
      <c r="Y115" s="14">
        <v>58.9</v>
      </c>
      <c r="Z115" s="15">
        <f>768/544</f>
        <v>1.411764705882353</v>
      </c>
      <c r="AA115" s="12"/>
      <c r="AB115" s="12"/>
      <c r="AC115" s="12"/>
      <c r="AD115" s="12"/>
      <c r="AE115" s="12"/>
      <c r="AF115" s="12"/>
      <c r="AG115" s="12"/>
      <c r="AH115" s="12"/>
    </row>
    <row r="116" spans="1:34" ht="12.75">
      <c r="A116" s="7" t="s">
        <v>145</v>
      </c>
      <c r="B116" s="7">
        <v>4</v>
      </c>
      <c r="C116" s="7">
        <v>5</v>
      </c>
      <c r="D116" s="7">
        <v>8</v>
      </c>
      <c r="E116" s="7">
        <v>6.5</v>
      </c>
      <c r="F116" s="8">
        <v>6764</v>
      </c>
      <c r="G116" s="15">
        <f>1339/F116</f>
        <v>0.19795978710821999</v>
      </c>
      <c r="H116" s="15">
        <f>1317/F116</f>
        <v>0.19470727380248373</v>
      </c>
      <c r="I116" s="9">
        <f>1691/1854</f>
        <v>0.9120819848975189</v>
      </c>
      <c r="J116" s="7">
        <v>3</v>
      </c>
      <c r="K116" s="7">
        <v>1</v>
      </c>
      <c r="L116" s="7">
        <v>0</v>
      </c>
      <c r="M116" s="7">
        <v>0</v>
      </c>
      <c r="N116" s="7">
        <v>0</v>
      </c>
      <c r="O116" s="7">
        <v>0</v>
      </c>
      <c r="P116" s="7">
        <v>0</v>
      </c>
      <c r="Q116" s="7">
        <v>0</v>
      </c>
      <c r="R116" s="11">
        <v>1.8624270000000001</v>
      </c>
      <c r="S116" s="11">
        <v>2.6875740000000001</v>
      </c>
      <c r="T116" s="11">
        <v>2.0946220000000002</v>
      </c>
      <c r="U116" s="12">
        <f t="shared" si="0"/>
        <v>0.82514700000000007</v>
      </c>
      <c r="V116" s="14">
        <v>29.15</v>
      </c>
      <c r="W116" s="14">
        <v>32.75</v>
      </c>
      <c r="X116" s="14">
        <v>20.6</v>
      </c>
      <c r="Y116" s="14">
        <v>52.1</v>
      </c>
      <c r="Z116" s="15">
        <f>855.5/544</f>
        <v>1.572610294117647</v>
      </c>
      <c r="AA116" s="12"/>
      <c r="AB116" s="12"/>
      <c r="AC116" s="12"/>
      <c r="AD116" s="12"/>
      <c r="AE116" s="12"/>
      <c r="AF116" s="12"/>
      <c r="AG116" s="12"/>
      <c r="AH116" s="12"/>
    </row>
    <row r="117" spans="1:34" ht="12.75">
      <c r="A117" s="7" t="s">
        <v>146</v>
      </c>
      <c r="B117" s="7">
        <v>5</v>
      </c>
      <c r="C117" s="7">
        <v>5</v>
      </c>
      <c r="D117" s="7">
        <v>10</v>
      </c>
      <c r="E117" s="7">
        <v>8</v>
      </c>
      <c r="F117" s="8">
        <v>9460</v>
      </c>
      <c r="G117" s="15">
        <f>2085/F117</f>
        <v>0.22040169133192389</v>
      </c>
      <c r="H117" s="15">
        <f>1391/F117</f>
        <v>0.1470401691331924</v>
      </c>
      <c r="I117" s="9">
        <f>1892/1854</f>
        <v>1.0204962243797195</v>
      </c>
      <c r="J117" s="7">
        <v>0</v>
      </c>
      <c r="K117" s="7">
        <v>2</v>
      </c>
      <c r="L117" s="7">
        <v>2</v>
      </c>
      <c r="M117" s="7">
        <v>1</v>
      </c>
      <c r="N117" s="7">
        <v>0</v>
      </c>
      <c r="O117" s="7">
        <v>0</v>
      </c>
      <c r="P117" s="7">
        <v>0</v>
      </c>
      <c r="Q117" s="7">
        <v>0</v>
      </c>
      <c r="R117" s="11">
        <v>2.2396829999999999</v>
      </c>
      <c r="S117" s="11">
        <v>2.7341129999999998</v>
      </c>
      <c r="T117" s="11">
        <v>2.2831389999999998</v>
      </c>
      <c r="U117" s="12">
        <f t="shared" si="0"/>
        <v>0.49442999999999993</v>
      </c>
      <c r="V117" s="14">
        <v>33.200000000000003</v>
      </c>
      <c r="W117" s="14">
        <v>32.540000000000006</v>
      </c>
      <c r="X117" s="14">
        <v>21.7</v>
      </c>
      <c r="Y117" s="14">
        <v>43.9</v>
      </c>
      <c r="Z117" s="15">
        <f>842/544</f>
        <v>1.5477941176470589</v>
      </c>
      <c r="AA117" s="12"/>
      <c r="AB117" s="12"/>
      <c r="AC117" s="12"/>
      <c r="AD117" s="12"/>
      <c r="AE117" s="12"/>
      <c r="AF117" s="12"/>
      <c r="AG117" s="12"/>
      <c r="AH117" s="12"/>
    </row>
    <row r="118" spans="1:34" ht="12.75">
      <c r="A118" s="7" t="s">
        <v>147</v>
      </c>
      <c r="B118" s="7">
        <v>7</v>
      </c>
      <c r="C118" s="7">
        <v>5</v>
      </c>
      <c r="D118" s="7">
        <v>9</v>
      </c>
      <c r="E118" s="7">
        <v>6</v>
      </c>
      <c r="F118" s="8">
        <v>13402</v>
      </c>
      <c r="G118" s="15">
        <f>3129/F118</f>
        <v>0.23347261602745858</v>
      </c>
      <c r="H118" s="15">
        <f>2055/F118</f>
        <v>0.15333532308610656</v>
      </c>
      <c r="I118" s="9">
        <f>1915/1854</f>
        <v>1.0329018338727076</v>
      </c>
      <c r="J118" s="7">
        <v>2</v>
      </c>
      <c r="K118" s="7">
        <v>4</v>
      </c>
      <c r="L118" s="7">
        <v>1</v>
      </c>
      <c r="M118" s="7">
        <v>0</v>
      </c>
      <c r="N118" s="7">
        <v>0</v>
      </c>
      <c r="O118" s="7">
        <v>0</v>
      </c>
      <c r="P118" s="7">
        <v>0</v>
      </c>
      <c r="Q118" s="7">
        <v>0</v>
      </c>
      <c r="R118" s="11">
        <v>2.3044560000000001</v>
      </c>
      <c r="S118" s="11">
        <v>2.6760229999999998</v>
      </c>
      <c r="T118" s="11">
        <v>2.3469519999999999</v>
      </c>
      <c r="U118" s="12">
        <f t="shared" si="0"/>
        <v>0.37156699999999976</v>
      </c>
      <c r="V118" s="14">
        <v>33.6</v>
      </c>
      <c r="W118" s="14">
        <v>36.585714285714289</v>
      </c>
      <c r="X118" s="14">
        <v>29.8</v>
      </c>
      <c r="Y118" s="14">
        <v>50.4</v>
      </c>
      <c r="Z118" s="15">
        <f>714/544</f>
        <v>1.3125</v>
      </c>
      <c r="AA118" s="12"/>
      <c r="AB118" s="12"/>
      <c r="AC118" s="12"/>
      <c r="AD118" s="12"/>
      <c r="AE118" s="12"/>
      <c r="AF118" s="12"/>
      <c r="AG118" s="12"/>
      <c r="AH118" s="12"/>
    </row>
    <row r="119" spans="1:34" ht="12.75">
      <c r="A119" s="7" t="s">
        <v>148</v>
      </c>
      <c r="B119" s="7">
        <v>9</v>
      </c>
      <c r="C119" s="7">
        <v>4</v>
      </c>
      <c r="D119" s="7">
        <v>8</v>
      </c>
      <c r="E119" s="7">
        <v>7</v>
      </c>
      <c r="F119" s="17">
        <v>18622</v>
      </c>
      <c r="G119" s="15">
        <f>4128/F119</f>
        <v>0.22167328965739447</v>
      </c>
      <c r="H119" s="15">
        <f>2149/F119</f>
        <v>0.11540113843840619</v>
      </c>
      <c r="I119" s="9">
        <f>2069/1854</f>
        <v>1.11596548004315</v>
      </c>
      <c r="J119" s="7">
        <v>1</v>
      </c>
      <c r="K119" s="7">
        <v>0</v>
      </c>
      <c r="L119" s="7">
        <v>1</v>
      </c>
      <c r="M119" s="7">
        <v>4</v>
      </c>
      <c r="N119" s="7">
        <v>3</v>
      </c>
      <c r="O119" s="7">
        <v>0</v>
      </c>
      <c r="P119" s="7">
        <v>0</v>
      </c>
      <c r="Q119" s="7">
        <v>0</v>
      </c>
      <c r="R119" s="12">
        <v>2.449065</v>
      </c>
      <c r="S119" s="12">
        <v>2.920131</v>
      </c>
      <c r="T119" s="12">
        <v>2.5408930000000001</v>
      </c>
      <c r="U119" s="12">
        <f t="shared" si="0"/>
        <v>0.47106599999999998</v>
      </c>
      <c r="V119" s="14">
        <v>42.2</v>
      </c>
      <c r="W119" s="14">
        <v>39.155555555555559</v>
      </c>
      <c r="X119" s="14">
        <v>19.5</v>
      </c>
      <c r="Y119" s="14">
        <v>51.3</v>
      </c>
      <c r="Z119" s="15">
        <f>613/544</f>
        <v>1.1268382352941178</v>
      </c>
      <c r="AA119" s="12"/>
      <c r="AB119" s="12"/>
      <c r="AC119" s="12"/>
      <c r="AD119" s="12"/>
      <c r="AE119" s="12"/>
      <c r="AF119" s="12"/>
      <c r="AG119" s="12"/>
      <c r="AH119" s="12"/>
    </row>
    <row r="120" spans="1:34" ht="12.75">
      <c r="A120" s="12"/>
      <c r="B120" s="12"/>
      <c r="C120" s="12"/>
      <c r="D120" s="12"/>
      <c r="E120" s="12"/>
      <c r="F120" s="17"/>
      <c r="G120" s="12"/>
      <c r="H120" s="12"/>
      <c r="I120" s="12"/>
      <c r="J120" s="12"/>
      <c r="K120" s="12"/>
      <c r="L120" s="12"/>
      <c r="M120" s="12"/>
      <c r="N120" s="12"/>
      <c r="O120" s="12"/>
      <c r="P120" s="12"/>
      <c r="Q120" s="12"/>
      <c r="R120" s="12"/>
      <c r="S120" s="12"/>
      <c r="T120" s="12"/>
      <c r="U120" s="12"/>
      <c r="V120" s="14"/>
      <c r="W120" s="14"/>
      <c r="X120" s="14"/>
      <c r="Y120" s="14"/>
      <c r="Z120" s="15"/>
      <c r="AA120" s="12"/>
      <c r="AB120" s="12"/>
      <c r="AC120" s="12"/>
      <c r="AD120" s="12"/>
      <c r="AE120" s="12"/>
      <c r="AF120" s="12"/>
      <c r="AG120" s="12"/>
      <c r="AH120" s="12"/>
    </row>
    <row r="121" spans="1:34" ht="12.75">
      <c r="A121" s="12"/>
      <c r="B121" s="12"/>
      <c r="C121" s="12"/>
      <c r="D121" s="12"/>
      <c r="E121" s="12"/>
      <c r="F121" s="17"/>
      <c r="G121" s="12"/>
      <c r="H121" s="12"/>
      <c r="I121" s="12"/>
      <c r="J121" s="12"/>
      <c r="K121" s="12"/>
      <c r="L121" s="12"/>
      <c r="M121" s="12"/>
      <c r="N121" s="12"/>
      <c r="O121" s="12"/>
      <c r="P121" s="12"/>
      <c r="Q121" s="12"/>
      <c r="R121" s="12"/>
      <c r="S121" s="12"/>
      <c r="T121" s="12"/>
      <c r="U121" s="12"/>
      <c r="V121" s="14"/>
      <c r="W121" s="14"/>
      <c r="X121" s="14"/>
      <c r="Y121" s="14"/>
      <c r="Z121" s="15"/>
      <c r="AA121" s="12"/>
      <c r="AB121" s="12"/>
      <c r="AC121" s="12"/>
      <c r="AD121" s="12"/>
      <c r="AE121" s="12"/>
      <c r="AF121" s="12"/>
      <c r="AG121" s="12"/>
      <c r="AH121" s="12"/>
    </row>
    <row r="122" spans="1:34" ht="12.75">
      <c r="A122" s="12"/>
      <c r="B122" s="12"/>
      <c r="C122" s="12"/>
      <c r="D122" s="12"/>
      <c r="E122" s="12"/>
      <c r="F122" s="17"/>
      <c r="G122" s="12"/>
      <c r="H122" s="12"/>
      <c r="I122" s="12"/>
      <c r="J122" s="12"/>
      <c r="K122" s="12"/>
      <c r="L122" s="12"/>
      <c r="M122" s="12"/>
      <c r="N122" s="12"/>
      <c r="O122" s="12"/>
      <c r="P122" s="12"/>
      <c r="Q122" s="12"/>
      <c r="R122" s="12"/>
      <c r="S122" s="12"/>
      <c r="T122" s="12"/>
      <c r="U122" s="12"/>
      <c r="V122" s="14"/>
      <c r="W122" s="14"/>
      <c r="X122" s="14"/>
      <c r="Y122" s="14"/>
      <c r="Z122" s="15"/>
      <c r="AA122" s="12"/>
      <c r="AB122" s="12"/>
      <c r="AC122" s="12"/>
      <c r="AD122" s="12"/>
      <c r="AE122" s="12"/>
      <c r="AF122" s="12"/>
      <c r="AG122" s="12"/>
      <c r="AH122" s="12"/>
    </row>
    <row r="123" spans="1:34" ht="12.75">
      <c r="A123" s="12"/>
      <c r="B123" s="12"/>
      <c r="C123" s="12"/>
      <c r="D123" s="12"/>
      <c r="E123" s="12"/>
      <c r="F123" s="17"/>
      <c r="G123" s="12"/>
      <c r="H123" s="12"/>
      <c r="I123" s="12"/>
      <c r="J123" s="12"/>
      <c r="K123" s="12"/>
      <c r="L123" s="12"/>
      <c r="M123" s="12"/>
      <c r="N123" s="12"/>
      <c r="O123" s="12"/>
      <c r="P123" s="12"/>
      <c r="Q123" s="12"/>
      <c r="R123" s="12"/>
      <c r="S123" s="12"/>
      <c r="T123" s="12"/>
      <c r="U123" s="12"/>
      <c r="V123" s="14"/>
      <c r="W123" s="14"/>
      <c r="X123" s="14"/>
      <c r="Y123" s="14"/>
      <c r="Z123" s="15"/>
      <c r="AA123" s="12"/>
      <c r="AB123" s="12"/>
      <c r="AC123" s="12"/>
      <c r="AD123" s="12"/>
      <c r="AE123" s="12"/>
      <c r="AF123" s="12"/>
      <c r="AG123" s="12"/>
      <c r="AH123" s="12"/>
    </row>
    <row r="124" spans="1:34" ht="12.75">
      <c r="A124" s="12"/>
      <c r="B124" s="12"/>
      <c r="C124" s="12"/>
      <c r="D124" s="12"/>
      <c r="E124" s="12"/>
      <c r="F124" s="17"/>
      <c r="G124" s="12"/>
      <c r="H124" s="12"/>
      <c r="I124" s="12"/>
      <c r="J124" s="12"/>
      <c r="K124" s="12"/>
      <c r="L124" s="12"/>
      <c r="M124" s="12"/>
      <c r="N124" s="12"/>
      <c r="O124" s="12"/>
      <c r="P124" s="12"/>
      <c r="Q124" s="12"/>
      <c r="R124" s="12"/>
      <c r="S124" s="12"/>
      <c r="T124" s="12"/>
      <c r="U124" s="12"/>
      <c r="V124" s="14"/>
      <c r="W124" s="14"/>
      <c r="X124" s="14"/>
      <c r="Y124" s="14"/>
      <c r="Z124" s="15"/>
      <c r="AA124" s="12"/>
      <c r="AB124" s="12"/>
      <c r="AC124" s="12"/>
      <c r="AD124" s="12"/>
      <c r="AE124" s="12"/>
      <c r="AF124" s="12"/>
      <c r="AG124" s="12"/>
      <c r="AH124" s="12"/>
    </row>
    <row r="125" spans="1:34" ht="12.75">
      <c r="A125" s="12"/>
      <c r="B125" s="12"/>
      <c r="C125" s="12"/>
      <c r="D125" s="12"/>
      <c r="E125" s="12"/>
      <c r="F125" s="17"/>
      <c r="G125" s="12"/>
      <c r="H125" s="12"/>
      <c r="I125" s="12"/>
      <c r="J125" s="12"/>
      <c r="K125" s="12"/>
      <c r="L125" s="12"/>
      <c r="M125" s="12"/>
      <c r="N125" s="12"/>
      <c r="O125" s="12"/>
      <c r="P125" s="12"/>
      <c r="Q125" s="12"/>
      <c r="R125" s="12"/>
      <c r="S125" s="12"/>
      <c r="T125" s="12"/>
      <c r="U125" s="12"/>
      <c r="V125" s="14"/>
      <c r="W125" s="14"/>
      <c r="X125" s="14"/>
      <c r="Y125" s="14"/>
      <c r="Z125" s="15"/>
      <c r="AA125" s="12"/>
      <c r="AB125" s="12"/>
      <c r="AC125" s="12"/>
      <c r="AD125" s="12"/>
      <c r="AE125" s="12"/>
      <c r="AF125" s="12"/>
      <c r="AG125" s="12"/>
      <c r="AH125" s="12"/>
    </row>
    <row r="126" spans="1:34" ht="12.75">
      <c r="A126" s="12"/>
      <c r="B126" s="12"/>
      <c r="C126" s="12"/>
      <c r="D126" s="12"/>
      <c r="E126" s="12"/>
      <c r="F126" s="17"/>
      <c r="G126" s="12"/>
      <c r="H126" s="12"/>
      <c r="I126" s="12"/>
      <c r="J126" s="12"/>
      <c r="K126" s="12"/>
      <c r="L126" s="12"/>
      <c r="M126" s="12"/>
      <c r="N126" s="12"/>
      <c r="O126" s="12"/>
      <c r="P126" s="12"/>
      <c r="Q126" s="12"/>
      <c r="R126" s="12"/>
      <c r="S126" s="12"/>
      <c r="T126" s="12"/>
      <c r="U126" s="12"/>
      <c r="V126" s="14"/>
      <c r="W126" s="14"/>
      <c r="X126" s="14"/>
      <c r="Y126" s="14"/>
      <c r="Z126" s="15"/>
      <c r="AA126" s="12"/>
      <c r="AB126" s="12"/>
      <c r="AC126" s="12"/>
      <c r="AD126" s="12"/>
      <c r="AE126" s="12"/>
      <c r="AF126" s="12"/>
      <c r="AG126" s="12"/>
      <c r="AH126" s="12"/>
    </row>
    <row r="127" spans="1:34" ht="12.75">
      <c r="A127" s="12"/>
      <c r="B127" s="12"/>
      <c r="C127" s="12"/>
      <c r="D127" s="12"/>
      <c r="E127" s="12"/>
      <c r="F127" s="17"/>
      <c r="G127" s="12"/>
      <c r="H127" s="12"/>
      <c r="I127" s="12"/>
      <c r="J127" s="12"/>
      <c r="K127" s="12"/>
      <c r="L127" s="12"/>
      <c r="M127" s="12"/>
      <c r="N127" s="12"/>
      <c r="O127" s="12"/>
      <c r="P127" s="12"/>
      <c r="Q127" s="12"/>
      <c r="R127" s="12"/>
      <c r="S127" s="12"/>
      <c r="T127" s="12"/>
      <c r="U127" s="12"/>
      <c r="V127" s="14"/>
      <c r="W127" s="14"/>
      <c r="X127" s="14"/>
      <c r="Y127" s="14"/>
      <c r="Z127" s="15"/>
      <c r="AA127" s="12"/>
      <c r="AB127" s="12"/>
      <c r="AC127" s="12"/>
      <c r="AD127" s="12"/>
      <c r="AE127" s="12"/>
      <c r="AF127" s="12"/>
      <c r="AG127" s="12"/>
      <c r="AH127" s="12"/>
    </row>
    <row r="128" spans="1:34" ht="12.75">
      <c r="A128" s="12"/>
      <c r="B128" s="12"/>
      <c r="C128" s="12"/>
      <c r="D128" s="12"/>
      <c r="E128" s="12"/>
      <c r="F128" s="17"/>
      <c r="G128" s="12"/>
      <c r="H128" s="12"/>
      <c r="I128" s="12"/>
      <c r="J128" s="12"/>
      <c r="K128" s="12"/>
      <c r="L128" s="12"/>
      <c r="M128" s="12"/>
      <c r="N128" s="12"/>
      <c r="O128" s="12"/>
      <c r="P128" s="12"/>
      <c r="Q128" s="12"/>
      <c r="R128" s="12"/>
      <c r="S128" s="12"/>
      <c r="T128" s="12"/>
      <c r="U128" s="12"/>
      <c r="V128" s="14"/>
      <c r="W128" s="14"/>
      <c r="X128" s="14"/>
      <c r="Y128" s="14"/>
      <c r="Z128" s="15"/>
      <c r="AA128" s="12"/>
      <c r="AB128" s="12"/>
      <c r="AC128" s="12"/>
      <c r="AD128" s="12"/>
      <c r="AE128" s="12"/>
      <c r="AF128" s="12"/>
      <c r="AG128" s="12"/>
      <c r="AH128" s="12"/>
    </row>
    <row r="129" spans="1:34" ht="12.75">
      <c r="A129" s="12"/>
      <c r="B129" s="12"/>
      <c r="C129" s="12"/>
      <c r="D129" s="12"/>
      <c r="E129" s="12"/>
      <c r="F129" s="17"/>
      <c r="G129" s="12"/>
      <c r="H129" s="12"/>
      <c r="I129" s="12"/>
      <c r="J129" s="12"/>
      <c r="K129" s="12"/>
      <c r="L129" s="12"/>
      <c r="M129" s="12"/>
      <c r="N129" s="12"/>
      <c r="O129" s="12"/>
      <c r="P129" s="12"/>
      <c r="Q129" s="12"/>
      <c r="R129" s="12"/>
      <c r="S129" s="12"/>
      <c r="T129" s="12"/>
      <c r="U129" s="12"/>
      <c r="V129" s="14"/>
      <c r="W129" s="14"/>
      <c r="X129" s="14"/>
      <c r="Y129" s="14"/>
      <c r="Z129" s="15"/>
      <c r="AA129" s="12"/>
      <c r="AB129" s="12"/>
      <c r="AC129" s="12"/>
      <c r="AD129" s="12"/>
      <c r="AE129" s="12"/>
      <c r="AF129" s="12"/>
      <c r="AG129" s="12"/>
      <c r="AH129" s="12"/>
    </row>
    <row r="130" spans="1:34" ht="12.75">
      <c r="A130" s="12"/>
      <c r="B130" s="12"/>
      <c r="C130" s="12"/>
      <c r="D130" s="12"/>
      <c r="E130" s="12"/>
      <c r="F130" s="17"/>
      <c r="G130" s="12"/>
      <c r="H130" s="12"/>
      <c r="I130" s="12"/>
      <c r="J130" s="12"/>
      <c r="K130" s="12"/>
      <c r="L130" s="12"/>
      <c r="M130" s="12"/>
      <c r="N130" s="12"/>
      <c r="O130" s="12"/>
      <c r="P130" s="12"/>
      <c r="Q130" s="12"/>
      <c r="R130" s="12"/>
      <c r="S130" s="12"/>
      <c r="T130" s="12"/>
      <c r="U130" s="12"/>
      <c r="V130" s="14"/>
      <c r="W130" s="14"/>
      <c r="X130" s="14"/>
      <c r="Y130" s="14"/>
      <c r="Z130" s="15"/>
      <c r="AA130" s="12"/>
      <c r="AB130" s="12"/>
      <c r="AC130" s="12"/>
      <c r="AD130" s="12"/>
      <c r="AE130" s="12"/>
      <c r="AF130" s="12"/>
      <c r="AG130" s="12"/>
      <c r="AH130" s="12"/>
    </row>
    <row r="131" spans="1:34" ht="12.75">
      <c r="A131" s="12"/>
      <c r="B131" s="12"/>
      <c r="C131" s="12"/>
      <c r="D131" s="12"/>
      <c r="E131" s="12"/>
      <c r="F131" s="17"/>
      <c r="G131" s="12"/>
      <c r="H131" s="12"/>
      <c r="I131" s="12"/>
      <c r="J131" s="12"/>
      <c r="K131" s="12"/>
      <c r="L131" s="12"/>
      <c r="M131" s="12"/>
      <c r="N131" s="12"/>
      <c r="O131" s="12"/>
      <c r="P131" s="12"/>
      <c r="Q131" s="12"/>
      <c r="R131" s="12"/>
      <c r="S131" s="12"/>
      <c r="T131" s="12"/>
      <c r="U131" s="12"/>
      <c r="V131" s="14"/>
      <c r="W131" s="14"/>
      <c r="X131" s="14"/>
      <c r="Y131" s="14"/>
      <c r="Z131" s="15"/>
      <c r="AA131" s="12"/>
      <c r="AB131" s="12"/>
      <c r="AC131" s="12"/>
      <c r="AD131" s="12"/>
      <c r="AE131" s="12"/>
      <c r="AF131" s="12"/>
      <c r="AG131" s="12"/>
      <c r="AH131" s="12"/>
    </row>
    <row r="132" spans="1:34" ht="12.75">
      <c r="A132" s="12"/>
      <c r="B132" s="12"/>
      <c r="C132" s="12"/>
      <c r="D132" s="12"/>
      <c r="E132" s="12"/>
      <c r="F132" s="17"/>
      <c r="G132" s="12"/>
      <c r="H132" s="12"/>
      <c r="I132" s="12"/>
      <c r="J132" s="12"/>
      <c r="K132" s="12"/>
      <c r="L132" s="12"/>
      <c r="M132" s="12"/>
      <c r="N132" s="12"/>
      <c r="O132" s="12"/>
      <c r="P132" s="12"/>
      <c r="Q132" s="12"/>
      <c r="R132" s="12"/>
      <c r="S132" s="12"/>
      <c r="T132" s="12"/>
      <c r="U132" s="12"/>
      <c r="V132" s="14"/>
      <c r="W132" s="14"/>
      <c r="X132" s="14"/>
      <c r="Y132" s="14"/>
      <c r="Z132" s="15"/>
      <c r="AA132" s="12"/>
      <c r="AB132" s="12"/>
      <c r="AC132" s="12"/>
      <c r="AD132" s="12"/>
      <c r="AE132" s="12"/>
      <c r="AF132" s="12"/>
      <c r="AG132" s="12"/>
      <c r="AH132" s="12"/>
    </row>
    <row r="133" spans="1:34" ht="12.75">
      <c r="A133" s="12"/>
      <c r="B133" s="12"/>
      <c r="C133" s="12"/>
      <c r="D133" s="12"/>
      <c r="E133" s="12"/>
      <c r="F133" s="17"/>
      <c r="G133" s="12"/>
      <c r="H133" s="12"/>
      <c r="I133" s="12"/>
      <c r="J133" s="12"/>
      <c r="K133" s="12"/>
      <c r="L133" s="12"/>
      <c r="M133" s="12"/>
      <c r="N133" s="12"/>
      <c r="O133" s="12"/>
      <c r="P133" s="12"/>
      <c r="Q133" s="12"/>
      <c r="R133" s="12"/>
      <c r="S133" s="12"/>
      <c r="T133" s="12"/>
      <c r="U133" s="12"/>
      <c r="V133" s="14"/>
      <c r="W133" s="14"/>
      <c r="X133" s="14"/>
      <c r="Y133" s="14"/>
      <c r="Z133" s="15"/>
      <c r="AA133" s="12"/>
      <c r="AB133" s="12"/>
      <c r="AC133" s="12"/>
      <c r="AD133" s="12"/>
      <c r="AE133" s="12"/>
      <c r="AF133" s="12"/>
      <c r="AG133" s="12"/>
      <c r="AH133" s="12"/>
    </row>
    <row r="134" spans="1:34" ht="12.75">
      <c r="A134" s="12"/>
      <c r="B134" s="12"/>
      <c r="C134" s="12"/>
      <c r="D134" s="12"/>
      <c r="E134" s="12"/>
      <c r="F134" s="17"/>
      <c r="G134" s="12"/>
      <c r="H134" s="12"/>
      <c r="I134" s="12"/>
      <c r="J134" s="12"/>
      <c r="K134" s="12"/>
      <c r="L134" s="12"/>
      <c r="M134" s="12"/>
      <c r="N134" s="12"/>
      <c r="O134" s="12"/>
      <c r="P134" s="12"/>
      <c r="Q134" s="12"/>
      <c r="R134" s="12"/>
      <c r="S134" s="12"/>
      <c r="T134" s="12"/>
      <c r="U134" s="12"/>
      <c r="V134" s="14"/>
      <c r="W134" s="14"/>
      <c r="X134" s="14"/>
      <c r="Y134" s="14"/>
      <c r="Z134" s="15"/>
      <c r="AA134" s="12"/>
      <c r="AB134" s="12"/>
      <c r="AC134" s="12"/>
      <c r="AD134" s="12"/>
      <c r="AE134" s="12"/>
      <c r="AF134" s="12"/>
      <c r="AG134" s="12"/>
      <c r="AH134" s="12"/>
    </row>
    <row r="135" spans="1:34" ht="12.75">
      <c r="A135" s="12"/>
      <c r="B135" s="12"/>
      <c r="C135" s="12"/>
      <c r="D135" s="12"/>
      <c r="E135" s="12"/>
      <c r="F135" s="17"/>
      <c r="G135" s="12"/>
      <c r="H135" s="12"/>
      <c r="I135" s="12"/>
      <c r="J135" s="12"/>
      <c r="K135" s="12"/>
      <c r="L135" s="12"/>
      <c r="M135" s="12"/>
      <c r="N135" s="12"/>
      <c r="O135" s="12"/>
      <c r="P135" s="12"/>
      <c r="Q135" s="12"/>
      <c r="R135" s="12"/>
      <c r="S135" s="12"/>
      <c r="T135" s="12"/>
      <c r="U135" s="12"/>
      <c r="V135" s="14"/>
      <c r="W135" s="14"/>
      <c r="X135" s="14"/>
      <c r="Y135" s="14"/>
      <c r="Z135" s="15"/>
      <c r="AA135" s="12"/>
      <c r="AB135" s="12"/>
      <c r="AC135" s="12"/>
      <c r="AD135" s="12"/>
      <c r="AE135" s="12"/>
      <c r="AF135" s="12"/>
      <c r="AG135" s="12"/>
      <c r="AH135" s="12"/>
    </row>
    <row r="136" spans="1:34" ht="12.75">
      <c r="A136" s="12"/>
      <c r="B136" s="12"/>
      <c r="C136" s="12"/>
      <c r="D136" s="12"/>
      <c r="E136" s="12"/>
      <c r="F136" s="17"/>
      <c r="G136" s="12"/>
      <c r="H136" s="12"/>
      <c r="I136" s="12"/>
      <c r="J136" s="12"/>
      <c r="K136" s="12"/>
      <c r="L136" s="12"/>
      <c r="M136" s="12"/>
      <c r="N136" s="12"/>
      <c r="O136" s="12"/>
      <c r="P136" s="12"/>
      <c r="Q136" s="12"/>
      <c r="R136" s="12"/>
      <c r="S136" s="12"/>
      <c r="T136" s="12"/>
      <c r="U136" s="12"/>
      <c r="V136" s="14"/>
      <c r="W136" s="14"/>
      <c r="X136" s="14"/>
      <c r="Y136" s="14"/>
      <c r="Z136" s="15"/>
      <c r="AA136" s="12"/>
      <c r="AB136" s="12"/>
      <c r="AC136" s="12"/>
      <c r="AD136" s="12"/>
      <c r="AE136" s="12"/>
      <c r="AF136" s="12"/>
      <c r="AG136" s="12"/>
      <c r="AH136" s="12"/>
    </row>
    <row r="137" spans="1:34" ht="12.75">
      <c r="A137" s="12"/>
      <c r="B137" s="12"/>
      <c r="C137" s="12"/>
      <c r="D137" s="12"/>
      <c r="E137" s="12"/>
      <c r="F137" s="17"/>
      <c r="G137" s="12"/>
      <c r="H137" s="12"/>
      <c r="I137" s="12"/>
      <c r="J137" s="12"/>
      <c r="K137" s="12"/>
      <c r="L137" s="12"/>
      <c r="M137" s="12"/>
      <c r="N137" s="12"/>
      <c r="O137" s="12"/>
      <c r="P137" s="12"/>
      <c r="Q137" s="12"/>
      <c r="R137" s="12"/>
      <c r="S137" s="12"/>
      <c r="T137" s="12"/>
      <c r="U137" s="12"/>
      <c r="V137" s="14"/>
      <c r="W137" s="14"/>
      <c r="X137" s="14"/>
      <c r="Y137" s="14"/>
      <c r="Z137" s="15"/>
      <c r="AA137" s="12"/>
      <c r="AB137" s="12"/>
      <c r="AC137" s="12"/>
      <c r="AD137" s="12"/>
      <c r="AE137" s="12"/>
      <c r="AF137" s="12"/>
      <c r="AG137" s="12"/>
      <c r="AH137" s="12"/>
    </row>
    <row r="138" spans="1:34" ht="12.75">
      <c r="A138" s="12"/>
      <c r="B138" s="12"/>
      <c r="C138" s="12"/>
      <c r="D138" s="12"/>
      <c r="E138" s="12"/>
      <c r="F138" s="17"/>
      <c r="G138" s="12"/>
      <c r="H138" s="12"/>
      <c r="I138" s="12"/>
      <c r="J138" s="12"/>
      <c r="K138" s="12"/>
      <c r="L138" s="12"/>
      <c r="M138" s="12"/>
      <c r="N138" s="12"/>
      <c r="O138" s="12"/>
      <c r="P138" s="12"/>
      <c r="Q138" s="12"/>
      <c r="R138" s="12"/>
      <c r="S138" s="12"/>
      <c r="T138" s="12"/>
      <c r="U138" s="12"/>
      <c r="V138" s="14"/>
      <c r="W138" s="14"/>
      <c r="X138" s="14"/>
      <c r="Y138" s="14"/>
      <c r="Z138" s="15"/>
      <c r="AA138" s="12"/>
      <c r="AB138" s="12"/>
      <c r="AC138" s="12"/>
      <c r="AD138" s="12"/>
      <c r="AE138" s="12"/>
      <c r="AF138" s="12"/>
      <c r="AG138" s="12"/>
      <c r="AH138" s="12"/>
    </row>
    <row r="139" spans="1:34" ht="12.75">
      <c r="A139" s="12"/>
      <c r="B139" s="12"/>
      <c r="C139" s="12"/>
      <c r="D139" s="12"/>
      <c r="E139" s="12"/>
      <c r="F139" s="17"/>
      <c r="G139" s="12"/>
      <c r="H139" s="12"/>
      <c r="I139" s="12"/>
      <c r="J139" s="12"/>
      <c r="K139" s="12"/>
      <c r="L139" s="12"/>
      <c r="M139" s="12"/>
      <c r="N139" s="12"/>
      <c r="O139" s="12"/>
      <c r="P139" s="12"/>
      <c r="Q139" s="12"/>
      <c r="R139" s="12"/>
      <c r="S139" s="12"/>
      <c r="T139" s="12"/>
      <c r="U139" s="12"/>
      <c r="V139" s="14"/>
      <c r="W139" s="14"/>
      <c r="X139" s="14"/>
      <c r="Y139" s="14"/>
      <c r="Z139" s="15"/>
      <c r="AA139" s="12"/>
      <c r="AB139" s="12"/>
      <c r="AC139" s="12"/>
      <c r="AD139" s="12"/>
      <c r="AE139" s="12"/>
      <c r="AF139" s="12"/>
      <c r="AG139" s="12"/>
      <c r="AH139" s="12"/>
    </row>
    <row r="140" spans="1:34" ht="12.75">
      <c r="A140" s="12"/>
      <c r="B140" s="12"/>
      <c r="C140" s="12"/>
      <c r="D140" s="12"/>
      <c r="E140" s="12"/>
      <c r="F140" s="17"/>
      <c r="G140" s="12"/>
      <c r="H140" s="12"/>
      <c r="I140" s="12"/>
      <c r="J140" s="12"/>
      <c r="K140" s="12"/>
      <c r="L140" s="12"/>
      <c r="M140" s="12"/>
      <c r="N140" s="12"/>
      <c r="O140" s="12"/>
      <c r="P140" s="12"/>
      <c r="Q140" s="12"/>
      <c r="R140" s="12"/>
      <c r="S140" s="12"/>
      <c r="T140" s="12"/>
      <c r="U140" s="12"/>
      <c r="V140" s="14"/>
      <c r="W140" s="14"/>
      <c r="X140" s="14"/>
      <c r="Y140" s="14"/>
      <c r="Z140" s="15"/>
      <c r="AA140" s="12"/>
      <c r="AB140" s="12"/>
      <c r="AC140" s="12"/>
      <c r="AD140" s="12"/>
      <c r="AE140" s="12"/>
      <c r="AF140" s="12"/>
      <c r="AG140" s="12"/>
      <c r="AH140" s="12"/>
    </row>
    <row r="141" spans="1:34" ht="12.75">
      <c r="A141" s="12"/>
      <c r="B141" s="12"/>
      <c r="C141" s="12"/>
      <c r="D141" s="12"/>
      <c r="E141" s="12"/>
      <c r="F141" s="17"/>
      <c r="G141" s="12"/>
      <c r="H141" s="12"/>
      <c r="I141" s="12"/>
      <c r="J141" s="12"/>
      <c r="K141" s="12"/>
      <c r="L141" s="12"/>
      <c r="M141" s="12"/>
      <c r="N141" s="12"/>
      <c r="O141" s="12"/>
      <c r="P141" s="12"/>
      <c r="Q141" s="12"/>
      <c r="R141" s="12"/>
      <c r="S141" s="12"/>
      <c r="T141" s="12"/>
      <c r="U141" s="12"/>
      <c r="V141" s="14"/>
      <c r="W141" s="14"/>
      <c r="X141" s="14"/>
      <c r="Y141" s="14"/>
      <c r="Z141" s="15"/>
      <c r="AA141" s="12"/>
      <c r="AB141" s="12"/>
      <c r="AC141" s="12"/>
      <c r="AD141" s="12"/>
      <c r="AE141" s="12"/>
      <c r="AF141" s="12"/>
      <c r="AG141" s="12"/>
      <c r="AH141" s="12"/>
    </row>
    <row r="142" spans="1:34" ht="12.75">
      <c r="A142" s="12"/>
      <c r="B142" s="12"/>
      <c r="C142" s="12"/>
      <c r="D142" s="12"/>
      <c r="E142" s="12"/>
      <c r="F142" s="17"/>
      <c r="G142" s="12"/>
      <c r="H142" s="12"/>
      <c r="I142" s="12"/>
      <c r="J142" s="12"/>
      <c r="K142" s="12"/>
      <c r="L142" s="12"/>
      <c r="M142" s="12"/>
      <c r="N142" s="12"/>
      <c r="O142" s="12"/>
      <c r="P142" s="12"/>
      <c r="Q142" s="12"/>
      <c r="R142" s="12"/>
      <c r="S142" s="12"/>
      <c r="T142" s="12"/>
      <c r="U142" s="12"/>
      <c r="V142" s="14"/>
      <c r="W142" s="14"/>
      <c r="X142" s="14"/>
      <c r="Y142" s="14"/>
      <c r="Z142" s="15"/>
      <c r="AA142" s="12"/>
      <c r="AB142" s="12"/>
      <c r="AC142" s="12"/>
      <c r="AD142" s="12"/>
      <c r="AE142" s="12"/>
      <c r="AF142" s="12"/>
      <c r="AG142" s="12"/>
      <c r="AH142" s="12"/>
    </row>
    <row r="143" spans="1:34" ht="12.75">
      <c r="A143" s="12"/>
      <c r="B143" s="12"/>
      <c r="C143" s="12"/>
      <c r="D143" s="12"/>
      <c r="E143" s="12"/>
      <c r="F143" s="17"/>
      <c r="G143" s="12"/>
      <c r="H143" s="12"/>
      <c r="I143" s="12"/>
      <c r="J143" s="12"/>
      <c r="K143" s="12"/>
      <c r="L143" s="12"/>
      <c r="M143" s="12"/>
      <c r="N143" s="12"/>
      <c r="O143" s="12"/>
      <c r="P143" s="12"/>
      <c r="Q143" s="12"/>
      <c r="R143" s="12"/>
      <c r="S143" s="12"/>
      <c r="T143" s="12"/>
      <c r="U143" s="12"/>
      <c r="V143" s="14"/>
      <c r="W143" s="14"/>
      <c r="X143" s="14"/>
      <c r="Y143" s="14"/>
      <c r="Z143" s="15"/>
      <c r="AA143" s="12"/>
      <c r="AB143" s="12"/>
      <c r="AC143" s="12"/>
      <c r="AD143" s="12"/>
      <c r="AE143" s="12"/>
      <c r="AF143" s="12"/>
      <c r="AG143" s="12"/>
      <c r="AH143" s="12"/>
    </row>
    <row r="144" spans="1:34" ht="12.75">
      <c r="A144" s="12"/>
      <c r="B144" s="12"/>
      <c r="C144" s="12"/>
      <c r="D144" s="12"/>
      <c r="E144" s="12"/>
      <c r="F144" s="17"/>
      <c r="G144" s="12"/>
      <c r="H144" s="12"/>
      <c r="I144" s="12"/>
      <c r="J144" s="12"/>
      <c r="K144" s="12"/>
      <c r="L144" s="12"/>
      <c r="M144" s="12"/>
      <c r="N144" s="12"/>
      <c r="O144" s="12"/>
      <c r="P144" s="12"/>
      <c r="Q144" s="12"/>
      <c r="R144" s="12"/>
      <c r="S144" s="12"/>
      <c r="T144" s="12"/>
      <c r="U144" s="12"/>
      <c r="V144" s="14"/>
      <c r="W144" s="14"/>
      <c r="X144" s="14"/>
      <c r="Y144" s="14"/>
      <c r="Z144" s="15"/>
      <c r="AA144" s="12"/>
      <c r="AB144" s="12"/>
      <c r="AC144" s="12"/>
      <c r="AD144" s="12"/>
      <c r="AE144" s="12"/>
      <c r="AF144" s="12"/>
      <c r="AG144" s="12"/>
      <c r="AH144" s="12"/>
    </row>
    <row r="145" spans="1:34" ht="12.75">
      <c r="A145" s="12"/>
      <c r="B145" s="12"/>
      <c r="C145" s="12"/>
      <c r="D145" s="12"/>
      <c r="E145" s="12"/>
      <c r="F145" s="17"/>
      <c r="G145" s="12"/>
      <c r="H145" s="12"/>
      <c r="I145" s="12"/>
      <c r="J145" s="12"/>
      <c r="K145" s="12"/>
      <c r="L145" s="12"/>
      <c r="M145" s="12"/>
      <c r="N145" s="12"/>
      <c r="O145" s="12"/>
      <c r="P145" s="12"/>
      <c r="Q145" s="12"/>
      <c r="R145" s="12"/>
      <c r="S145" s="12"/>
      <c r="T145" s="12"/>
      <c r="U145" s="12"/>
      <c r="V145" s="14"/>
      <c r="W145" s="14"/>
      <c r="X145" s="14"/>
      <c r="Y145" s="14"/>
      <c r="Z145" s="15"/>
      <c r="AA145" s="12"/>
      <c r="AB145" s="12"/>
      <c r="AC145" s="12"/>
      <c r="AD145" s="12"/>
      <c r="AE145" s="12"/>
      <c r="AF145" s="12"/>
      <c r="AG145" s="12"/>
      <c r="AH145" s="12"/>
    </row>
    <row r="146" spans="1:34" ht="12.75">
      <c r="A146" s="12"/>
      <c r="B146" s="12"/>
      <c r="C146" s="12"/>
      <c r="D146" s="12"/>
      <c r="E146" s="12"/>
      <c r="F146" s="17"/>
      <c r="G146" s="12"/>
      <c r="H146" s="12"/>
      <c r="I146" s="12"/>
      <c r="J146" s="12"/>
      <c r="K146" s="12"/>
      <c r="L146" s="12"/>
      <c r="M146" s="12"/>
      <c r="N146" s="12"/>
      <c r="O146" s="12"/>
      <c r="P146" s="12"/>
      <c r="Q146" s="12"/>
      <c r="R146" s="12"/>
      <c r="S146" s="12"/>
      <c r="T146" s="12"/>
      <c r="U146" s="12"/>
      <c r="V146" s="14"/>
      <c r="W146" s="14"/>
      <c r="X146" s="14"/>
      <c r="Y146" s="14"/>
      <c r="Z146" s="15"/>
      <c r="AA146" s="12"/>
      <c r="AB146" s="12"/>
      <c r="AC146" s="12"/>
      <c r="AD146" s="12"/>
      <c r="AE146" s="12"/>
      <c r="AF146" s="12"/>
      <c r="AG146" s="12"/>
      <c r="AH146" s="12"/>
    </row>
    <row r="147" spans="1:34" ht="12.75">
      <c r="A147" s="12"/>
      <c r="B147" s="12"/>
      <c r="C147" s="12"/>
      <c r="D147" s="12"/>
      <c r="E147" s="12"/>
      <c r="F147" s="17"/>
      <c r="G147" s="12"/>
      <c r="H147" s="12"/>
      <c r="I147" s="12"/>
      <c r="J147" s="12"/>
      <c r="K147" s="12"/>
      <c r="L147" s="12"/>
      <c r="M147" s="12"/>
      <c r="N147" s="12"/>
      <c r="O147" s="12"/>
      <c r="P147" s="12"/>
      <c r="Q147" s="12"/>
      <c r="R147" s="12"/>
      <c r="S147" s="12"/>
      <c r="T147" s="12"/>
      <c r="U147" s="12"/>
      <c r="V147" s="14"/>
      <c r="W147" s="14"/>
      <c r="X147" s="14"/>
      <c r="Y147" s="14"/>
      <c r="Z147" s="15"/>
      <c r="AA147" s="12"/>
      <c r="AB147" s="12"/>
      <c r="AC147" s="12"/>
      <c r="AD147" s="12"/>
      <c r="AE147" s="12"/>
      <c r="AF147" s="12"/>
      <c r="AG147" s="12"/>
      <c r="AH147" s="12"/>
    </row>
    <row r="148" spans="1:34" ht="12.75">
      <c r="A148" s="12"/>
      <c r="B148" s="12"/>
      <c r="C148" s="12"/>
      <c r="D148" s="12"/>
      <c r="E148" s="12"/>
      <c r="F148" s="17"/>
      <c r="G148" s="12"/>
      <c r="H148" s="12"/>
      <c r="I148" s="12"/>
      <c r="J148" s="12"/>
      <c r="K148" s="12"/>
      <c r="L148" s="12"/>
      <c r="M148" s="12"/>
      <c r="N148" s="12"/>
      <c r="O148" s="12"/>
      <c r="P148" s="12"/>
      <c r="Q148" s="12"/>
      <c r="R148" s="12"/>
      <c r="S148" s="12"/>
      <c r="T148" s="12"/>
      <c r="U148" s="12"/>
      <c r="V148" s="14"/>
      <c r="W148" s="14"/>
      <c r="X148" s="14"/>
      <c r="Y148" s="14"/>
      <c r="Z148" s="15"/>
      <c r="AA148" s="12"/>
      <c r="AB148" s="12"/>
      <c r="AC148" s="12"/>
      <c r="AD148" s="12"/>
      <c r="AE148" s="12"/>
      <c r="AF148" s="12"/>
      <c r="AG148" s="12"/>
      <c r="AH148" s="12"/>
    </row>
    <row r="149" spans="1:34" ht="12.75">
      <c r="A149" s="12"/>
      <c r="B149" s="12"/>
      <c r="C149" s="12"/>
      <c r="D149" s="12"/>
      <c r="E149" s="12"/>
      <c r="F149" s="17"/>
      <c r="G149" s="12"/>
      <c r="H149" s="12"/>
      <c r="I149" s="12"/>
      <c r="J149" s="12"/>
      <c r="K149" s="12"/>
      <c r="L149" s="12"/>
      <c r="M149" s="12"/>
      <c r="N149" s="12"/>
      <c r="O149" s="12"/>
      <c r="P149" s="12"/>
      <c r="Q149" s="12"/>
      <c r="R149" s="12"/>
      <c r="S149" s="12"/>
      <c r="T149" s="12"/>
      <c r="U149" s="12"/>
      <c r="V149" s="14"/>
      <c r="W149" s="14"/>
      <c r="X149" s="14"/>
      <c r="Y149" s="14"/>
      <c r="Z149" s="15"/>
      <c r="AA149" s="12"/>
      <c r="AB149" s="12"/>
      <c r="AC149" s="12"/>
      <c r="AD149" s="12"/>
      <c r="AE149" s="12"/>
      <c r="AF149" s="12"/>
      <c r="AG149" s="12"/>
      <c r="AH149" s="12"/>
    </row>
    <row r="150" spans="1:34" ht="12.75">
      <c r="A150" s="12"/>
      <c r="B150" s="12"/>
      <c r="C150" s="12"/>
      <c r="D150" s="12"/>
      <c r="E150" s="12"/>
      <c r="F150" s="17"/>
      <c r="G150" s="12"/>
      <c r="H150" s="12"/>
      <c r="I150" s="12"/>
      <c r="J150" s="12"/>
      <c r="K150" s="12"/>
      <c r="L150" s="12"/>
      <c r="M150" s="12"/>
      <c r="N150" s="12"/>
      <c r="O150" s="12"/>
      <c r="P150" s="12"/>
      <c r="Q150" s="12"/>
      <c r="R150" s="12"/>
      <c r="S150" s="12"/>
      <c r="T150" s="12"/>
      <c r="U150" s="12"/>
      <c r="V150" s="14"/>
      <c r="W150" s="14"/>
      <c r="X150" s="14"/>
      <c r="Y150" s="14"/>
      <c r="Z150" s="15"/>
      <c r="AA150" s="12"/>
      <c r="AB150" s="12"/>
      <c r="AC150" s="12"/>
      <c r="AD150" s="12"/>
      <c r="AE150" s="12"/>
      <c r="AF150" s="12"/>
      <c r="AG150" s="12"/>
      <c r="AH150" s="12"/>
    </row>
    <row r="151" spans="1:34" ht="12.75">
      <c r="A151" s="12"/>
      <c r="B151" s="12"/>
      <c r="C151" s="12"/>
      <c r="D151" s="12"/>
      <c r="E151" s="12"/>
      <c r="F151" s="17"/>
      <c r="G151" s="12"/>
      <c r="H151" s="12"/>
      <c r="I151" s="12"/>
      <c r="J151" s="12"/>
      <c r="K151" s="12"/>
      <c r="L151" s="12"/>
      <c r="M151" s="12"/>
      <c r="N151" s="12"/>
      <c r="O151" s="12"/>
      <c r="P151" s="12"/>
      <c r="Q151" s="12"/>
      <c r="R151" s="12"/>
      <c r="S151" s="12"/>
      <c r="T151" s="12"/>
      <c r="U151" s="12"/>
      <c r="V151" s="14"/>
      <c r="W151" s="14"/>
      <c r="X151" s="14"/>
      <c r="Y151" s="14"/>
      <c r="Z151" s="15"/>
      <c r="AA151" s="12"/>
      <c r="AB151" s="12"/>
      <c r="AC151" s="12"/>
      <c r="AD151" s="12"/>
      <c r="AE151" s="12"/>
      <c r="AF151" s="12"/>
      <c r="AG151" s="12"/>
      <c r="AH151" s="12"/>
    </row>
    <row r="152" spans="1:34" ht="12.75">
      <c r="A152" s="12"/>
      <c r="B152" s="12"/>
      <c r="C152" s="12"/>
      <c r="D152" s="12"/>
      <c r="E152" s="12"/>
      <c r="F152" s="17"/>
      <c r="G152" s="12"/>
      <c r="H152" s="12"/>
      <c r="I152" s="12"/>
      <c r="J152" s="12"/>
      <c r="K152" s="12"/>
      <c r="L152" s="12"/>
      <c r="M152" s="12"/>
      <c r="N152" s="12"/>
      <c r="O152" s="12"/>
      <c r="P152" s="12"/>
      <c r="Q152" s="12"/>
      <c r="R152" s="12"/>
      <c r="S152" s="12"/>
      <c r="T152" s="12"/>
      <c r="U152" s="12"/>
      <c r="V152" s="14"/>
      <c r="W152" s="14"/>
      <c r="X152" s="14"/>
      <c r="Y152" s="14"/>
      <c r="Z152" s="15"/>
      <c r="AA152" s="12"/>
      <c r="AB152" s="12"/>
      <c r="AC152" s="12"/>
      <c r="AD152" s="12"/>
      <c r="AE152" s="12"/>
      <c r="AF152" s="12"/>
      <c r="AG152" s="12"/>
      <c r="AH152" s="12"/>
    </row>
    <row r="153" spans="1:34" ht="12.75">
      <c r="A153" s="12"/>
      <c r="B153" s="12"/>
      <c r="C153" s="12"/>
      <c r="D153" s="12"/>
      <c r="E153" s="12"/>
      <c r="F153" s="17"/>
      <c r="G153" s="12"/>
      <c r="H153" s="12"/>
      <c r="I153" s="12"/>
      <c r="J153" s="12"/>
      <c r="K153" s="12"/>
      <c r="L153" s="12"/>
      <c r="M153" s="12"/>
      <c r="N153" s="12"/>
      <c r="O153" s="12"/>
      <c r="P153" s="12"/>
      <c r="Q153" s="12"/>
      <c r="R153" s="12"/>
      <c r="S153" s="12"/>
      <c r="T153" s="12"/>
      <c r="U153" s="12"/>
      <c r="V153" s="14"/>
      <c r="W153" s="14"/>
      <c r="X153" s="14"/>
      <c r="Y153" s="14"/>
      <c r="Z153" s="15"/>
      <c r="AA153" s="12"/>
      <c r="AB153" s="12"/>
      <c r="AC153" s="12"/>
      <c r="AD153" s="12"/>
      <c r="AE153" s="12"/>
      <c r="AF153" s="12"/>
      <c r="AG153" s="12"/>
      <c r="AH153" s="12"/>
    </row>
    <row r="154" spans="1:34" ht="12.75">
      <c r="A154" s="12"/>
      <c r="B154" s="12"/>
      <c r="C154" s="12"/>
      <c r="D154" s="12"/>
      <c r="E154" s="12"/>
      <c r="F154" s="17"/>
      <c r="G154" s="12"/>
      <c r="H154" s="12"/>
      <c r="I154" s="12"/>
      <c r="J154" s="12"/>
      <c r="K154" s="12"/>
      <c r="L154" s="12"/>
      <c r="M154" s="12"/>
      <c r="N154" s="12"/>
      <c r="O154" s="12"/>
      <c r="P154" s="12"/>
      <c r="Q154" s="12"/>
      <c r="R154" s="12"/>
      <c r="S154" s="12"/>
      <c r="T154" s="12"/>
      <c r="U154" s="12"/>
      <c r="V154" s="14"/>
      <c r="W154" s="14"/>
      <c r="X154" s="14"/>
      <c r="Y154" s="14"/>
      <c r="Z154" s="15"/>
      <c r="AA154" s="12"/>
      <c r="AB154" s="12"/>
      <c r="AC154" s="12"/>
      <c r="AD154" s="12"/>
      <c r="AE154" s="12"/>
      <c r="AF154" s="12"/>
      <c r="AG154" s="12"/>
      <c r="AH154" s="12"/>
    </row>
    <row r="155" spans="1:34" ht="12.75">
      <c r="A155" s="12"/>
      <c r="B155" s="12"/>
      <c r="C155" s="12"/>
      <c r="D155" s="12"/>
      <c r="E155" s="12"/>
      <c r="F155" s="17"/>
      <c r="G155" s="12"/>
      <c r="H155" s="12"/>
      <c r="I155" s="12"/>
      <c r="J155" s="12"/>
      <c r="K155" s="12"/>
      <c r="L155" s="12"/>
      <c r="M155" s="12"/>
      <c r="N155" s="12"/>
      <c r="O155" s="12"/>
      <c r="P155" s="12"/>
      <c r="Q155" s="12"/>
      <c r="R155" s="12"/>
      <c r="S155" s="12"/>
      <c r="T155" s="12"/>
      <c r="U155" s="12"/>
      <c r="V155" s="14"/>
      <c r="W155" s="14"/>
      <c r="X155" s="14"/>
      <c r="Y155" s="14"/>
      <c r="Z155" s="15"/>
      <c r="AA155" s="12"/>
      <c r="AB155" s="12"/>
      <c r="AC155" s="12"/>
      <c r="AD155" s="12"/>
      <c r="AE155" s="12"/>
      <c r="AF155" s="12"/>
      <c r="AG155" s="12"/>
      <c r="AH155" s="12"/>
    </row>
    <row r="156" spans="1:34" ht="12.75">
      <c r="A156" s="12"/>
      <c r="B156" s="12"/>
      <c r="C156" s="12"/>
      <c r="D156" s="12"/>
      <c r="E156" s="12"/>
      <c r="F156" s="17"/>
      <c r="G156" s="12"/>
      <c r="H156" s="12"/>
      <c r="I156" s="12"/>
      <c r="J156" s="12"/>
      <c r="K156" s="12"/>
      <c r="L156" s="12"/>
      <c r="M156" s="12"/>
      <c r="N156" s="12"/>
      <c r="O156" s="12"/>
      <c r="P156" s="12"/>
      <c r="Q156" s="12"/>
      <c r="R156" s="12"/>
      <c r="S156" s="12"/>
      <c r="T156" s="12"/>
      <c r="U156" s="12"/>
      <c r="V156" s="14"/>
      <c r="W156" s="14"/>
      <c r="X156" s="14"/>
      <c r="Y156" s="14"/>
      <c r="Z156" s="15"/>
      <c r="AA156" s="12"/>
      <c r="AB156" s="12"/>
      <c r="AC156" s="12"/>
      <c r="AD156" s="12"/>
      <c r="AE156" s="12"/>
      <c r="AF156" s="12"/>
      <c r="AG156" s="12"/>
      <c r="AH156" s="12"/>
    </row>
    <row r="157" spans="1:34" ht="12.75">
      <c r="A157" s="12"/>
      <c r="B157" s="12"/>
      <c r="C157" s="12"/>
      <c r="D157" s="12"/>
      <c r="E157" s="12"/>
      <c r="F157" s="17"/>
      <c r="G157" s="12"/>
      <c r="H157" s="12"/>
      <c r="I157" s="12"/>
      <c r="J157" s="12"/>
      <c r="K157" s="12"/>
      <c r="L157" s="12"/>
      <c r="M157" s="12"/>
      <c r="N157" s="12"/>
      <c r="O157" s="12"/>
      <c r="P157" s="12"/>
      <c r="Q157" s="12"/>
      <c r="R157" s="12"/>
      <c r="S157" s="12"/>
      <c r="T157" s="12"/>
      <c r="U157" s="12"/>
      <c r="V157" s="14"/>
      <c r="W157" s="14"/>
      <c r="X157" s="14"/>
      <c r="Y157" s="14"/>
      <c r="Z157" s="15"/>
      <c r="AA157" s="12"/>
      <c r="AB157" s="12"/>
      <c r="AC157" s="12"/>
      <c r="AD157" s="12"/>
      <c r="AE157" s="12"/>
      <c r="AF157" s="12"/>
      <c r="AG157" s="12"/>
      <c r="AH157" s="12"/>
    </row>
    <row r="158" spans="1:34" ht="12.75">
      <c r="A158" s="12"/>
      <c r="B158" s="12"/>
      <c r="C158" s="12"/>
      <c r="D158" s="12"/>
      <c r="E158" s="12"/>
      <c r="F158" s="17"/>
      <c r="G158" s="12"/>
      <c r="H158" s="12"/>
      <c r="I158" s="12"/>
      <c r="J158" s="12"/>
      <c r="K158" s="12"/>
      <c r="L158" s="12"/>
      <c r="M158" s="12"/>
      <c r="N158" s="12"/>
      <c r="O158" s="12"/>
      <c r="P158" s="12"/>
      <c r="Q158" s="12"/>
      <c r="R158" s="12"/>
      <c r="S158" s="12"/>
      <c r="T158" s="12"/>
      <c r="U158" s="12"/>
      <c r="V158" s="14"/>
      <c r="W158" s="14"/>
      <c r="X158" s="14"/>
      <c r="Y158" s="14"/>
      <c r="Z158" s="15"/>
      <c r="AA158" s="12"/>
      <c r="AB158" s="12"/>
      <c r="AC158" s="12"/>
      <c r="AD158" s="12"/>
      <c r="AE158" s="12"/>
      <c r="AF158" s="12"/>
      <c r="AG158" s="12"/>
      <c r="AH158" s="12"/>
    </row>
    <row r="159" spans="1:34" ht="12.75">
      <c r="A159" s="12"/>
      <c r="B159" s="12"/>
      <c r="C159" s="12"/>
      <c r="D159" s="12"/>
      <c r="E159" s="12"/>
      <c r="F159" s="17"/>
      <c r="G159" s="12"/>
      <c r="H159" s="12"/>
      <c r="I159" s="12"/>
      <c r="J159" s="12"/>
      <c r="K159" s="12"/>
      <c r="L159" s="12"/>
      <c r="M159" s="12"/>
      <c r="N159" s="12"/>
      <c r="O159" s="12"/>
      <c r="P159" s="12"/>
      <c r="Q159" s="12"/>
      <c r="R159" s="12"/>
      <c r="S159" s="12"/>
      <c r="T159" s="12"/>
      <c r="U159" s="12"/>
      <c r="V159" s="14"/>
      <c r="W159" s="14"/>
      <c r="X159" s="14"/>
      <c r="Y159" s="14"/>
      <c r="Z159" s="15"/>
      <c r="AA159" s="12"/>
      <c r="AB159" s="12"/>
      <c r="AC159" s="12"/>
      <c r="AD159" s="12"/>
      <c r="AE159" s="12"/>
      <c r="AF159" s="12"/>
      <c r="AG159" s="12"/>
      <c r="AH159" s="12"/>
    </row>
    <row r="160" spans="1:34" ht="12.75">
      <c r="A160" s="12"/>
      <c r="B160" s="12"/>
      <c r="C160" s="12"/>
      <c r="D160" s="12"/>
      <c r="E160" s="12"/>
      <c r="F160" s="17"/>
      <c r="G160" s="12"/>
      <c r="H160" s="12"/>
      <c r="I160" s="12"/>
      <c r="J160" s="12"/>
      <c r="K160" s="12"/>
      <c r="L160" s="12"/>
      <c r="M160" s="12"/>
      <c r="N160" s="12"/>
      <c r="O160" s="12"/>
      <c r="P160" s="12"/>
      <c r="Q160" s="12"/>
      <c r="R160" s="12"/>
      <c r="S160" s="12"/>
      <c r="T160" s="12"/>
      <c r="U160" s="12"/>
      <c r="V160" s="14"/>
      <c r="W160" s="14"/>
      <c r="X160" s="14"/>
      <c r="Y160" s="14"/>
      <c r="Z160" s="15"/>
      <c r="AA160" s="12"/>
      <c r="AB160" s="12"/>
      <c r="AC160" s="12"/>
      <c r="AD160" s="12"/>
      <c r="AE160" s="12"/>
      <c r="AF160" s="12"/>
      <c r="AG160" s="12"/>
      <c r="AH160" s="12"/>
    </row>
    <row r="161" spans="1:34" ht="12.75">
      <c r="A161" s="12"/>
      <c r="B161" s="12"/>
      <c r="C161" s="12"/>
      <c r="D161" s="12"/>
      <c r="E161" s="12"/>
      <c r="F161" s="17"/>
      <c r="G161" s="12"/>
      <c r="H161" s="12"/>
      <c r="I161" s="12"/>
      <c r="J161" s="12"/>
      <c r="K161" s="12"/>
      <c r="L161" s="12"/>
      <c r="M161" s="12"/>
      <c r="N161" s="12"/>
      <c r="O161" s="12"/>
      <c r="P161" s="12"/>
      <c r="Q161" s="12"/>
      <c r="R161" s="12"/>
      <c r="S161" s="12"/>
      <c r="T161" s="12"/>
      <c r="U161" s="12"/>
      <c r="V161" s="14"/>
      <c r="W161" s="14"/>
      <c r="X161" s="14"/>
      <c r="Y161" s="14"/>
      <c r="Z161" s="15"/>
      <c r="AA161" s="12"/>
      <c r="AB161" s="12"/>
      <c r="AC161" s="12"/>
      <c r="AD161" s="12"/>
      <c r="AE161" s="12"/>
      <c r="AF161" s="12"/>
      <c r="AG161" s="12"/>
      <c r="AH161" s="12"/>
    </row>
    <row r="162" spans="1:34" ht="12.75">
      <c r="A162" s="12"/>
      <c r="B162" s="12"/>
      <c r="C162" s="12"/>
      <c r="D162" s="12"/>
      <c r="E162" s="12"/>
      <c r="F162" s="17"/>
      <c r="G162" s="12"/>
      <c r="H162" s="12"/>
      <c r="I162" s="12"/>
      <c r="J162" s="12"/>
      <c r="K162" s="12"/>
      <c r="L162" s="12"/>
      <c r="M162" s="12"/>
      <c r="N162" s="12"/>
      <c r="O162" s="12"/>
      <c r="P162" s="12"/>
      <c r="Q162" s="12"/>
      <c r="R162" s="12"/>
      <c r="S162" s="12"/>
      <c r="T162" s="12"/>
      <c r="U162" s="12"/>
      <c r="V162" s="14"/>
      <c r="W162" s="14"/>
      <c r="X162" s="14"/>
      <c r="Y162" s="14"/>
      <c r="Z162" s="15"/>
      <c r="AA162" s="12"/>
      <c r="AB162" s="12"/>
      <c r="AC162" s="12"/>
      <c r="AD162" s="12"/>
      <c r="AE162" s="12"/>
      <c r="AF162" s="12"/>
      <c r="AG162" s="12"/>
      <c r="AH162" s="12"/>
    </row>
    <row r="163" spans="1:34" ht="12.75">
      <c r="A163" s="12"/>
      <c r="B163" s="12"/>
      <c r="C163" s="12"/>
      <c r="D163" s="12"/>
      <c r="E163" s="12"/>
      <c r="F163" s="17"/>
      <c r="G163" s="12"/>
      <c r="H163" s="12"/>
      <c r="I163" s="12"/>
      <c r="J163" s="12"/>
      <c r="K163" s="12"/>
      <c r="L163" s="12"/>
      <c r="M163" s="12"/>
      <c r="N163" s="12"/>
      <c r="O163" s="12"/>
      <c r="P163" s="12"/>
      <c r="Q163" s="12"/>
      <c r="R163" s="12"/>
      <c r="S163" s="12"/>
      <c r="T163" s="12"/>
      <c r="U163" s="12"/>
      <c r="V163" s="14"/>
      <c r="W163" s="14"/>
      <c r="X163" s="14"/>
      <c r="Y163" s="14"/>
      <c r="Z163" s="15"/>
      <c r="AA163" s="12"/>
      <c r="AB163" s="12"/>
      <c r="AC163" s="12"/>
      <c r="AD163" s="12"/>
      <c r="AE163" s="12"/>
      <c r="AF163" s="12"/>
      <c r="AG163" s="12"/>
      <c r="AH163" s="12"/>
    </row>
    <row r="164" spans="1:34" ht="12.75">
      <c r="A164" s="12"/>
      <c r="B164" s="12"/>
      <c r="C164" s="12"/>
      <c r="D164" s="12"/>
      <c r="E164" s="12"/>
      <c r="F164" s="17"/>
      <c r="G164" s="12"/>
      <c r="H164" s="12"/>
      <c r="I164" s="12"/>
      <c r="J164" s="12"/>
      <c r="K164" s="12"/>
      <c r="L164" s="12"/>
      <c r="M164" s="12"/>
      <c r="N164" s="12"/>
      <c r="O164" s="12"/>
      <c r="P164" s="12"/>
      <c r="Q164" s="12"/>
      <c r="R164" s="12"/>
      <c r="S164" s="12"/>
      <c r="T164" s="12"/>
      <c r="U164" s="12"/>
      <c r="V164" s="14"/>
      <c r="W164" s="14"/>
      <c r="X164" s="14"/>
      <c r="Y164" s="14"/>
      <c r="Z164" s="15"/>
      <c r="AA164" s="12"/>
      <c r="AB164" s="12"/>
      <c r="AC164" s="12"/>
      <c r="AD164" s="12"/>
      <c r="AE164" s="12"/>
      <c r="AF164" s="12"/>
      <c r="AG164" s="12"/>
      <c r="AH164" s="12"/>
    </row>
    <row r="165" spans="1:34" ht="12.75">
      <c r="A165" s="12"/>
      <c r="B165" s="12"/>
      <c r="C165" s="12"/>
      <c r="D165" s="12"/>
      <c r="E165" s="12"/>
      <c r="F165" s="17"/>
      <c r="G165" s="12"/>
      <c r="H165" s="12"/>
      <c r="I165" s="12"/>
      <c r="J165" s="12"/>
      <c r="K165" s="12"/>
      <c r="L165" s="12"/>
      <c r="M165" s="12"/>
      <c r="N165" s="12"/>
      <c r="O165" s="12"/>
      <c r="P165" s="12"/>
      <c r="Q165" s="12"/>
      <c r="R165" s="12"/>
      <c r="S165" s="12"/>
      <c r="T165" s="12"/>
      <c r="U165" s="12"/>
      <c r="V165" s="14"/>
      <c r="W165" s="14"/>
      <c r="X165" s="14"/>
      <c r="Y165" s="14"/>
      <c r="Z165" s="15"/>
      <c r="AA165" s="12"/>
      <c r="AB165" s="12"/>
      <c r="AC165" s="12"/>
      <c r="AD165" s="12"/>
      <c r="AE165" s="12"/>
      <c r="AF165" s="12"/>
      <c r="AG165" s="12"/>
      <c r="AH165" s="12"/>
    </row>
    <row r="166" spans="1:34" ht="12.75">
      <c r="A166" s="12"/>
      <c r="B166" s="12"/>
      <c r="C166" s="12"/>
      <c r="D166" s="12"/>
      <c r="E166" s="12"/>
      <c r="F166" s="17"/>
      <c r="G166" s="12"/>
      <c r="H166" s="12"/>
      <c r="I166" s="12"/>
      <c r="J166" s="12"/>
      <c r="K166" s="12"/>
      <c r="L166" s="12"/>
      <c r="M166" s="12"/>
      <c r="N166" s="12"/>
      <c r="O166" s="12"/>
      <c r="P166" s="12"/>
      <c r="Q166" s="12"/>
      <c r="R166" s="12"/>
      <c r="S166" s="12"/>
      <c r="T166" s="12"/>
      <c r="U166" s="12"/>
      <c r="V166" s="14"/>
      <c r="W166" s="14"/>
      <c r="X166" s="14"/>
      <c r="Y166" s="14"/>
      <c r="Z166" s="15"/>
      <c r="AA166" s="12"/>
      <c r="AB166" s="12"/>
      <c r="AC166" s="12"/>
      <c r="AD166" s="12"/>
      <c r="AE166" s="12"/>
      <c r="AF166" s="12"/>
      <c r="AG166" s="12"/>
      <c r="AH166" s="12"/>
    </row>
    <row r="167" spans="1:34" ht="12.75">
      <c r="A167" s="12"/>
      <c r="B167" s="12"/>
      <c r="C167" s="12"/>
      <c r="D167" s="12"/>
      <c r="E167" s="12"/>
      <c r="F167" s="17"/>
      <c r="G167" s="12"/>
      <c r="H167" s="12"/>
      <c r="I167" s="12"/>
      <c r="J167" s="12"/>
      <c r="K167" s="12"/>
      <c r="L167" s="12"/>
      <c r="M167" s="12"/>
      <c r="N167" s="12"/>
      <c r="O167" s="12"/>
      <c r="P167" s="12"/>
      <c r="Q167" s="12"/>
      <c r="R167" s="12"/>
      <c r="S167" s="12"/>
      <c r="T167" s="12"/>
      <c r="U167" s="12"/>
      <c r="V167" s="14"/>
      <c r="W167" s="14"/>
      <c r="X167" s="14"/>
      <c r="Y167" s="14"/>
      <c r="Z167" s="15"/>
      <c r="AA167" s="12"/>
      <c r="AB167" s="12"/>
      <c r="AC167" s="12"/>
      <c r="AD167" s="12"/>
      <c r="AE167" s="12"/>
      <c r="AF167" s="12"/>
      <c r="AG167" s="12"/>
      <c r="AH167" s="12"/>
    </row>
    <row r="168" spans="1:34" ht="12.75">
      <c r="A168" s="12"/>
      <c r="B168" s="12"/>
      <c r="C168" s="12"/>
      <c r="D168" s="12"/>
      <c r="E168" s="12"/>
      <c r="F168" s="17"/>
      <c r="G168" s="12"/>
      <c r="H168" s="12"/>
      <c r="I168" s="12"/>
      <c r="J168" s="12"/>
      <c r="K168" s="12"/>
      <c r="L168" s="12"/>
      <c r="M168" s="12"/>
      <c r="N168" s="12"/>
      <c r="O168" s="12"/>
      <c r="P168" s="12"/>
      <c r="Q168" s="12"/>
      <c r="R168" s="12"/>
      <c r="S168" s="12"/>
      <c r="T168" s="12"/>
      <c r="U168" s="12"/>
      <c r="V168" s="14"/>
      <c r="W168" s="14"/>
      <c r="X168" s="14"/>
      <c r="Y168" s="14"/>
      <c r="Z168" s="15"/>
      <c r="AA168" s="12"/>
      <c r="AB168" s="12"/>
      <c r="AC168" s="12"/>
      <c r="AD168" s="12"/>
      <c r="AE168" s="12"/>
      <c r="AF168" s="12"/>
      <c r="AG168" s="12"/>
      <c r="AH168" s="12"/>
    </row>
    <row r="169" spans="1:34" ht="12.75">
      <c r="A169" s="12"/>
      <c r="B169" s="12"/>
      <c r="C169" s="12"/>
      <c r="D169" s="12"/>
      <c r="E169" s="12"/>
      <c r="F169" s="17"/>
      <c r="G169" s="12"/>
      <c r="H169" s="12"/>
      <c r="I169" s="12"/>
      <c r="J169" s="12"/>
      <c r="K169" s="12"/>
      <c r="L169" s="12"/>
      <c r="M169" s="12"/>
      <c r="N169" s="12"/>
      <c r="O169" s="12"/>
      <c r="P169" s="12"/>
      <c r="Q169" s="12"/>
      <c r="R169" s="12"/>
      <c r="S169" s="12"/>
      <c r="T169" s="12"/>
      <c r="U169" s="12"/>
      <c r="V169" s="14"/>
      <c r="W169" s="14"/>
      <c r="X169" s="14"/>
      <c r="Y169" s="14"/>
      <c r="Z169" s="15"/>
      <c r="AA169" s="12"/>
      <c r="AB169" s="12"/>
      <c r="AC169" s="12"/>
      <c r="AD169" s="12"/>
      <c r="AE169" s="12"/>
      <c r="AF169" s="12"/>
      <c r="AG169" s="12"/>
      <c r="AH169" s="12"/>
    </row>
    <row r="170" spans="1:34" ht="12.75">
      <c r="A170" s="12"/>
      <c r="B170" s="12"/>
      <c r="C170" s="12"/>
      <c r="D170" s="12"/>
      <c r="E170" s="12"/>
      <c r="F170" s="17"/>
      <c r="G170" s="12"/>
      <c r="H170" s="12"/>
      <c r="I170" s="12"/>
      <c r="J170" s="12"/>
      <c r="K170" s="12"/>
      <c r="L170" s="12"/>
      <c r="M170" s="12"/>
      <c r="N170" s="12"/>
      <c r="O170" s="12"/>
      <c r="P170" s="12"/>
      <c r="Q170" s="12"/>
      <c r="R170" s="12"/>
      <c r="S170" s="12"/>
      <c r="T170" s="12"/>
      <c r="U170" s="12"/>
      <c r="V170" s="14"/>
      <c r="W170" s="14"/>
      <c r="X170" s="14"/>
      <c r="Y170" s="14"/>
      <c r="Z170" s="15"/>
      <c r="AA170" s="12"/>
      <c r="AB170" s="12"/>
      <c r="AC170" s="12"/>
      <c r="AD170" s="12"/>
      <c r="AE170" s="12"/>
      <c r="AF170" s="12"/>
      <c r="AG170" s="12"/>
      <c r="AH170" s="12"/>
    </row>
    <row r="171" spans="1:34" ht="12.75">
      <c r="A171" s="12"/>
      <c r="B171" s="12"/>
      <c r="C171" s="12"/>
      <c r="D171" s="12"/>
      <c r="E171" s="12"/>
      <c r="F171" s="17"/>
      <c r="G171" s="12"/>
      <c r="H171" s="12"/>
      <c r="I171" s="12"/>
      <c r="J171" s="12"/>
      <c r="K171" s="12"/>
      <c r="L171" s="12"/>
      <c r="M171" s="12"/>
      <c r="N171" s="12"/>
      <c r="O171" s="12"/>
      <c r="P171" s="12"/>
      <c r="Q171" s="12"/>
      <c r="R171" s="12"/>
      <c r="S171" s="12"/>
      <c r="T171" s="12"/>
      <c r="U171" s="12"/>
      <c r="V171" s="14"/>
      <c r="W171" s="14"/>
      <c r="X171" s="14"/>
      <c r="Y171" s="14"/>
      <c r="Z171" s="15"/>
      <c r="AA171" s="12"/>
      <c r="AB171" s="12"/>
      <c r="AC171" s="12"/>
      <c r="AD171" s="12"/>
      <c r="AE171" s="12"/>
      <c r="AF171" s="12"/>
      <c r="AG171" s="12"/>
      <c r="AH171" s="12"/>
    </row>
    <row r="172" spans="1:34" ht="12.75">
      <c r="A172" s="12"/>
      <c r="B172" s="12"/>
      <c r="C172" s="12"/>
      <c r="D172" s="12"/>
      <c r="E172" s="12"/>
      <c r="F172" s="17"/>
      <c r="G172" s="12"/>
      <c r="H172" s="12"/>
      <c r="I172" s="12"/>
      <c r="J172" s="12"/>
      <c r="K172" s="12"/>
      <c r="L172" s="12"/>
      <c r="M172" s="12"/>
      <c r="N172" s="12"/>
      <c r="O172" s="12"/>
      <c r="P172" s="12"/>
      <c r="Q172" s="12"/>
      <c r="R172" s="12"/>
      <c r="S172" s="12"/>
      <c r="T172" s="12"/>
      <c r="U172" s="12"/>
      <c r="V172" s="14"/>
      <c r="W172" s="14"/>
      <c r="X172" s="14"/>
      <c r="Y172" s="14"/>
      <c r="Z172" s="15"/>
      <c r="AA172" s="12"/>
      <c r="AB172" s="12"/>
      <c r="AC172" s="12"/>
      <c r="AD172" s="12"/>
      <c r="AE172" s="12"/>
      <c r="AF172" s="12"/>
      <c r="AG172" s="12"/>
      <c r="AH172" s="12"/>
    </row>
    <row r="173" spans="1:34" ht="12.75">
      <c r="A173" s="12"/>
      <c r="B173" s="12"/>
      <c r="C173" s="12"/>
      <c r="D173" s="12"/>
      <c r="E173" s="12"/>
      <c r="F173" s="17"/>
      <c r="G173" s="12"/>
      <c r="H173" s="12"/>
      <c r="I173" s="12"/>
      <c r="J173" s="12"/>
      <c r="K173" s="12"/>
      <c r="L173" s="12"/>
      <c r="M173" s="12"/>
      <c r="N173" s="12"/>
      <c r="O173" s="12"/>
      <c r="P173" s="12"/>
      <c r="Q173" s="12"/>
      <c r="R173" s="12"/>
      <c r="S173" s="12"/>
      <c r="T173" s="12"/>
      <c r="U173" s="12"/>
      <c r="V173" s="14"/>
      <c r="W173" s="14"/>
      <c r="X173" s="14"/>
      <c r="Y173" s="14"/>
      <c r="Z173" s="15"/>
      <c r="AA173" s="12"/>
      <c r="AB173" s="12"/>
      <c r="AC173" s="12"/>
      <c r="AD173" s="12"/>
      <c r="AE173" s="12"/>
      <c r="AF173" s="12"/>
      <c r="AG173" s="12"/>
      <c r="AH173" s="12"/>
    </row>
    <row r="174" spans="1:34" ht="12.75">
      <c r="A174" s="12"/>
      <c r="B174" s="12"/>
      <c r="C174" s="12"/>
      <c r="D174" s="12"/>
      <c r="E174" s="12"/>
      <c r="F174" s="17"/>
      <c r="G174" s="12"/>
      <c r="H174" s="12"/>
      <c r="I174" s="12"/>
      <c r="J174" s="12"/>
      <c r="K174" s="12"/>
      <c r="L174" s="12"/>
      <c r="M174" s="12"/>
      <c r="N174" s="12"/>
      <c r="O174" s="12"/>
      <c r="P174" s="12"/>
      <c r="Q174" s="12"/>
      <c r="R174" s="12"/>
      <c r="S174" s="12"/>
      <c r="T174" s="12"/>
      <c r="U174" s="12"/>
      <c r="V174" s="14"/>
      <c r="W174" s="14"/>
      <c r="X174" s="14"/>
      <c r="Y174" s="14"/>
      <c r="Z174" s="15"/>
      <c r="AA174" s="12"/>
      <c r="AB174" s="12"/>
      <c r="AC174" s="12"/>
      <c r="AD174" s="12"/>
      <c r="AE174" s="12"/>
      <c r="AF174" s="12"/>
      <c r="AG174" s="12"/>
      <c r="AH174" s="12"/>
    </row>
    <row r="175" spans="1:34" ht="12.75">
      <c r="A175" s="12"/>
      <c r="B175" s="12"/>
      <c r="C175" s="12"/>
      <c r="D175" s="12"/>
      <c r="E175" s="12"/>
      <c r="F175" s="17"/>
      <c r="G175" s="12"/>
      <c r="H175" s="12"/>
      <c r="I175" s="12"/>
      <c r="J175" s="12"/>
      <c r="K175" s="12"/>
      <c r="L175" s="12"/>
      <c r="M175" s="12"/>
      <c r="N175" s="12"/>
      <c r="O175" s="12"/>
      <c r="P175" s="12"/>
      <c r="Q175" s="12"/>
      <c r="R175" s="12"/>
      <c r="S175" s="12"/>
      <c r="T175" s="12"/>
      <c r="U175" s="12"/>
      <c r="V175" s="14"/>
      <c r="W175" s="14"/>
      <c r="X175" s="14"/>
      <c r="Y175" s="14"/>
      <c r="Z175" s="15"/>
      <c r="AA175" s="12"/>
      <c r="AB175" s="12"/>
      <c r="AC175" s="12"/>
      <c r="AD175" s="12"/>
      <c r="AE175" s="12"/>
      <c r="AF175" s="12"/>
      <c r="AG175" s="12"/>
      <c r="AH175" s="12"/>
    </row>
    <row r="176" spans="1:34" ht="12.75">
      <c r="A176" s="12"/>
      <c r="B176" s="12"/>
      <c r="C176" s="12"/>
      <c r="D176" s="12"/>
      <c r="E176" s="12"/>
      <c r="F176" s="17"/>
      <c r="G176" s="12"/>
      <c r="H176" s="12"/>
      <c r="I176" s="12"/>
      <c r="J176" s="12"/>
      <c r="K176" s="12"/>
      <c r="L176" s="12"/>
      <c r="M176" s="12"/>
      <c r="N176" s="12"/>
      <c r="O176" s="12"/>
      <c r="P176" s="12"/>
      <c r="Q176" s="12"/>
      <c r="R176" s="12"/>
      <c r="S176" s="12"/>
      <c r="T176" s="12"/>
      <c r="U176" s="12"/>
      <c r="V176" s="14"/>
      <c r="W176" s="14"/>
      <c r="X176" s="14"/>
      <c r="Y176" s="14"/>
      <c r="Z176" s="15"/>
      <c r="AA176" s="12"/>
      <c r="AB176" s="12"/>
      <c r="AC176" s="12"/>
      <c r="AD176" s="12"/>
      <c r="AE176" s="12"/>
      <c r="AF176" s="12"/>
      <c r="AG176" s="12"/>
      <c r="AH176" s="12"/>
    </row>
    <row r="177" spans="1:34" ht="12.75">
      <c r="A177" s="12"/>
      <c r="B177" s="12"/>
      <c r="C177" s="12"/>
      <c r="D177" s="12"/>
      <c r="E177" s="12"/>
      <c r="F177" s="17"/>
      <c r="G177" s="12"/>
      <c r="H177" s="12"/>
      <c r="I177" s="12"/>
      <c r="J177" s="12"/>
      <c r="K177" s="12"/>
      <c r="L177" s="12"/>
      <c r="M177" s="12"/>
      <c r="N177" s="12"/>
      <c r="O177" s="12"/>
      <c r="P177" s="12"/>
      <c r="Q177" s="12"/>
      <c r="R177" s="12"/>
      <c r="S177" s="12"/>
      <c r="T177" s="12"/>
      <c r="U177" s="12"/>
      <c r="V177" s="14"/>
      <c r="W177" s="14"/>
      <c r="X177" s="14"/>
      <c r="Y177" s="14"/>
      <c r="Z177" s="15"/>
      <c r="AA177" s="12"/>
      <c r="AB177" s="12"/>
      <c r="AC177" s="12"/>
      <c r="AD177" s="12"/>
      <c r="AE177" s="12"/>
      <c r="AF177" s="12"/>
      <c r="AG177" s="12"/>
      <c r="AH177" s="12"/>
    </row>
    <row r="178" spans="1:34" ht="12.75">
      <c r="A178" s="12"/>
      <c r="B178" s="12"/>
      <c r="C178" s="12"/>
      <c r="D178" s="12"/>
      <c r="E178" s="12"/>
      <c r="F178" s="17"/>
      <c r="G178" s="12"/>
      <c r="H178" s="12"/>
      <c r="I178" s="12"/>
      <c r="J178" s="12"/>
      <c r="K178" s="12"/>
      <c r="L178" s="12"/>
      <c r="M178" s="12"/>
      <c r="N178" s="12"/>
      <c r="O178" s="12"/>
      <c r="P178" s="12"/>
      <c r="Q178" s="12"/>
      <c r="R178" s="12"/>
      <c r="S178" s="12"/>
      <c r="T178" s="12"/>
      <c r="U178" s="12"/>
      <c r="V178" s="14"/>
      <c r="W178" s="14"/>
      <c r="X178" s="14"/>
      <c r="Y178" s="14"/>
      <c r="Z178" s="15"/>
      <c r="AA178" s="12"/>
      <c r="AB178" s="12"/>
      <c r="AC178" s="12"/>
      <c r="AD178" s="12"/>
      <c r="AE178" s="12"/>
      <c r="AF178" s="12"/>
      <c r="AG178" s="12"/>
      <c r="AH178" s="12"/>
    </row>
    <row r="179" spans="1:34" ht="12.75">
      <c r="A179" s="12"/>
      <c r="B179" s="12"/>
      <c r="C179" s="12"/>
      <c r="D179" s="12"/>
      <c r="E179" s="12"/>
      <c r="F179" s="17"/>
      <c r="G179" s="12"/>
      <c r="H179" s="12"/>
      <c r="I179" s="12"/>
      <c r="J179" s="12"/>
      <c r="K179" s="12"/>
      <c r="L179" s="12"/>
      <c r="M179" s="12"/>
      <c r="N179" s="12"/>
      <c r="O179" s="12"/>
      <c r="P179" s="12"/>
      <c r="Q179" s="12"/>
      <c r="R179" s="12"/>
      <c r="S179" s="12"/>
      <c r="T179" s="12"/>
      <c r="U179" s="12"/>
      <c r="V179" s="14"/>
      <c r="W179" s="14"/>
      <c r="X179" s="14"/>
      <c r="Y179" s="14"/>
      <c r="Z179" s="15"/>
      <c r="AA179" s="12"/>
      <c r="AB179" s="12"/>
      <c r="AC179" s="12"/>
      <c r="AD179" s="12"/>
      <c r="AE179" s="12"/>
      <c r="AF179" s="12"/>
      <c r="AG179" s="12"/>
      <c r="AH179" s="12"/>
    </row>
    <row r="180" spans="1:34" ht="12.75">
      <c r="A180" s="12"/>
      <c r="B180" s="12"/>
      <c r="C180" s="12"/>
      <c r="D180" s="12"/>
      <c r="E180" s="12"/>
      <c r="F180" s="17"/>
      <c r="G180" s="12"/>
      <c r="H180" s="12"/>
      <c r="I180" s="12"/>
      <c r="J180" s="12"/>
      <c r="K180" s="12"/>
      <c r="L180" s="12"/>
      <c r="M180" s="12"/>
      <c r="N180" s="12"/>
      <c r="O180" s="12"/>
      <c r="P180" s="12"/>
      <c r="Q180" s="12"/>
      <c r="R180" s="12"/>
      <c r="S180" s="12"/>
      <c r="T180" s="12"/>
      <c r="U180" s="12"/>
      <c r="V180" s="14"/>
      <c r="W180" s="14"/>
      <c r="X180" s="14"/>
      <c r="Y180" s="14"/>
      <c r="Z180" s="15"/>
      <c r="AA180" s="12"/>
      <c r="AB180" s="12"/>
      <c r="AC180" s="12"/>
      <c r="AD180" s="12"/>
      <c r="AE180" s="12"/>
      <c r="AF180" s="12"/>
      <c r="AG180" s="12"/>
      <c r="AH180" s="12"/>
    </row>
    <row r="181" spans="1:34" ht="12.75">
      <c r="A181" s="12"/>
      <c r="B181" s="12"/>
      <c r="C181" s="12"/>
      <c r="D181" s="12"/>
      <c r="E181" s="12"/>
      <c r="F181" s="17"/>
      <c r="G181" s="12"/>
      <c r="H181" s="12"/>
      <c r="I181" s="12"/>
      <c r="J181" s="12"/>
      <c r="K181" s="12"/>
      <c r="L181" s="12"/>
      <c r="M181" s="12"/>
      <c r="N181" s="12"/>
      <c r="O181" s="12"/>
      <c r="P181" s="12"/>
      <c r="Q181" s="12"/>
      <c r="R181" s="12"/>
      <c r="S181" s="12"/>
      <c r="T181" s="12"/>
      <c r="U181" s="12"/>
      <c r="V181" s="14"/>
      <c r="W181" s="14"/>
      <c r="X181" s="14"/>
      <c r="Y181" s="14"/>
      <c r="Z181" s="15"/>
      <c r="AA181" s="12"/>
      <c r="AB181" s="12"/>
      <c r="AC181" s="12"/>
      <c r="AD181" s="12"/>
      <c r="AE181" s="12"/>
      <c r="AF181" s="12"/>
      <c r="AG181" s="12"/>
      <c r="AH181" s="12"/>
    </row>
    <row r="182" spans="1:34" ht="12.75">
      <c r="A182" s="12"/>
      <c r="B182" s="12"/>
      <c r="C182" s="12"/>
      <c r="D182" s="12"/>
      <c r="E182" s="12"/>
      <c r="F182" s="17"/>
      <c r="G182" s="12"/>
      <c r="H182" s="12"/>
      <c r="I182" s="12"/>
      <c r="J182" s="12"/>
      <c r="K182" s="12"/>
      <c r="L182" s="12"/>
      <c r="M182" s="12"/>
      <c r="N182" s="12"/>
      <c r="O182" s="12"/>
      <c r="P182" s="12"/>
      <c r="Q182" s="12"/>
      <c r="R182" s="12"/>
      <c r="S182" s="12"/>
      <c r="T182" s="12"/>
      <c r="U182" s="12"/>
      <c r="V182" s="14"/>
      <c r="W182" s="14"/>
      <c r="X182" s="14"/>
      <c r="Y182" s="14"/>
      <c r="Z182" s="15"/>
      <c r="AA182" s="12"/>
      <c r="AB182" s="12"/>
      <c r="AC182" s="12"/>
      <c r="AD182" s="12"/>
      <c r="AE182" s="12"/>
      <c r="AF182" s="12"/>
      <c r="AG182" s="12"/>
      <c r="AH182" s="12"/>
    </row>
    <row r="183" spans="1:34" ht="12.75">
      <c r="A183" s="12"/>
      <c r="B183" s="12"/>
      <c r="C183" s="12"/>
      <c r="D183" s="12"/>
      <c r="E183" s="12"/>
      <c r="F183" s="17"/>
      <c r="G183" s="12"/>
      <c r="H183" s="12"/>
      <c r="I183" s="12"/>
      <c r="J183" s="12"/>
      <c r="K183" s="12"/>
      <c r="L183" s="12"/>
      <c r="M183" s="12"/>
      <c r="N183" s="12"/>
      <c r="O183" s="12"/>
      <c r="P183" s="12"/>
      <c r="Q183" s="12"/>
      <c r="R183" s="12"/>
      <c r="S183" s="12"/>
      <c r="T183" s="12"/>
      <c r="U183" s="12"/>
      <c r="V183" s="14"/>
      <c r="W183" s="14"/>
      <c r="X183" s="14"/>
      <c r="Y183" s="14"/>
      <c r="Z183" s="15"/>
      <c r="AA183" s="12"/>
      <c r="AB183" s="12"/>
      <c r="AC183" s="12"/>
      <c r="AD183" s="12"/>
      <c r="AE183" s="12"/>
      <c r="AF183" s="12"/>
      <c r="AG183" s="12"/>
      <c r="AH183" s="12"/>
    </row>
    <row r="184" spans="1:34" ht="12.75">
      <c r="A184" s="12"/>
      <c r="B184" s="12"/>
      <c r="C184" s="12"/>
      <c r="D184" s="12"/>
      <c r="E184" s="12"/>
      <c r="F184" s="17"/>
      <c r="G184" s="12"/>
      <c r="H184" s="12"/>
      <c r="I184" s="12"/>
      <c r="J184" s="12"/>
      <c r="K184" s="12"/>
      <c r="L184" s="12"/>
      <c r="M184" s="12"/>
      <c r="N184" s="12"/>
      <c r="O184" s="12"/>
      <c r="P184" s="12"/>
      <c r="Q184" s="12"/>
      <c r="R184" s="12"/>
      <c r="S184" s="12"/>
      <c r="T184" s="12"/>
      <c r="U184" s="12"/>
      <c r="V184" s="14"/>
      <c r="W184" s="14"/>
      <c r="X184" s="14"/>
      <c r="Y184" s="14"/>
      <c r="Z184" s="15"/>
      <c r="AA184" s="12"/>
      <c r="AB184" s="12"/>
      <c r="AC184" s="12"/>
      <c r="AD184" s="12"/>
      <c r="AE184" s="12"/>
      <c r="AF184" s="12"/>
      <c r="AG184" s="12"/>
      <c r="AH184" s="12"/>
    </row>
    <row r="185" spans="1:34" ht="12.75">
      <c r="A185" s="12"/>
      <c r="B185" s="12"/>
      <c r="C185" s="12"/>
      <c r="D185" s="12"/>
      <c r="E185" s="12"/>
      <c r="F185" s="17"/>
      <c r="G185" s="12"/>
      <c r="H185" s="12"/>
      <c r="I185" s="12"/>
      <c r="J185" s="12"/>
      <c r="K185" s="12"/>
      <c r="L185" s="12"/>
      <c r="M185" s="12"/>
      <c r="N185" s="12"/>
      <c r="O185" s="12"/>
      <c r="P185" s="12"/>
      <c r="Q185" s="12"/>
      <c r="R185" s="12"/>
      <c r="S185" s="12"/>
      <c r="T185" s="12"/>
      <c r="U185" s="12"/>
      <c r="V185" s="14"/>
      <c r="W185" s="14"/>
      <c r="X185" s="14"/>
      <c r="Y185" s="14"/>
      <c r="Z185" s="15"/>
      <c r="AA185" s="12"/>
      <c r="AB185" s="12"/>
      <c r="AC185" s="12"/>
      <c r="AD185" s="12"/>
      <c r="AE185" s="12"/>
      <c r="AF185" s="12"/>
      <c r="AG185" s="12"/>
      <c r="AH185" s="12"/>
    </row>
    <row r="186" spans="1:34" ht="12.75">
      <c r="A186" s="12"/>
      <c r="B186" s="12"/>
      <c r="C186" s="12"/>
      <c r="D186" s="12"/>
      <c r="E186" s="12"/>
      <c r="F186" s="17"/>
      <c r="G186" s="12"/>
      <c r="H186" s="12"/>
      <c r="I186" s="12"/>
      <c r="J186" s="12"/>
      <c r="K186" s="12"/>
      <c r="L186" s="12"/>
      <c r="M186" s="12"/>
      <c r="N186" s="12"/>
      <c r="O186" s="12"/>
      <c r="P186" s="12"/>
      <c r="Q186" s="12"/>
      <c r="R186" s="12"/>
      <c r="S186" s="12"/>
      <c r="T186" s="12"/>
      <c r="U186" s="12"/>
      <c r="V186" s="14"/>
      <c r="W186" s="14"/>
      <c r="X186" s="14"/>
      <c r="Y186" s="14"/>
      <c r="Z186" s="15"/>
      <c r="AA186" s="12"/>
      <c r="AB186" s="12"/>
      <c r="AC186" s="12"/>
      <c r="AD186" s="12"/>
      <c r="AE186" s="12"/>
      <c r="AF186" s="12"/>
      <c r="AG186" s="12"/>
      <c r="AH186" s="12"/>
    </row>
    <row r="187" spans="1:34" ht="12.75">
      <c r="A187" s="12"/>
      <c r="B187" s="12"/>
      <c r="C187" s="12"/>
      <c r="D187" s="12"/>
      <c r="E187" s="12"/>
      <c r="F187" s="17"/>
      <c r="G187" s="12"/>
      <c r="H187" s="12"/>
      <c r="I187" s="12"/>
      <c r="J187" s="12"/>
      <c r="K187" s="12"/>
      <c r="L187" s="12"/>
      <c r="M187" s="12"/>
      <c r="N187" s="12"/>
      <c r="O187" s="12"/>
      <c r="P187" s="12"/>
      <c r="Q187" s="12"/>
      <c r="R187" s="12"/>
      <c r="S187" s="12"/>
      <c r="T187" s="12"/>
      <c r="U187" s="12"/>
      <c r="V187" s="14"/>
      <c r="W187" s="14"/>
      <c r="X187" s="14"/>
      <c r="Y187" s="14"/>
      <c r="Z187" s="15"/>
      <c r="AA187" s="12"/>
      <c r="AB187" s="12"/>
      <c r="AC187" s="12"/>
      <c r="AD187" s="12"/>
      <c r="AE187" s="12"/>
      <c r="AF187" s="12"/>
      <c r="AG187" s="12"/>
      <c r="AH187" s="12"/>
    </row>
    <row r="188" spans="1:34" ht="12.75">
      <c r="A188" s="12"/>
      <c r="B188" s="12"/>
      <c r="C188" s="12"/>
      <c r="D188" s="12"/>
      <c r="E188" s="12"/>
      <c r="F188" s="17"/>
      <c r="G188" s="12"/>
      <c r="H188" s="12"/>
      <c r="I188" s="12"/>
      <c r="J188" s="12"/>
      <c r="K188" s="12"/>
      <c r="L188" s="12"/>
      <c r="M188" s="12"/>
      <c r="N188" s="12"/>
      <c r="O188" s="12"/>
      <c r="P188" s="12"/>
      <c r="Q188" s="12"/>
      <c r="R188" s="12"/>
      <c r="S188" s="12"/>
      <c r="T188" s="12"/>
      <c r="U188" s="12"/>
      <c r="V188" s="14"/>
      <c r="W188" s="14"/>
      <c r="X188" s="14"/>
      <c r="Y188" s="14"/>
      <c r="Z188" s="15"/>
      <c r="AA188" s="12"/>
      <c r="AB188" s="12"/>
      <c r="AC188" s="12"/>
      <c r="AD188" s="12"/>
      <c r="AE188" s="12"/>
      <c r="AF188" s="12"/>
      <c r="AG188" s="12"/>
      <c r="AH188" s="12"/>
    </row>
    <row r="189" spans="1:34" ht="12.75">
      <c r="A189" s="12"/>
      <c r="B189" s="12"/>
      <c r="C189" s="12"/>
      <c r="D189" s="12"/>
      <c r="E189" s="12"/>
      <c r="F189" s="17"/>
      <c r="G189" s="12"/>
      <c r="H189" s="12"/>
      <c r="I189" s="12"/>
      <c r="J189" s="12"/>
      <c r="K189" s="12"/>
      <c r="L189" s="12"/>
      <c r="M189" s="12"/>
      <c r="N189" s="12"/>
      <c r="O189" s="12"/>
      <c r="P189" s="12"/>
      <c r="Q189" s="12"/>
      <c r="R189" s="12"/>
      <c r="S189" s="12"/>
      <c r="T189" s="12"/>
      <c r="U189" s="12"/>
      <c r="V189" s="14"/>
      <c r="W189" s="14"/>
      <c r="X189" s="14"/>
      <c r="Y189" s="14"/>
      <c r="Z189" s="15"/>
      <c r="AA189" s="12"/>
      <c r="AB189" s="12"/>
      <c r="AC189" s="12"/>
      <c r="AD189" s="12"/>
      <c r="AE189" s="12"/>
      <c r="AF189" s="12"/>
      <c r="AG189" s="12"/>
      <c r="AH189" s="12"/>
    </row>
    <row r="190" spans="1:34" ht="12.75">
      <c r="A190" s="12"/>
      <c r="B190" s="12"/>
      <c r="C190" s="12"/>
      <c r="D190" s="12"/>
      <c r="E190" s="12"/>
      <c r="F190" s="17"/>
      <c r="G190" s="12"/>
      <c r="H190" s="12"/>
      <c r="I190" s="12"/>
      <c r="J190" s="12"/>
      <c r="K190" s="12"/>
      <c r="L190" s="12"/>
      <c r="M190" s="12"/>
      <c r="N190" s="12"/>
      <c r="O190" s="12"/>
      <c r="P190" s="12"/>
      <c r="Q190" s="12"/>
      <c r="R190" s="12"/>
      <c r="S190" s="12"/>
      <c r="T190" s="12"/>
      <c r="U190" s="12"/>
      <c r="V190" s="14"/>
      <c r="W190" s="14"/>
      <c r="X190" s="14"/>
      <c r="Y190" s="14"/>
      <c r="Z190" s="15"/>
      <c r="AA190" s="12"/>
      <c r="AB190" s="12"/>
      <c r="AC190" s="12"/>
      <c r="AD190" s="12"/>
      <c r="AE190" s="12"/>
      <c r="AF190" s="12"/>
      <c r="AG190" s="12"/>
      <c r="AH190" s="12"/>
    </row>
    <row r="191" spans="1:34" ht="12.75">
      <c r="A191" s="12"/>
      <c r="B191" s="12"/>
      <c r="C191" s="12"/>
      <c r="D191" s="12"/>
      <c r="E191" s="12"/>
      <c r="F191" s="17"/>
      <c r="G191" s="12"/>
      <c r="H191" s="12"/>
      <c r="I191" s="12"/>
      <c r="J191" s="12"/>
      <c r="K191" s="12"/>
      <c r="L191" s="12"/>
      <c r="M191" s="12"/>
      <c r="N191" s="12"/>
      <c r="O191" s="12"/>
      <c r="P191" s="12"/>
      <c r="Q191" s="12"/>
      <c r="R191" s="12"/>
      <c r="S191" s="12"/>
      <c r="T191" s="12"/>
      <c r="U191" s="12"/>
      <c r="V191" s="14"/>
      <c r="W191" s="14"/>
      <c r="X191" s="14"/>
      <c r="Y191" s="14"/>
      <c r="Z191" s="15"/>
      <c r="AA191" s="12"/>
      <c r="AB191" s="12"/>
      <c r="AC191" s="12"/>
      <c r="AD191" s="12"/>
      <c r="AE191" s="12"/>
      <c r="AF191" s="12"/>
      <c r="AG191" s="12"/>
      <c r="AH191" s="12"/>
    </row>
    <row r="192" spans="1:34" ht="12.75">
      <c r="A192" s="12"/>
      <c r="B192" s="12"/>
      <c r="C192" s="12"/>
      <c r="D192" s="12"/>
      <c r="E192" s="12"/>
      <c r="F192" s="17"/>
      <c r="G192" s="12"/>
      <c r="H192" s="12"/>
      <c r="I192" s="12"/>
      <c r="J192" s="12"/>
      <c r="K192" s="12"/>
      <c r="L192" s="12"/>
      <c r="M192" s="12"/>
      <c r="N192" s="12"/>
      <c r="O192" s="12"/>
      <c r="P192" s="12"/>
      <c r="Q192" s="12"/>
      <c r="R192" s="12"/>
      <c r="S192" s="12"/>
      <c r="T192" s="12"/>
      <c r="U192" s="12"/>
      <c r="V192" s="14"/>
      <c r="W192" s="14"/>
      <c r="X192" s="14"/>
      <c r="Y192" s="14"/>
      <c r="Z192" s="15"/>
      <c r="AA192" s="12"/>
      <c r="AB192" s="12"/>
      <c r="AC192" s="12"/>
      <c r="AD192" s="12"/>
      <c r="AE192" s="12"/>
      <c r="AF192" s="12"/>
      <c r="AG192" s="12"/>
      <c r="AH192" s="12"/>
    </row>
    <row r="193" spans="1:34" ht="12.75">
      <c r="A193" s="12"/>
      <c r="B193" s="12"/>
      <c r="C193" s="12"/>
      <c r="D193" s="12"/>
      <c r="E193" s="12"/>
      <c r="F193" s="17"/>
      <c r="G193" s="12"/>
      <c r="H193" s="12"/>
      <c r="I193" s="12"/>
      <c r="J193" s="12"/>
      <c r="K193" s="12"/>
      <c r="L193" s="12"/>
      <c r="M193" s="12"/>
      <c r="N193" s="12"/>
      <c r="O193" s="12"/>
      <c r="P193" s="12"/>
      <c r="Q193" s="12"/>
      <c r="R193" s="12"/>
      <c r="S193" s="12"/>
      <c r="T193" s="12"/>
      <c r="U193" s="12"/>
      <c r="V193" s="14"/>
      <c r="W193" s="14"/>
      <c r="X193" s="14"/>
      <c r="Y193" s="14"/>
      <c r="Z193" s="15"/>
      <c r="AA193" s="12"/>
      <c r="AB193" s="12"/>
      <c r="AC193" s="12"/>
      <c r="AD193" s="12"/>
      <c r="AE193" s="12"/>
      <c r="AF193" s="12"/>
      <c r="AG193" s="12"/>
      <c r="AH193" s="12"/>
    </row>
    <row r="194" spans="1:34" ht="12.75">
      <c r="A194" s="12"/>
      <c r="B194" s="12"/>
      <c r="C194" s="12"/>
      <c r="D194" s="12"/>
      <c r="E194" s="12"/>
      <c r="F194" s="17"/>
      <c r="G194" s="12"/>
      <c r="H194" s="12"/>
      <c r="I194" s="12"/>
      <c r="J194" s="12"/>
      <c r="K194" s="12"/>
      <c r="L194" s="12"/>
      <c r="M194" s="12"/>
      <c r="N194" s="12"/>
      <c r="O194" s="12"/>
      <c r="P194" s="12"/>
      <c r="Q194" s="12"/>
      <c r="R194" s="12"/>
      <c r="S194" s="12"/>
      <c r="T194" s="12"/>
      <c r="U194" s="12"/>
      <c r="V194" s="14"/>
      <c r="W194" s="14"/>
      <c r="X194" s="14"/>
      <c r="Y194" s="14"/>
      <c r="Z194" s="15"/>
      <c r="AA194" s="12"/>
      <c r="AB194" s="12"/>
      <c r="AC194" s="12"/>
      <c r="AD194" s="12"/>
      <c r="AE194" s="12"/>
      <c r="AF194" s="12"/>
      <c r="AG194" s="12"/>
      <c r="AH194" s="12"/>
    </row>
    <row r="195" spans="1:34" ht="12.75">
      <c r="A195" s="12"/>
      <c r="B195" s="12"/>
      <c r="C195" s="12"/>
      <c r="D195" s="12"/>
      <c r="E195" s="12"/>
      <c r="F195" s="17"/>
      <c r="G195" s="12"/>
      <c r="H195" s="12"/>
      <c r="I195" s="12"/>
      <c r="J195" s="12"/>
      <c r="K195" s="12"/>
      <c r="L195" s="12"/>
      <c r="M195" s="12"/>
      <c r="N195" s="12"/>
      <c r="O195" s="12"/>
      <c r="P195" s="12"/>
      <c r="Q195" s="12"/>
      <c r="R195" s="12"/>
      <c r="S195" s="12"/>
      <c r="T195" s="12"/>
      <c r="U195" s="12"/>
      <c r="V195" s="14"/>
      <c r="W195" s="14"/>
      <c r="X195" s="14"/>
      <c r="Y195" s="14"/>
      <c r="Z195" s="15"/>
      <c r="AA195" s="12"/>
      <c r="AB195" s="12"/>
      <c r="AC195" s="12"/>
      <c r="AD195" s="12"/>
      <c r="AE195" s="12"/>
      <c r="AF195" s="12"/>
      <c r="AG195" s="12"/>
      <c r="AH195" s="12"/>
    </row>
    <row r="196" spans="1:34" ht="12.75">
      <c r="A196" s="12"/>
      <c r="B196" s="12"/>
      <c r="C196" s="12"/>
      <c r="D196" s="12"/>
      <c r="E196" s="12"/>
      <c r="F196" s="17"/>
      <c r="G196" s="12"/>
      <c r="H196" s="12"/>
      <c r="I196" s="12"/>
      <c r="J196" s="12"/>
      <c r="K196" s="12"/>
      <c r="L196" s="12"/>
      <c r="M196" s="12"/>
      <c r="N196" s="12"/>
      <c r="O196" s="12"/>
      <c r="P196" s="12"/>
      <c r="Q196" s="12"/>
      <c r="R196" s="12"/>
      <c r="S196" s="12"/>
      <c r="T196" s="12"/>
      <c r="U196" s="12"/>
      <c r="V196" s="14"/>
      <c r="W196" s="14"/>
      <c r="X196" s="14"/>
      <c r="Y196" s="14"/>
      <c r="Z196" s="15"/>
      <c r="AA196" s="12"/>
      <c r="AB196" s="12"/>
      <c r="AC196" s="12"/>
      <c r="AD196" s="12"/>
      <c r="AE196" s="12"/>
      <c r="AF196" s="12"/>
      <c r="AG196" s="12"/>
      <c r="AH196" s="12"/>
    </row>
    <row r="197" spans="1:34" ht="12.75">
      <c r="A197" s="12"/>
      <c r="B197" s="12"/>
      <c r="C197" s="12"/>
      <c r="D197" s="12"/>
      <c r="E197" s="12"/>
      <c r="F197" s="17"/>
      <c r="G197" s="12"/>
      <c r="H197" s="12"/>
      <c r="I197" s="12"/>
      <c r="J197" s="12"/>
      <c r="K197" s="12"/>
      <c r="L197" s="12"/>
      <c r="M197" s="12"/>
      <c r="N197" s="12"/>
      <c r="O197" s="12"/>
      <c r="P197" s="12"/>
      <c r="Q197" s="12"/>
      <c r="R197" s="12"/>
      <c r="S197" s="12"/>
      <c r="T197" s="12"/>
      <c r="U197" s="12"/>
      <c r="V197" s="14"/>
      <c r="W197" s="14"/>
      <c r="X197" s="14"/>
      <c r="Y197" s="14"/>
      <c r="Z197" s="15"/>
      <c r="AA197" s="12"/>
      <c r="AB197" s="12"/>
      <c r="AC197" s="12"/>
      <c r="AD197" s="12"/>
      <c r="AE197" s="12"/>
      <c r="AF197" s="12"/>
      <c r="AG197" s="12"/>
      <c r="AH197" s="12"/>
    </row>
    <row r="198" spans="1:34" ht="12.75">
      <c r="A198" s="12"/>
      <c r="B198" s="12"/>
      <c r="C198" s="12"/>
      <c r="D198" s="12"/>
      <c r="E198" s="12"/>
      <c r="F198" s="17"/>
      <c r="G198" s="12"/>
      <c r="H198" s="12"/>
      <c r="I198" s="12"/>
      <c r="J198" s="12"/>
      <c r="K198" s="12"/>
      <c r="L198" s="12"/>
      <c r="M198" s="12"/>
      <c r="N198" s="12"/>
      <c r="O198" s="12"/>
      <c r="P198" s="12"/>
      <c r="Q198" s="12"/>
      <c r="R198" s="12"/>
      <c r="S198" s="12"/>
      <c r="T198" s="12"/>
      <c r="U198" s="12"/>
      <c r="V198" s="14"/>
      <c r="W198" s="14"/>
      <c r="X198" s="14"/>
      <c r="Y198" s="14"/>
      <c r="Z198" s="15"/>
      <c r="AA198" s="12"/>
      <c r="AB198" s="12"/>
      <c r="AC198" s="12"/>
      <c r="AD198" s="12"/>
      <c r="AE198" s="12"/>
      <c r="AF198" s="12"/>
      <c r="AG198" s="12"/>
      <c r="AH198" s="12"/>
    </row>
    <row r="199" spans="1:34" ht="12.75">
      <c r="A199" s="12"/>
      <c r="B199" s="12"/>
      <c r="C199" s="12"/>
      <c r="D199" s="12"/>
      <c r="E199" s="12"/>
      <c r="F199" s="17"/>
      <c r="G199" s="12"/>
      <c r="H199" s="12"/>
      <c r="I199" s="12"/>
      <c r="J199" s="12"/>
      <c r="K199" s="12"/>
      <c r="L199" s="12"/>
      <c r="M199" s="12"/>
      <c r="N199" s="12"/>
      <c r="O199" s="12"/>
      <c r="P199" s="12"/>
      <c r="Q199" s="12"/>
      <c r="R199" s="12"/>
      <c r="S199" s="12"/>
      <c r="T199" s="12"/>
      <c r="U199" s="12"/>
      <c r="V199" s="14"/>
      <c r="W199" s="14"/>
      <c r="X199" s="14"/>
      <c r="Y199" s="14"/>
      <c r="Z199" s="15"/>
      <c r="AA199" s="12"/>
      <c r="AB199" s="12"/>
      <c r="AC199" s="12"/>
      <c r="AD199" s="12"/>
      <c r="AE199" s="12"/>
      <c r="AF199" s="12"/>
      <c r="AG199" s="12"/>
      <c r="AH199" s="12"/>
    </row>
    <row r="200" spans="1:34" ht="12.75">
      <c r="A200" s="12"/>
      <c r="B200" s="12"/>
      <c r="C200" s="12"/>
      <c r="D200" s="12"/>
      <c r="E200" s="12"/>
      <c r="F200" s="17"/>
      <c r="G200" s="12"/>
      <c r="H200" s="12"/>
      <c r="I200" s="12"/>
      <c r="J200" s="12"/>
      <c r="K200" s="12"/>
      <c r="L200" s="12"/>
      <c r="M200" s="12"/>
      <c r="N200" s="12"/>
      <c r="O200" s="12"/>
      <c r="P200" s="12"/>
      <c r="Q200" s="12"/>
      <c r="R200" s="12"/>
      <c r="S200" s="12"/>
      <c r="T200" s="12"/>
      <c r="U200" s="12"/>
      <c r="V200" s="14"/>
      <c r="W200" s="14"/>
      <c r="X200" s="14"/>
      <c r="Y200" s="14"/>
      <c r="Z200" s="15"/>
      <c r="AA200" s="12"/>
      <c r="AB200" s="12"/>
      <c r="AC200" s="12"/>
      <c r="AD200" s="12"/>
      <c r="AE200" s="12"/>
      <c r="AF200" s="12"/>
      <c r="AG200" s="12"/>
      <c r="AH200" s="12"/>
    </row>
    <row r="201" spans="1:34" ht="12.75">
      <c r="A201" s="12"/>
      <c r="B201" s="12"/>
      <c r="C201" s="12"/>
      <c r="D201" s="12"/>
      <c r="E201" s="12"/>
      <c r="F201" s="17"/>
      <c r="G201" s="12"/>
      <c r="H201" s="12"/>
      <c r="I201" s="12"/>
      <c r="J201" s="12"/>
      <c r="K201" s="12"/>
      <c r="L201" s="12"/>
      <c r="M201" s="12"/>
      <c r="N201" s="12"/>
      <c r="O201" s="12"/>
      <c r="P201" s="12"/>
      <c r="Q201" s="12"/>
      <c r="R201" s="12"/>
      <c r="S201" s="12"/>
      <c r="T201" s="12"/>
      <c r="U201" s="12"/>
      <c r="V201" s="14"/>
      <c r="W201" s="14"/>
      <c r="X201" s="14"/>
      <c r="Y201" s="14"/>
      <c r="Z201" s="15"/>
      <c r="AA201" s="12"/>
      <c r="AB201" s="12"/>
      <c r="AC201" s="12"/>
      <c r="AD201" s="12"/>
      <c r="AE201" s="12"/>
      <c r="AF201" s="12"/>
      <c r="AG201" s="12"/>
      <c r="AH201" s="12"/>
    </row>
    <row r="202" spans="1:34" ht="12.75">
      <c r="A202" s="12"/>
      <c r="B202" s="12"/>
      <c r="C202" s="12"/>
      <c r="D202" s="12"/>
      <c r="E202" s="12"/>
      <c r="F202" s="17"/>
      <c r="G202" s="12"/>
      <c r="H202" s="12"/>
      <c r="I202" s="12"/>
      <c r="J202" s="12"/>
      <c r="K202" s="12"/>
      <c r="L202" s="12"/>
      <c r="M202" s="12"/>
      <c r="N202" s="12"/>
      <c r="O202" s="12"/>
      <c r="P202" s="12"/>
      <c r="Q202" s="12"/>
      <c r="R202" s="12"/>
      <c r="S202" s="12"/>
      <c r="T202" s="12"/>
      <c r="U202" s="12"/>
      <c r="V202" s="14"/>
      <c r="W202" s="14"/>
      <c r="X202" s="14"/>
      <c r="Y202" s="14"/>
      <c r="Z202" s="15"/>
      <c r="AA202" s="12"/>
      <c r="AB202" s="12"/>
      <c r="AC202" s="12"/>
      <c r="AD202" s="12"/>
      <c r="AE202" s="12"/>
      <c r="AF202" s="12"/>
      <c r="AG202" s="12"/>
      <c r="AH202" s="12"/>
    </row>
    <row r="203" spans="1:34" ht="12.75">
      <c r="A203" s="12"/>
      <c r="B203" s="12"/>
      <c r="C203" s="12"/>
      <c r="D203" s="12"/>
      <c r="E203" s="12"/>
      <c r="F203" s="17"/>
      <c r="G203" s="12"/>
      <c r="H203" s="12"/>
      <c r="I203" s="12"/>
      <c r="J203" s="12"/>
      <c r="K203" s="12"/>
      <c r="L203" s="12"/>
      <c r="M203" s="12"/>
      <c r="N203" s="12"/>
      <c r="O203" s="12"/>
      <c r="P203" s="12"/>
      <c r="Q203" s="12"/>
      <c r="R203" s="12"/>
      <c r="S203" s="12"/>
      <c r="T203" s="12"/>
      <c r="U203" s="12"/>
      <c r="V203" s="14"/>
      <c r="W203" s="14"/>
      <c r="X203" s="14"/>
      <c r="Y203" s="14"/>
      <c r="Z203" s="15"/>
      <c r="AA203" s="12"/>
      <c r="AB203" s="12"/>
      <c r="AC203" s="12"/>
      <c r="AD203" s="12"/>
      <c r="AE203" s="12"/>
      <c r="AF203" s="12"/>
      <c r="AG203" s="12"/>
      <c r="AH203" s="12"/>
    </row>
    <row r="204" spans="1:34" ht="12.75">
      <c r="A204" s="12"/>
      <c r="B204" s="12"/>
      <c r="C204" s="12"/>
      <c r="D204" s="12"/>
      <c r="E204" s="12"/>
      <c r="F204" s="17"/>
      <c r="G204" s="12"/>
      <c r="H204" s="12"/>
      <c r="I204" s="12"/>
      <c r="J204" s="12"/>
      <c r="K204" s="12"/>
      <c r="L204" s="12"/>
      <c r="M204" s="12"/>
      <c r="N204" s="12"/>
      <c r="O204" s="12"/>
      <c r="P204" s="12"/>
      <c r="Q204" s="12"/>
      <c r="R204" s="12"/>
      <c r="S204" s="12"/>
      <c r="T204" s="12"/>
      <c r="U204" s="12"/>
      <c r="V204" s="14"/>
      <c r="W204" s="14"/>
      <c r="X204" s="14"/>
      <c r="Y204" s="14"/>
      <c r="Z204" s="15"/>
      <c r="AA204" s="12"/>
      <c r="AB204" s="12"/>
      <c r="AC204" s="12"/>
      <c r="AD204" s="12"/>
      <c r="AE204" s="12"/>
      <c r="AF204" s="12"/>
      <c r="AG204" s="12"/>
      <c r="AH204" s="12"/>
    </row>
    <row r="205" spans="1:34" ht="12.75">
      <c r="A205" s="12"/>
      <c r="B205" s="12"/>
      <c r="C205" s="12"/>
      <c r="D205" s="12"/>
      <c r="E205" s="12"/>
      <c r="F205" s="17"/>
      <c r="G205" s="12"/>
      <c r="H205" s="12"/>
      <c r="I205" s="12"/>
      <c r="J205" s="12"/>
      <c r="K205" s="12"/>
      <c r="L205" s="12"/>
      <c r="M205" s="12"/>
      <c r="N205" s="12"/>
      <c r="O205" s="12"/>
      <c r="P205" s="12"/>
      <c r="Q205" s="12"/>
      <c r="R205" s="12"/>
      <c r="S205" s="12"/>
      <c r="T205" s="12"/>
      <c r="U205" s="12"/>
      <c r="V205" s="14"/>
      <c r="W205" s="14"/>
      <c r="X205" s="14"/>
      <c r="Y205" s="14"/>
      <c r="Z205" s="15"/>
      <c r="AA205" s="12"/>
      <c r="AB205" s="12"/>
      <c r="AC205" s="12"/>
      <c r="AD205" s="12"/>
      <c r="AE205" s="12"/>
      <c r="AF205" s="12"/>
      <c r="AG205" s="12"/>
      <c r="AH205" s="12"/>
    </row>
    <row r="206" spans="1:34" ht="12.75">
      <c r="A206" s="12"/>
      <c r="B206" s="12"/>
      <c r="C206" s="12"/>
      <c r="D206" s="12"/>
      <c r="E206" s="12"/>
      <c r="F206" s="17"/>
      <c r="G206" s="12"/>
      <c r="H206" s="12"/>
      <c r="I206" s="12"/>
      <c r="J206" s="12"/>
      <c r="K206" s="12"/>
      <c r="L206" s="12"/>
      <c r="M206" s="12"/>
      <c r="N206" s="12"/>
      <c r="O206" s="12"/>
      <c r="P206" s="12"/>
      <c r="Q206" s="12"/>
      <c r="R206" s="12"/>
      <c r="S206" s="12"/>
      <c r="T206" s="12"/>
      <c r="U206" s="12"/>
      <c r="V206" s="14"/>
      <c r="W206" s="14"/>
      <c r="X206" s="14"/>
      <c r="Y206" s="14"/>
      <c r="Z206" s="15"/>
      <c r="AA206" s="12"/>
      <c r="AB206" s="12"/>
      <c r="AC206" s="12"/>
      <c r="AD206" s="12"/>
      <c r="AE206" s="12"/>
      <c r="AF206" s="12"/>
      <c r="AG206" s="12"/>
      <c r="AH206" s="12"/>
    </row>
    <row r="207" spans="1:34" ht="12.75">
      <c r="A207" s="12"/>
      <c r="B207" s="12"/>
      <c r="C207" s="12"/>
      <c r="D207" s="12"/>
      <c r="E207" s="12"/>
      <c r="F207" s="17"/>
      <c r="G207" s="12"/>
      <c r="H207" s="12"/>
      <c r="I207" s="12"/>
      <c r="J207" s="12"/>
      <c r="K207" s="12"/>
      <c r="L207" s="12"/>
      <c r="M207" s="12"/>
      <c r="N207" s="12"/>
      <c r="O207" s="12"/>
      <c r="P207" s="12"/>
      <c r="Q207" s="12"/>
      <c r="R207" s="12"/>
      <c r="S207" s="12"/>
      <c r="T207" s="12"/>
      <c r="U207" s="12"/>
      <c r="V207" s="14"/>
      <c r="W207" s="14"/>
      <c r="X207" s="14"/>
      <c r="Y207" s="14"/>
      <c r="Z207" s="15"/>
      <c r="AA207" s="12"/>
      <c r="AB207" s="12"/>
      <c r="AC207" s="12"/>
      <c r="AD207" s="12"/>
      <c r="AE207" s="12"/>
      <c r="AF207" s="12"/>
      <c r="AG207" s="12"/>
      <c r="AH207" s="12"/>
    </row>
    <row r="208" spans="1:34" ht="12.75">
      <c r="A208" s="12"/>
      <c r="B208" s="12"/>
      <c r="C208" s="12"/>
      <c r="D208" s="12"/>
      <c r="E208" s="12"/>
      <c r="F208" s="17"/>
      <c r="G208" s="12"/>
      <c r="H208" s="12"/>
      <c r="I208" s="12"/>
      <c r="J208" s="12"/>
      <c r="K208" s="12"/>
      <c r="L208" s="12"/>
      <c r="M208" s="12"/>
      <c r="N208" s="12"/>
      <c r="O208" s="12"/>
      <c r="P208" s="12"/>
      <c r="Q208" s="12"/>
      <c r="R208" s="12"/>
      <c r="S208" s="12"/>
      <c r="T208" s="12"/>
      <c r="U208" s="12"/>
      <c r="V208" s="14"/>
      <c r="W208" s="14"/>
      <c r="X208" s="14"/>
      <c r="Y208" s="14"/>
      <c r="Z208" s="15"/>
      <c r="AA208" s="12"/>
      <c r="AB208" s="12"/>
      <c r="AC208" s="12"/>
      <c r="AD208" s="12"/>
      <c r="AE208" s="12"/>
      <c r="AF208" s="12"/>
      <c r="AG208" s="12"/>
      <c r="AH208" s="12"/>
    </row>
    <row r="209" spans="1:34" ht="12.75">
      <c r="A209" s="12"/>
      <c r="B209" s="12"/>
      <c r="C209" s="12"/>
      <c r="D209" s="12"/>
      <c r="E209" s="12"/>
      <c r="F209" s="17"/>
      <c r="G209" s="12"/>
      <c r="H209" s="12"/>
      <c r="I209" s="12"/>
      <c r="J209" s="12"/>
      <c r="K209" s="12"/>
      <c r="L209" s="12"/>
      <c r="M209" s="12"/>
      <c r="N209" s="12"/>
      <c r="O209" s="12"/>
      <c r="P209" s="12"/>
      <c r="Q209" s="12"/>
      <c r="R209" s="12"/>
      <c r="S209" s="12"/>
      <c r="T209" s="12"/>
      <c r="U209" s="12"/>
      <c r="V209" s="14"/>
      <c r="W209" s="14"/>
      <c r="X209" s="14"/>
      <c r="Y209" s="14"/>
      <c r="Z209" s="15"/>
      <c r="AA209" s="12"/>
      <c r="AB209" s="12"/>
      <c r="AC209" s="12"/>
      <c r="AD209" s="12"/>
      <c r="AE209" s="12"/>
      <c r="AF209" s="12"/>
      <c r="AG209" s="12"/>
      <c r="AH209" s="12"/>
    </row>
    <row r="210" spans="1:34" ht="12.75">
      <c r="A210" s="12"/>
      <c r="B210" s="12"/>
      <c r="C210" s="12"/>
      <c r="D210" s="12"/>
      <c r="E210" s="12"/>
      <c r="F210" s="17"/>
      <c r="G210" s="12"/>
      <c r="H210" s="12"/>
      <c r="I210" s="12"/>
      <c r="J210" s="12"/>
      <c r="K210" s="12"/>
      <c r="L210" s="12"/>
      <c r="M210" s="12"/>
      <c r="N210" s="12"/>
      <c r="O210" s="12"/>
      <c r="P210" s="12"/>
      <c r="Q210" s="12"/>
      <c r="R210" s="12"/>
      <c r="S210" s="12"/>
      <c r="T210" s="12"/>
      <c r="U210" s="12"/>
      <c r="V210" s="14"/>
      <c r="W210" s="14"/>
      <c r="X210" s="14"/>
      <c r="Y210" s="14"/>
      <c r="Z210" s="15"/>
      <c r="AA210" s="12"/>
      <c r="AB210" s="12"/>
      <c r="AC210" s="12"/>
      <c r="AD210" s="12"/>
      <c r="AE210" s="12"/>
      <c r="AF210" s="12"/>
      <c r="AG210" s="12"/>
      <c r="AH210" s="12"/>
    </row>
    <row r="211" spans="1:34" ht="12.75">
      <c r="A211" s="12"/>
      <c r="B211" s="12"/>
      <c r="C211" s="12"/>
      <c r="D211" s="12"/>
      <c r="E211" s="12"/>
      <c r="F211" s="17"/>
      <c r="G211" s="12"/>
      <c r="H211" s="12"/>
      <c r="I211" s="12"/>
      <c r="J211" s="12"/>
      <c r="K211" s="12"/>
      <c r="L211" s="12"/>
      <c r="M211" s="12"/>
      <c r="N211" s="12"/>
      <c r="O211" s="12"/>
      <c r="P211" s="12"/>
      <c r="Q211" s="12"/>
      <c r="R211" s="12"/>
      <c r="S211" s="12"/>
      <c r="T211" s="12"/>
      <c r="U211" s="12"/>
      <c r="V211" s="14"/>
      <c r="W211" s="14"/>
      <c r="X211" s="14"/>
      <c r="Y211" s="14"/>
      <c r="Z211" s="15"/>
      <c r="AA211" s="12"/>
      <c r="AB211" s="12"/>
      <c r="AC211" s="12"/>
      <c r="AD211" s="12"/>
      <c r="AE211" s="12"/>
      <c r="AF211" s="12"/>
      <c r="AG211" s="12"/>
      <c r="AH211" s="12"/>
    </row>
    <row r="212" spans="1:34" ht="12.75">
      <c r="A212" s="12"/>
      <c r="B212" s="12"/>
      <c r="C212" s="12"/>
      <c r="D212" s="12"/>
      <c r="E212" s="12"/>
      <c r="F212" s="17"/>
      <c r="G212" s="12"/>
      <c r="H212" s="12"/>
      <c r="I212" s="12"/>
      <c r="J212" s="12"/>
      <c r="K212" s="12"/>
      <c r="L212" s="12"/>
      <c r="M212" s="12"/>
      <c r="N212" s="12"/>
      <c r="O212" s="12"/>
      <c r="P212" s="12"/>
      <c r="Q212" s="12"/>
      <c r="R212" s="12"/>
      <c r="S212" s="12"/>
      <c r="T212" s="12"/>
      <c r="U212" s="12"/>
      <c r="V212" s="14"/>
      <c r="W212" s="14"/>
      <c r="X212" s="14"/>
      <c r="Y212" s="14"/>
      <c r="Z212" s="15"/>
      <c r="AA212" s="12"/>
      <c r="AB212" s="12"/>
      <c r="AC212" s="12"/>
      <c r="AD212" s="12"/>
      <c r="AE212" s="12"/>
      <c r="AF212" s="12"/>
      <c r="AG212" s="12"/>
      <c r="AH212" s="12"/>
    </row>
    <row r="213" spans="1:34" ht="12.75">
      <c r="A213" s="12"/>
      <c r="B213" s="12"/>
      <c r="C213" s="12"/>
      <c r="D213" s="12"/>
      <c r="E213" s="12"/>
      <c r="F213" s="17"/>
      <c r="G213" s="12"/>
      <c r="H213" s="12"/>
      <c r="I213" s="12"/>
      <c r="J213" s="12"/>
      <c r="K213" s="12"/>
      <c r="L213" s="12"/>
      <c r="M213" s="12"/>
      <c r="N213" s="12"/>
      <c r="O213" s="12"/>
      <c r="P213" s="12"/>
      <c r="Q213" s="12"/>
      <c r="R213" s="12"/>
      <c r="S213" s="12"/>
      <c r="T213" s="12"/>
      <c r="U213" s="12"/>
      <c r="V213" s="14"/>
      <c r="W213" s="14"/>
      <c r="X213" s="14"/>
      <c r="Y213" s="14"/>
      <c r="Z213" s="15"/>
      <c r="AA213" s="12"/>
      <c r="AB213" s="12"/>
      <c r="AC213" s="12"/>
      <c r="AD213" s="12"/>
      <c r="AE213" s="12"/>
      <c r="AF213" s="12"/>
      <c r="AG213" s="12"/>
      <c r="AH213" s="12"/>
    </row>
    <row r="214" spans="1:34" ht="12.75">
      <c r="A214" s="12"/>
      <c r="B214" s="12"/>
      <c r="C214" s="12"/>
      <c r="D214" s="12"/>
      <c r="E214" s="12"/>
      <c r="F214" s="17"/>
      <c r="G214" s="12"/>
      <c r="H214" s="12"/>
      <c r="I214" s="12"/>
      <c r="J214" s="12"/>
      <c r="K214" s="12"/>
      <c r="L214" s="12"/>
      <c r="M214" s="12"/>
      <c r="N214" s="12"/>
      <c r="O214" s="12"/>
      <c r="P214" s="12"/>
      <c r="Q214" s="12"/>
      <c r="R214" s="12"/>
      <c r="S214" s="12"/>
      <c r="T214" s="12"/>
      <c r="U214" s="12"/>
      <c r="V214" s="14"/>
      <c r="W214" s="14"/>
      <c r="X214" s="14"/>
      <c r="Y214" s="14"/>
      <c r="Z214" s="15"/>
      <c r="AA214" s="12"/>
      <c r="AB214" s="12"/>
      <c r="AC214" s="12"/>
      <c r="AD214" s="12"/>
      <c r="AE214" s="12"/>
      <c r="AF214" s="12"/>
      <c r="AG214" s="12"/>
      <c r="AH214" s="12"/>
    </row>
    <row r="215" spans="1:34" ht="12.75">
      <c r="A215" s="12"/>
      <c r="B215" s="12"/>
      <c r="C215" s="12"/>
      <c r="D215" s="12"/>
      <c r="E215" s="12"/>
      <c r="F215" s="17"/>
      <c r="G215" s="12"/>
      <c r="H215" s="12"/>
      <c r="I215" s="12"/>
      <c r="J215" s="12"/>
      <c r="K215" s="12"/>
      <c r="L215" s="12"/>
      <c r="M215" s="12"/>
      <c r="N215" s="12"/>
      <c r="O215" s="12"/>
      <c r="P215" s="12"/>
      <c r="Q215" s="12"/>
      <c r="R215" s="12"/>
      <c r="S215" s="12"/>
      <c r="T215" s="12"/>
      <c r="U215" s="12"/>
      <c r="V215" s="14"/>
      <c r="W215" s="14"/>
      <c r="X215" s="14"/>
      <c r="Y215" s="14"/>
      <c r="Z215" s="15"/>
      <c r="AA215" s="12"/>
      <c r="AB215" s="12"/>
      <c r="AC215" s="12"/>
      <c r="AD215" s="12"/>
      <c r="AE215" s="12"/>
      <c r="AF215" s="12"/>
      <c r="AG215" s="12"/>
      <c r="AH215" s="12"/>
    </row>
    <row r="216" spans="1:34" ht="12.75">
      <c r="A216" s="12"/>
      <c r="B216" s="12"/>
      <c r="C216" s="12"/>
      <c r="D216" s="12"/>
      <c r="E216" s="12"/>
      <c r="F216" s="17"/>
      <c r="G216" s="12"/>
      <c r="H216" s="12"/>
      <c r="I216" s="12"/>
      <c r="J216" s="12"/>
      <c r="K216" s="12"/>
      <c r="L216" s="12"/>
      <c r="M216" s="12"/>
      <c r="N216" s="12"/>
      <c r="O216" s="12"/>
      <c r="P216" s="12"/>
      <c r="Q216" s="12"/>
      <c r="R216" s="12"/>
      <c r="S216" s="12"/>
      <c r="T216" s="12"/>
      <c r="U216" s="12"/>
      <c r="V216" s="14"/>
      <c r="W216" s="14"/>
      <c r="X216" s="14"/>
      <c r="Y216" s="14"/>
      <c r="Z216" s="15"/>
      <c r="AA216" s="12"/>
      <c r="AB216" s="12"/>
      <c r="AC216" s="12"/>
      <c r="AD216" s="12"/>
      <c r="AE216" s="12"/>
      <c r="AF216" s="12"/>
      <c r="AG216" s="12"/>
      <c r="AH216" s="12"/>
    </row>
    <row r="217" spans="1:34" ht="12.75">
      <c r="A217" s="12"/>
      <c r="B217" s="12"/>
      <c r="C217" s="12"/>
      <c r="D217" s="12"/>
      <c r="E217" s="12"/>
      <c r="F217" s="17"/>
      <c r="G217" s="12"/>
      <c r="H217" s="12"/>
      <c r="I217" s="12"/>
      <c r="J217" s="12"/>
      <c r="K217" s="12"/>
      <c r="L217" s="12"/>
      <c r="M217" s="12"/>
      <c r="N217" s="12"/>
      <c r="O217" s="12"/>
      <c r="P217" s="12"/>
      <c r="Q217" s="12"/>
      <c r="R217" s="12"/>
      <c r="S217" s="12"/>
      <c r="T217" s="12"/>
      <c r="U217" s="12"/>
      <c r="V217" s="14"/>
      <c r="W217" s="14"/>
      <c r="X217" s="14"/>
      <c r="Y217" s="14"/>
      <c r="Z217" s="15"/>
      <c r="AA217" s="12"/>
      <c r="AB217" s="12"/>
      <c r="AC217" s="12"/>
      <c r="AD217" s="12"/>
      <c r="AE217" s="12"/>
      <c r="AF217" s="12"/>
      <c r="AG217" s="12"/>
      <c r="AH217" s="12"/>
    </row>
    <row r="218" spans="1:34" ht="12.75">
      <c r="A218" s="12"/>
      <c r="B218" s="12"/>
      <c r="C218" s="12"/>
      <c r="D218" s="12"/>
      <c r="E218" s="12"/>
      <c r="F218" s="17"/>
      <c r="G218" s="12"/>
      <c r="H218" s="12"/>
      <c r="I218" s="12"/>
      <c r="J218" s="12"/>
      <c r="K218" s="12"/>
      <c r="L218" s="12"/>
      <c r="M218" s="12"/>
      <c r="N218" s="12"/>
      <c r="O218" s="12"/>
      <c r="P218" s="12"/>
      <c r="Q218" s="12"/>
      <c r="R218" s="12"/>
      <c r="S218" s="12"/>
      <c r="T218" s="12"/>
      <c r="U218" s="12"/>
      <c r="V218" s="14"/>
      <c r="W218" s="14"/>
      <c r="X218" s="14"/>
      <c r="Y218" s="14"/>
      <c r="Z218" s="15"/>
      <c r="AA218" s="12"/>
      <c r="AB218" s="12"/>
      <c r="AC218" s="12"/>
      <c r="AD218" s="12"/>
      <c r="AE218" s="12"/>
      <c r="AF218" s="12"/>
      <c r="AG218" s="12"/>
      <c r="AH218" s="12"/>
    </row>
    <row r="219" spans="1:34" ht="12.75">
      <c r="A219" s="12"/>
      <c r="B219" s="12"/>
      <c r="C219" s="12"/>
      <c r="D219" s="12"/>
      <c r="E219" s="12"/>
      <c r="F219" s="17"/>
      <c r="G219" s="12"/>
      <c r="H219" s="12"/>
      <c r="I219" s="12"/>
      <c r="J219" s="12"/>
      <c r="K219" s="12"/>
      <c r="L219" s="12"/>
      <c r="M219" s="12"/>
      <c r="N219" s="12"/>
      <c r="O219" s="12"/>
      <c r="P219" s="12"/>
      <c r="Q219" s="12"/>
      <c r="R219" s="12"/>
      <c r="S219" s="12"/>
      <c r="T219" s="12"/>
      <c r="U219" s="12"/>
      <c r="V219" s="14"/>
      <c r="W219" s="14"/>
      <c r="X219" s="14"/>
      <c r="Y219" s="14"/>
      <c r="Z219" s="15"/>
      <c r="AA219" s="12"/>
      <c r="AB219" s="12"/>
      <c r="AC219" s="12"/>
      <c r="AD219" s="12"/>
      <c r="AE219" s="12"/>
      <c r="AF219" s="12"/>
      <c r="AG219" s="12"/>
      <c r="AH219" s="12"/>
    </row>
    <row r="220" spans="1:34" ht="12.75">
      <c r="A220" s="12"/>
      <c r="B220" s="12"/>
      <c r="C220" s="12"/>
      <c r="D220" s="12"/>
      <c r="E220" s="12"/>
      <c r="F220" s="17"/>
      <c r="G220" s="12"/>
      <c r="H220" s="12"/>
      <c r="I220" s="12"/>
      <c r="J220" s="12"/>
      <c r="K220" s="12"/>
      <c r="L220" s="12"/>
      <c r="M220" s="12"/>
      <c r="N220" s="12"/>
      <c r="O220" s="12"/>
      <c r="P220" s="12"/>
      <c r="Q220" s="12"/>
      <c r="R220" s="12"/>
      <c r="S220" s="12"/>
      <c r="T220" s="12"/>
      <c r="U220" s="12"/>
      <c r="V220" s="14"/>
      <c r="W220" s="14"/>
      <c r="X220" s="14"/>
      <c r="Y220" s="14"/>
      <c r="Z220" s="15"/>
      <c r="AA220" s="12"/>
      <c r="AB220" s="12"/>
      <c r="AC220" s="12"/>
      <c r="AD220" s="12"/>
      <c r="AE220" s="12"/>
      <c r="AF220" s="12"/>
      <c r="AG220" s="12"/>
      <c r="AH220" s="12"/>
    </row>
    <row r="221" spans="1:34" ht="12.75">
      <c r="A221" s="12"/>
      <c r="B221" s="12"/>
      <c r="C221" s="12"/>
      <c r="D221" s="12"/>
      <c r="E221" s="12"/>
      <c r="F221" s="17"/>
      <c r="G221" s="12"/>
      <c r="H221" s="12"/>
      <c r="I221" s="12"/>
      <c r="J221" s="12"/>
      <c r="K221" s="12"/>
      <c r="L221" s="12"/>
      <c r="M221" s="12"/>
      <c r="N221" s="12"/>
      <c r="O221" s="12"/>
      <c r="P221" s="12"/>
      <c r="Q221" s="12"/>
      <c r="R221" s="12"/>
      <c r="S221" s="12"/>
      <c r="T221" s="12"/>
      <c r="U221" s="12"/>
      <c r="V221" s="14"/>
      <c r="W221" s="14"/>
      <c r="X221" s="14"/>
      <c r="Y221" s="14"/>
      <c r="Z221" s="15"/>
      <c r="AA221" s="12"/>
      <c r="AB221" s="12"/>
      <c r="AC221" s="12"/>
      <c r="AD221" s="12"/>
      <c r="AE221" s="12"/>
      <c r="AF221" s="12"/>
      <c r="AG221" s="12"/>
      <c r="AH221" s="12"/>
    </row>
    <row r="222" spans="1:34" ht="12.75">
      <c r="A222" s="12"/>
      <c r="B222" s="12"/>
      <c r="C222" s="12"/>
      <c r="D222" s="12"/>
      <c r="E222" s="12"/>
      <c r="F222" s="17"/>
      <c r="G222" s="12"/>
      <c r="H222" s="12"/>
      <c r="I222" s="12"/>
      <c r="J222" s="12"/>
      <c r="K222" s="12"/>
      <c r="L222" s="12"/>
      <c r="M222" s="12"/>
      <c r="N222" s="12"/>
      <c r="O222" s="12"/>
      <c r="P222" s="12"/>
      <c r="Q222" s="12"/>
      <c r="R222" s="12"/>
      <c r="S222" s="12"/>
      <c r="T222" s="12"/>
      <c r="U222" s="12"/>
      <c r="V222" s="14"/>
      <c r="W222" s="14"/>
      <c r="X222" s="14"/>
      <c r="Y222" s="14"/>
      <c r="Z222" s="15"/>
      <c r="AA222" s="12"/>
      <c r="AB222" s="12"/>
      <c r="AC222" s="12"/>
      <c r="AD222" s="12"/>
      <c r="AE222" s="12"/>
      <c r="AF222" s="12"/>
      <c r="AG222" s="12"/>
      <c r="AH222" s="12"/>
    </row>
    <row r="223" spans="1:34" ht="12.75">
      <c r="A223" s="12"/>
      <c r="B223" s="12"/>
      <c r="C223" s="12"/>
      <c r="D223" s="12"/>
      <c r="E223" s="12"/>
      <c r="F223" s="17"/>
      <c r="G223" s="12"/>
      <c r="H223" s="12"/>
      <c r="I223" s="12"/>
      <c r="J223" s="12"/>
      <c r="K223" s="12"/>
      <c r="L223" s="12"/>
      <c r="M223" s="12"/>
      <c r="N223" s="12"/>
      <c r="O223" s="12"/>
      <c r="P223" s="12"/>
      <c r="Q223" s="12"/>
      <c r="R223" s="12"/>
      <c r="S223" s="12"/>
      <c r="T223" s="12"/>
      <c r="U223" s="12"/>
      <c r="V223" s="14"/>
      <c r="W223" s="14"/>
      <c r="X223" s="14"/>
      <c r="Y223" s="14"/>
      <c r="Z223" s="15"/>
      <c r="AA223" s="12"/>
      <c r="AB223" s="12"/>
      <c r="AC223" s="12"/>
      <c r="AD223" s="12"/>
      <c r="AE223" s="12"/>
      <c r="AF223" s="12"/>
      <c r="AG223" s="12"/>
      <c r="AH223" s="12"/>
    </row>
    <row r="224" spans="1:34" ht="12.75">
      <c r="A224" s="12"/>
      <c r="B224" s="12"/>
      <c r="C224" s="12"/>
      <c r="D224" s="12"/>
      <c r="E224" s="12"/>
      <c r="F224" s="17"/>
      <c r="G224" s="12"/>
      <c r="H224" s="12"/>
      <c r="I224" s="12"/>
      <c r="J224" s="12"/>
      <c r="K224" s="12"/>
      <c r="L224" s="12"/>
      <c r="M224" s="12"/>
      <c r="N224" s="12"/>
      <c r="O224" s="12"/>
      <c r="P224" s="12"/>
      <c r="Q224" s="12"/>
      <c r="R224" s="12"/>
      <c r="S224" s="12"/>
      <c r="T224" s="12"/>
      <c r="U224" s="12"/>
      <c r="V224" s="14"/>
      <c r="W224" s="14"/>
      <c r="X224" s="14"/>
      <c r="Y224" s="14"/>
      <c r="Z224" s="15"/>
      <c r="AA224" s="12"/>
      <c r="AB224" s="12"/>
      <c r="AC224" s="12"/>
      <c r="AD224" s="12"/>
      <c r="AE224" s="12"/>
      <c r="AF224" s="12"/>
      <c r="AG224" s="12"/>
      <c r="AH224" s="12"/>
    </row>
    <row r="225" spans="1:34" ht="12.75">
      <c r="A225" s="12"/>
      <c r="B225" s="12"/>
      <c r="C225" s="12"/>
      <c r="D225" s="12"/>
      <c r="E225" s="12"/>
      <c r="F225" s="17"/>
      <c r="G225" s="12"/>
      <c r="H225" s="12"/>
      <c r="I225" s="12"/>
      <c r="J225" s="12"/>
      <c r="K225" s="12"/>
      <c r="L225" s="12"/>
      <c r="M225" s="12"/>
      <c r="N225" s="12"/>
      <c r="O225" s="12"/>
      <c r="P225" s="12"/>
      <c r="Q225" s="12"/>
      <c r="R225" s="12"/>
      <c r="S225" s="12"/>
      <c r="T225" s="12"/>
      <c r="U225" s="12"/>
      <c r="V225" s="14"/>
      <c r="W225" s="14"/>
      <c r="X225" s="14"/>
      <c r="Y225" s="14"/>
      <c r="Z225" s="15"/>
      <c r="AA225" s="12"/>
      <c r="AB225" s="12"/>
      <c r="AC225" s="12"/>
      <c r="AD225" s="12"/>
      <c r="AE225" s="12"/>
      <c r="AF225" s="12"/>
      <c r="AG225" s="12"/>
      <c r="AH225" s="12"/>
    </row>
    <row r="226" spans="1:34" ht="12.75">
      <c r="A226" s="12"/>
      <c r="B226" s="12"/>
      <c r="C226" s="12"/>
      <c r="D226" s="12"/>
      <c r="E226" s="12"/>
      <c r="F226" s="17"/>
      <c r="G226" s="12"/>
      <c r="H226" s="12"/>
      <c r="I226" s="12"/>
      <c r="J226" s="12"/>
      <c r="K226" s="12"/>
      <c r="L226" s="12"/>
      <c r="M226" s="12"/>
      <c r="N226" s="12"/>
      <c r="O226" s="12"/>
      <c r="P226" s="12"/>
      <c r="Q226" s="12"/>
      <c r="R226" s="12"/>
      <c r="S226" s="12"/>
      <c r="T226" s="12"/>
      <c r="U226" s="12"/>
      <c r="V226" s="14"/>
      <c r="W226" s="14"/>
      <c r="X226" s="14"/>
      <c r="Y226" s="14"/>
      <c r="Z226" s="15"/>
      <c r="AA226" s="12"/>
      <c r="AB226" s="12"/>
      <c r="AC226" s="12"/>
      <c r="AD226" s="12"/>
      <c r="AE226" s="12"/>
      <c r="AF226" s="12"/>
      <c r="AG226" s="12"/>
      <c r="AH226" s="12"/>
    </row>
    <row r="227" spans="1:34" ht="12.75">
      <c r="A227" s="12"/>
      <c r="B227" s="12"/>
      <c r="C227" s="12"/>
      <c r="D227" s="12"/>
      <c r="E227" s="12"/>
      <c r="F227" s="17"/>
      <c r="G227" s="12"/>
      <c r="H227" s="12"/>
      <c r="I227" s="12"/>
      <c r="J227" s="12"/>
      <c r="K227" s="12"/>
      <c r="L227" s="12"/>
      <c r="M227" s="12"/>
      <c r="N227" s="12"/>
      <c r="O227" s="12"/>
      <c r="P227" s="12"/>
      <c r="Q227" s="12"/>
      <c r="R227" s="12"/>
      <c r="S227" s="12"/>
      <c r="T227" s="12"/>
      <c r="U227" s="12"/>
      <c r="V227" s="14"/>
      <c r="W227" s="14"/>
      <c r="X227" s="14"/>
      <c r="Y227" s="14"/>
      <c r="Z227" s="15"/>
      <c r="AA227" s="12"/>
      <c r="AB227" s="12"/>
      <c r="AC227" s="12"/>
      <c r="AD227" s="12"/>
      <c r="AE227" s="12"/>
      <c r="AF227" s="12"/>
      <c r="AG227" s="12"/>
      <c r="AH227" s="12"/>
    </row>
    <row r="228" spans="1:34" ht="12.75">
      <c r="A228" s="12"/>
      <c r="B228" s="12"/>
      <c r="C228" s="12"/>
      <c r="D228" s="12"/>
      <c r="E228" s="12"/>
      <c r="F228" s="17"/>
      <c r="G228" s="12"/>
      <c r="H228" s="12"/>
      <c r="I228" s="12"/>
      <c r="J228" s="12"/>
      <c r="K228" s="12"/>
      <c r="L228" s="12"/>
      <c r="M228" s="12"/>
      <c r="N228" s="12"/>
      <c r="O228" s="12"/>
      <c r="P228" s="12"/>
      <c r="Q228" s="12"/>
      <c r="R228" s="12"/>
      <c r="S228" s="12"/>
      <c r="T228" s="12"/>
      <c r="U228" s="12"/>
      <c r="V228" s="14"/>
      <c r="W228" s="14"/>
      <c r="X228" s="14"/>
      <c r="Y228" s="14"/>
      <c r="Z228" s="15"/>
      <c r="AA228" s="12"/>
      <c r="AB228" s="12"/>
      <c r="AC228" s="12"/>
      <c r="AD228" s="12"/>
      <c r="AE228" s="12"/>
      <c r="AF228" s="12"/>
      <c r="AG228" s="12"/>
      <c r="AH228" s="12"/>
    </row>
    <row r="229" spans="1:34" ht="12.75">
      <c r="A229" s="12"/>
      <c r="B229" s="12"/>
      <c r="C229" s="12"/>
      <c r="D229" s="12"/>
      <c r="E229" s="12"/>
      <c r="F229" s="17"/>
      <c r="G229" s="12"/>
      <c r="H229" s="12"/>
      <c r="I229" s="12"/>
      <c r="J229" s="12"/>
      <c r="K229" s="12"/>
      <c r="L229" s="12"/>
      <c r="M229" s="12"/>
      <c r="N229" s="12"/>
      <c r="O229" s="12"/>
      <c r="P229" s="12"/>
      <c r="Q229" s="12"/>
      <c r="R229" s="12"/>
      <c r="S229" s="12"/>
      <c r="T229" s="12"/>
      <c r="U229" s="12"/>
      <c r="V229" s="14"/>
      <c r="W229" s="14"/>
      <c r="X229" s="14"/>
      <c r="Y229" s="14"/>
      <c r="Z229" s="15"/>
      <c r="AA229" s="12"/>
      <c r="AB229" s="12"/>
      <c r="AC229" s="12"/>
      <c r="AD229" s="12"/>
      <c r="AE229" s="12"/>
      <c r="AF229" s="12"/>
      <c r="AG229" s="12"/>
      <c r="AH229" s="12"/>
    </row>
    <row r="230" spans="1:34" ht="12.75">
      <c r="A230" s="12"/>
      <c r="B230" s="12"/>
      <c r="C230" s="12"/>
      <c r="D230" s="12"/>
      <c r="E230" s="12"/>
      <c r="F230" s="17"/>
      <c r="G230" s="12"/>
      <c r="H230" s="12"/>
      <c r="I230" s="12"/>
      <c r="J230" s="12"/>
      <c r="K230" s="12"/>
      <c r="L230" s="12"/>
      <c r="M230" s="12"/>
      <c r="N230" s="12"/>
      <c r="O230" s="12"/>
      <c r="P230" s="12"/>
      <c r="Q230" s="12"/>
      <c r="R230" s="12"/>
      <c r="S230" s="12"/>
      <c r="T230" s="12"/>
      <c r="U230" s="12"/>
      <c r="V230" s="14"/>
      <c r="W230" s="14"/>
      <c r="X230" s="14"/>
      <c r="Y230" s="14"/>
      <c r="Z230" s="15"/>
      <c r="AA230" s="12"/>
      <c r="AB230" s="12"/>
      <c r="AC230" s="12"/>
      <c r="AD230" s="12"/>
      <c r="AE230" s="12"/>
      <c r="AF230" s="12"/>
      <c r="AG230" s="12"/>
      <c r="AH230" s="12"/>
    </row>
    <row r="231" spans="1:34" ht="12.75">
      <c r="A231" s="12"/>
      <c r="B231" s="12"/>
      <c r="C231" s="12"/>
      <c r="D231" s="12"/>
      <c r="E231" s="12"/>
      <c r="F231" s="17"/>
      <c r="G231" s="12"/>
      <c r="H231" s="12"/>
      <c r="I231" s="12"/>
      <c r="J231" s="12"/>
      <c r="K231" s="12"/>
      <c r="L231" s="12"/>
      <c r="M231" s="12"/>
      <c r="N231" s="12"/>
      <c r="O231" s="12"/>
      <c r="P231" s="12"/>
      <c r="Q231" s="12"/>
      <c r="R231" s="12"/>
      <c r="S231" s="12"/>
      <c r="T231" s="12"/>
      <c r="U231" s="12"/>
      <c r="V231" s="14"/>
      <c r="W231" s="14"/>
      <c r="X231" s="14"/>
      <c r="Y231" s="14"/>
      <c r="Z231" s="15"/>
      <c r="AA231" s="12"/>
      <c r="AB231" s="12"/>
      <c r="AC231" s="12"/>
      <c r="AD231" s="12"/>
      <c r="AE231" s="12"/>
      <c r="AF231" s="12"/>
      <c r="AG231" s="12"/>
      <c r="AH231" s="12"/>
    </row>
    <row r="232" spans="1:34" ht="12.75">
      <c r="A232" s="12"/>
      <c r="B232" s="12"/>
      <c r="C232" s="12"/>
      <c r="D232" s="12"/>
      <c r="E232" s="12"/>
      <c r="F232" s="17"/>
      <c r="G232" s="12"/>
      <c r="H232" s="12"/>
      <c r="I232" s="12"/>
      <c r="J232" s="12"/>
      <c r="K232" s="12"/>
      <c r="L232" s="12"/>
      <c r="M232" s="12"/>
      <c r="N232" s="12"/>
      <c r="O232" s="12"/>
      <c r="P232" s="12"/>
      <c r="Q232" s="12"/>
      <c r="R232" s="12"/>
      <c r="S232" s="12"/>
      <c r="T232" s="12"/>
      <c r="U232" s="12"/>
      <c r="V232" s="14"/>
      <c r="W232" s="14"/>
      <c r="X232" s="14"/>
      <c r="Y232" s="14"/>
      <c r="Z232" s="15"/>
      <c r="AA232" s="12"/>
      <c r="AB232" s="12"/>
      <c r="AC232" s="12"/>
      <c r="AD232" s="12"/>
      <c r="AE232" s="12"/>
      <c r="AF232" s="12"/>
      <c r="AG232" s="12"/>
      <c r="AH232" s="12"/>
    </row>
    <row r="233" spans="1:34" ht="12.75">
      <c r="A233" s="12"/>
      <c r="B233" s="12"/>
      <c r="C233" s="12"/>
      <c r="D233" s="12"/>
      <c r="E233" s="12"/>
      <c r="F233" s="17"/>
      <c r="G233" s="12"/>
      <c r="H233" s="12"/>
      <c r="I233" s="12"/>
      <c r="J233" s="12"/>
      <c r="K233" s="12"/>
      <c r="L233" s="12"/>
      <c r="M233" s="12"/>
      <c r="N233" s="12"/>
      <c r="O233" s="12"/>
      <c r="P233" s="12"/>
      <c r="Q233" s="12"/>
      <c r="R233" s="12"/>
      <c r="S233" s="12"/>
      <c r="T233" s="12"/>
      <c r="U233" s="12"/>
      <c r="V233" s="14"/>
      <c r="W233" s="14"/>
      <c r="X233" s="14"/>
      <c r="Y233" s="14"/>
      <c r="Z233" s="15"/>
      <c r="AA233" s="12"/>
      <c r="AB233" s="12"/>
      <c r="AC233" s="12"/>
      <c r="AD233" s="12"/>
      <c r="AE233" s="12"/>
      <c r="AF233" s="12"/>
      <c r="AG233" s="12"/>
      <c r="AH233" s="12"/>
    </row>
    <row r="234" spans="1:34" ht="12.75">
      <c r="A234" s="12"/>
      <c r="B234" s="12"/>
      <c r="C234" s="12"/>
      <c r="D234" s="12"/>
      <c r="E234" s="12"/>
      <c r="F234" s="17"/>
      <c r="G234" s="12"/>
      <c r="H234" s="12"/>
      <c r="I234" s="12"/>
      <c r="J234" s="12"/>
      <c r="K234" s="12"/>
      <c r="L234" s="12"/>
      <c r="M234" s="12"/>
      <c r="N234" s="12"/>
      <c r="O234" s="12"/>
      <c r="P234" s="12"/>
      <c r="Q234" s="12"/>
      <c r="R234" s="12"/>
      <c r="S234" s="12"/>
      <c r="T234" s="12"/>
      <c r="U234" s="12"/>
      <c r="V234" s="14"/>
      <c r="W234" s="14"/>
      <c r="X234" s="14"/>
      <c r="Y234" s="14"/>
      <c r="Z234" s="15"/>
      <c r="AA234" s="12"/>
      <c r="AB234" s="12"/>
      <c r="AC234" s="12"/>
      <c r="AD234" s="12"/>
      <c r="AE234" s="12"/>
      <c r="AF234" s="12"/>
      <c r="AG234" s="12"/>
      <c r="AH234" s="12"/>
    </row>
    <row r="235" spans="1:34" ht="12.75">
      <c r="A235" s="12"/>
      <c r="B235" s="12"/>
      <c r="C235" s="12"/>
      <c r="D235" s="12"/>
      <c r="E235" s="12"/>
      <c r="F235" s="17"/>
      <c r="G235" s="12"/>
      <c r="H235" s="12"/>
      <c r="I235" s="12"/>
      <c r="J235" s="12"/>
      <c r="K235" s="12"/>
      <c r="L235" s="12"/>
      <c r="M235" s="12"/>
      <c r="N235" s="12"/>
      <c r="O235" s="12"/>
      <c r="P235" s="12"/>
      <c r="Q235" s="12"/>
      <c r="R235" s="12"/>
      <c r="S235" s="12"/>
      <c r="T235" s="12"/>
      <c r="U235" s="12"/>
      <c r="V235" s="14"/>
      <c r="W235" s="14"/>
      <c r="X235" s="14"/>
      <c r="Y235" s="14"/>
      <c r="Z235" s="15"/>
      <c r="AA235" s="12"/>
      <c r="AB235" s="12"/>
      <c r="AC235" s="12"/>
      <c r="AD235" s="12"/>
      <c r="AE235" s="12"/>
      <c r="AF235" s="12"/>
      <c r="AG235" s="12"/>
      <c r="AH235" s="12"/>
    </row>
    <row r="236" spans="1:34" ht="12.75">
      <c r="A236" s="12"/>
      <c r="B236" s="12"/>
      <c r="C236" s="12"/>
      <c r="D236" s="12"/>
      <c r="E236" s="12"/>
      <c r="F236" s="17"/>
      <c r="G236" s="12"/>
      <c r="H236" s="12"/>
      <c r="I236" s="12"/>
      <c r="J236" s="12"/>
      <c r="K236" s="12"/>
      <c r="L236" s="12"/>
      <c r="M236" s="12"/>
      <c r="N236" s="12"/>
      <c r="O236" s="12"/>
      <c r="P236" s="12"/>
      <c r="Q236" s="12"/>
      <c r="R236" s="12"/>
      <c r="S236" s="12"/>
      <c r="T236" s="12"/>
      <c r="U236" s="12"/>
      <c r="V236" s="14"/>
      <c r="W236" s="14"/>
      <c r="X236" s="14"/>
      <c r="Y236" s="14"/>
      <c r="Z236" s="15"/>
      <c r="AA236" s="12"/>
      <c r="AB236" s="12"/>
      <c r="AC236" s="12"/>
      <c r="AD236" s="12"/>
      <c r="AE236" s="12"/>
      <c r="AF236" s="12"/>
      <c r="AG236" s="12"/>
      <c r="AH236" s="12"/>
    </row>
    <row r="237" spans="1:34" ht="12.75">
      <c r="A237" s="12"/>
      <c r="B237" s="12"/>
      <c r="C237" s="12"/>
      <c r="D237" s="12"/>
      <c r="E237" s="12"/>
      <c r="F237" s="17"/>
      <c r="G237" s="12"/>
      <c r="H237" s="12"/>
      <c r="I237" s="12"/>
      <c r="J237" s="12"/>
      <c r="K237" s="12"/>
      <c r="L237" s="12"/>
      <c r="M237" s="12"/>
      <c r="N237" s="12"/>
      <c r="O237" s="12"/>
      <c r="P237" s="12"/>
      <c r="Q237" s="12"/>
      <c r="R237" s="12"/>
      <c r="S237" s="12"/>
      <c r="T237" s="12"/>
      <c r="U237" s="12"/>
      <c r="V237" s="14"/>
      <c r="W237" s="14"/>
      <c r="X237" s="14"/>
      <c r="Y237" s="14"/>
      <c r="Z237" s="15"/>
      <c r="AA237" s="12"/>
      <c r="AB237" s="12"/>
      <c r="AC237" s="12"/>
      <c r="AD237" s="12"/>
      <c r="AE237" s="12"/>
      <c r="AF237" s="12"/>
      <c r="AG237" s="12"/>
      <c r="AH237" s="12"/>
    </row>
    <row r="238" spans="1:34" ht="12.75">
      <c r="A238" s="12"/>
      <c r="B238" s="12"/>
      <c r="C238" s="12"/>
      <c r="D238" s="12"/>
      <c r="E238" s="12"/>
      <c r="F238" s="17"/>
      <c r="G238" s="12"/>
      <c r="H238" s="12"/>
      <c r="I238" s="12"/>
      <c r="J238" s="12"/>
      <c r="K238" s="12"/>
      <c r="L238" s="12"/>
      <c r="M238" s="12"/>
      <c r="N238" s="12"/>
      <c r="O238" s="12"/>
      <c r="P238" s="12"/>
      <c r="Q238" s="12"/>
      <c r="R238" s="12"/>
      <c r="S238" s="12"/>
      <c r="T238" s="12"/>
      <c r="U238" s="12"/>
      <c r="V238" s="14"/>
      <c r="W238" s="14"/>
      <c r="X238" s="14"/>
      <c r="Y238" s="14"/>
      <c r="Z238" s="15"/>
      <c r="AA238" s="12"/>
      <c r="AB238" s="12"/>
      <c r="AC238" s="12"/>
      <c r="AD238" s="12"/>
      <c r="AE238" s="12"/>
      <c r="AF238" s="12"/>
      <c r="AG238" s="12"/>
      <c r="AH238" s="12"/>
    </row>
    <row r="239" spans="1:34" ht="12.75">
      <c r="A239" s="12"/>
      <c r="B239" s="12"/>
      <c r="C239" s="12"/>
      <c r="D239" s="12"/>
      <c r="E239" s="12"/>
      <c r="F239" s="17"/>
      <c r="G239" s="12"/>
      <c r="H239" s="12"/>
      <c r="I239" s="12"/>
      <c r="J239" s="12"/>
      <c r="K239" s="12"/>
      <c r="L239" s="12"/>
      <c r="M239" s="12"/>
      <c r="N239" s="12"/>
      <c r="O239" s="12"/>
      <c r="P239" s="12"/>
      <c r="Q239" s="12"/>
      <c r="R239" s="12"/>
      <c r="S239" s="12"/>
      <c r="T239" s="12"/>
      <c r="U239" s="12"/>
      <c r="V239" s="14"/>
      <c r="W239" s="14"/>
      <c r="X239" s="14"/>
      <c r="Y239" s="14"/>
      <c r="Z239" s="15"/>
      <c r="AA239" s="12"/>
      <c r="AB239" s="12"/>
      <c r="AC239" s="12"/>
      <c r="AD239" s="12"/>
      <c r="AE239" s="12"/>
      <c r="AF239" s="12"/>
      <c r="AG239" s="12"/>
      <c r="AH239" s="12"/>
    </row>
    <row r="240" spans="1:34" ht="12.75">
      <c r="A240" s="12"/>
      <c r="B240" s="12"/>
      <c r="C240" s="12"/>
      <c r="D240" s="12"/>
      <c r="E240" s="12"/>
      <c r="F240" s="17"/>
      <c r="G240" s="12"/>
      <c r="H240" s="12"/>
      <c r="I240" s="12"/>
      <c r="J240" s="12"/>
      <c r="K240" s="12"/>
      <c r="L240" s="12"/>
      <c r="M240" s="12"/>
      <c r="N240" s="12"/>
      <c r="O240" s="12"/>
      <c r="P240" s="12"/>
      <c r="Q240" s="12"/>
      <c r="R240" s="12"/>
      <c r="S240" s="12"/>
      <c r="T240" s="12"/>
      <c r="U240" s="12"/>
      <c r="V240" s="14"/>
      <c r="W240" s="14"/>
      <c r="X240" s="14"/>
      <c r="Y240" s="14"/>
      <c r="Z240" s="15"/>
      <c r="AA240" s="12"/>
      <c r="AB240" s="12"/>
      <c r="AC240" s="12"/>
      <c r="AD240" s="12"/>
      <c r="AE240" s="12"/>
      <c r="AF240" s="12"/>
      <c r="AG240" s="12"/>
      <c r="AH240" s="12"/>
    </row>
    <row r="241" spans="1:34" ht="12.75">
      <c r="A241" s="12"/>
      <c r="B241" s="12"/>
      <c r="C241" s="12"/>
      <c r="D241" s="12"/>
      <c r="E241" s="12"/>
      <c r="F241" s="17"/>
      <c r="G241" s="12"/>
      <c r="H241" s="12"/>
      <c r="I241" s="12"/>
      <c r="J241" s="12"/>
      <c r="K241" s="12"/>
      <c r="L241" s="12"/>
      <c r="M241" s="12"/>
      <c r="N241" s="12"/>
      <c r="O241" s="12"/>
      <c r="P241" s="12"/>
      <c r="Q241" s="12"/>
      <c r="R241" s="12"/>
      <c r="S241" s="12"/>
      <c r="T241" s="12"/>
      <c r="U241" s="12"/>
      <c r="V241" s="14"/>
      <c r="W241" s="14"/>
      <c r="X241" s="14"/>
      <c r="Y241" s="14"/>
      <c r="Z241" s="15"/>
      <c r="AA241" s="12"/>
      <c r="AB241" s="12"/>
      <c r="AC241" s="12"/>
      <c r="AD241" s="12"/>
      <c r="AE241" s="12"/>
      <c r="AF241" s="12"/>
      <c r="AG241" s="12"/>
      <c r="AH241" s="12"/>
    </row>
    <row r="242" spans="1:34" ht="12.75">
      <c r="A242" s="12"/>
      <c r="B242" s="12"/>
      <c r="C242" s="12"/>
      <c r="D242" s="12"/>
      <c r="E242" s="12"/>
      <c r="F242" s="17"/>
      <c r="G242" s="12"/>
      <c r="H242" s="12"/>
      <c r="I242" s="12"/>
      <c r="J242" s="12"/>
      <c r="K242" s="12"/>
      <c r="L242" s="12"/>
      <c r="M242" s="12"/>
      <c r="N242" s="12"/>
      <c r="O242" s="12"/>
      <c r="P242" s="12"/>
      <c r="Q242" s="12"/>
      <c r="R242" s="12"/>
      <c r="S242" s="12"/>
      <c r="T242" s="12"/>
      <c r="U242" s="12"/>
      <c r="V242" s="14"/>
      <c r="W242" s="14"/>
      <c r="X242" s="14"/>
      <c r="Y242" s="14"/>
      <c r="Z242" s="15"/>
      <c r="AA242" s="12"/>
      <c r="AB242" s="12"/>
      <c r="AC242" s="12"/>
      <c r="AD242" s="12"/>
      <c r="AE242" s="12"/>
      <c r="AF242" s="12"/>
      <c r="AG242" s="12"/>
      <c r="AH242" s="12"/>
    </row>
    <row r="243" spans="1:34" ht="12.75">
      <c r="A243" s="12"/>
      <c r="B243" s="12"/>
      <c r="C243" s="12"/>
      <c r="D243" s="12"/>
      <c r="E243" s="12"/>
      <c r="F243" s="17"/>
      <c r="G243" s="12"/>
      <c r="H243" s="12"/>
      <c r="I243" s="12"/>
      <c r="J243" s="12"/>
      <c r="K243" s="12"/>
      <c r="L243" s="12"/>
      <c r="M243" s="12"/>
      <c r="N243" s="12"/>
      <c r="O243" s="12"/>
      <c r="P243" s="12"/>
      <c r="Q243" s="12"/>
      <c r="R243" s="12"/>
      <c r="S243" s="12"/>
      <c r="T243" s="12"/>
      <c r="U243" s="12"/>
      <c r="V243" s="14"/>
      <c r="W243" s="14"/>
      <c r="X243" s="14"/>
      <c r="Y243" s="14"/>
      <c r="Z243" s="15"/>
      <c r="AA243" s="12"/>
      <c r="AB243" s="12"/>
      <c r="AC243" s="12"/>
      <c r="AD243" s="12"/>
      <c r="AE243" s="12"/>
      <c r="AF243" s="12"/>
      <c r="AG243" s="12"/>
      <c r="AH243" s="12"/>
    </row>
    <row r="244" spans="1:34" ht="12.75">
      <c r="A244" s="12"/>
      <c r="B244" s="12"/>
      <c r="C244" s="12"/>
      <c r="D244" s="12"/>
      <c r="E244" s="12"/>
      <c r="F244" s="17"/>
      <c r="G244" s="12"/>
      <c r="H244" s="12"/>
      <c r="I244" s="12"/>
      <c r="J244" s="12"/>
      <c r="K244" s="12"/>
      <c r="L244" s="12"/>
      <c r="M244" s="12"/>
      <c r="N244" s="12"/>
      <c r="O244" s="12"/>
      <c r="P244" s="12"/>
      <c r="Q244" s="12"/>
      <c r="R244" s="12"/>
      <c r="S244" s="12"/>
      <c r="T244" s="12"/>
      <c r="U244" s="12"/>
      <c r="V244" s="14"/>
      <c r="W244" s="14"/>
      <c r="X244" s="14"/>
      <c r="Y244" s="14"/>
      <c r="Z244" s="15"/>
      <c r="AA244" s="12"/>
      <c r="AB244" s="12"/>
      <c r="AC244" s="12"/>
      <c r="AD244" s="12"/>
      <c r="AE244" s="12"/>
      <c r="AF244" s="12"/>
      <c r="AG244" s="12"/>
      <c r="AH244" s="12"/>
    </row>
    <row r="245" spans="1:34" ht="12.75">
      <c r="A245" s="12"/>
      <c r="B245" s="12"/>
      <c r="C245" s="12"/>
      <c r="D245" s="12"/>
      <c r="E245" s="12"/>
      <c r="F245" s="17"/>
      <c r="G245" s="12"/>
      <c r="H245" s="12"/>
      <c r="I245" s="12"/>
      <c r="J245" s="12"/>
      <c r="K245" s="12"/>
      <c r="L245" s="12"/>
      <c r="M245" s="12"/>
      <c r="N245" s="12"/>
      <c r="O245" s="12"/>
      <c r="P245" s="12"/>
      <c r="Q245" s="12"/>
      <c r="R245" s="12"/>
      <c r="S245" s="12"/>
      <c r="T245" s="12"/>
      <c r="U245" s="12"/>
      <c r="V245" s="14"/>
      <c r="W245" s="14"/>
      <c r="X245" s="14"/>
      <c r="Y245" s="14"/>
      <c r="Z245" s="15"/>
      <c r="AA245" s="12"/>
      <c r="AB245" s="12"/>
      <c r="AC245" s="12"/>
      <c r="AD245" s="12"/>
      <c r="AE245" s="12"/>
      <c r="AF245" s="12"/>
      <c r="AG245" s="12"/>
      <c r="AH245" s="12"/>
    </row>
    <row r="246" spans="1:34" ht="12.75">
      <c r="A246" s="12"/>
      <c r="B246" s="12"/>
      <c r="C246" s="12"/>
      <c r="D246" s="12"/>
      <c r="E246" s="12"/>
      <c r="F246" s="17"/>
      <c r="G246" s="12"/>
      <c r="H246" s="12"/>
      <c r="I246" s="12"/>
      <c r="J246" s="12"/>
      <c r="K246" s="12"/>
      <c r="L246" s="12"/>
      <c r="M246" s="12"/>
      <c r="N246" s="12"/>
      <c r="O246" s="12"/>
      <c r="P246" s="12"/>
      <c r="Q246" s="12"/>
      <c r="R246" s="12"/>
      <c r="S246" s="12"/>
      <c r="T246" s="12"/>
      <c r="U246" s="12"/>
      <c r="V246" s="14"/>
      <c r="W246" s="14"/>
      <c r="X246" s="14"/>
      <c r="Y246" s="14"/>
      <c r="Z246" s="15"/>
      <c r="AA246" s="12"/>
      <c r="AB246" s="12"/>
      <c r="AC246" s="12"/>
      <c r="AD246" s="12"/>
      <c r="AE246" s="12"/>
      <c r="AF246" s="12"/>
      <c r="AG246" s="12"/>
      <c r="AH246" s="12"/>
    </row>
    <row r="247" spans="1:34" ht="12.75">
      <c r="A247" s="12"/>
      <c r="B247" s="12"/>
      <c r="C247" s="12"/>
      <c r="D247" s="12"/>
      <c r="E247" s="12"/>
      <c r="F247" s="17"/>
      <c r="G247" s="12"/>
      <c r="H247" s="12"/>
      <c r="I247" s="12"/>
      <c r="J247" s="12"/>
      <c r="K247" s="12"/>
      <c r="L247" s="12"/>
      <c r="M247" s="12"/>
      <c r="N247" s="12"/>
      <c r="O247" s="12"/>
      <c r="P247" s="12"/>
      <c r="Q247" s="12"/>
      <c r="R247" s="12"/>
      <c r="S247" s="12"/>
      <c r="T247" s="12"/>
      <c r="U247" s="12"/>
      <c r="V247" s="14"/>
      <c r="W247" s="14"/>
      <c r="X247" s="14"/>
      <c r="Y247" s="14"/>
      <c r="Z247" s="15"/>
      <c r="AA247" s="12"/>
      <c r="AB247" s="12"/>
      <c r="AC247" s="12"/>
      <c r="AD247" s="12"/>
      <c r="AE247" s="12"/>
      <c r="AF247" s="12"/>
      <c r="AG247" s="12"/>
      <c r="AH247" s="12"/>
    </row>
    <row r="248" spans="1:34" ht="12.75">
      <c r="A248" s="12"/>
      <c r="B248" s="12"/>
      <c r="C248" s="12"/>
      <c r="D248" s="12"/>
      <c r="E248" s="12"/>
      <c r="F248" s="17"/>
      <c r="G248" s="12"/>
      <c r="H248" s="12"/>
      <c r="I248" s="12"/>
      <c r="J248" s="12"/>
      <c r="K248" s="12"/>
      <c r="L248" s="12"/>
      <c r="M248" s="12"/>
      <c r="N248" s="12"/>
      <c r="O248" s="12"/>
      <c r="P248" s="12"/>
      <c r="Q248" s="12"/>
      <c r="R248" s="12"/>
      <c r="S248" s="12"/>
      <c r="T248" s="12"/>
      <c r="U248" s="12"/>
      <c r="V248" s="14"/>
      <c r="W248" s="14"/>
      <c r="X248" s="14"/>
      <c r="Y248" s="14"/>
      <c r="Z248" s="15"/>
      <c r="AA248" s="12"/>
      <c r="AB248" s="12"/>
      <c r="AC248" s="12"/>
      <c r="AD248" s="12"/>
      <c r="AE248" s="12"/>
      <c r="AF248" s="12"/>
      <c r="AG248" s="12"/>
      <c r="AH248" s="12"/>
    </row>
    <row r="249" spans="1:34" ht="12.75">
      <c r="A249" s="12"/>
      <c r="B249" s="12"/>
      <c r="C249" s="12"/>
      <c r="D249" s="12"/>
      <c r="E249" s="12"/>
      <c r="F249" s="17"/>
      <c r="G249" s="12"/>
      <c r="H249" s="12"/>
      <c r="I249" s="12"/>
      <c r="J249" s="12"/>
      <c r="K249" s="12"/>
      <c r="L249" s="12"/>
      <c r="M249" s="12"/>
      <c r="N249" s="12"/>
      <c r="O249" s="12"/>
      <c r="P249" s="12"/>
      <c r="Q249" s="12"/>
      <c r="R249" s="12"/>
      <c r="S249" s="12"/>
      <c r="T249" s="12"/>
      <c r="U249" s="12"/>
      <c r="V249" s="14"/>
      <c r="W249" s="14"/>
      <c r="X249" s="14"/>
      <c r="Y249" s="14"/>
      <c r="Z249" s="15"/>
      <c r="AA249" s="12"/>
      <c r="AB249" s="12"/>
      <c r="AC249" s="12"/>
      <c r="AD249" s="12"/>
      <c r="AE249" s="12"/>
      <c r="AF249" s="12"/>
      <c r="AG249" s="12"/>
      <c r="AH249" s="12"/>
    </row>
    <row r="250" spans="1:34" ht="12.75">
      <c r="A250" s="12"/>
      <c r="B250" s="12"/>
      <c r="C250" s="12"/>
      <c r="D250" s="12"/>
      <c r="E250" s="12"/>
      <c r="F250" s="17"/>
      <c r="G250" s="12"/>
      <c r="H250" s="12"/>
      <c r="I250" s="12"/>
      <c r="J250" s="12"/>
      <c r="K250" s="12"/>
      <c r="L250" s="12"/>
      <c r="M250" s="12"/>
      <c r="N250" s="12"/>
      <c r="O250" s="12"/>
      <c r="P250" s="12"/>
      <c r="Q250" s="12"/>
      <c r="R250" s="12"/>
      <c r="S250" s="12"/>
      <c r="T250" s="12"/>
      <c r="U250" s="12"/>
      <c r="V250" s="14"/>
      <c r="W250" s="14"/>
      <c r="X250" s="14"/>
      <c r="Y250" s="14"/>
      <c r="Z250" s="15"/>
      <c r="AA250" s="12"/>
      <c r="AB250" s="12"/>
      <c r="AC250" s="12"/>
      <c r="AD250" s="12"/>
      <c r="AE250" s="12"/>
      <c r="AF250" s="12"/>
      <c r="AG250" s="12"/>
      <c r="AH250" s="12"/>
    </row>
    <row r="251" spans="1:34" ht="12.75">
      <c r="A251" s="12"/>
      <c r="B251" s="12"/>
      <c r="C251" s="12"/>
      <c r="D251" s="12"/>
      <c r="E251" s="12"/>
      <c r="F251" s="17"/>
      <c r="G251" s="12"/>
      <c r="H251" s="12"/>
      <c r="I251" s="12"/>
      <c r="J251" s="12"/>
      <c r="K251" s="12"/>
      <c r="L251" s="12"/>
      <c r="M251" s="12"/>
      <c r="N251" s="12"/>
      <c r="O251" s="12"/>
      <c r="P251" s="12"/>
      <c r="Q251" s="12"/>
      <c r="R251" s="12"/>
      <c r="S251" s="12"/>
      <c r="T251" s="12"/>
      <c r="U251" s="12"/>
      <c r="V251" s="14"/>
      <c r="W251" s="14"/>
      <c r="X251" s="14"/>
      <c r="Y251" s="14"/>
      <c r="Z251" s="15"/>
      <c r="AA251" s="12"/>
      <c r="AB251" s="12"/>
      <c r="AC251" s="12"/>
      <c r="AD251" s="12"/>
      <c r="AE251" s="12"/>
      <c r="AF251" s="12"/>
      <c r="AG251" s="12"/>
      <c r="AH251" s="12"/>
    </row>
    <row r="252" spans="1:34" ht="12.75">
      <c r="A252" s="12"/>
      <c r="B252" s="12"/>
      <c r="C252" s="12"/>
      <c r="D252" s="12"/>
      <c r="E252" s="12"/>
      <c r="F252" s="17"/>
      <c r="G252" s="12"/>
      <c r="H252" s="12"/>
      <c r="I252" s="12"/>
      <c r="J252" s="12"/>
      <c r="K252" s="12"/>
      <c r="L252" s="12"/>
      <c r="M252" s="12"/>
      <c r="N252" s="12"/>
      <c r="O252" s="12"/>
      <c r="P252" s="12"/>
      <c r="Q252" s="12"/>
      <c r="R252" s="12"/>
      <c r="S252" s="12"/>
      <c r="T252" s="12"/>
      <c r="U252" s="12"/>
      <c r="V252" s="14"/>
      <c r="W252" s="14"/>
      <c r="X252" s="14"/>
      <c r="Y252" s="14"/>
      <c r="Z252" s="15"/>
      <c r="AA252" s="12"/>
      <c r="AB252" s="12"/>
      <c r="AC252" s="12"/>
      <c r="AD252" s="12"/>
      <c r="AE252" s="12"/>
      <c r="AF252" s="12"/>
      <c r="AG252" s="12"/>
      <c r="AH252" s="12"/>
    </row>
    <row r="253" spans="1:34" ht="12.75">
      <c r="A253" s="12"/>
      <c r="B253" s="12"/>
      <c r="C253" s="12"/>
      <c r="D253" s="12"/>
      <c r="E253" s="12"/>
      <c r="F253" s="17"/>
      <c r="G253" s="12"/>
      <c r="H253" s="12"/>
      <c r="I253" s="12"/>
      <c r="J253" s="12"/>
      <c r="K253" s="12"/>
      <c r="L253" s="12"/>
      <c r="M253" s="12"/>
      <c r="N253" s="12"/>
      <c r="O253" s="12"/>
      <c r="P253" s="12"/>
      <c r="Q253" s="12"/>
      <c r="R253" s="12"/>
      <c r="S253" s="12"/>
      <c r="T253" s="12"/>
      <c r="U253" s="12"/>
      <c r="V253" s="14"/>
      <c r="W253" s="14"/>
      <c r="X253" s="14"/>
      <c r="Y253" s="14"/>
      <c r="Z253" s="15"/>
      <c r="AA253" s="12"/>
      <c r="AB253" s="12"/>
      <c r="AC253" s="12"/>
      <c r="AD253" s="12"/>
      <c r="AE253" s="12"/>
      <c r="AF253" s="12"/>
      <c r="AG253" s="12"/>
      <c r="AH253" s="12"/>
    </row>
    <row r="254" spans="1:34" ht="12.75">
      <c r="A254" s="12"/>
      <c r="B254" s="12"/>
      <c r="C254" s="12"/>
      <c r="D254" s="12"/>
      <c r="E254" s="12"/>
      <c r="F254" s="17"/>
      <c r="G254" s="12"/>
      <c r="H254" s="12"/>
      <c r="I254" s="12"/>
      <c r="J254" s="12"/>
      <c r="K254" s="12"/>
      <c r="L254" s="12"/>
      <c r="M254" s="12"/>
      <c r="N254" s="12"/>
      <c r="O254" s="12"/>
      <c r="P254" s="12"/>
      <c r="Q254" s="12"/>
      <c r="R254" s="12"/>
      <c r="S254" s="12"/>
      <c r="T254" s="12"/>
      <c r="U254" s="12"/>
      <c r="V254" s="14"/>
      <c r="W254" s="14"/>
      <c r="X254" s="14"/>
      <c r="Y254" s="14"/>
      <c r="Z254" s="15"/>
      <c r="AA254" s="12"/>
      <c r="AB254" s="12"/>
      <c r="AC254" s="12"/>
      <c r="AD254" s="12"/>
      <c r="AE254" s="12"/>
      <c r="AF254" s="12"/>
      <c r="AG254" s="12"/>
      <c r="AH254" s="12"/>
    </row>
    <row r="255" spans="1:34" ht="12.75">
      <c r="A255" s="12"/>
      <c r="B255" s="12"/>
      <c r="C255" s="12"/>
      <c r="D255" s="12"/>
      <c r="E255" s="12"/>
      <c r="F255" s="17"/>
      <c r="G255" s="12"/>
      <c r="H255" s="12"/>
      <c r="I255" s="12"/>
      <c r="J255" s="12"/>
      <c r="K255" s="12"/>
      <c r="L255" s="12"/>
      <c r="M255" s="12"/>
      <c r="N255" s="12"/>
      <c r="O255" s="12"/>
      <c r="P255" s="12"/>
      <c r="Q255" s="12"/>
      <c r="R255" s="12"/>
      <c r="S255" s="12"/>
      <c r="T255" s="12"/>
      <c r="U255" s="12"/>
      <c r="V255" s="14"/>
      <c r="W255" s="14"/>
      <c r="X255" s="14"/>
      <c r="Y255" s="14"/>
      <c r="Z255" s="15"/>
      <c r="AA255" s="12"/>
      <c r="AB255" s="12"/>
      <c r="AC255" s="12"/>
      <c r="AD255" s="12"/>
      <c r="AE255" s="12"/>
      <c r="AF255" s="12"/>
      <c r="AG255" s="12"/>
      <c r="AH255" s="12"/>
    </row>
    <row r="256" spans="1:34" ht="12.75">
      <c r="A256" s="12"/>
      <c r="B256" s="12"/>
      <c r="C256" s="12"/>
      <c r="D256" s="12"/>
      <c r="E256" s="12"/>
      <c r="F256" s="17"/>
      <c r="G256" s="12"/>
      <c r="H256" s="12"/>
      <c r="I256" s="12"/>
      <c r="J256" s="12"/>
      <c r="K256" s="12"/>
      <c r="L256" s="12"/>
      <c r="M256" s="12"/>
      <c r="N256" s="12"/>
      <c r="O256" s="12"/>
      <c r="P256" s="12"/>
      <c r="Q256" s="12"/>
      <c r="R256" s="12"/>
      <c r="S256" s="12"/>
      <c r="T256" s="12"/>
      <c r="U256" s="12"/>
      <c r="V256" s="14"/>
      <c r="W256" s="14"/>
      <c r="X256" s="14"/>
      <c r="Y256" s="14"/>
      <c r="Z256" s="15"/>
      <c r="AA256" s="12"/>
      <c r="AB256" s="12"/>
      <c r="AC256" s="12"/>
      <c r="AD256" s="12"/>
      <c r="AE256" s="12"/>
      <c r="AF256" s="12"/>
      <c r="AG256" s="12"/>
      <c r="AH256" s="12"/>
    </row>
    <row r="257" spans="1:34" ht="12.75">
      <c r="A257" s="12"/>
      <c r="B257" s="12"/>
      <c r="C257" s="12"/>
      <c r="D257" s="12"/>
      <c r="E257" s="12"/>
      <c r="F257" s="17"/>
      <c r="G257" s="12"/>
      <c r="H257" s="12"/>
      <c r="I257" s="12"/>
      <c r="J257" s="12"/>
      <c r="K257" s="12"/>
      <c r="L257" s="12"/>
      <c r="M257" s="12"/>
      <c r="N257" s="12"/>
      <c r="O257" s="12"/>
      <c r="P257" s="12"/>
      <c r="Q257" s="12"/>
      <c r="R257" s="12"/>
      <c r="S257" s="12"/>
      <c r="T257" s="12"/>
      <c r="U257" s="12"/>
      <c r="V257" s="14"/>
      <c r="W257" s="14"/>
      <c r="X257" s="14"/>
      <c r="Y257" s="14"/>
      <c r="Z257" s="15"/>
      <c r="AA257" s="12"/>
      <c r="AB257" s="12"/>
      <c r="AC257" s="12"/>
      <c r="AD257" s="12"/>
      <c r="AE257" s="12"/>
      <c r="AF257" s="12"/>
      <c r="AG257" s="12"/>
      <c r="AH257" s="12"/>
    </row>
    <row r="258" spans="1:34" ht="12.75">
      <c r="A258" s="12"/>
      <c r="B258" s="12"/>
      <c r="C258" s="12"/>
      <c r="D258" s="12"/>
      <c r="E258" s="12"/>
      <c r="F258" s="17"/>
      <c r="G258" s="12"/>
      <c r="H258" s="12"/>
      <c r="I258" s="12"/>
      <c r="J258" s="12"/>
      <c r="K258" s="12"/>
      <c r="L258" s="12"/>
      <c r="M258" s="12"/>
      <c r="N258" s="12"/>
      <c r="O258" s="12"/>
      <c r="P258" s="12"/>
      <c r="Q258" s="12"/>
      <c r="R258" s="12"/>
      <c r="S258" s="12"/>
      <c r="T258" s="12"/>
      <c r="U258" s="12"/>
      <c r="V258" s="14"/>
      <c r="W258" s="14"/>
      <c r="X258" s="14"/>
      <c r="Y258" s="14"/>
      <c r="Z258" s="15"/>
      <c r="AA258" s="12"/>
      <c r="AB258" s="12"/>
      <c r="AC258" s="12"/>
      <c r="AD258" s="12"/>
      <c r="AE258" s="12"/>
      <c r="AF258" s="12"/>
      <c r="AG258" s="12"/>
      <c r="AH258" s="12"/>
    </row>
    <row r="259" spans="1:34" ht="12.75">
      <c r="A259" s="12"/>
      <c r="B259" s="12"/>
      <c r="C259" s="12"/>
      <c r="D259" s="12"/>
      <c r="E259" s="12"/>
      <c r="F259" s="17"/>
      <c r="G259" s="12"/>
      <c r="H259" s="12"/>
      <c r="I259" s="12"/>
      <c r="J259" s="12"/>
      <c r="K259" s="12"/>
      <c r="L259" s="12"/>
      <c r="M259" s="12"/>
      <c r="N259" s="12"/>
      <c r="O259" s="12"/>
      <c r="P259" s="12"/>
      <c r="Q259" s="12"/>
      <c r="R259" s="12"/>
      <c r="S259" s="12"/>
      <c r="T259" s="12"/>
      <c r="U259" s="12"/>
      <c r="V259" s="14"/>
      <c r="W259" s="14"/>
      <c r="X259" s="14"/>
      <c r="Y259" s="14"/>
      <c r="Z259" s="15"/>
      <c r="AA259" s="12"/>
      <c r="AB259" s="12"/>
      <c r="AC259" s="12"/>
      <c r="AD259" s="12"/>
      <c r="AE259" s="12"/>
      <c r="AF259" s="12"/>
      <c r="AG259" s="12"/>
      <c r="AH259" s="12"/>
    </row>
    <row r="260" spans="1:34" ht="12.75">
      <c r="A260" s="12"/>
      <c r="B260" s="12"/>
      <c r="C260" s="12"/>
      <c r="D260" s="12"/>
      <c r="E260" s="12"/>
      <c r="F260" s="17"/>
      <c r="G260" s="12"/>
      <c r="H260" s="12"/>
      <c r="I260" s="12"/>
      <c r="J260" s="12"/>
      <c r="K260" s="12"/>
      <c r="L260" s="12"/>
      <c r="M260" s="12"/>
      <c r="N260" s="12"/>
      <c r="O260" s="12"/>
      <c r="P260" s="12"/>
      <c r="Q260" s="12"/>
      <c r="R260" s="12"/>
      <c r="S260" s="12"/>
      <c r="T260" s="12"/>
      <c r="U260" s="12"/>
      <c r="V260" s="14"/>
      <c r="W260" s="14"/>
      <c r="X260" s="14"/>
      <c r="Y260" s="14"/>
      <c r="Z260" s="15"/>
      <c r="AA260" s="12"/>
      <c r="AB260" s="12"/>
      <c r="AC260" s="12"/>
      <c r="AD260" s="12"/>
      <c r="AE260" s="12"/>
      <c r="AF260" s="12"/>
      <c r="AG260" s="12"/>
      <c r="AH260" s="12"/>
    </row>
    <row r="261" spans="1:34" ht="12.75">
      <c r="A261" s="12"/>
      <c r="B261" s="12"/>
      <c r="C261" s="12"/>
      <c r="D261" s="12"/>
      <c r="E261" s="12"/>
      <c r="F261" s="17"/>
      <c r="G261" s="12"/>
      <c r="H261" s="12"/>
      <c r="I261" s="12"/>
      <c r="J261" s="12"/>
      <c r="K261" s="12"/>
      <c r="L261" s="12"/>
      <c r="M261" s="12"/>
      <c r="N261" s="12"/>
      <c r="O261" s="12"/>
      <c r="P261" s="12"/>
      <c r="Q261" s="12"/>
      <c r="R261" s="12"/>
      <c r="S261" s="12"/>
      <c r="T261" s="12"/>
      <c r="U261" s="12"/>
      <c r="V261" s="14"/>
      <c r="W261" s="14"/>
      <c r="X261" s="14"/>
      <c r="Y261" s="14"/>
      <c r="Z261" s="15"/>
      <c r="AA261" s="12"/>
      <c r="AB261" s="12"/>
      <c r="AC261" s="12"/>
      <c r="AD261" s="12"/>
      <c r="AE261" s="12"/>
      <c r="AF261" s="12"/>
      <c r="AG261" s="12"/>
      <c r="AH261" s="12"/>
    </row>
    <row r="262" spans="1:34" ht="12.75">
      <c r="A262" s="12"/>
      <c r="B262" s="12"/>
      <c r="C262" s="12"/>
      <c r="D262" s="12"/>
      <c r="E262" s="12"/>
      <c r="F262" s="17"/>
      <c r="G262" s="12"/>
      <c r="H262" s="12"/>
      <c r="I262" s="12"/>
      <c r="J262" s="12"/>
      <c r="K262" s="12"/>
      <c r="L262" s="12"/>
      <c r="M262" s="12"/>
      <c r="N262" s="12"/>
      <c r="O262" s="12"/>
      <c r="P262" s="12"/>
      <c r="Q262" s="12"/>
      <c r="R262" s="12"/>
      <c r="S262" s="12"/>
      <c r="T262" s="12"/>
      <c r="U262" s="12"/>
      <c r="V262" s="14"/>
      <c r="W262" s="14"/>
      <c r="X262" s="14"/>
      <c r="Y262" s="14"/>
      <c r="Z262" s="15"/>
      <c r="AA262" s="12"/>
      <c r="AB262" s="12"/>
      <c r="AC262" s="12"/>
      <c r="AD262" s="12"/>
      <c r="AE262" s="12"/>
      <c r="AF262" s="12"/>
      <c r="AG262" s="12"/>
      <c r="AH262" s="12"/>
    </row>
    <row r="263" spans="1:34" ht="12.75">
      <c r="A263" s="12"/>
      <c r="B263" s="12"/>
      <c r="C263" s="12"/>
      <c r="D263" s="12"/>
      <c r="E263" s="12"/>
      <c r="F263" s="17"/>
      <c r="G263" s="12"/>
      <c r="H263" s="12"/>
      <c r="I263" s="12"/>
      <c r="J263" s="12"/>
      <c r="K263" s="12"/>
      <c r="L263" s="12"/>
      <c r="M263" s="12"/>
      <c r="N263" s="12"/>
      <c r="O263" s="12"/>
      <c r="P263" s="12"/>
      <c r="Q263" s="12"/>
      <c r="R263" s="12"/>
      <c r="S263" s="12"/>
      <c r="T263" s="12"/>
      <c r="U263" s="12"/>
      <c r="V263" s="14"/>
      <c r="W263" s="14"/>
      <c r="X263" s="14"/>
      <c r="Y263" s="14"/>
      <c r="Z263" s="15"/>
      <c r="AA263" s="12"/>
      <c r="AB263" s="12"/>
      <c r="AC263" s="12"/>
      <c r="AD263" s="12"/>
      <c r="AE263" s="12"/>
      <c r="AF263" s="12"/>
      <c r="AG263" s="12"/>
      <c r="AH263" s="12"/>
    </row>
    <row r="264" spans="1:34" ht="12.75">
      <c r="A264" s="12"/>
      <c r="B264" s="12"/>
      <c r="C264" s="12"/>
      <c r="D264" s="12"/>
      <c r="E264" s="12"/>
      <c r="F264" s="17"/>
      <c r="G264" s="12"/>
      <c r="H264" s="12"/>
      <c r="I264" s="12"/>
      <c r="J264" s="12"/>
      <c r="K264" s="12"/>
      <c r="L264" s="12"/>
      <c r="M264" s="12"/>
      <c r="N264" s="12"/>
      <c r="O264" s="12"/>
      <c r="P264" s="12"/>
      <c r="Q264" s="12"/>
      <c r="R264" s="12"/>
      <c r="S264" s="12"/>
      <c r="T264" s="12"/>
      <c r="U264" s="12"/>
      <c r="V264" s="14"/>
      <c r="W264" s="14"/>
      <c r="X264" s="14"/>
      <c r="Y264" s="14"/>
      <c r="Z264" s="15"/>
      <c r="AA264" s="12"/>
      <c r="AB264" s="12"/>
      <c r="AC264" s="12"/>
      <c r="AD264" s="12"/>
      <c r="AE264" s="12"/>
      <c r="AF264" s="12"/>
      <c r="AG264" s="12"/>
      <c r="AH264" s="12"/>
    </row>
    <row r="265" spans="1:34" ht="12.75">
      <c r="A265" s="12"/>
      <c r="B265" s="12"/>
      <c r="C265" s="12"/>
      <c r="D265" s="12"/>
      <c r="E265" s="12"/>
      <c r="F265" s="17"/>
      <c r="G265" s="12"/>
      <c r="H265" s="12"/>
      <c r="I265" s="12"/>
      <c r="J265" s="12"/>
      <c r="K265" s="12"/>
      <c r="L265" s="12"/>
      <c r="M265" s="12"/>
      <c r="N265" s="12"/>
      <c r="O265" s="12"/>
      <c r="P265" s="12"/>
      <c r="Q265" s="12"/>
      <c r="R265" s="12"/>
      <c r="S265" s="12"/>
      <c r="T265" s="12"/>
      <c r="U265" s="12"/>
      <c r="V265" s="14"/>
      <c r="W265" s="14"/>
      <c r="X265" s="14"/>
      <c r="Y265" s="14"/>
      <c r="Z265" s="15"/>
      <c r="AA265" s="12"/>
      <c r="AB265" s="12"/>
      <c r="AC265" s="12"/>
      <c r="AD265" s="12"/>
      <c r="AE265" s="12"/>
      <c r="AF265" s="12"/>
      <c r="AG265" s="12"/>
      <c r="AH265" s="12"/>
    </row>
    <row r="266" spans="1:34" ht="12.75">
      <c r="A266" s="12"/>
      <c r="B266" s="12"/>
      <c r="C266" s="12"/>
      <c r="D266" s="12"/>
      <c r="E266" s="12"/>
      <c r="F266" s="17"/>
      <c r="G266" s="12"/>
      <c r="H266" s="12"/>
      <c r="I266" s="12"/>
      <c r="J266" s="12"/>
      <c r="K266" s="12"/>
      <c r="L266" s="12"/>
      <c r="M266" s="12"/>
      <c r="N266" s="12"/>
      <c r="O266" s="12"/>
      <c r="P266" s="12"/>
      <c r="Q266" s="12"/>
      <c r="R266" s="12"/>
      <c r="S266" s="12"/>
      <c r="T266" s="12"/>
      <c r="U266" s="12"/>
      <c r="V266" s="14"/>
      <c r="W266" s="14"/>
      <c r="X266" s="14"/>
      <c r="Y266" s="14"/>
      <c r="Z266" s="15"/>
      <c r="AA266" s="12"/>
      <c r="AB266" s="12"/>
      <c r="AC266" s="12"/>
      <c r="AD266" s="12"/>
      <c r="AE266" s="12"/>
      <c r="AF266" s="12"/>
      <c r="AG266" s="12"/>
      <c r="AH266" s="12"/>
    </row>
    <row r="267" spans="1:34" ht="12.75">
      <c r="A267" s="12"/>
      <c r="B267" s="12"/>
      <c r="C267" s="12"/>
      <c r="D267" s="12"/>
      <c r="E267" s="12"/>
      <c r="F267" s="17"/>
      <c r="G267" s="12"/>
      <c r="H267" s="12"/>
      <c r="I267" s="12"/>
      <c r="J267" s="12"/>
      <c r="K267" s="12"/>
      <c r="L267" s="12"/>
      <c r="M267" s="12"/>
      <c r="N267" s="12"/>
      <c r="O267" s="12"/>
      <c r="P267" s="12"/>
      <c r="Q267" s="12"/>
      <c r="R267" s="12"/>
      <c r="S267" s="12"/>
      <c r="T267" s="12"/>
      <c r="U267" s="12"/>
      <c r="V267" s="14"/>
      <c r="W267" s="14"/>
      <c r="X267" s="14"/>
      <c r="Y267" s="14"/>
      <c r="Z267" s="15"/>
      <c r="AA267" s="12"/>
      <c r="AB267" s="12"/>
      <c r="AC267" s="12"/>
      <c r="AD267" s="12"/>
      <c r="AE267" s="12"/>
      <c r="AF267" s="12"/>
      <c r="AG267" s="12"/>
      <c r="AH267" s="12"/>
    </row>
    <row r="268" spans="1:34" ht="12.75">
      <c r="A268" s="12"/>
      <c r="B268" s="12"/>
      <c r="C268" s="12"/>
      <c r="D268" s="12"/>
      <c r="E268" s="12"/>
      <c r="F268" s="17"/>
      <c r="G268" s="12"/>
      <c r="H268" s="12"/>
      <c r="I268" s="12"/>
      <c r="J268" s="12"/>
      <c r="K268" s="12"/>
      <c r="L268" s="12"/>
      <c r="M268" s="12"/>
      <c r="N268" s="12"/>
      <c r="O268" s="12"/>
      <c r="P268" s="12"/>
      <c r="Q268" s="12"/>
      <c r="R268" s="12"/>
      <c r="S268" s="12"/>
      <c r="T268" s="12"/>
      <c r="U268" s="12"/>
      <c r="V268" s="14"/>
      <c r="W268" s="14"/>
      <c r="X268" s="14"/>
      <c r="Y268" s="14"/>
      <c r="Z268" s="15"/>
      <c r="AA268" s="12"/>
      <c r="AB268" s="12"/>
      <c r="AC268" s="12"/>
      <c r="AD268" s="12"/>
      <c r="AE268" s="12"/>
      <c r="AF268" s="12"/>
      <c r="AG268" s="12"/>
      <c r="AH268" s="12"/>
    </row>
    <row r="269" spans="1:34" ht="12.75">
      <c r="A269" s="12"/>
      <c r="B269" s="12"/>
      <c r="C269" s="12"/>
      <c r="D269" s="12"/>
      <c r="E269" s="12"/>
      <c r="F269" s="17"/>
      <c r="G269" s="12"/>
      <c r="H269" s="12"/>
      <c r="I269" s="12"/>
      <c r="J269" s="12"/>
      <c r="K269" s="12"/>
      <c r="L269" s="12"/>
      <c r="M269" s="12"/>
      <c r="N269" s="12"/>
      <c r="O269" s="12"/>
      <c r="P269" s="12"/>
      <c r="Q269" s="12"/>
      <c r="R269" s="12"/>
      <c r="S269" s="12"/>
      <c r="T269" s="12"/>
      <c r="U269" s="12"/>
      <c r="V269" s="14"/>
      <c r="W269" s="14"/>
      <c r="X269" s="14"/>
      <c r="Y269" s="14"/>
      <c r="Z269" s="15"/>
      <c r="AA269" s="12"/>
      <c r="AB269" s="12"/>
      <c r="AC269" s="12"/>
      <c r="AD269" s="12"/>
      <c r="AE269" s="12"/>
      <c r="AF269" s="12"/>
      <c r="AG269" s="12"/>
      <c r="AH269" s="12"/>
    </row>
    <row r="270" spans="1:34" ht="12.75">
      <c r="A270" s="12"/>
      <c r="B270" s="12"/>
      <c r="C270" s="12"/>
      <c r="D270" s="12"/>
      <c r="E270" s="12"/>
      <c r="F270" s="17"/>
      <c r="G270" s="12"/>
      <c r="H270" s="12"/>
      <c r="I270" s="12"/>
      <c r="J270" s="12"/>
      <c r="K270" s="12"/>
      <c r="L270" s="12"/>
      <c r="M270" s="12"/>
      <c r="N270" s="12"/>
      <c r="O270" s="12"/>
      <c r="P270" s="12"/>
      <c r="Q270" s="12"/>
      <c r="R270" s="12"/>
      <c r="S270" s="12"/>
      <c r="T270" s="12"/>
      <c r="U270" s="12"/>
      <c r="V270" s="14"/>
      <c r="W270" s="14"/>
      <c r="X270" s="14"/>
      <c r="Y270" s="14"/>
      <c r="Z270" s="15"/>
      <c r="AA270" s="12"/>
      <c r="AB270" s="12"/>
      <c r="AC270" s="12"/>
      <c r="AD270" s="12"/>
      <c r="AE270" s="12"/>
      <c r="AF270" s="12"/>
      <c r="AG270" s="12"/>
      <c r="AH270" s="12"/>
    </row>
    <row r="271" spans="1:34" ht="12.75">
      <c r="A271" s="12"/>
      <c r="B271" s="12"/>
      <c r="C271" s="12"/>
      <c r="D271" s="12"/>
      <c r="E271" s="12"/>
      <c r="F271" s="17"/>
      <c r="G271" s="12"/>
      <c r="H271" s="12"/>
      <c r="I271" s="12"/>
      <c r="J271" s="12"/>
      <c r="K271" s="12"/>
      <c r="L271" s="12"/>
      <c r="M271" s="12"/>
      <c r="N271" s="12"/>
      <c r="O271" s="12"/>
      <c r="P271" s="12"/>
      <c r="Q271" s="12"/>
      <c r="R271" s="12"/>
      <c r="S271" s="12"/>
      <c r="T271" s="12"/>
      <c r="U271" s="12"/>
      <c r="V271" s="14"/>
      <c r="W271" s="14"/>
      <c r="X271" s="14"/>
      <c r="Y271" s="14"/>
      <c r="Z271" s="15"/>
      <c r="AA271" s="12"/>
      <c r="AB271" s="12"/>
      <c r="AC271" s="12"/>
      <c r="AD271" s="12"/>
      <c r="AE271" s="12"/>
      <c r="AF271" s="12"/>
      <c r="AG271" s="12"/>
      <c r="AH271" s="12"/>
    </row>
    <row r="272" spans="1:34" ht="12.75">
      <c r="A272" s="12"/>
      <c r="B272" s="12"/>
      <c r="C272" s="12"/>
      <c r="D272" s="12"/>
      <c r="E272" s="12"/>
      <c r="F272" s="17"/>
      <c r="G272" s="12"/>
      <c r="H272" s="12"/>
      <c r="I272" s="12"/>
      <c r="J272" s="12"/>
      <c r="K272" s="12"/>
      <c r="L272" s="12"/>
      <c r="M272" s="12"/>
      <c r="N272" s="12"/>
      <c r="O272" s="12"/>
      <c r="P272" s="12"/>
      <c r="Q272" s="12"/>
      <c r="R272" s="12"/>
      <c r="S272" s="12"/>
      <c r="T272" s="12"/>
      <c r="U272" s="12"/>
      <c r="V272" s="14"/>
      <c r="W272" s="14"/>
      <c r="X272" s="14"/>
      <c r="Y272" s="14"/>
      <c r="Z272" s="15"/>
      <c r="AA272" s="12"/>
      <c r="AB272" s="12"/>
      <c r="AC272" s="12"/>
      <c r="AD272" s="12"/>
      <c r="AE272" s="12"/>
      <c r="AF272" s="12"/>
      <c r="AG272" s="12"/>
      <c r="AH272" s="12"/>
    </row>
    <row r="273" spans="1:34" ht="12.75">
      <c r="A273" s="12"/>
      <c r="B273" s="12"/>
      <c r="C273" s="12"/>
      <c r="D273" s="12"/>
      <c r="E273" s="12"/>
      <c r="F273" s="17"/>
      <c r="G273" s="12"/>
      <c r="H273" s="12"/>
      <c r="I273" s="12"/>
      <c r="J273" s="12"/>
      <c r="K273" s="12"/>
      <c r="L273" s="12"/>
      <c r="M273" s="12"/>
      <c r="N273" s="12"/>
      <c r="O273" s="12"/>
      <c r="P273" s="12"/>
      <c r="Q273" s="12"/>
      <c r="R273" s="12"/>
      <c r="S273" s="12"/>
      <c r="T273" s="12"/>
      <c r="U273" s="12"/>
      <c r="V273" s="14"/>
      <c r="W273" s="14"/>
      <c r="X273" s="14"/>
      <c r="Y273" s="14"/>
      <c r="Z273" s="15"/>
      <c r="AA273" s="12"/>
      <c r="AB273" s="12"/>
      <c r="AC273" s="12"/>
      <c r="AD273" s="12"/>
      <c r="AE273" s="12"/>
      <c r="AF273" s="12"/>
      <c r="AG273" s="12"/>
      <c r="AH273" s="12"/>
    </row>
    <row r="274" spans="1:34" ht="12.75">
      <c r="A274" s="12"/>
      <c r="B274" s="12"/>
      <c r="C274" s="12"/>
      <c r="D274" s="12"/>
      <c r="E274" s="12"/>
      <c r="F274" s="17"/>
      <c r="G274" s="12"/>
      <c r="H274" s="12"/>
      <c r="I274" s="12"/>
      <c r="J274" s="12"/>
      <c r="K274" s="12"/>
      <c r="L274" s="12"/>
      <c r="M274" s="12"/>
      <c r="N274" s="12"/>
      <c r="O274" s="12"/>
      <c r="P274" s="12"/>
      <c r="Q274" s="12"/>
      <c r="R274" s="12"/>
      <c r="S274" s="12"/>
      <c r="T274" s="12"/>
      <c r="U274" s="12"/>
      <c r="V274" s="14"/>
      <c r="W274" s="14"/>
      <c r="X274" s="14"/>
      <c r="Y274" s="14"/>
      <c r="Z274" s="15"/>
      <c r="AA274" s="12"/>
      <c r="AB274" s="12"/>
      <c r="AC274" s="12"/>
      <c r="AD274" s="12"/>
      <c r="AE274" s="12"/>
      <c r="AF274" s="12"/>
      <c r="AG274" s="12"/>
      <c r="AH274" s="12"/>
    </row>
    <row r="275" spans="1:34" ht="12.75">
      <c r="A275" s="12"/>
      <c r="B275" s="12"/>
      <c r="C275" s="12"/>
      <c r="D275" s="12"/>
      <c r="E275" s="12"/>
      <c r="F275" s="17"/>
      <c r="G275" s="12"/>
      <c r="H275" s="12"/>
      <c r="I275" s="12"/>
      <c r="J275" s="12"/>
      <c r="K275" s="12"/>
      <c r="L275" s="12"/>
      <c r="M275" s="12"/>
      <c r="N275" s="12"/>
      <c r="O275" s="12"/>
      <c r="P275" s="12"/>
      <c r="Q275" s="12"/>
      <c r="R275" s="12"/>
      <c r="S275" s="12"/>
      <c r="T275" s="12"/>
      <c r="U275" s="12"/>
      <c r="V275" s="14"/>
      <c r="W275" s="14"/>
      <c r="X275" s="14"/>
      <c r="Y275" s="14"/>
      <c r="Z275" s="15"/>
      <c r="AA275" s="12"/>
      <c r="AB275" s="12"/>
      <c r="AC275" s="12"/>
      <c r="AD275" s="12"/>
      <c r="AE275" s="12"/>
      <c r="AF275" s="12"/>
      <c r="AG275" s="12"/>
      <c r="AH275" s="12"/>
    </row>
    <row r="276" spans="1:34" ht="12.75">
      <c r="A276" s="12"/>
      <c r="B276" s="12"/>
      <c r="C276" s="12"/>
      <c r="D276" s="12"/>
      <c r="E276" s="12"/>
      <c r="F276" s="17"/>
      <c r="G276" s="12"/>
      <c r="H276" s="12"/>
      <c r="I276" s="12"/>
      <c r="J276" s="12"/>
      <c r="K276" s="12"/>
      <c r="L276" s="12"/>
      <c r="M276" s="12"/>
      <c r="N276" s="12"/>
      <c r="O276" s="12"/>
      <c r="P276" s="12"/>
      <c r="Q276" s="12"/>
      <c r="R276" s="12"/>
      <c r="S276" s="12"/>
      <c r="T276" s="12"/>
      <c r="U276" s="12"/>
      <c r="V276" s="14"/>
      <c r="W276" s="14"/>
      <c r="X276" s="14"/>
      <c r="Y276" s="14"/>
      <c r="Z276" s="15"/>
      <c r="AA276" s="12"/>
      <c r="AB276" s="12"/>
      <c r="AC276" s="12"/>
      <c r="AD276" s="12"/>
      <c r="AE276" s="12"/>
      <c r="AF276" s="12"/>
      <c r="AG276" s="12"/>
      <c r="AH276" s="12"/>
    </row>
    <row r="277" spans="1:34" ht="12.75">
      <c r="A277" s="12"/>
      <c r="B277" s="12"/>
      <c r="C277" s="12"/>
      <c r="D277" s="12"/>
      <c r="E277" s="12"/>
      <c r="F277" s="17"/>
      <c r="G277" s="12"/>
      <c r="H277" s="12"/>
      <c r="I277" s="12"/>
      <c r="J277" s="12"/>
      <c r="K277" s="12"/>
      <c r="L277" s="12"/>
      <c r="M277" s="12"/>
      <c r="N277" s="12"/>
      <c r="O277" s="12"/>
      <c r="P277" s="12"/>
      <c r="Q277" s="12"/>
      <c r="R277" s="12"/>
      <c r="S277" s="12"/>
      <c r="T277" s="12"/>
      <c r="U277" s="12"/>
      <c r="V277" s="14"/>
      <c r="W277" s="14"/>
      <c r="X277" s="14"/>
      <c r="Y277" s="14"/>
      <c r="Z277" s="15"/>
      <c r="AA277" s="12"/>
      <c r="AB277" s="12"/>
      <c r="AC277" s="12"/>
      <c r="AD277" s="12"/>
      <c r="AE277" s="12"/>
      <c r="AF277" s="12"/>
      <c r="AG277" s="12"/>
      <c r="AH277" s="12"/>
    </row>
    <row r="278" spans="1:34" ht="12.75">
      <c r="A278" s="12"/>
      <c r="B278" s="12"/>
      <c r="C278" s="12"/>
      <c r="D278" s="12"/>
      <c r="E278" s="12"/>
      <c r="F278" s="17"/>
      <c r="G278" s="12"/>
      <c r="H278" s="12"/>
      <c r="I278" s="12"/>
      <c r="J278" s="12"/>
      <c r="K278" s="12"/>
      <c r="L278" s="12"/>
      <c r="M278" s="12"/>
      <c r="N278" s="12"/>
      <c r="O278" s="12"/>
      <c r="P278" s="12"/>
      <c r="Q278" s="12"/>
      <c r="R278" s="12"/>
      <c r="S278" s="12"/>
      <c r="T278" s="12"/>
      <c r="U278" s="12"/>
      <c r="V278" s="14"/>
      <c r="W278" s="14"/>
      <c r="X278" s="14"/>
      <c r="Y278" s="14"/>
      <c r="Z278" s="15"/>
      <c r="AA278" s="12"/>
      <c r="AB278" s="12"/>
      <c r="AC278" s="12"/>
      <c r="AD278" s="12"/>
      <c r="AE278" s="12"/>
      <c r="AF278" s="12"/>
      <c r="AG278" s="12"/>
      <c r="AH278" s="12"/>
    </row>
    <row r="279" spans="1:34" ht="12.75">
      <c r="A279" s="12"/>
      <c r="B279" s="12"/>
      <c r="C279" s="12"/>
      <c r="D279" s="12"/>
      <c r="E279" s="12"/>
      <c r="F279" s="17"/>
      <c r="G279" s="12"/>
      <c r="H279" s="12"/>
      <c r="I279" s="12"/>
      <c r="J279" s="12"/>
      <c r="K279" s="12"/>
      <c r="L279" s="12"/>
      <c r="M279" s="12"/>
      <c r="N279" s="12"/>
      <c r="O279" s="12"/>
      <c r="P279" s="12"/>
      <c r="Q279" s="12"/>
      <c r="R279" s="12"/>
      <c r="S279" s="12"/>
      <c r="T279" s="12"/>
      <c r="U279" s="12"/>
      <c r="V279" s="14"/>
      <c r="W279" s="14"/>
      <c r="X279" s="14"/>
      <c r="Y279" s="14"/>
      <c r="Z279" s="15"/>
      <c r="AA279" s="12"/>
      <c r="AB279" s="12"/>
      <c r="AC279" s="12"/>
      <c r="AD279" s="12"/>
      <c r="AE279" s="12"/>
      <c r="AF279" s="12"/>
      <c r="AG279" s="12"/>
      <c r="AH279" s="12"/>
    </row>
    <row r="280" spans="1:34" ht="12.75">
      <c r="A280" s="12"/>
      <c r="B280" s="12"/>
      <c r="C280" s="12"/>
      <c r="D280" s="12"/>
      <c r="E280" s="12"/>
      <c r="F280" s="17"/>
      <c r="G280" s="12"/>
      <c r="H280" s="12"/>
      <c r="I280" s="12"/>
      <c r="J280" s="12"/>
      <c r="K280" s="12"/>
      <c r="L280" s="12"/>
      <c r="M280" s="12"/>
      <c r="N280" s="12"/>
      <c r="O280" s="12"/>
      <c r="P280" s="12"/>
      <c r="Q280" s="12"/>
      <c r="R280" s="12"/>
      <c r="S280" s="12"/>
      <c r="T280" s="12"/>
      <c r="U280" s="12"/>
      <c r="V280" s="14"/>
      <c r="W280" s="14"/>
      <c r="X280" s="14"/>
      <c r="Y280" s="14"/>
      <c r="Z280" s="15"/>
      <c r="AA280" s="12"/>
      <c r="AB280" s="12"/>
      <c r="AC280" s="12"/>
      <c r="AD280" s="12"/>
      <c r="AE280" s="12"/>
      <c r="AF280" s="12"/>
      <c r="AG280" s="12"/>
      <c r="AH280" s="12"/>
    </row>
    <row r="281" spans="1:34" ht="12.75">
      <c r="A281" s="12"/>
      <c r="B281" s="12"/>
      <c r="C281" s="12"/>
      <c r="D281" s="12"/>
      <c r="E281" s="12"/>
      <c r="F281" s="17"/>
      <c r="G281" s="12"/>
      <c r="H281" s="12"/>
      <c r="I281" s="12"/>
      <c r="J281" s="12"/>
      <c r="K281" s="12"/>
      <c r="L281" s="12"/>
      <c r="M281" s="12"/>
      <c r="N281" s="12"/>
      <c r="O281" s="12"/>
      <c r="P281" s="12"/>
      <c r="Q281" s="12"/>
      <c r="R281" s="12"/>
      <c r="S281" s="12"/>
      <c r="T281" s="12"/>
      <c r="U281" s="12"/>
      <c r="V281" s="14"/>
      <c r="W281" s="14"/>
      <c r="X281" s="14"/>
      <c r="Y281" s="14"/>
      <c r="Z281" s="15"/>
      <c r="AA281" s="12"/>
      <c r="AB281" s="12"/>
      <c r="AC281" s="12"/>
      <c r="AD281" s="12"/>
      <c r="AE281" s="12"/>
      <c r="AF281" s="12"/>
      <c r="AG281" s="12"/>
      <c r="AH281" s="12"/>
    </row>
    <row r="282" spans="1:34" ht="12.75">
      <c r="A282" s="12"/>
      <c r="B282" s="12"/>
      <c r="C282" s="12"/>
      <c r="D282" s="12"/>
      <c r="E282" s="12"/>
      <c r="F282" s="17"/>
      <c r="G282" s="12"/>
      <c r="H282" s="12"/>
      <c r="I282" s="12"/>
      <c r="J282" s="12"/>
      <c r="K282" s="12"/>
      <c r="L282" s="12"/>
      <c r="M282" s="12"/>
      <c r="N282" s="12"/>
      <c r="O282" s="12"/>
      <c r="P282" s="12"/>
      <c r="Q282" s="12"/>
      <c r="R282" s="12"/>
      <c r="S282" s="12"/>
      <c r="T282" s="12"/>
      <c r="U282" s="12"/>
      <c r="V282" s="14"/>
      <c r="W282" s="14"/>
      <c r="X282" s="14"/>
      <c r="Y282" s="14"/>
      <c r="Z282" s="15"/>
      <c r="AA282" s="12"/>
      <c r="AB282" s="12"/>
      <c r="AC282" s="12"/>
      <c r="AD282" s="12"/>
      <c r="AE282" s="12"/>
      <c r="AF282" s="12"/>
      <c r="AG282" s="12"/>
      <c r="AH282" s="12"/>
    </row>
    <row r="283" spans="1:34" ht="12.75">
      <c r="A283" s="12"/>
      <c r="B283" s="12"/>
      <c r="C283" s="12"/>
      <c r="D283" s="12"/>
      <c r="E283" s="12"/>
      <c r="F283" s="17"/>
      <c r="G283" s="12"/>
      <c r="H283" s="12"/>
      <c r="I283" s="12"/>
      <c r="J283" s="12"/>
      <c r="K283" s="12"/>
      <c r="L283" s="12"/>
      <c r="M283" s="12"/>
      <c r="N283" s="12"/>
      <c r="O283" s="12"/>
      <c r="P283" s="12"/>
      <c r="Q283" s="12"/>
      <c r="R283" s="12"/>
      <c r="S283" s="12"/>
      <c r="T283" s="12"/>
      <c r="U283" s="12"/>
      <c r="V283" s="14"/>
      <c r="W283" s="14"/>
      <c r="X283" s="14"/>
      <c r="Y283" s="14"/>
      <c r="Z283" s="15"/>
      <c r="AA283" s="12"/>
      <c r="AB283" s="12"/>
      <c r="AC283" s="12"/>
      <c r="AD283" s="12"/>
      <c r="AE283" s="12"/>
      <c r="AF283" s="12"/>
      <c r="AG283" s="12"/>
      <c r="AH283" s="12"/>
    </row>
    <row r="284" spans="1:34" ht="12.75">
      <c r="A284" s="12"/>
      <c r="B284" s="12"/>
      <c r="C284" s="12"/>
      <c r="D284" s="12"/>
      <c r="E284" s="12"/>
      <c r="F284" s="17"/>
      <c r="G284" s="12"/>
      <c r="H284" s="12"/>
      <c r="I284" s="12"/>
      <c r="J284" s="12"/>
      <c r="K284" s="12"/>
      <c r="L284" s="12"/>
      <c r="M284" s="12"/>
      <c r="N284" s="12"/>
      <c r="O284" s="12"/>
      <c r="P284" s="12"/>
      <c r="Q284" s="12"/>
      <c r="R284" s="12"/>
      <c r="S284" s="12"/>
      <c r="T284" s="12"/>
      <c r="U284" s="12"/>
      <c r="V284" s="14"/>
      <c r="W284" s="14"/>
      <c r="X284" s="14"/>
      <c r="Y284" s="14"/>
      <c r="Z284" s="15"/>
      <c r="AA284" s="12"/>
      <c r="AB284" s="12"/>
      <c r="AC284" s="12"/>
      <c r="AD284" s="12"/>
      <c r="AE284" s="12"/>
      <c r="AF284" s="12"/>
      <c r="AG284" s="12"/>
      <c r="AH284" s="12"/>
    </row>
    <row r="285" spans="1:34" ht="12.75">
      <c r="A285" s="12"/>
      <c r="B285" s="12"/>
      <c r="C285" s="12"/>
      <c r="D285" s="12"/>
      <c r="E285" s="12"/>
      <c r="F285" s="17"/>
      <c r="G285" s="12"/>
      <c r="H285" s="12"/>
      <c r="I285" s="12"/>
      <c r="J285" s="12"/>
      <c r="K285" s="12"/>
      <c r="L285" s="12"/>
      <c r="M285" s="12"/>
      <c r="N285" s="12"/>
      <c r="O285" s="12"/>
      <c r="P285" s="12"/>
      <c r="Q285" s="12"/>
      <c r="R285" s="12"/>
      <c r="S285" s="12"/>
      <c r="T285" s="12"/>
      <c r="U285" s="12"/>
      <c r="V285" s="14"/>
      <c r="W285" s="14"/>
      <c r="X285" s="14"/>
      <c r="Y285" s="14"/>
      <c r="Z285" s="15"/>
      <c r="AA285" s="12"/>
      <c r="AB285" s="12"/>
      <c r="AC285" s="12"/>
      <c r="AD285" s="12"/>
      <c r="AE285" s="12"/>
      <c r="AF285" s="12"/>
      <c r="AG285" s="12"/>
      <c r="AH285" s="12"/>
    </row>
    <row r="286" spans="1:34" ht="12.75">
      <c r="A286" s="12"/>
      <c r="B286" s="12"/>
      <c r="C286" s="12"/>
      <c r="D286" s="12"/>
      <c r="E286" s="12"/>
      <c r="F286" s="17"/>
      <c r="G286" s="12"/>
      <c r="H286" s="12"/>
      <c r="I286" s="12"/>
      <c r="J286" s="12"/>
      <c r="K286" s="12"/>
      <c r="L286" s="12"/>
      <c r="M286" s="12"/>
      <c r="N286" s="12"/>
      <c r="O286" s="12"/>
      <c r="P286" s="12"/>
      <c r="Q286" s="12"/>
      <c r="R286" s="12"/>
      <c r="S286" s="12"/>
      <c r="T286" s="12"/>
      <c r="U286" s="12"/>
      <c r="V286" s="14"/>
      <c r="W286" s="14"/>
      <c r="X286" s="14"/>
      <c r="Y286" s="14"/>
      <c r="Z286" s="15"/>
      <c r="AA286" s="12"/>
      <c r="AB286" s="12"/>
      <c r="AC286" s="12"/>
      <c r="AD286" s="12"/>
      <c r="AE286" s="12"/>
      <c r="AF286" s="12"/>
      <c r="AG286" s="12"/>
      <c r="AH286" s="12"/>
    </row>
    <row r="287" spans="1:34" ht="12.75">
      <c r="A287" s="12"/>
      <c r="B287" s="12"/>
      <c r="C287" s="12"/>
      <c r="D287" s="12"/>
      <c r="E287" s="12"/>
      <c r="F287" s="17"/>
      <c r="G287" s="12"/>
      <c r="H287" s="12"/>
      <c r="I287" s="12"/>
      <c r="J287" s="12"/>
      <c r="K287" s="12"/>
      <c r="L287" s="12"/>
      <c r="M287" s="12"/>
      <c r="N287" s="12"/>
      <c r="O287" s="12"/>
      <c r="P287" s="12"/>
      <c r="Q287" s="12"/>
      <c r="R287" s="12"/>
      <c r="S287" s="12"/>
      <c r="T287" s="12"/>
      <c r="U287" s="12"/>
      <c r="V287" s="14"/>
      <c r="W287" s="14"/>
      <c r="X287" s="14"/>
      <c r="Y287" s="14"/>
      <c r="Z287" s="15"/>
      <c r="AA287" s="12"/>
      <c r="AB287" s="12"/>
      <c r="AC287" s="12"/>
      <c r="AD287" s="12"/>
      <c r="AE287" s="12"/>
      <c r="AF287" s="12"/>
      <c r="AG287" s="12"/>
      <c r="AH287" s="12"/>
    </row>
    <row r="288" spans="1:34" ht="12.75">
      <c r="A288" s="12"/>
      <c r="B288" s="12"/>
      <c r="C288" s="12"/>
      <c r="D288" s="12"/>
      <c r="E288" s="12"/>
      <c r="F288" s="17"/>
      <c r="G288" s="12"/>
      <c r="H288" s="12"/>
      <c r="I288" s="12"/>
      <c r="J288" s="12"/>
      <c r="K288" s="12"/>
      <c r="L288" s="12"/>
      <c r="M288" s="12"/>
      <c r="N288" s="12"/>
      <c r="O288" s="12"/>
      <c r="P288" s="12"/>
      <c r="Q288" s="12"/>
      <c r="R288" s="12"/>
      <c r="S288" s="12"/>
      <c r="T288" s="12"/>
      <c r="U288" s="12"/>
      <c r="V288" s="14"/>
      <c r="W288" s="14"/>
      <c r="X288" s="14"/>
      <c r="Y288" s="14"/>
      <c r="Z288" s="15"/>
      <c r="AA288" s="12"/>
      <c r="AB288" s="12"/>
      <c r="AC288" s="12"/>
      <c r="AD288" s="12"/>
      <c r="AE288" s="12"/>
      <c r="AF288" s="12"/>
      <c r="AG288" s="12"/>
      <c r="AH288" s="12"/>
    </row>
    <row r="289" spans="1:34" ht="12.75">
      <c r="A289" s="12"/>
      <c r="B289" s="12"/>
      <c r="C289" s="12"/>
      <c r="D289" s="12"/>
      <c r="E289" s="12"/>
      <c r="F289" s="17"/>
      <c r="G289" s="12"/>
      <c r="H289" s="12"/>
      <c r="I289" s="12"/>
      <c r="J289" s="12"/>
      <c r="K289" s="12"/>
      <c r="L289" s="12"/>
      <c r="M289" s="12"/>
      <c r="N289" s="12"/>
      <c r="O289" s="12"/>
      <c r="P289" s="12"/>
      <c r="Q289" s="12"/>
      <c r="R289" s="12"/>
      <c r="S289" s="12"/>
      <c r="T289" s="12"/>
      <c r="U289" s="12"/>
      <c r="V289" s="14"/>
      <c r="W289" s="14"/>
      <c r="X289" s="14"/>
      <c r="Y289" s="14"/>
      <c r="Z289" s="15"/>
      <c r="AA289" s="12"/>
      <c r="AB289" s="12"/>
      <c r="AC289" s="12"/>
      <c r="AD289" s="12"/>
      <c r="AE289" s="12"/>
      <c r="AF289" s="12"/>
      <c r="AG289" s="12"/>
      <c r="AH289" s="12"/>
    </row>
    <row r="290" spans="1:34" ht="12.75">
      <c r="A290" s="12"/>
      <c r="B290" s="12"/>
      <c r="C290" s="12"/>
      <c r="D290" s="12"/>
      <c r="E290" s="12"/>
      <c r="F290" s="17"/>
      <c r="G290" s="12"/>
      <c r="H290" s="12"/>
      <c r="I290" s="12"/>
      <c r="J290" s="12"/>
      <c r="K290" s="12"/>
      <c r="L290" s="12"/>
      <c r="M290" s="12"/>
      <c r="N290" s="12"/>
      <c r="O290" s="12"/>
      <c r="P290" s="12"/>
      <c r="Q290" s="12"/>
      <c r="R290" s="12"/>
      <c r="S290" s="12"/>
      <c r="T290" s="12"/>
      <c r="U290" s="12"/>
      <c r="V290" s="14"/>
      <c r="W290" s="14"/>
      <c r="X290" s="14"/>
      <c r="Y290" s="14"/>
      <c r="Z290" s="15"/>
      <c r="AA290" s="12"/>
      <c r="AB290" s="12"/>
      <c r="AC290" s="12"/>
      <c r="AD290" s="12"/>
      <c r="AE290" s="12"/>
      <c r="AF290" s="12"/>
      <c r="AG290" s="12"/>
      <c r="AH290" s="12"/>
    </row>
    <row r="291" spans="1:34" ht="12.75">
      <c r="A291" s="12"/>
      <c r="B291" s="12"/>
      <c r="C291" s="12"/>
      <c r="D291" s="12"/>
      <c r="E291" s="12"/>
      <c r="F291" s="17"/>
      <c r="G291" s="12"/>
      <c r="H291" s="12"/>
      <c r="I291" s="12"/>
      <c r="J291" s="12"/>
      <c r="K291" s="12"/>
      <c r="L291" s="12"/>
      <c r="M291" s="12"/>
      <c r="N291" s="12"/>
      <c r="O291" s="12"/>
      <c r="P291" s="12"/>
      <c r="Q291" s="12"/>
      <c r="R291" s="12"/>
      <c r="S291" s="12"/>
      <c r="T291" s="12"/>
      <c r="U291" s="12"/>
      <c r="V291" s="14"/>
      <c r="W291" s="14"/>
      <c r="X291" s="14"/>
      <c r="Y291" s="14"/>
      <c r="Z291" s="15"/>
      <c r="AA291" s="12"/>
      <c r="AB291" s="12"/>
      <c r="AC291" s="12"/>
      <c r="AD291" s="12"/>
      <c r="AE291" s="12"/>
      <c r="AF291" s="12"/>
      <c r="AG291" s="12"/>
      <c r="AH291" s="12"/>
    </row>
    <row r="292" spans="1:34" ht="12.75">
      <c r="A292" s="12"/>
      <c r="B292" s="12"/>
      <c r="C292" s="12"/>
      <c r="D292" s="12"/>
      <c r="E292" s="12"/>
      <c r="F292" s="17"/>
      <c r="G292" s="12"/>
      <c r="H292" s="12"/>
      <c r="I292" s="12"/>
      <c r="J292" s="12"/>
      <c r="K292" s="12"/>
      <c r="L292" s="12"/>
      <c r="M292" s="12"/>
      <c r="N292" s="12"/>
      <c r="O292" s="12"/>
      <c r="P292" s="12"/>
      <c r="Q292" s="12"/>
      <c r="R292" s="12"/>
      <c r="S292" s="12"/>
      <c r="T292" s="12"/>
      <c r="U292" s="12"/>
      <c r="V292" s="14"/>
      <c r="W292" s="14"/>
      <c r="X292" s="14"/>
      <c r="Y292" s="14"/>
      <c r="Z292" s="15"/>
      <c r="AA292" s="12"/>
      <c r="AB292" s="12"/>
      <c r="AC292" s="12"/>
      <c r="AD292" s="12"/>
      <c r="AE292" s="12"/>
      <c r="AF292" s="12"/>
      <c r="AG292" s="12"/>
      <c r="AH292" s="12"/>
    </row>
    <row r="293" spans="1:34" ht="12.75">
      <c r="A293" s="12"/>
      <c r="B293" s="12"/>
      <c r="C293" s="12"/>
      <c r="D293" s="12"/>
      <c r="E293" s="12"/>
      <c r="F293" s="17"/>
      <c r="G293" s="12"/>
      <c r="H293" s="12"/>
      <c r="I293" s="12"/>
      <c r="J293" s="12"/>
      <c r="K293" s="12"/>
      <c r="L293" s="12"/>
      <c r="M293" s="12"/>
      <c r="N293" s="12"/>
      <c r="O293" s="12"/>
      <c r="P293" s="12"/>
      <c r="Q293" s="12"/>
      <c r="R293" s="12"/>
      <c r="S293" s="12"/>
      <c r="T293" s="12"/>
      <c r="U293" s="12"/>
      <c r="V293" s="14"/>
      <c r="W293" s="14"/>
      <c r="X293" s="14"/>
      <c r="Y293" s="14"/>
      <c r="Z293" s="15"/>
      <c r="AA293" s="12"/>
      <c r="AB293" s="12"/>
      <c r="AC293" s="12"/>
      <c r="AD293" s="12"/>
      <c r="AE293" s="12"/>
      <c r="AF293" s="12"/>
      <c r="AG293" s="12"/>
      <c r="AH293" s="12"/>
    </row>
    <row r="294" spans="1:34" ht="12.75">
      <c r="A294" s="12"/>
      <c r="B294" s="12"/>
      <c r="C294" s="12"/>
      <c r="D294" s="12"/>
      <c r="E294" s="12"/>
      <c r="F294" s="17"/>
      <c r="G294" s="12"/>
      <c r="H294" s="12"/>
      <c r="I294" s="12"/>
      <c r="J294" s="12"/>
      <c r="K294" s="12"/>
      <c r="L294" s="12"/>
      <c r="M294" s="12"/>
      <c r="N294" s="12"/>
      <c r="O294" s="12"/>
      <c r="P294" s="12"/>
      <c r="Q294" s="12"/>
      <c r="R294" s="12"/>
      <c r="S294" s="12"/>
      <c r="T294" s="12"/>
      <c r="U294" s="12"/>
      <c r="V294" s="14"/>
      <c r="W294" s="14"/>
      <c r="X294" s="14"/>
      <c r="Y294" s="14"/>
      <c r="Z294" s="15"/>
      <c r="AA294" s="12"/>
      <c r="AB294" s="12"/>
      <c r="AC294" s="12"/>
      <c r="AD294" s="12"/>
      <c r="AE294" s="12"/>
      <c r="AF294" s="12"/>
      <c r="AG294" s="12"/>
      <c r="AH294" s="12"/>
    </row>
    <row r="295" spans="1:34" ht="12.75">
      <c r="A295" s="12"/>
      <c r="B295" s="12"/>
      <c r="C295" s="12"/>
      <c r="D295" s="12"/>
      <c r="E295" s="12"/>
      <c r="F295" s="17"/>
      <c r="G295" s="12"/>
      <c r="H295" s="12"/>
      <c r="I295" s="12"/>
      <c r="J295" s="12"/>
      <c r="K295" s="12"/>
      <c r="L295" s="12"/>
      <c r="M295" s="12"/>
      <c r="N295" s="12"/>
      <c r="O295" s="12"/>
      <c r="P295" s="12"/>
      <c r="Q295" s="12"/>
      <c r="R295" s="12"/>
      <c r="S295" s="12"/>
      <c r="T295" s="12"/>
      <c r="U295" s="12"/>
      <c r="V295" s="14"/>
      <c r="W295" s="14"/>
      <c r="X295" s="14"/>
      <c r="Y295" s="14"/>
      <c r="Z295" s="15"/>
      <c r="AA295" s="12"/>
      <c r="AB295" s="12"/>
      <c r="AC295" s="12"/>
      <c r="AD295" s="12"/>
      <c r="AE295" s="12"/>
      <c r="AF295" s="12"/>
      <c r="AG295" s="12"/>
      <c r="AH295" s="12"/>
    </row>
    <row r="296" spans="1:34" ht="12.75">
      <c r="A296" s="12"/>
      <c r="B296" s="12"/>
      <c r="C296" s="12"/>
      <c r="D296" s="12"/>
      <c r="E296" s="12"/>
      <c r="F296" s="17"/>
      <c r="G296" s="12"/>
      <c r="H296" s="12"/>
      <c r="I296" s="12"/>
      <c r="J296" s="12"/>
      <c r="K296" s="12"/>
      <c r="L296" s="12"/>
      <c r="M296" s="12"/>
      <c r="N296" s="12"/>
      <c r="O296" s="12"/>
      <c r="P296" s="12"/>
      <c r="Q296" s="12"/>
      <c r="R296" s="12"/>
      <c r="S296" s="12"/>
      <c r="T296" s="12"/>
      <c r="U296" s="12"/>
      <c r="V296" s="14"/>
      <c r="W296" s="14"/>
      <c r="X296" s="14"/>
      <c r="Y296" s="14"/>
      <c r="Z296" s="15"/>
      <c r="AA296" s="12"/>
      <c r="AB296" s="12"/>
      <c r="AC296" s="12"/>
      <c r="AD296" s="12"/>
      <c r="AE296" s="12"/>
      <c r="AF296" s="12"/>
      <c r="AG296" s="12"/>
      <c r="AH296" s="12"/>
    </row>
    <row r="297" spans="1:34" ht="12.75">
      <c r="A297" s="12"/>
      <c r="B297" s="12"/>
      <c r="C297" s="12"/>
      <c r="D297" s="12"/>
      <c r="E297" s="12"/>
      <c r="F297" s="17"/>
      <c r="G297" s="12"/>
      <c r="H297" s="12"/>
      <c r="I297" s="12"/>
      <c r="J297" s="12"/>
      <c r="K297" s="12"/>
      <c r="L297" s="12"/>
      <c r="M297" s="12"/>
      <c r="N297" s="12"/>
      <c r="O297" s="12"/>
      <c r="P297" s="12"/>
      <c r="Q297" s="12"/>
      <c r="R297" s="12"/>
      <c r="S297" s="12"/>
      <c r="T297" s="12"/>
      <c r="U297" s="12"/>
      <c r="V297" s="14"/>
      <c r="W297" s="14"/>
      <c r="X297" s="14"/>
      <c r="Y297" s="14"/>
      <c r="Z297" s="15"/>
      <c r="AA297" s="12"/>
      <c r="AB297" s="12"/>
      <c r="AC297" s="12"/>
      <c r="AD297" s="12"/>
      <c r="AE297" s="12"/>
      <c r="AF297" s="12"/>
      <c r="AG297" s="12"/>
      <c r="AH297" s="12"/>
    </row>
    <row r="298" spans="1:34" ht="12.75">
      <c r="A298" s="12"/>
      <c r="B298" s="12"/>
      <c r="C298" s="12"/>
      <c r="D298" s="12"/>
      <c r="E298" s="12"/>
      <c r="F298" s="17"/>
      <c r="G298" s="12"/>
      <c r="H298" s="12"/>
      <c r="I298" s="12"/>
      <c r="J298" s="12"/>
      <c r="K298" s="12"/>
      <c r="L298" s="12"/>
      <c r="M298" s="12"/>
      <c r="N298" s="12"/>
      <c r="O298" s="12"/>
      <c r="P298" s="12"/>
      <c r="Q298" s="12"/>
      <c r="R298" s="12"/>
      <c r="S298" s="12"/>
      <c r="T298" s="12"/>
      <c r="U298" s="12"/>
      <c r="V298" s="14"/>
      <c r="W298" s="14"/>
      <c r="X298" s="14"/>
      <c r="Y298" s="14"/>
      <c r="Z298" s="15"/>
      <c r="AA298" s="12"/>
      <c r="AB298" s="12"/>
      <c r="AC298" s="12"/>
      <c r="AD298" s="12"/>
      <c r="AE298" s="12"/>
      <c r="AF298" s="12"/>
      <c r="AG298" s="12"/>
      <c r="AH298" s="12"/>
    </row>
    <row r="299" spans="1:34" ht="12.75">
      <c r="A299" s="12"/>
      <c r="B299" s="12"/>
      <c r="C299" s="12"/>
      <c r="D299" s="12"/>
      <c r="E299" s="12"/>
      <c r="F299" s="17"/>
      <c r="G299" s="12"/>
      <c r="H299" s="12"/>
      <c r="I299" s="12"/>
      <c r="J299" s="12"/>
      <c r="K299" s="12"/>
      <c r="L299" s="12"/>
      <c r="M299" s="12"/>
      <c r="N299" s="12"/>
      <c r="O299" s="12"/>
      <c r="P299" s="12"/>
      <c r="Q299" s="12"/>
      <c r="R299" s="12"/>
      <c r="S299" s="12"/>
      <c r="T299" s="12"/>
      <c r="U299" s="12"/>
      <c r="V299" s="14"/>
      <c r="W299" s="14"/>
      <c r="X299" s="14"/>
      <c r="Y299" s="14"/>
      <c r="Z299" s="15"/>
      <c r="AA299" s="12"/>
      <c r="AB299" s="12"/>
      <c r="AC299" s="12"/>
      <c r="AD299" s="12"/>
      <c r="AE299" s="12"/>
      <c r="AF299" s="12"/>
      <c r="AG299" s="12"/>
      <c r="AH299" s="12"/>
    </row>
    <row r="300" spans="1:34" ht="12.75">
      <c r="A300" s="12"/>
      <c r="B300" s="12"/>
      <c r="C300" s="12"/>
      <c r="D300" s="12"/>
      <c r="E300" s="12"/>
      <c r="F300" s="17"/>
      <c r="G300" s="12"/>
      <c r="H300" s="12"/>
      <c r="I300" s="12"/>
      <c r="J300" s="12"/>
      <c r="K300" s="12"/>
      <c r="L300" s="12"/>
      <c r="M300" s="12"/>
      <c r="N300" s="12"/>
      <c r="O300" s="12"/>
      <c r="P300" s="12"/>
      <c r="Q300" s="12"/>
      <c r="R300" s="12"/>
      <c r="S300" s="12"/>
      <c r="T300" s="12"/>
      <c r="U300" s="12"/>
      <c r="V300" s="14"/>
      <c r="W300" s="14"/>
      <c r="X300" s="14"/>
      <c r="Y300" s="14"/>
      <c r="Z300" s="15"/>
      <c r="AA300" s="12"/>
      <c r="AB300" s="12"/>
      <c r="AC300" s="12"/>
      <c r="AD300" s="12"/>
      <c r="AE300" s="12"/>
      <c r="AF300" s="12"/>
      <c r="AG300" s="12"/>
      <c r="AH300" s="12"/>
    </row>
    <row r="301" spans="1:34" ht="12.75">
      <c r="A301" s="12"/>
      <c r="B301" s="12"/>
      <c r="C301" s="12"/>
      <c r="D301" s="12"/>
      <c r="E301" s="12"/>
      <c r="F301" s="17"/>
      <c r="G301" s="12"/>
      <c r="H301" s="12"/>
      <c r="I301" s="12"/>
      <c r="J301" s="12"/>
      <c r="K301" s="12"/>
      <c r="L301" s="12"/>
      <c r="M301" s="12"/>
      <c r="N301" s="12"/>
      <c r="O301" s="12"/>
      <c r="P301" s="12"/>
      <c r="Q301" s="12"/>
      <c r="R301" s="12"/>
      <c r="S301" s="12"/>
      <c r="T301" s="12"/>
      <c r="U301" s="12"/>
      <c r="V301" s="14"/>
      <c r="W301" s="14"/>
      <c r="X301" s="14"/>
      <c r="Y301" s="14"/>
      <c r="Z301" s="15"/>
      <c r="AA301" s="12"/>
      <c r="AB301" s="12"/>
      <c r="AC301" s="12"/>
      <c r="AD301" s="12"/>
      <c r="AE301" s="12"/>
      <c r="AF301" s="12"/>
      <c r="AG301" s="12"/>
      <c r="AH301" s="12"/>
    </row>
    <row r="302" spans="1:34" ht="12.75">
      <c r="A302" s="12"/>
      <c r="B302" s="12"/>
      <c r="C302" s="12"/>
      <c r="D302" s="12"/>
      <c r="E302" s="12"/>
      <c r="F302" s="17"/>
      <c r="G302" s="12"/>
      <c r="H302" s="12"/>
      <c r="I302" s="12"/>
      <c r="J302" s="12"/>
      <c r="K302" s="12"/>
      <c r="L302" s="12"/>
      <c r="M302" s="12"/>
      <c r="N302" s="12"/>
      <c r="O302" s="12"/>
      <c r="P302" s="12"/>
      <c r="Q302" s="12"/>
      <c r="R302" s="12"/>
      <c r="S302" s="12"/>
      <c r="T302" s="12"/>
      <c r="U302" s="12"/>
      <c r="V302" s="14"/>
      <c r="W302" s="14"/>
      <c r="X302" s="14"/>
      <c r="Y302" s="14"/>
      <c r="Z302" s="15"/>
      <c r="AA302" s="12"/>
      <c r="AB302" s="12"/>
      <c r="AC302" s="12"/>
      <c r="AD302" s="12"/>
      <c r="AE302" s="12"/>
      <c r="AF302" s="12"/>
      <c r="AG302" s="12"/>
      <c r="AH302" s="12"/>
    </row>
    <row r="303" spans="1:34" ht="12.75">
      <c r="A303" s="12"/>
      <c r="B303" s="12"/>
      <c r="C303" s="12"/>
      <c r="D303" s="12"/>
      <c r="E303" s="12"/>
      <c r="F303" s="17"/>
      <c r="G303" s="12"/>
      <c r="H303" s="12"/>
      <c r="I303" s="12"/>
      <c r="J303" s="12"/>
      <c r="K303" s="12"/>
      <c r="L303" s="12"/>
      <c r="M303" s="12"/>
      <c r="N303" s="12"/>
      <c r="O303" s="12"/>
      <c r="P303" s="12"/>
      <c r="Q303" s="12"/>
      <c r="R303" s="12"/>
      <c r="S303" s="12"/>
      <c r="T303" s="12"/>
      <c r="U303" s="12"/>
      <c r="V303" s="14"/>
      <c r="W303" s="14"/>
      <c r="X303" s="14"/>
      <c r="Y303" s="14"/>
      <c r="Z303" s="15"/>
      <c r="AA303" s="12"/>
      <c r="AB303" s="12"/>
      <c r="AC303" s="12"/>
      <c r="AD303" s="12"/>
      <c r="AE303" s="12"/>
      <c r="AF303" s="12"/>
      <c r="AG303" s="12"/>
      <c r="AH303" s="12"/>
    </row>
    <row r="304" spans="1:34" ht="12.75">
      <c r="A304" s="12"/>
      <c r="B304" s="12"/>
      <c r="C304" s="12"/>
      <c r="D304" s="12"/>
      <c r="E304" s="12"/>
      <c r="F304" s="17"/>
      <c r="G304" s="12"/>
      <c r="H304" s="12"/>
      <c r="I304" s="12"/>
      <c r="J304" s="12"/>
      <c r="K304" s="12"/>
      <c r="L304" s="12"/>
      <c r="M304" s="12"/>
      <c r="N304" s="12"/>
      <c r="O304" s="12"/>
      <c r="P304" s="12"/>
      <c r="Q304" s="12"/>
      <c r="R304" s="12"/>
      <c r="S304" s="12"/>
      <c r="T304" s="12"/>
      <c r="U304" s="12"/>
      <c r="V304" s="14"/>
      <c r="W304" s="14"/>
      <c r="X304" s="14"/>
      <c r="Y304" s="14"/>
      <c r="Z304" s="15"/>
      <c r="AA304" s="12"/>
      <c r="AB304" s="12"/>
      <c r="AC304" s="12"/>
      <c r="AD304" s="12"/>
      <c r="AE304" s="12"/>
      <c r="AF304" s="12"/>
      <c r="AG304" s="12"/>
      <c r="AH304" s="12"/>
    </row>
    <row r="305" spans="1:34" ht="12.75">
      <c r="A305" s="12"/>
      <c r="B305" s="12"/>
      <c r="C305" s="12"/>
      <c r="D305" s="12"/>
      <c r="E305" s="12"/>
      <c r="F305" s="17"/>
      <c r="G305" s="12"/>
      <c r="H305" s="12"/>
      <c r="I305" s="12"/>
      <c r="J305" s="12"/>
      <c r="K305" s="12"/>
      <c r="L305" s="12"/>
      <c r="M305" s="12"/>
      <c r="N305" s="12"/>
      <c r="O305" s="12"/>
      <c r="P305" s="12"/>
      <c r="Q305" s="12"/>
      <c r="R305" s="12"/>
      <c r="S305" s="12"/>
      <c r="T305" s="12"/>
      <c r="U305" s="12"/>
      <c r="V305" s="14"/>
      <c r="W305" s="14"/>
      <c r="X305" s="14"/>
      <c r="Y305" s="14"/>
      <c r="Z305" s="15"/>
      <c r="AA305" s="12"/>
      <c r="AB305" s="12"/>
      <c r="AC305" s="12"/>
      <c r="AD305" s="12"/>
      <c r="AE305" s="12"/>
      <c r="AF305" s="12"/>
      <c r="AG305" s="12"/>
      <c r="AH305" s="12"/>
    </row>
    <row r="306" spans="1:34" ht="12.75">
      <c r="A306" s="12"/>
      <c r="B306" s="12"/>
      <c r="C306" s="12"/>
      <c r="D306" s="12"/>
      <c r="E306" s="12"/>
      <c r="F306" s="17"/>
      <c r="G306" s="12"/>
      <c r="H306" s="12"/>
      <c r="I306" s="12"/>
      <c r="J306" s="12"/>
      <c r="K306" s="12"/>
      <c r="L306" s="12"/>
      <c r="M306" s="12"/>
      <c r="N306" s="12"/>
      <c r="O306" s="12"/>
      <c r="P306" s="12"/>
      <c r="Q306" s="12"/>
      <c r="R306" s="12"/>
      <c r="S306" s="12"/>
      <c r="T306" s="12"/>
      <c r="U306" s="12"/>
      <c r="V306" s="14"/>
      <c r="W306" s="14"/>
      <c r="X306" s="14"/>
      <c r="Y306" s="14"/>
      <c r="Z306" s="15"/>
      <c r="AA306" s="12"/>
      <c r="AB306" s="12"/>
      <c r="AC306" s="12"/>
      <c r="AD306" s="12"/>
      <c r="AE306" s="12"/>
      <c r="AF306" s="12"/>
      <c r="AG306" s="12"/>
      <c r="AH306" s="12"/>
    </row>
    <row r="307" spans="1:34" ht="12.75">
      <c r="A307" s="12"/>
      <c r="B307" s="12"/>
      <c r="C307" s="12"/>
      <c r="D307" s="12"/>
      <c r="E307" s="12"/>
      <c r="F307" s="17"/>
      <c r="G307" s="12"/>
      <c r="H307" s="12"/>
      <c r="I307" s="12"/>
      <c r="J307" s="12"/>
      <c r="K307" s="12"/>
      <c r="L307" s="12"/>
      <c r="M307" s="12"/>
      <c r="N307" s="12"/>
      <c r="O307" s="12"/>
      <c r="P307" s="12"/>
      <c r="Q307" s="12"/>
      <c r="R307" s="12"/>
      <c r="S307" s="12"/>
      <c r="T307" s="12"/>
      <c r="U307" s="12"/>
      <c r="V307" s="14"/>
      <c r="W307" s="14"/>
      <c r="X307" s="14"/>
      <c r="Y307" s="14"/>
      <c r="Z307" s="15"/>
      <c r="AA307" s="12"/>
      <c r="AB307" s="12"/>
      <c r="AC307" s="12"/>
      <c r="AD307" s="12"/>
      <c r="AE307" s="12"/>
      <c r="AF307" s="12"/>
      <c r="AG307" s="12"/>
      <c r="AH307" s="12"/>
    </row>
    <row r="308" spans="1:34" ht="12.75">
      <c r="A308" s="12"/>
      <c r="B308" s="12"/>
      <c r="C308" s="12"/>
      <c r="D308" s="12"/>
      <c r="E308" s="12"/>
      <c r="F308" s="17"/>
      <c r="G308" s="12"/>
      <c r="H308" s="12"/>
      <c r="I308" s="12"/>
      <c r="J308" s="12"/>
      <c r="K308" s="12"/>
      <c r="L308" s="12"/>
      <c r="M308" s="12"/>
      <c r="N308" s="12"/>
      <c r="O308" s="12"/>
      <c r="P308" s="12"/>
      <c r="Q308" s="12"/>
      <c r="R308" s="12"/>
      <c r="S308" s="12"/>
      <c r="T308" s="12"/>
      <c r="U308" s="12"/>
      <c r="V308" s="14"/>
      <c r="W308" s="14"/>
      <c r="X308" s="14"/>
      <c r="Y308" s="14"/>
      <c r="Z308" s="15"/>
      <c r="AA308" s="12"/>
      <c r="AB308" s="12"/>
      <c r="AC308" s="12"/>
      <c r="AD308" s="12"/>
      <c r="AE308" s="12"/>
      <c r="AF308" s="12"/>
      <c r="AG308" s="12"/>
      <c r="AH308" s="12"/>
    </row>
    <row r="309" spans="1:34" ht="12.75">
      <c r="A309" s="12"/>
      <c r="B309" s="12"/>
      <c r="C309" s="12"/>
      <c r="D309" s="12"/>
      <c r="E309" s="12"/>
      <c r="F309" s="17"/>
      <c r="G309" s="12"/>
      <c r="H309" s="12"/>
      <c r="I309" s="12"/>
      <c r="J309" s="12"/>
      <c r="K309" s="12"/>
      <c r="L309" s="12"/>
      <c r="M309" s="12"/>
      <c r="N309" s="12"/>
      <c r="O309" s="12"/>
      <c r="P309" s="12"/>
      <c r="Q309" s="12"/>
      <c r="R309" s="12"/>
      <c r="S309" s="12"/>
      <c r="T309" s="12"/>
      <c r="U309" s="12"/>
      <c r="V309" s="14"/>
      <c r="W309" s="14"/>
      <c r="X309" s="14"/>
      <c r="Y309" s="14"/>
      <c r="Z309" s="15"/>
      <c r="AA309" s="12"/>
      <c r="AB309" s="12"/>
      <c r="AC309" s="12"/>
      <c r="AD309" s="12"/>
      <c r="AE309" s="12"/>
      <c r="AF309" s="12"/>
      <c r="AG309" s="12"/>
      <c r="AH309" s="12"/>
    </row>
    <row r="310" spans="1:34" ht="12.75">
      <c r="A310" s="12"/>
      <c r="B310" s="12"/>
      <c r="C310" s="12"/>
      <c r="D310" s="12"/>
      <c r="E310" s="12"/>
      <c r="F310" s="17"/>
      <c r="G310" s="12"/>
      <c r="H310" s="12"/>
      <c r="I310" s="12"/>
      <c r="J310" s="12"/>
      <c r="K310" s="12"/>
      <c r="L310" s="12"/>
      <c r="M310" s="12"/>
      <c r="N310" s="12"/>
      <c r="O310" s="12"/>
      <c r="P310" s="12"/>
      <c r="Q310" s="12"/>
      <c r="R310" s="12"/>
      <c r="S310" s="12"/>
      <c r="T310" s="12"/>
      <c r="U310" s="12"/>
      <c r="V310" s="14"/>
      <c r="W310" s="14"/>
      <c r="X310" s="14"/>
      <c r="Y310" s="14"/>
      <c r="Z310" s="15"/>
      <c r="AA310" s="12"/>
      <c r="AB310" s="12"/>
      <c r="AC310" s="12"/>
      <c r="AD310" s="12"/>
      <c r="AE310" s="12"/>
      <c r="AF310" s="12"/>
      <c r="AG310" s="12"/>
      <c r="AH310" s="12"/>
    </row>
    <row r="311" spans="1:34" ht="12.75">
      <c r="A311" s="12"/>
      <c r="B311" s="12"/>
      <c r="C311" s="12"/>
      <c r="D311" s="12"/>
      <c r="E311" s="12"/>
      <c r="F311" s="17"/>
      <c r="G311" s="12"/>
      <c r="H311" s="12"/>
      <c r="I311" s="12"/>
      <c r="J311" s="12"/>
      <c r="K311" s="12"/>
      <c r="L311" s="12"/>
      <c r="M311" s="12"/>
      <c r="N311" s="12"/>
      <c r="O311" s="12"/>
      <c r="P311" s="12"/>
      <c r="Q311" s="12"/>
      <c r="R311" s="12"/>
      <c r="S311" s="12"/>
      <c r="T311" s="12"/>
      <c r="U311" s="12"/>
      <c r="V311" s="14"/>
      <c r="W311" s="14"/>
      <c r="X311" s="14"/>
      <c r="Y311" s="14"/>
      <c r="Z311" s="15"/>
      <c r="AA311" s="12"/>
      <c r="AB311" s="12"/>
      <c r="AC311" s="12"/>
      <c r="AD311" s="12"/>
      <c r="AE311" s="12"/>
      <c r="AF311" s="12"/>
      <c r="AG311" s="12"/>
      <c r="AH311" s="12"/>
    </row>
    <row r="312" spans="1:34" ht="12.75">
      <c r="A312" s="12"/>
      <c r="B312" s="12"/>
      <c r="C312" s="12"/>
      <c r="D312" s="12"/>
      <c r="E312" s="12"/>
      <c r="F312" s="17"/>
      <c r="G312" s="12"/>
      <c r="H312" s="12"/>
      <c r="I312" s="12"/>
      <c r="J312" s="12"/>
      <c r="K312" s="12"/>
      <c r="L312" s="12"/>
      <c r="M312" s="12"/>
      <c r="N312" s="12"/>
      <c r="O312" s="12"/>
      <c r="P312" s="12"/>
      <c r="Q312" s="12"/>
      <c r="R312" s="12"/>
      <c r="S312" s="12"/>
      <c r="T312" s="12"/>
      <c r="U312" s="12"/>
      <c r="V312" s="14"/>
      <c r="W312" s="14"/>
      <c r="X312" s="14"/>
      <c r="Y312" s="14"/>
      <c r="Z312" s="15"/>
      <c r="AA312" s="12"/>
      <c r="AB312" s="12"/>
      <c r="AC312" s="12"/>
      <c r="AD312" s="12"/>
      <c r="AE312" s="12"/>
      <c r="AF312" s="12"/>
      <c r="AG312" s="12"/>
      <c r="AH312" s="12"/>
    </row>
    <row r="313" spans="1:34" ht="12.75">
      <c r="A313" s="12"/>
      <c r="B313" s="12"/>
      <c r="C313" s="12"/>
      <c r="D313" s="12"/>
      <c r="E313" s="12"/>
      <c r="F313" s="17"/>
      <c r="G313" s="12"/>
      <c r="H313" s="12"/>
      <c r="I313" s="12"/>
      <c r="J313" s="12"/>
      <c r="K313" s="12"/>
      <c r="L313" s="12"/>
      <c r="M313" s="12"/>
      <c r="N313" s="12"/>
      <c r="O313" s="12"/>
      <c r="P313" s="12"/>
      <c r="Q313" s="12"/>
      <c r="R313" s="12"/>
      <c r="S313" s="12"/>
      <c r="T313" s="12"/>
      <c r="U313" s="12"/>
      <c r="V313" s="14"/>
      <c r="W313" s="14"/>
      <c r="X313" s="14"/>
      <c r="Y313" s="14"/>
      <c r="Z313" s="15"/>
      <c r="AA313" s="12"/>
      <c r="AB313" s="12"/>
      <c r="AC313" s="12"/>
      <c r="AD313" s="12"/>
      <c r="AE313" s="12"/>
      <c r="AF313" s="12"/>
      <c r="AG313" s="12"/>
      <c r="AH313" s="12"/>
    </row>
    <row r="314" spans="1:34" ht="12.75">
      <c r="A314" s="12"/>
      <c r="B314" s="12"/>
      <c r="C314" s="12"/>
      <c r="D314" s="12"/>
      <c r="E314" s="12"/>
      <c r="F314" s="17"/>
      <c r="G314" s="12"/>
      <c r="H314" s="12"/>
      <c r="I314" s="12"/>
      <c r="J314" s="12"/>
      <c r="K314" s="12"/>
      <c r="L314" s="12"/>
      <c r="M314" s="12"/>
      <c r="N314" s="12"/>
      <c r="O314" s="12"/>
      <c r="P314" s="12"/>
      <c r="Q314" s="12"/>
      <c r="R314" s="12"/>
      <c r="S314" s="12"/>
      <c r="T314" s="12"/>
      <c r="U314" s="12"/>
      <c r="V314" s="14"/>
      <c r="W314" s="14"/>
      <c r="X314" s="14"/>
      <c r="Y314" s="14"/>
      <c r="Z314" s="15"/>
      <c r="AA314" s="12"/>
      <c r="AB314" s="12"/>
      <c r="AC314" s="12"/>
      <c r="AD314" s="12"/>
      <c r="AE314" s="12"/>
      <c r="AF314" s="12"/>
      <c r="AG314" s="12"/>
      <c r="AH314" s="12"/>
    </row>
    <row r="315" spans="1:34" ht="12.75">
      <c r="A315" s="12"/>
      <c r="B315" s="12"/>
      <c r="C315" s="12"/>
      <c r="D315" s="12"/>
      <c r="E315" s="12"/>
      <c r="F315" s="17"/>
      <c r="G315" s="12"/>
      <c r="H315" s="12"/>
      <c r="I315" s="12"/>
      <c r="J315" s="12"/>
      <c r="K315" s="12"/>
      <c r="L315" s="12"/>
      <c r="M315" s="12"/>
      <c r="N315" s="12"/>
      <c r="O315" s="12"/>
      <c r="P315" s="12"/>
      <c r="Q315" s="12"/>
      <c r="R315" s="12"/>
      <c r="S315" s="12"/>
      <c r="T315" s="12"/>
      <c r="U315" s="12"/>
      <c r="V315" s="14"/>
      <c r="W315" s="14"/>
      <c r="X315" s="14"/>
      <c r="Y315" s="14"/>
      <c r="Z315" s="15"/>
      <c r="AA315" s="12"/>
      <c r="AB315" s="12"/>
      <c r="AC315" s="12"/>
      <c r="AD315" s="12"/>
      <c r="AE315" s="12"/>
      <c r="AF315" s="12"/>
      <c r="AG315" s="12"/>
      <c r="AH315" s="12"/>
    </row>
    <row r="316" spans="1:34" ht="12.75">
      <c r="A316" s="12"/>
      <c r="B316" s="12"/>
      <c r="C316" s="12"/>
      <c r="D316" s="12"/>
      <c r="E316" s="12"/>
      <c r="F316" s="17"/>
      <c r="G316" s="12"/>
      <c r="H316" s="12"/>
      <c r="I316" s="12"/>
      <c r="J316" s="12"/>
      <c r="K316" s="12"/>
      <c r="L316" s="12"/>
      <c r="M316" s="12"/>
      <c r="N316" s="12"/>
      <c r="O316" s="12"/>
      <c r="P316" s="12"/>
      <c r="Q316" s="12"/>
      <c r="R316" s="12"/>
      <c r="S316" s="12"/>
      <c r="T316" s="12"/>
      <c r="U316" s="12"/>
      <c r="V316" s="14"/>
      <c r="W316" s="14"/>
      <c r="X316" s="14"/>
      <c r="Y316" s="14"/>
      <c r="Z316" s="15"/>
      <c r="AA316" s="12"/>
      <c r="AB316" s="12"/>
      <c r="AC316" s="12"/>
      <c r="AD316" s="12"/>
      <c r="AE316" s="12"/>
      <c r="AF316" s="12"/>
      <c r="AG316" s="12"/>
      <c r="AH316" s="12"/>
    </row>
    <row r="317" spans="1:34" ht="12.75">
      <c r="A317" s="12"/>
      <c r="B317" s="12"/>
      <c r="C317" s="12"/>
      <c r="D317" s="12"/>
      <c r="E317" s="12"/>
      <c r="F317" s="17"/>
      <c r="G317" s="12"/>
      <c r="H317" s="12"/>
      <c r="I317" s="12"/>
      <c r="J317" s="12"/>
      <c r="K317" s="12"/>
      <c r="L317" s="12"/>
      <c r="M317" s="12"/>
      <c r="N317" s="12"/>
      <c r="O317" s="12"/>
      <c r="P317" s="12"/>
      <c r="Q317" s="12"/>
      <c r="R317" s="12"/>
      <c r="S317" s="12"/>
      <c r="T317" s="12"/>
      <c r="U317" s="12"/>
      <c r="V317" s="14"/>
      <c r="W317" s="14"/>
      <c r="X317" s="14"/>
      <c r="Y317" s="14"/>
      <c r="Z317" s="15"/>
      <c r="AA317" s="12"/>
      <c r="AB317" s="12"/>
      <c r="AC317" s="12"/>
      <c r="AD317" s="12"/>
      <c r="AE317" s="12"/>
      <c r="AF317" s="12"/>
      <c r="AG317" s="12"/>
      <c r="AH317" s="12"/>
    </row>
    <row r="318" spans="1:34" ht="12.75">
      <c r="A318" s="12"/>
      <c r="B318" s="12"/>
      <c r="C318" s="12"/>
      <c r="D318" s="12"/>
      <c r="E318" s="12"/>
      <c r="F318" s="17"/>
      <c r="G318" s="12"/>
      <c r="H318" s="12"/>
      <c r="I318" s="12"/>
      <c r="J318" s="12"/>
      <c r="K318" s="12"/>
      <c r="L318" s="12"/>
      <c r="M318" s="12"/>
      <c r="N318" s="12"/>
      <c r="O318" s="12"/>
      <c r="P318" s="12"/>
      <c r="Q318" s="12"/>
      <c r="R318" s="12"/>
      <c r="S318" s="12"/>
      <c r="T318" s="12"/>
      <c r="U318" s="12"/>
      <c r="V318" s="14"/>
      <c r="W318" s="14"/>
      <c r="X318" s="14"/>
      <c r="Y318" s="14"/>
      <c r="Z318" s="15"/>
      <c r="AA318" s="12"/>
      <c r="AB318" s="12"/>
      <c r="AC318" s="12"/>
      <c r="AD318" s="12"/>
      <c r="AE318" s="12"/>
      <c r="AF318" s="12"/>
      <c r="AG318" s="12"/>
      <c r="AH318" s="12"/>
    </row>
    <row r="319" spans="1:34" ht="12.75">
      <c r="A319" s="12"/>
      <c r="B319" s="12"/>
      <c r="C319" s="12"/>
      <c r="D319" s="12"/>
      <c r="E319" s="12"/>
      <c r="F319" s="17"/>
      <c r="G319" s="12"/>
      <c r="H319" s="12"/>
      <c r="I319" s="12"/>
      <c r="J319" s="12"/>
      <c r="K319" s="12"/>
      <c r="L319" s="12"/>
      <c r="M319" s="12"/>
      <c r="N319" s="12"/>
      <c r="O319" s="12"/>
      <c r="P319" s="12"/>
      <c r="Q319" s="12"/>
      <c r="R319" s="12"/>
      <c r="S319" s="12"/>
      <c r="T319" s="12"/>
      <c r="U319" s="12"/>
      <c r="V319" s="14"/>
      <c r="W319" s="14"/>
      <c r="X319" s="14"/>
      <c r="Y319" s="14"/>
      <c r="Z319" s="15"/>
      <c r="AA319" s="12"/>
      <c r="AB319" s="12"/>
      <c r="AC319" s="12"/>
      <c r="AD319" s="12"/>
      <c r="AE319" s="12"/>
      <c r="AF319" s="12"/>
      <c r="AG319" s="12"/>
      <c r="AH319" s="12"/>
    </row>
    <row r="320" spans="1:34" ht="12.75">
      <c r="A320" s="12"/>
      <c r="B320" s="12"/>
      <c r="C320" s="12"/>
      <c r="D320" s="12"/>
      <c r="E320" s="12"/>
      <c r="F320" s="17"/>
      <c r="G320" s="12"/>
      <c r="H320" s="12"/>
      <c r="I320" s="12"/>
      <c r="J320" s="12"/>
      <c r="K320" s="12"/>
      <c r="L320" s="12"/>
      <c r="M320" s="12"/>
      <c r="N320" s="12"/>
      <c r="O320" s="12"/>
      <c r="P320" s="12"/>
      <c r="Q320" s="12"/>
      <c r="R320" s="12"/>
      <c r="S320" s="12"/>
      <c r="T320" s="12"/>
      <c r="U320" s="12"/>
      <c r="V320" s="14"/>
      <c r="W320" s="14"/>
      <c r="X320" s="14"/>
      <c r="Y320" s="14"/>
      <c r="Z320" s="15"/>
      <c r="AA320" s="12"/>
      <c r="AB320" s="12"/>
      <c r="AC320" s="12"/>
      <c r="AD320" s="12"/>
      <c r="AE320" s="12"/>
      <c r="AF320" s="12"/>
      <c r="AG320" s="12"/>
      <c r="AH320" s="12"/>
    </row>
    <row r="321" spans="1:34" ht="12.75">
      <c r="A321" s="12"/>
      <c r="B321" s="12"/>
      <c r="C321" s="12"/>
      <c r="D321" s="12"/>
      <c r="E321" s="12"/>
      <c r="F321" s="17"/>
      <c r="G321" s="12"/>
      <c r="H321" s="12"/>
      <c r="I321" s="12"/>
      <c r="J321" s="12"/>
      <c r="K321" s="12"/>
      <c r="L321" s="12"/>
      <c r="M321" s="12"/>
      <c r="N321" s="12"/>
      <c r="O321" s="12"/>
      <c r="P321" s="12"/>
      <c r="Q321" s="12"/>
      <c r="R321" s="12"/>
      <c r="S321" s="12"/>
      <c r="T321" s="12"/>
      <c r="U321" s="12"/>
      <c r="V321" s="14"/>
      <c r="W321" s="14"/>
      <c r="X321" s="14"/>
      <c r="Y321" s="14"/>
      <c r="Z321" s="15"/>
      <c r="AA321" s="12"/>
      <c r="AB321" s="12"/>
      <c r="AC321" s="12"/>
      <c r="AD321" s="12"/>
      <c r="AE321" s="12"/>
      <c r="AF321" s="12"/>
      <c r="AG321" s="12"/>
      <c r="AH321" s="12"/>
    </row>
    <row r="322" spans="1:34" ht="12.75">
      <c r="A322" s="12"/>
      <c r="B322" s="12"/>
      <c r="C322" s="12"/>
      <c r="D322" s="12"/>
      <c r="E322" s="12"/>
      <c r="F322" s="17"/>
      <c r="G322" s="12"/>
      <c r="H322" s="12"/>
      <c r="I322" s="12"/>
      <c r="J322" s="12"/>
      <c r="K322" s="12"/>
      <c r="L322" s="12"/>
      <c r="M322" s="12"/>
      <c r="N322" s="12"/>
      <c r="O322" s="12"/>
      <c r="P322" s="12"/>
      <c r="Q322" s="12"/>
      <c r="R322" s="12"/>
      <c r="S322" s="12"/>
      <c r="T322" s="12"/>
      <c r="U322" s="12"/>
      <c r="V322" s="14"/>
      <c r="W322" s="14"/>
      <c r="X322" s="14"/>
      <c r="Y322" s="14"/>
      <c r="Z322" s="15"/>
      <c r="AA322" s="12"/>
      <c r="AB322" s="12"/>
      <c r="AC322" s="12"/>
      <c r="AD322" s="12"/>
      <c r="AE322" s="12"/>
      <c r="AF322" s="12"/>
      <c r="AG322" s="12"/>
      <c r="AH322" s="12"/>
    </row>
    <row r="323" spans="1:34" ht="12.75">
      <c r="A323" s="12"/>
      <c r="B323" s="12"/>
      <c r="C323" s="12"/>
      <c r="D323" s="12"/>
      <c r="E323" s="12"/>
      <c r="F323" s="17"/>
      <c r="G323" s="12"/>
      <c r="H323" s="12"/>
      <c r="I323" s="12"/>
      <c r="J323" s="12"/>
      <c r="K323" s="12"/>
      <c r="L323" s="12"/>
      <c r="M323" s="12"/>
      <c r="N323" s="12"/>
      <c r="O323" s="12"/>
      <c r="P323" s="12"/>
      <c r="Q323" s="12"/>
      <c r="R323" s="12"/>
      <c r="S323" s="12"/>
      <c r="T323" s="12"/>
      <c r="U323" s="12"/>
      <c r="V323" s="14"/>
      <c r="W323" s="14"/>
      <c r="X323" s="14"/>
      <c r="Y323" s="14"/>
      <c r="Z323" s="15"/>
      <c r="AA323" s="12"/>
      <c r="AB323" s="12"/>
      <c r="AC323" s="12"/>
      <c r="AD323" s="12"/>
      <c r="AE323" s="12"/>
      <c r="AF323" s="12"/>
      <c r="AG323" s="12"/>
      <c r="AH323" s="12"/>
    </row>
    <row r="324" spans="1:34" ht="12.75">
      <c r="A324" s="12"/>
      <c r="B324" s="12"/>
      <c r="C324" s="12"/>
      <c r="D324" s="12"/>
      <c r="E324" s="12"/>
      <c r="F324" s="17"/>
      <c r="G324" s="12"/>
      <c r="H324" s="12"/>
      <c r="I324" s="12"/>
      <c r="J324" s="12"/>
      <c r="K324" s="12"/>
      <c r="L324" s="12"/>
      <c r="M324" s="12"/>
      <c r="N324" s="12"/>
      <c r="O324" s="12"/>
      <c r="P324" s="12"/>
      <c r="Q324" s="12"/>
      <c r="R324" s="12"/>
      <c r="S324" s="12"/>
      <c r="T324" s="12"/>
      <c r="U324" s="12"/>
      <c r="V324" s="14"/>
      <c r="W324" s="14"/>
      <c r="X324" s="14"/>
      <c r="Y324" s="14"/>
      <c r="Z324" s="15"/>
      <c r="AA324" s="12"/>
      <c r="AB324" s="12"/>
      <c r="AC324" s="12"/>
      <c r="AD324" s="12"/>
      <c r="AE324" s="12"/>
      <c r="AF324" s="12"/>
      <c r="AG324" s="12"/>
      <c r="AH324" s="12"/>
    </row>
    <row r="325" spans="1:34" ht="12.75">
      <c r="A325" s="12"/>
      <c r="B325" s="12"/>
      <c r="C325" s="12"/>
      <c r="D325" s="12"/>
      <c r="E325" s="12"/>
      <c r="F325" s="17"/>
      <c r="G325" s="12"/>
      <c r="H325" s="12"/>
      <c r="I325" s="12"/>
      <c r="J325" s="12"/>
      <c r="K325" s="12"/>
      <c r="L325" s="12"/>
      <c r="M325" s="12"/>
      <c r="N325" s="12"/>
      <c r="O325" s="12"/>
      <c r="P325" s="12"/>
      <c r="Q325" s="12"/>
      <c r="R325" s="12"/>
      <c r="S325" s="12"/>
      <c r="T325" s="12"/>
      <c r="U325" s="12"/>
      <c r="V325" s="14"/>
      <c r="W325" s="14"/>
      <c r="X325" s="14"/>
      <c r="Y325" s="14"/>
      <c r="Z325" s="15"/>
      <c r="AA325" s="12"/>
      <c r="AB325" s="12"/>
      <c r="AC325" s="12"/>
      <c r="AD325" s="12"/>
      <c r="AE325" s="12"/>
      <c r="AF325" s="12"/>
      <c r="AG325" s="12"/>
      <c r="AH325" s="12"/>
    </row>
    <row r="326" spans="1:34" ht="12.75">
      <c r="A326" s="12"/>
      <c r="B326" s="12"/>
      <c r="C326" s="12"/>
      <c r="D326" s="12"/>
      <c r="E326" s="12"/>
      <c r="F326" s="17"/>
      <c r="G326" s="12"/>
      <c r="H326" s="12"/>
      <c r="I326" s="12"/>
      <c r="J326" s="12"/>
      <c r="K326" s="12"/>
      <c r="L326" s="12"/>
      <c r="M326" s="12"/>
      <c r="N326" s="12"/>
      <c r="O326" s="12"/>
      <c r="P326" s="12"/>
      <c r="Q326" s="12"/>
      <c r="R326" s="12"/>
      <c r="S326" s="12"/>
      <c r="T326" s="12"/>
      <c r="U326" s="12"/>
      <c r="V326" s="14"/>
      <c r="W326" s="14"/>
      <c r="X326" s="14"/>
      <c r="Y326" s="14"/>
      <c r="Z326" s="15"/>
      <c r="AA326" s="12"/>
      <c r="AB326" s="12"/>
      <c r="AC326" s="12"/>
      <c r="AD326" s="12"/>
      <c r="AE326" s="12"/>
      <c r="AF326" s="12"/>
      <c r="AG326" s="12"/>
      <c r="AH326" s="12"/>
    </row>
    <row r="327" spans="1:34" ht="12.75">
      <c r="A327" s="12"/>
      <c r="B327" s="12"/>
      <c r="C327" s="12"/>
      <c r="D327" s="12"/>
      <c r="E327" s="12"/>
      <c r="F327" s="17"/>
      <c r="G327" s="12"/>
      <c r="H327" s="12"/>
      <c r="I327" s="12"/>
      <c r="J327" s="12"/>
      <c r="K327" s="12"/>
      <c r="L327" s="12"/>
      <c r="M327" s="12"/>
      <c r="N327" s="12"/>
      <c r="O327" s="12"/>
      <c r="P327" s="12"/>
      <c r="Q327" s="12"/>
      <c r="R327" s="12"/>
      <c r="S327" s="12"/>
      <c r="T327" s="12"/>
      <c r="U327" s="12"/>
      <c r="V327" s="14"/>
      <c r="W327" s="14"/>
      <c r="X327" s="14"/>
      <c r="Y327" s="14"/>
      <c r="Z327" s="15"/>
      <c r="AA327" s="12"/>
      <c r="AB327" s="12"/>
      <c r="AC327" s="12"/>
      <c r="AD327" s="12"/>
      <c r="AE327" s="12"/>
      <c r="AF327" s="12"/>
      <c r="AG327" s="12"/>
      <c r="AH327" s="12"/>
    </row>
    <row r="328" spans="1:34" ht="12.75">
      <c r="A328" s="12"/>
      <c r="B328" s="12"/>
      <c r="C328" s="12"/>
      <c r="D328" s="12"/>
      <c r="E328" s="12"/>
      <c r="F328" s="17"/>
      <c r="G328" s="12"/>
      <c r="H328" s="12"/>
      <c r="I328" s="12"/>
      <c r="J328" s="12"/>
      <c r="K328" s="12"/>
      <c r="L328" s="12"/>
      <c r="M328" s="12"/>
      <c r="N328" s="12"/>
      <c r="O328" s="12"/>
      <c r="P328" s="12"/>
      <c r="Q328" s="12"/>
      <c r="R328" s="12"/>
      <c r="S328" s="12"/>
      <c r="T328" s="12"/>
      <c r="U328" s="12"/>
      <c r="V328" s="14"/>
      <c r="W328" s="14"/>
      <c r="X328" s="14"/>
      <c r="Y328" s="14"/>
      <c r="Z328" s="15"/>
      <c r="AA328" s="12"/>
      <c r="AB328" s="12"/>
      <c r="AC328" s="12"/>
      <c r="AD328" s="12"/>
      <c r="AE328" s="12"/>
      <c r="AF328" s="12"/>
      <c r="AG328" s="12"/>
      <c r="AH328" s="12"/>
    </row>
    <row r="329" spans="1:34" ht="12.75">
      <c r="A329" s="12"/>
      <c r="B329" s="12"/>
      <c r="C329" s="12"/>
      <c r="D329" s="12"/>
      <c r="E329" s="12"/>
      <c r="F329" s="17"/>
      <c r="G329" s="12"/>
      <c r="H329" s="12"/>
      <c r="I329" s="12"/>
      <c r="J329" s="12"/>
      <c r="K329" s="12"/>
      <c r="L329" s="12"/>
      <c r="M329" s="12"/>
      <c r="N329" s="12"/>
      <c r="O329" s="12"/>
      <c r="P329" s="12"/>
      <c r="Q329" s="12"/>
      <c r="R329" s="12"/>
      <c r="S329" s="12"/>
      <c r="T329" s="12"/>
      <c r="U329" s="12"/>
      <c r="V329" s="14"/>
      <c r="W329" s="14"/>
      <c r="X329" s="14"/>
      <c r="Y329" s="14"/>
      <c r="Z329" s="15"/>
      <c r="AA329" s="12"/>
      <c r="AB329" s="12"/>
      <c r="AC329" s="12"/>
      <c r="AD329" s="12"/>
      <c r="AE329" s="12"/>
      <c r="AF329" s="12"/>
      <c r="AG329" s="12"/>
      <c r="AH329" s="12"/>
    </row>
    <row r="330" spans="1:34" ht="12.75">
      <c r="A330" s="12"/>
      <c r="B330" s="12"/>
      <c r="C330" s="12"/>
      <c r="D330" s="12"/>
      <c r="E330" s="12"/>
      <c r="F330" s="17"/>
      <c r="G330" s="12"/>
      <c r="H330" s="12"/>
      <c r="I330" s="12"/>
      <c r="J330" s="12"/>
      <c r="K330" s="12"/>
      <c r="L330" s="12"/>
      <c r="M330" s="12"/>
      <c r="N330" s="12"/>
      <c r="O330" s="12"/>
      <c r="P330" s="12"/>
      <c r="Q330" s="12"/>
      <c r="R330" s="12"/>
      <c r="S330" s="12"/>
      <c r="T330" s="12"/>
      <c r="U330" s="12"/>
      <c r="V330" s="14"/>
      <c r="W330" s="14"/>
      <c r="X330" s="14"/>
      <c r="Y330" s="14"/>
      <c r="Z330" s="15"/>
      <c r="AA330" s="12"/>
      <c r="AB330" s="12"/>
      <c r="AC330" s="12"/>
      <c r="AD330" s="12"/>
      <c r="AE330" s="12"/>
      <c r="AF330" s="12"/>
      <c r="AG330" s="12"/>
      <c r="AH330" s="12"/>
    </row>
    <row r="331" spans="1:34" ht="12.75">
      <c r="A331" s="12"/>
      <c r="B331" s="12"/>
      <c r="C331" s="12"/>
      <c r="D331" s="12"/>
      <c r="E331" s="12"/>
      <c r="F331" s="17"/>
      <c r="G331" s="12"/>
      <c r="H331" s="12"/>
      <c r="I331" s="12"/>
      <c r="J331" s="12"/>
      <c r="K331" s="12"/>
      <c r="L331" s="12"/>
      <c r="M331" s="12"/>
      <c r="N331" s="12"/>
      <c r="O331" s="12"/>
      <c r="P331" s="12"/>
      <c r="Q331" s="12"/>
      <c r="R331" s="12"/>
      <c r="S331" s="12"/>
      <c r="T331" s="12"/>
      <c r="U331" s="12"/>
      <c r="V331" s="14"/>
      <c r="W331" s="14"/>
      <c r="X331" s="14"/>
      <c r="Y331" s="14"/>
      <c r="Z331" s="15"/>
      <c r="AA331" s="12"/>
      <c r="AB331" s="12"/>
      <c r="AC331" s="12"/>
      <c r="AD331" s="12"/>
      <c r="AE331" s="12"/>
      <c r="AF331" s="12"/>
      <c r="AG331" s="12"/>
      <c r="AH331" s="12"/>
    </row>
    <row r="332" spans="1:34" ht="12.75">
      <c r="A332" s="12"/>
      <c r="B332" s="12"/>
      <c r="C332" s="12"/>
      <c r="D332" s="12"/>
      <c r="E332" s="12"/>
      <c r="F332" s="17"/>
      <c r="G332" s="12"/>
      <c r="H332" s="12"/>
      <c r="I332" s="12"/>
      <c r="J332" s="12"/>
      <c r="K332" s="12"/>
      <c r="L332" s="12"/>
      <c r="M332" s="12"/>
      <c r="N332" s="12"/>
      <c r="O332" s="12"/>
      <c r="P332" s="12"/>
      <c r="Q332" s="12"/>
      <c r="R332" s="12"/>
      <c r="S332" s="12"/>
      <c r="T332" s="12"/>
      <c r="U332" s="12"/>
      <c r="V332" s="14"/>
      <c r="W332" s="14"/>
      <c r="X332" s="14"/>
      <c r="Y332" s="14"/>
      <c r="Z332" s="15"/>
      <c r="AA332" s="12"/>
      <c r="AB332" s="12"/>
      <c r="AC332" s="12"/>
      <c r="AD332" s="12"/>
      <c r="AE332" s="12"/>
      <c r="AF332" s="12"/>
      <c r="AG332" s="12"/>
      <c r="AH332" s="12"/>
    </row>
    <row r="333" spans="1:34" ht="12.75">
      <c r="A333" s="12"/>
      <c r="B333" s="12"/>
      <c r="C333" s="12"/>
      <c r="D333" s="12"/>
      <c r="E333" s="12"/>
      <c r="F333" s="17"/>
      <c r="G333" s="12"/>
      <c r="H333" s="12"/>
      <c r="I333" s="12"/>
      <c r="J333" s="12"/>
      <c r="K333" s="12"/>
      <c r="L333" s="12"/>
      <c r="M333" s="12"/>
      <c r="N333" s="12"/>
      <c r="O333" s="12"/>
      <c r="P333" s="12"/>
      <c r="Q333" s="12"/>
      <c r="R333" s="12"/>
      <c r="S333" s="12"/>
      <c r="T333" s="12"/>
      <c r="U333" s="12"/>
      <c r="V333" s="14"/>
      <c r="W333" s="14"/>
      <c r="X333" s="14"/>
      <c r="Y333" s="14"/>
      <c r="Z333" s="15"/>
      <c r="AA333" s="12"/>
      <c r="AB333" s="12"/>
      <c r="AC333" s="12"/>
      <c r="AD333" s="12"/>
      <c r="AE333" s="12"/>
      <c r="AF333" s="12"/>
      <c r="AG333" s="12"/>
      <c r="AH333" s="12"/>
    </row>
    <row r="334" spans="1:34" ht="12.75">
      <c r="A334" s="12"/>
      <c r="B334" s="12"/>
      <c r="C334" s="12"/>
      <c r="D334" s="12"/>
      <c r="E334" s="12"/>
      <c r="F334" s="17"/>
      <c r="G334" s="12"/>
      <c r="H334" s="12"/>
      <c r="I334" s="12"/>
      <c r="J334" s="12"/>
      <c r="K334" s="12"/>
      <c r="L334" s="12"/>
      <c r="M334" s="12"/>
      <c r="N334" s="12"/>
      <c r="O334" s="12"/>
      <c r="P334" s="12"/>
      <c r="Q334" s="12"/>
      <c r="R334" s="12"/>
      <c r="S334" s="12"/>
      <c r="T334" s="12"/>
      <c r="U334" s="12"/>
      <c r="V334" s="14"/>
      <c r="W334" s="14"/>
      <c r="X334" s="14"/>
      <c r="Y334" s="14"/>
      <c r="Z334" s="15"/>
      <c r="AA334" s="12"/>
      <c r="AB334" s="12"/>
      <c r="AC334" s="12"/>
      <c r="AD334" s="12"/>
      <c r="AE334" s="12"/>
      <c r="AF334" s="12"/>
      <c r="AG334" s="12"/>
      <c r="AH334" s="12"/>
    </row>
    <row r="335" spans="1:34" ht="12.75">
      <c r="A335" s="12"/>
      <c r="B335" s="12"/>
      <c r="C335" s="12"/>
      <c r="D335" s="12"/>
      <c r="E335" s="12"/>
      <c r="F335" s="17"/>
      <c r="G335" s="12"/>
      <c r="H335" s="12"/>
      <c r="I335" s="12"/>
      <c r="J335" s="12"/>
      <c r="K335" s="12"/>
      <c r="L335" s="12"/>
      <c r="M335" s="12"/>
      <c r="N335" s="12"/>
      <c r="O335" s="12"/>
      <c r="P335" s="12"/>
      <c r="Q335" s="12"/>
      <c r="R335" s="12"/>
      <c r="S335" s="12"/>
      <c r="T335" s="12"/>
      <c r="U335" s="12"/>
      <c r="V335" s="14"/>
      <c r="W335" s="14"/>
      <c r="X335" s="14"/>
      <c r="Y335" s="14"/>
      <c r="Z335" s="15"/>
      <c r="AA335" s="12"/>
      <c r="AB335" s="12"/>
      <c r="AC335" s="12"/>
      <c r="AD335" s="12"/>
      <c r="AE335" s="12"/>
      <c r="AF335" s="12"/>
      <c r="AG335" s="12"/>
      <c r="AH335" s="12"/>
    </row>
    <row r="336" spans="1:34" ht="12.75">
      <c r="A336" s="12"/>
      <c r="B336" s="12"/>
      <c r="C336" s="12"/>
      <c r="D336" s="12"/>
      <c r="E336" s="12"/>
      <c r="F336" s="17"/>
      <c r="G336" s="12"/>
      <c r="H336" s="12"/>
      <c r="I336" s="12"/>
      <c r="J336" s="12"/>
      <c r="K336" s="12"/>
      <c r="L336" s="12"/>
      <c r="M336" s="12"/>
      <c r="N336" s="12"/>
      <c r="O336" s="12"/>
      <c r="P336" s="12"/>
      <c r="Q336" s="12"/>
      <c r="R336" s="12"/>
      <c r="S336" s="12"/>
      <c r="T336" s="12"/>
      <c r="U336" s="12"/>
      <c r="V336" s="14"/>
      <c r="W336" s="14"/>
      <c r="X336" s="14"/>
      <c r="Y336" s="14"/>
      <c r="Z336" s="15"/>
      <c r="AA336" s="12"/>
      <c r="AB336" s="12"/>
      <c r="AC336" s="12"/>
      <c r="AD336" s="12"/>
      <c r="AE336" s="12"/>
      <c r="AF336" s="12"/>
      <c r="AG336" s="12"/>
      <c r="AH336" s="12"/>
    </row>
    <row r="337" spans="1:34" ht="12.75">
      <c r="A337" s="12"/>
      <c r="B337" s="12"/>
      <c r="C337" s="12"/>
      <c r="D337" s="12"/>
      <c r="E337" s="12"/>
      <c r="F337" s="17"/>
      <c r="G337" s="12"/>
      <c r="H337" s="12"/>
      <c r="I337" s="12"/>
      <c r="J337" s="12"/>
      <c r="K337" s="12"/>
      <c r="L337" s="12"/>
      <c r="M337" s="12"/>
      <c r="N337" s="12"/>
      <c r="O337" s="12"/>
      <c r="P337" s="12"/>
      <c r="Q337" s="12"/>
      <c r="R337" s="12"/>
      <c r="S337" s="12"/>
      <c r="T337" s="12"/>
      <c r="U337" s="12"/>
      <c r="V337" s="14"/>
      <c r="W337" s="14"/>
      <c r="X337" s="14"/>
      <c r="Y337" s="14"/>
      <c r="Z337" s="15"/>
      <c r="AA337" s="12"/>
      <c r="AB337" s="12"/>
      <c r="AC337" s="12"/>
      <c r="AD337" s="12"/>
      <c r="AE337" s="12"/>
      <c r="AF337" s="12"/>
      <c r="AG337" s="12"/>
      <c r="AH337" s="12"/>
    </row>
    <row r="338" spans="1:34" ht="12.75">
      <c r="A338" s="12"/>
      <c r="B338" s="12"/>
      <c r="C338" s="12"/>
      <c r="D338" s="12"/>
      <c r="E338" s="12"/>
      <c r="F338" s="17"/>
      <c r="G338" s="12"/>
      <c r="H338" s="12"/>
      <c r="I338" s="12"/>
      <c r="J338" s="12"/>
      <c r="K338" s="12"/>
      <c r="L338" s="12"/>
      <c r="M338" s="12"/>
      <c r="N338" s="12"/>
      <c r="O338" s="12"/>
      <c r="P338" s="12"/>
      <c r="Q338" s="12"/>
      <c r="R338" s="12"/>
      <c r="S338" s="12"/>
      <c r="T338" s="12"/>
      <c r="U338" s="12"/>
      <c r="V338" s="14"/>
      <c r="W338" s="14"/>
      <c r="X338" s="14"/>
      <c r="Y338" s="14"/>
      <c r="Z338" s="15"/>
      <c r="AA338" s="12"/>
      <c r="AB338" s="12"/>
      <c r="AC338" s="12"/>
      <c r="AD338" s="12"/>
      <c r="AE338" s="12"/>
      <c r="AF338" s="12"/>
      <c r="AG338" s="12"/>
      <c r="AH338" s="12"/>
    </row>
    <row r="339" spans="1:34" ht="12.75">
      <c r="A339" s="12"/>
      <c r="B339" s="12"/>
      <c r="C339" s="12"/>
      <c r="D339" s="12"/>
      <c r="E339" s="12"/>
      <c r="F339" s="17"/>
      <c r="G339" s="12"/>
      <c r="H339" s="12"/>
      <c r="I339" s="12"/>
      <c r="J339" s="12"/>
      <c r="K339" s="12"/>
      <c r="L339" s="12"/>
      <c r="M339" s="12"/>
      <c r="N339" s="12"/>
      <c r="O339" s="12"/>
      <c r="P339" s="12"/>
      <c r="Q339" s="12"/>
      <c r="R339" s="12"/>
      <c r="S339" s="12"/>
      <c r="T339" s="12"/>
      <c r="U339" s="12"/>
      <c r="V339" s="14"/>
      <c r="W339" s="14"/>
      <c r="X339" s="14"/>
      <c r="Y339" s="14"/>
      <c r="Z339" s="15"/>
      <c r="AA339" s="12"/>
      <c r="AB339" s="12"/>
      <c r="AC339" s="12"/>
      <c r="AD339" s="12"/>
      <c r="AE339" s="12"/>
      <c r="AF339" s="12"/>
      <c r="AG339" s="12"/>
      <c r="AH339" s="12"/>
    </row>
    <row r="340" spans="1:34" ht="12.75">
      <c r="A340" s="12"/>
      <c r="B340" s="12"/>
      <c r="C340" s="12"/>
      <c r="D340" s="12"/>
      <c r="E340" s="12"/>
      <c r="F340" s="17"/>
      <c r="G340" s="12"/>
      <c r="H340" s="12"/>
      <c r="I340" s="12"/>
      <c r="J340" s="12"/>
      <c r="K340" s="12"/>
      <c r="L340" s="12"/>
      <c r="M340" s="12"/>
      <c r="N340" s="12"/>
      <c r="O340" s="12"/>
      <c r="P340" s="12"/>
      <c r="Q340" s="12"/>
      <c r="R340" s="12"/>
      <c r="S340" s="12"/>
      <c r="T340" s="12"/>
      <c r="U340" s="12"/>
      <c r="V340" s="14"/>
      <c r="W340" s="14"/>
      <c r="X340" s="14"/>
      <c r="Y340" s="14"/>
      <c r="Z340" s="15"/>
      <c r="AA340" s="12"/>
      <c r="AB340" s="12"/>
      <c r="AC340" s="12"/>
      <c r="AD340" s="12"/>
      <c r="AE340" s="12"/>
      <c r="AF340" s="12"/>
      <c r="AG340" s="12"/>
      <c r="AH340" s="12"/>
    </row>
    <row r="341" spans="1:34" ht="12.75">
      <c r="A341" s="12"/>
      <c r="B341" s="12"/>
      <c r="C341" s="12"/>
      <c r="D341" s="12"/>
      <c r="E341" s="12"/>
      <c r="F341" s="17"/>
      <c r="G341" s="12"/>
      <c r="H341" s="12"/>
      <c r="I341" s="12"/>
      <c r="J341" s="12"/>
      <c r="K341" s="12"/>
      <c r="L341" s="12"/>
      <c r="M341" s="12"/>
      <c r="N341" s="12"/>
      <c r="O341" s="12"/>
      <c r="P341" s="12"/>
      <c r="Q341" s="12"/>
      <c r="R341" s="12"/>
      <c r="S341" s="12"/>
      <c r="T341" s="12"/>
      <c r="U341" s="12"/>
      <c r="V341" s="14"/>
      <c r="W341" s="14"/>
      <c r="X341" s="14"/>
      <c r="Y341" s="14"/>
      <c r="Z341" s="15"/>
      <c r="AA341" s="12"/>
      <c r="AB341" s="12"/>
      <c r="AC341" s="12"/>
      <c r="AD341" s="12"/>
      <c r="AE341" s="12"/>
      <c r="AF341" s="12"/>
      <c r="AG341" s="12"/>
      <c r="AH341" s="12"/>
    </row>
    <row r="342" spans="1:34" ht="12.75">
      <c r="A342" s="12"/>
      <c r="B342" s="12"/>
      <c r="C342" s="12"/>
      <c r="D342" s="12"/>
      <c r="E342" s="12"/>
      <c r="F342" s="17"/>
      <c r="G342" s="12"/>
      <c r="H342" s="12"/>
      <c r="I342" s="12"/>
      <c r="J342" s="12"/>
      <c r="K342" s="12"/>
      <c r="L342" s="12"/>
      <c r="M342" s="12"/>
      <c r="N342" s="12"/>
      <c r="O342" s="12"/>
      <c r="P342" s="12"/>
      <c r="Q342" s="12"/>
      <c r="R342" s="12"/>
      <c r="S342" s="12"/>
      <c r="T342" s="12"/>
      <c r="U342" s="12"/>
      <c r="V342" s="14"/>
      <c r="W342" s="14"/>
      <c r="X342" s="14"/>
      <c r="Y342" s="14"/>
      <c r="Z342" s="15"/>
      <c r="AA342" s="12"/>
      <c r="AB342" s="12"/>
      <c r="AC342" s="12"/>
      <c r="AD342" s="12"/>
      <c r="AE342" s="12"/>
      <c r="AF342" s="12"/>
      <c r="AG342" s="12"/>
      <c r="AH342" s="12"/>
    </row>
    <row r="343" spans="1:34" ht="12.75">
      <c r="A343" s="12"/>
      <c r="B343" s="12"/>
      <c r="C343" s="12"/>
      <c r="D343" s="12"/>
      <c r="E343" s="12"/>
      <c r="F343" s="17"/>
      <c r="G343" s="12"/>
      <c r="H343" s="12"/>
      <c r="I343" s="12"/>
      <c r="J343" s="12"/>
      <c r="K343" s="12"/>
      <c r="L343" s="12"/>
      <c r="M343" s="12"/>
      <c r="N343" s="12"/>
      <c r="O343" s="12"/>
      <c r="P343" s="12"/>
      <c r="Q343" s="12"/>
      <c r="R343" s="12"/>
      <c r="S343" s="12"/>
      <c r="T343" s="12"/>
      <c r="U343" s="12"/>
      <c r="V343" s="14"/>
      <c r="W343" s="14"/>
      <c r="X343" s="14"/>
      <c r="Y343" s="14"/>
      <c r="Z343" s="15"/>
      <c r="AA343" s="12"/>
      <c r="AB343" s="12"/>
      <c r="AC343" s="12"/>
      <c r="AD343" s="12"/>
      <c r="AE343" s="12"/>
      <c r="AF343" s="12"/>
      <c r="AG343" s="12"/>
      <c r="AH343" s="12"/>
    </row>
    <row r="344" spans="1:34" ht="12.75">
      <c r="A344" s="12"/>
      <c r="B344" s="12"/>
      <c r="C344" s="12"/>
      <c r="D344" s="12"/>
      <c r="E344" s="12"/>
      <c r="F344" s="17"/>
      <c r="G344" s="12"/>
      <c r="H344" s="12"/>
      <c r="I344" s="12"/>
      <c r="J344" s="12"/>
      <c r="K344" s="12"/>
      <c r="L344" s="12"/>
      <c r="M344" s="12"/>
      <c r="N344" s="12"/>
      <c r="O344" s="12"/>
      <c r="P344" s="12"/>
      <c r="Q344" s="12"/>
      <c r="R344" s="12"/>
      <c r="S344" s="12"/>
      <c r="T344" s="12"/>
      <c r="U344" s="12"/>
      <c r="V344" s="14"/>
      <c r="W344" s="14"/>
      <c r="X344" s="14"/>
      <c r="Y344" s="14"/>
      <c r="Z344" s="15"/>
      <c r="AA344" s="12"/>
      <c r="AB344" s="12"/>
      <c r="AC344" s="12"/>
      <c r="AD344" s="12"/>
      <c r="AE344" s="12"/>
      <c r="AF344" s="12"/>
      <c r="AG344" s="12"/>
      <c r="AH344" s="12"/>
    </row>
    <row r="345" spans="1:34" ht="12.75">
      <c r="A345" s="12"/>
      <c r="B345" s="12"/>
      <c r="C345" s="12"/>
      <c r="D345" s="12"/>
      <c r="E345" s="12"/>
      <c r="F345" s="17"/>
      <c r="G345" s="12"/>
      <c r="H345" s="12"/>
      <c r="I345" s="12"/>
      <c r="J345" s="12"/>
      <c r="K345" s="12"/>
      <c r="L345" s="12"/>
      <c r="M345" s="12"/>
      <c r="N345" s="12"/>
      <c r="O345" s="12"/>
      <c r="P345" s="12"/>
      <c r="Q345" s="12"/>
      <c r="R345" s="12"/>
      <c r="S345" s="12"/>
      <c r="T345" s="12"/>
      <c r="U345" s="12"/>
      <c r="V345" s="14"/>
      <c r="W345" s="14"/>
      <c r="X345" s="14"/>
      <c r="Y345" s="14"/>
      <c r="Z345" s="15"/>
      <c r="AA345" s="12"/>
      <c r="AB345" s="12"/>
      <c r="AC345" s="12"/>
      <c r="AD345" s="12"/>
      <c r="AE345" s="12"/>
      <c r="AF345" s="12"/>
      <c r="AG345" s="12"/>
      <c r="AH345" s="12"/>
    </row>
    <row r="346" spans="1:34" ht="12.75">
      <c r="A346" s="12"/>
      <c r="B346" s="12"/>
      <c r="C346" s="12"/>
      <c r="D346" s="12"/>
      <c r="E346" s="12"/>
      <c r="F346" s="17"/>
      <c r="G346" s="12"/>
      <c r="H346" s="12"/>
      <c r="I346" s="12"/>
      <c r="J346" s="12"/>
      <c r="K346" s="12"/>
      <c r="L346" s="12"/>
      <c r="M346" s="12"/>
      <c r="N346" s="12"/>
      <c r="O346" s="12"/>
      <c r="P346" s="12"/>
      <c r="Q346" s="12"/>
      <c r="R346" s="12"/>
      <c r="S346" s="12"/>
      <c r="T346" s="12"/>
      <c r="U346" s="12"/>
      <c r="V346" s="14"/>
      <c r="W346" s="14"/>
      <c r="X346" s="14"/>
      <c r="Y346" s="14"/>
      <c r="Z346" s="15"/>
      <c r="AA346" s="12"/>
      <c r="AB346" s="12"/>
      <c r="AC346" s="12"/>
      <c r="AD346" s="12"/>
      <c r="AE346" s="12"/>
      <c r="AF346" s="12"/>
      <c r="AG346" s="12"/>
      <c r="AH346" s="12"/>
    </row>
    <row r="347" spans="1:34" ht="12.75">
      <c r="A347" s="12"/>
      <c r="B347" s="12"/>
      <c r="C347" s="12"/>
      <c r="D347" s="12"/>
      <c r="E347" s="12"/>
      <c r="F347" s="17"/>
      <c r="G347" s="12"/>
      <c r="H347" s="12"/>
      <c r="I347" s="12"/>
      <c r="J347" s="12"/>
      <c r="K347" s="12"/>
      <c r="L347" s="12"/>
      <c r="M347" s="12"/>
      <c r="N347" s="12"/>
      <c r="O347" s="12"/>
      <c r="P347" s="12"/>
      <c r="Q347" s="12"/>
      <c r="R347" s="12"/>
      <c r="S347" s="12"/>
      <c r="T347" s="12"/>
      <c r="U347" s="12"/>
      <c r="V347" s="14"/>
      <c r="W347" s="14"/>
      <c r="X347" s="14"/>
      <c r="Y347" s="14"/>
      <c r="Z347" s="15"/>
      <c r="AA347" s="12"/>
      <c r="AB347" s="12"/>
      <c r="AC347" s="12"/>
      <c r="AD347" s="12"/>
      <c r="AE347" s="12"/>
      <c r="AF347" s="12"/>
      <c r="AG347" s="12"/>
      <c r="AH347" s="12"/>
    </row>
    <row r="348" spans="1:34" ht="12.75">
      <c r="A348" s="12"/>
      <c r="B348" s="12"/>
      <c r="C348" s="12"/>
      <c r="D348" s="12"/>
      <c r="E348" s="12"/>
      <c r="F348" s="17"/>
      <c r="G348" s="12"/>
      <c r="H348" s="12"/>
      <c r="I348" s="12"/>
      <c r="J348" s="12"/>
      <c r="K348" s="12"/>
      <c r="L348" s="12"/>
      <c r="M348" s="12"/>
      <c r="N348" s="12"/>
      <c r="O348" s="12"/>
      <c r="P348" s="12"/>
      <c r="Q348" s="12"/>
      <c r="R348" s="12"/>
      <c r="S348" s="12"/>
      <c r="T348" s="12"/>
      <c r="U348" s="12"/>
      <c r="V348" s="14"/>
      <c r="W348" s="14"/>
      <c r="X348" s="14"/>
      <c r="Y348" s="14"/>
      <c r="Z348" s="15"/>
      <c r="AA348" s="12"/>
      <c r="AB348" s="12"/>
      <c r="AC348" s="12"/>
      <c r="AD348" s="12"/>
      <c r="AE348" s="12"/>
      <c r="AF348" s="12"/>
      <c r="AG348" s="12"/>
      <c r="AH348" s="12"/>
    </row>
    <row r="349" spans="1:34" ht="12.75">
      <c r="A349" s="12"/>
      <c r="B349" s="12"/>
      <c r="C349" s="12"/>
      <c r="D349" s="12"/>
      <c r="E349" s="12"/>
      <c r="F349" s="17"/>
      <c r="G349" s="12"/>
      <c r="H349" s="12"/>
      <c r="I349" s="12"/>
      <c r="J349" s="12"/>
      <c r="K349" s="12"/>
      <c r="L349" s="12"/>
      <c r="M349" s="12"/>
      <c r="N349" s="12"/>
      <c r="O349" s="12"/>
      <c r="P349" s="12"/>
      <c r="Q349" s="12"/>
      <c r="R349" s="12"/>
      <c r="S349" s="12"/>
      <c r="T349" s="12"/>
      <c r="U349" s="12"/>
      <c r="V349" s="14"/>
      <c r="W349" s="14"/>
      <c r="X349" s="14"/>
      <c r="Y349" s="14"/>
      <c r="Z349" s="15"/>
      <c r="AA349" s="12"/>
      <c r="AB349" s="12"/>
      <c r="AC349" s="12"/>
      <c r="AD349" s="12"/>
      <c r="AE349" s="12"/>
      <c r="AF349" s="12"/>
      <c r="AG349" s="12"/>
      <c r="AH349" s="12"/>
    </row>
    <row r="350" spans="1:34" ht="12.75">
      <c r="A350" s="12"/>
      <c r="B350" s="12"/>
      <c r="C350" s="12"/>
      <c r="D350" s="12"/>
      <c r="E350" s="12"/>
      <c r="F350" s="17"/>
      <c r="G350" s="12"/>
      <c r="H350" s="12"/>
      <c r="I350" s="12"/>
      <c r="J350" s="12"/>
      <c r="K350" s="12"/>
      <c r="L350" s="12"/>
      <c r="M350" s="12"/>
      <c r="N350" s="12"/>
      <c r="O350" s="12"/>
      <c r="P350" s="12"/>
      <c r="Q350" s="12"/>
      <c r="R350" s="12"/>
      <c r="S350" s="12"/>
      <c r="T350" s="12"/>
      <c r="U350" s="12"/>
      <c r="V350" s="14"/>
      <c r="W350" s="14"/>
      <c r="X350" s="14"/>
      <c r="Y350" s="14"/>
      <c r="Z350" s="15"/>
      <c r="AA350" s="12"/>
      <c r="AB350" s="12"/>
      <c r="AC350" s="12"/>
      <c r="AD350" s="12"/>
      <c r="AE350" s="12"/>
      <c r="AF350" s="12"/>
      <c r="AG350" s="12"/>
      <c r="AH350" s="12"/>
    </row>
    <row r="351" spans="1:34" ht="12.75">
      <c r="A351" s="12"/>
      <c r="B351" s="12"/>
      <c r="C351" s="12"/>
      <c r="D351" s="12"/>
      <c r="E351" s="12"/>
      <c r="F351" s="17"/>
      <c r="G351" s="12"/>
      <c r="H351" s="12"/>
      <c r="I351" s="12"/>
      <c r="J351" s="12"/>
      <c r="K351" s="12"/>
      <c r="L351" s="12"/>
      <c r="M351" s="12"/>
      <c r="N351" s="12"/>
      <c r="O351" s="12"/>
      <c r="P351" s="12"/>
      <c r="Q351" s="12"/>
      <c r="R351" s="12"/>
      <c r="S351" s="12"/>
      <c r="T351" s="12"/>
      <c r="U351" s="12"/>
      <c r="V351" s="14"/>
      <c r="W351" s="14"/>
      <c r="X351" s="14"/>
      <c r="Y351" s="14"/>
      <c r="Z351" s="15"/>
      <c r="AA351" s="12"/>
      <c r="AB351" s="12"/>
      <c r="AC351" s="12"/>
      <c r="AD351" s="12"/>
      <c r="AE351" s="12"/>
      <c r="AF351" s="12"/>
      <c r="AG351" s="12"/>
      <c r="AH351" s="12"/>
    </row>
    <row r="352" spans="1:34" ht="12.75">
      <c r="A352" s="12"/>
      <c r="B352" s="12"/>
      <c r="C352" s="12"/>
      <c r="D352" s="12"/>
      <c r="E352" s="12"/>
      <c r="F352" s="17"/>
      <c r="G352" s="12"/>
      <c r="H352" s="12"/>
      <c r="I352" s="12"/>
      <c r="J352" s="12"/>
      <c r="K352" s="12"/>
      <c r="L352" s="12"/>
      <c r="M352" s="12"/>
      <c r="N352" s="12"/>
      <c r="O352" s="12"/>
      <c r="P352" s="12"/>
      <c r="Q352" s="12"/>
      <c r="R352" s="12"/>
      <c r="S352" s="12"/>
      <c r="T352" s="12"/>
      <c r="U352" s="12"/>
      <c r="V352" s="14"/>
      <c r="W352" s="14"/>
      <c r="X352" s="14"/>
      <c r="Y352" s="14"/>
      <c r="Z352" s="15"/>
      <c r="AA352" s="12"/>
      <c r="AB352" s="12"/>
      <c r="AC352" s="12"/>
      <c r="AD352" s="12"/>
      <c r="AE352" s="12"/>
      <c r="AF352" s="12"/>
      <c r="AG352" s="12"/>
      <c r="AH352" s="12"/>
    </row>
    <row r="353" spans="1:34" ht="12.75">
      <c r="A353" s="12"/>
      <c r="B353" s="12"/>
      <c r="C353" s="12"/>
      <c r="D353" s="12"/>
      <c r="E353" s="12"/>
      <c r="F353" s="17"/>
      <c r="G353" s="12"/>
      <c r="H353" s="12"/>
      <c r="I353" s="12"/>
      <c r="J353" s="12"/>
      <c r="K353" s="12"/>
      <c r="L353" s="12"/>
      <c r="M353" s="12"/>
      <c r="N353" s="12"/>
      <c r="O353" s="12"/>
      <c r="P353" s="12"/>
      <c r="Q353" s="12"/>
      <c r="R353" s="12"/>
      <c r="S353" s="12"/>
      <c r="T353" s="12"/>
      <c r="U353" s="12"/>
      <c r="V353" s="14"/>
      <c r="W353" s="14"/>
      <c r="X353" s="14"/>
      <c r="Y353" s="14"/>
      <c r="Z353" s="15"/>
      <c r="AA353" s="12"/>
      <c r="AB353" s="12"/>
      <c r="AC353" s="12"/>
      <c r="AD353" s="12"/>
      <c r="AE353" s="12"/>
      <c r="AF353" s="12"/>
      <c r="AG353" s="12"/>
      <c r="AH353" s="12"/>
    </row>
    <row r="354" spans="1:34" ht="12.75">
      <c r="A354" s="12"/>
      <c r="B354" s="12"/>
      <c r="C354" s="12"/>
      <c r="D354" s="12"/>
      <c r="E354" s="12"/>
      <c r="F354" s="17"/>
      <c r="G354" s="12"/>
      <c r="H354" s="12"/>
      <c r="I354" s="12"/>
      <c r="J354" s="12"/>
      <c r="K354" s="12"/>
      <c r="L354" s="12"/>
      <c r="M354" s="12"/>
      <c r="N354" s="12"/>
      <c r="O354" s="12"/>
      <c r="P354" s="12"/>
      <c r="Q354" s="12"/>
      <c r="R354" s="12"/>
      <c r="S354" s="12"/>
      <c r="T354" s="12"/>
      <c r="U354" s="12"/>
      <c r="V354" s="14"/>
      <c r="W354" s="14"/>
      <c r="X354" s="14"/>
      <c r="Y354" s="14"/>
      <c r="Z354" s="15"/>
      <c r="AA354" s="12"/>
      <c r="AB354" s="12"/>
      <c r="AC354" s="12"/>
      <c r="AD354" s="12"/>
      <c r="AE354" s="12"/>
      <c r="AF354" s="12"/>
      <c r="AG354" s="12"/>
      <c r="AH354" s="12"/>
    </row>
    <row r="355" spans="1:34" ht="12.75">
      <c r="A355" s="12"/>
      <c r="B355" s="12"/>
      <c r="C355" s="12"/>
      <c r="D355" s="12"/>
      <c r="E355" s="12"/>
      <c r="F355" s="17"/>
      <c r="G355" s="12"/>
      <c r="H355" s="12"/>
      <c r="I355" s="12"/>
      <c r="J355" s="12"/>
      <c r="K355" s="12"/>
      <c r="L355" s="12"/>
      <c r="M355" s="12"/>
      <c r="N355" s="12"/>
      <c r="O355" s="12"/>
      <c r="P355" s="12"/>
      <c r="Q355" s="12"/>
      <c r="R355" s="12"/>
      <c r="S355" s="12"/>
      <c r="T355" s="12"/>
      <c r="U355" s="12"/>
      <c r="V355" s="14"/>
      <c r="W355" s="14"/>
      <c r="X355" s="14"/>
      <c r="Y355" s="14"/>
      <c r="Z355" s="15"/>
      <c r="AA355" s="12"/>
      <c r="AB355" s="12"/>
      <c r="AC355" s="12"/>
      <c r="AD355" s="12"/>
      <c r="AE355" s="12"/>
      <c r="AF355" s="12"/>
      <c r="AG355" s="12"/>
      <c r="AH355" s="12"/>
    </row>
    <row r="356" spans="1:34" ht="12.75">
      <c r="A356" s="12"/>
      <c r="B356" s="12"/>
      <c r="C356" s="12"/>
      <c r="D356" s="12"/>
      <c r="E356" s="12"/>
      <c r="F356" s="17"/>
      <c r="G356" s="12"/>
      <c r="H356" s="12"/>
      <c r="I356" s="12"/>
      <c r="J356" s="12"/>
      <c r="K356" s="12"/>
      <c r="L356" s="12"/>
      <c r="M356" s="12"/>
      <c r="N356" s="12"/>
      <c r="O356" s="12"/>
      <c r="P356" s="12"/>
      <c r="Q356" s="12"/>
      <c r="R356" s="12"/>
      <c r="S356" s="12"/>
      <c r="T356" s="12"/>
      <c r="U356" s="12"/>
      <c r="V356" s="14"/>
      <c r="W356" s="14"/>
      <c r="X356" s="14"/>
      <c r="Y356" s="14"/>
      <c r="Z356" s="15"/>
      <c r="AA356" s="12"/>
      <c r="AB356" s="12"/>
      <c r="AC356" s="12"/>
      <c r="AD356" s="12"/>
      <c r="AE356" s="12"/>
      <c r="AF356" s="12"/>
      <c r="AG356" s="12"/>
      <c r="AH356" s="12"/>
    </row>
    <row r="357" spans="1:34" ht="12.75">
      <c r="A357" s="12"/>
      <c r="B357" s="12"/>
      <c r="C357" s="12"/>
      <c r="D357" s="12"/>
      <c r="E357" s="12"/>
      <c r="F357" s="17"/>
      <c r="G357" s="12"/>
      <c r="H357" s="12"/>
      <c r="I357" s="12"/>
      <c r="J357" s="12"/>
      <c r="K357" s="12"/>
      <c r="L357" s="12"/>
      <c r="M357" s="12"/>
      <c r="N357" s="12"/>
      <c r="O357" s="12"/>
      <c r="P357" s="12"/>
      <c r="Q357" s="12"/>
      <c r="R357" s="12"/>
      <c r="S357" s="12"/>
      <c r="T357" s="12"/>
      <c r="U357" s="12"/>
      <c r="V357" s="14"/>
      <c r="W357" s="14"/>
      <c r="X357" s="14"/>
      <c r="Y357" s="14"/>
      <c r="Z357" s="15"/>
      <c r="AA357" s="12"/>
      <c r="AB357" s="12"/>
      <c r="AC357" s="12"/>
      <c r="AD357" s="12"/>
      <c r="AE357" s="12"/>
      <c r="AF357" s="12"/>
      <c r="AG357" s="12"/>
      <c r="AH357" s="12"/>
    </row>
    <row r="358" spans="1:34" ht="12.75">
      <c r="A358" s="12"/>
      <c r="B358" s="12"/>
      <c r="C358" s="12"/>
      <c r="D358" s="12"/>
      <c r="E358" s="12"/>
      <c r="F358" s="17"/>
      <c r="G358" s="12"/>
      <c r="H358" s="12"/>
      <c r="I358" s="12"/>
      <c r="J358" s="12"/>
      <c r="K358" s="12"/>
      <c r="L358" s="12"/>
      <c r="M358" s="12"/>
      <c r="N358" s="12"/>
      <c r="O358" s="12"/>
      <c r="P358" s="12"/>
      <c r="Q358" s="12"/>
      <c r="R358" s="12"/>
      <c r="S358" s="12"/>
      <c r="T358" s="12"/>
      <c r="U358" s="12"/>
      <c r="V358" s="14"/>
      <c r="W358" s="14"/>
      <c r="X358" s="14"/>
      <c r="Y358" s="14"/>
      <c r="Z358" s="15"/>
      <c r="AA358" s="12"/>
      <c r="AB358" s="12"/>
      <c r="AC358" s="12"/>
      <c r="AD358" s="12"/>
      <c r="AE358" s="12"/>
      <c r="AF358" s="12"/>
      <c r="AG358" s="12"/>
      <c r="AH358" s="12"/>
    </row>
    <row r="359" spans="1:34" ht="12.75">
      <c r="A359" s="12"/>
      <c r="B359" s="12"/>
      <c r="C359" s="12"/>
      <c r="D359" s="12"/>
      <c r="E359" s="12"/>
      <c r="F359" s="17"/>
      <c r="G359" s="12"/>
      <c r="H359" s="12"/>
      <c r="I359" s="12"/>
      <c r="J359" s="12"/>
      <c r="K359" s="12"/>
      <c r="L359" s="12"/>
      <c r="M359" s="12"/>
      <c r="N359" s="12"/>
      <c r="O359" s="12"/>
      <c r="P359" s="12"/>
      <c r="Q359" s="12"/>
      <c r="R359" s="12"/>
      <c r="S359" s="12"/>
      <c r="T359" s="12"/>
      <c r="U359" s="12"/>
      <c r="V359" s="14"/>
      <c r="W359" s="14"/>
      <c r="X359" s="14"/>
      <c r="Y359" s="14"/>
      <c r="Z359" s="15"/>
      <c r="AA359" s="12"/>
      <c r="AB359" s="12"/>
      <c r="AC359" s="12"/>
      <c r="AD359" s="12"/>
      <c r="AE359" s="12"/>
      <c r="AF359" s="12"/>
      <c r="AG359" s="12"/>
      <c r="AH359" s="12"/>
    </row>
    <row r="360" spans="1:34" ht="12.75">
      <c r="A360" s="12"/>
      <c r="B360" s="12"/>
      <c r="C360" s="12"/>
      <c r="D360" s="12"/>
      <c r="E360" s="12"/>
      <c r="F360" s="17"/>
      <c r="G360" s="12"/>
      <c r="H360" s="12"/>
      <c r="I360" s="12"/>
      <c r="J360" s="12"/>
      <c r="K360" s="12"/>
      <c r="L360" s="12"/>
      <c r="M360" s="12"/>
      <c r="N360" s="12"/>
      <c r="O360" s="12"/>
      <c r="P360" s="12"/>
      <c r="Q360" s="12"/>
      <c r="R360" s="12"/>
      <c r="S360" s="12"/>
      <c r="T360" s="12"/>
      <c r="U360" s="12"/>
      <c r="V360" s="14"/>
      <c r="W360" s="14"/>
      <c r="X360" s="14"/>
      <c r="Y360" s="14"/>
      <c r="Z360" s="15"/>
      <c r="AA360" s="12"/>
      <c r="AB360" s="12"/>
      <c r="AC360" s="12"/>
      <c r="AD360" s="12"/>
      <c r="AE360" s="12"/>
      <c r="AF360" s="12"/>
      <c r="AG360" s="12"/>
      <c r="AH360" s="12"/>
    </row>
    <row r="361" spans="1:34" ht="12.75">
      <c r="A361" s="12"/>
      <c r="B361" s="12"/>
      <c r="C361" s="12"/>
      <c r="D361" s="12"/>
      <c r="E361" s="12"/>
      <c r="F361" s="17"/>
      <c r="G361" s="12"/>
      <c r="H361" s="12"/>
      <c r="I361" s="12"/>
      <c r="J361" s="12"/>
      <c r="K361" s="12"/>
      <c r="L361" s="12"/>
      <c r="M361" s="12"/>
      <c r="N361" s="12"/>
      <c r="O361" s="12"/>
      <c r="P361" s="12"/>
      <c r="Q361" s="12"/>
      <c r="R361" s="12"/>
      <c r="S361" s="12"/>
      <c r="T361" s="12"/>
      <c r="U361" s="12"/>
      <c r="V361" s="14"/>
      <c r="W361" s="14"/>
      <c r="X361" s="14"/>
      <c r="Y361" s="14"/>
      <c r="Z361" s="15"/>
      <c r="AA361" s="12"/>
      <c r="AB361" s="12"/>
      <c r="AC361" s="12"/>
      <c r="AD361" s="12"/>
      <c r="AE361" s="12"/>
      <c r="AF361" s="12"/>
      <c r="AG361" s="12"/>
      <c r="AH361" s="12"/>
    </row>
    <row r="362" spans="1:34" ht="12.75">
      <c r="A362" s="12"/>
      <c r="B362" s="12"/>
      <c r="C362" s="12"/>
      <c r="D362" s="12"/>
      <c r="E362" s="12"/>
      <c r="F362" s="17"/>
      <c r="G362" s="12"/>
      <c r="H362" s="12"/>
      <c r="I362" s="12"/>
      <c r="J362" s="12"/>
      <c r="K362" s="12"/>
      <c r="L362" s="12"/>
      <c r="M362" s="12"/>
      <c r="N362" s="12"/>
      <c r="O362" s="12"/>
      <c r="P362" s="12"/>
      <c r="Q362" s="12"/>
      <c r="R362" s="12"/>
      <c r="S362" s="12"/>
      <c r="T362" s="12"/>
      <c r="U362" s="12"/>
      <c r="V362" s="14"/>
      <c r="W362" s="14"/>
      <c r="X362" s="14"/>
      <c r="Y362" s="14"/>
      <c r="Z362" s="15"/>
      <c r="AA362" s="12"/>
      <c r="AB362" s="12"/>
      <c r="AC362" s="12"/>
      <c r="AD362" s="12"/>
      <c r="AE362" s="12"/>
      <c r="AF362" s="12"/>
      <c r="AG362" s="12"/>
      <c r="AH362" s="12"/>
    </row>
    <row r="363" spans="1:34" ht="12.75">
      <c r="A363" s="12"/>
      <c r="B363" s="12"/>
      <c r="C363" s="12"/>
      <c r="D363" s="12"/>
      <c r="E363" s="12"/>
      <c r="F363" s="17"/>
      <c r="G363" s="12"/>
      <c r="H363" s="12"/>
      <c r="I363" s="12"/>
      <c r="J363" s="12"/>
      <c r="K363" s="12"/>
      <c r="L363" s="12"/>
      <c r="M363" s="12"/>
      <c r="N363" s="12"/>
      <c r="O363" s="12"/>
      <c r="P363" s="12"/>
      <c r="Q363" s="12"/>
      <c r="R363" s="12"/>
      <c r="S363" s="12"/>
      <c r="T363" s="12"/>
      <c r="U363" s="12"/>
      <c r="V363" s="14"/>
      <c r="W363" s="14"/>
      <c r="X363" s="14"/>
      <c r="Y363" s="14"/>
      <c r="Z363" s="15"/>
      <c r="AA363" s="12"/>
      <c r="AB363" s="12"/>
      <c r="AC363" s="12"/>
      <c r="AD363" s="12"/>
      <c r="AE363" s="12"/>
      <c r="AF363" s="12"/>
      <c r="AG363" s="12"/>
      <c r="AH363" s="12"/>
    </row>
    <row r="364" spans="1:34" ht="12.75">
      <c r="A364" s="12"/>
      <c r="B364" s="12"/>
      <c r="C364" s="12"/>
      <c r="D364" s="12"/>
      <c r="E364" s="12"/>
      <c r="F364" s="17"/>
      <c r="G364" s="12"/>
      <c r="H364" s="12"/>
      <c r="I364" s="12"/>
      <c r="J364" s="12"/>
      <c r="K364" s="12"/>
      <c r="L364" s="12"/>
      <c r="M364" s="12"/>
      <c r="N364" s="12"/>
      <c r="O364" s="12"/>
      <c r="P364" s="12"/>
      <c r="Q364" s="12"/>
      <c r="R364" s="12"/>
      <c r="S364" s="12"/>
      <c r="T364" s="12"/>
      <c r="U364" s="12"/>
      <c r="V364" s="14"/>
      <c r="W364" s="14"/>
      <c r="X364" s="14"/>
      <c r="Y364" s="14"/>
      <c r="Z364" s="15"/>
      <c r="AA364" s="12"/>
      <c r="AB364" s="12"/>
      <c r="AC364" s="12"/>
      <c r="AD364" s="12"/>
      <c r="AE364" s="12"/>
      <c r="AF364" s="12"/>
      <c r="AG364" s="12"/>
      <c r="AH364" s="12"/>
    </row>
    <row r="365" spans="1:34" ht="12.75">
      <c r="A365" s="12"/>
      <c r="B365" s="12"/>
      <c r="C365" s="12"/>
      <c r="D365" s="12"/>
      <c r="E365" s="12"/>
      <c r="F365" s="17"/>
      <c r="G365" s="12"/>
      <c r="H365" s="12"/>
      <c r="I365" s="12"/>
      <c r="J365" s="12"/>
      <c r="K365" s="12"/>
      <c r="L365" s="12"/>
      <c r="M365" s="12"/>
      <c r="N365" s="12"/>
      <c r="O365" s="12"/>
      <c r="P365" s="12"/>
      <c r="Q365" s="12"/>
      <c r="R365" s="12"/>
      <c r="S365" s="12"/>
      <c r="T365" s="12"/>
      <c r="U365" s="12"/>
      <c r="V365" s="14"/>
      <c r="W365" s="14"/>
      <c r="X365" s="14"/>
      <c r="Y365" s="14"/>
      <c r="Z365" s="15"/>
      <c r="AA365" s="12"/>
      <c r="AB365" s="12"/>
      <c r="AC365" s="12"/>
      <c r="AD365" s="12"/>
      <c r="AE365" s="12"/>
      <c r="AF365" s="12"/>
      <c r="AG365" s="12"/>
      <c r="AH365" s="12"/>
    </row>
    <row r="366" spans="1:34" ht="12.75">
      <c r="A366" s="12"/>
      <c r="B366" s="12"/>
      <c r="C366" s="12"/>
      <c r="D366" s="12"/>
      <c r="E366" s="12"/>
      <c r="F366" s="17"/>
      <c r="G366" s="12"/>
      <c r="H366" s="12"/>
      <c r="I366" s="12"/>
      <c r="J366" s="12"/>
      <c r="K366" s="12"/>
      <c r="L366" s="12"/>
      <c r="M366" s="12"/>
      <c r="N366" s="12"/>
      <c r="O366" s="12"/>
      <c r="P366" s="12"/>
      <c r="Q366" s="12"/>
      <c r="R366" s="12"/>
      <c r="S366" s="12"/>
      <c r="T366" s="12"/>
      <c r="U366" s="12"/>
      <c r="V366" s="14"/>
      <c r="W366" s="14"/>
      <c r="X366" s="14"/>
      <c r="Y366" s="14"/>
      <c r="Z366" s="15"/>
      <c r="AA366" s="12"/>
      <c r="AB366" s="12"/>
      <c r="AC366" s="12"/>
      <c r="AD366" s="12"/>
      <c r="AE366" s="12"/>
      <c r="AF366" s="12"/>
      <c r="AG366" s="12"/>
      <c r="AH366" s="12"/>
    </row>
    <row r="367" spans="1:34" ht="12.75">
      <c r="A367" s="12"/>
      <c r="B367" s="12"/>
      <c r="C367" s="12"/>
      <c r="D367" s="12"/>
      <c r="E367" s="12"/>
      <c r="F367" s="17"/>
      <c r="G367" s="12"/>
      <c r="H367" s="12"/>
      <c r="I367" s="12"/>
      <c r="J367" s="12"/>
      <c r="K367" s="12"/>
      <c r="L367" s="12"/>
      <c r="M367" s="12"/>
      <c r="N367" s="12"/>
      <c r="O367" s="12"/>
      <c r="P367" s="12"/>
      <c r="Q367" s="12"/>
      <c r="R367" s="12"/>
      <c r="S367" s="12"/>
      <c r="T367" s="12"/>
      <c r="U367" s="12"/>
      <c r="V367" s="14"/>
      <c r="W367" s="14"/>
      <c r="X367" s="14"/>
      <c r="Y367" s="14"/>
      <c r="Z367" s="15"/>
      <c r="AA367" s="12"/>
      <c r="AB367" s="12"/>
      <c r="AC367" s="12"/>
      <c r="AD367" s="12"/>
      <c r="AE367" s="12"/>
      <c r="AF367" s="12"/>
      <c r="AG367" s="12"/>
      <c r="AH367" s="12"/>
    </row>
    <row r="368" spans="1:34" ht="12.75">
      <c r="A368" s="12"/>
      <c r="B368" s="12"/>
      <c r="C368" s="12"/>
      <c r="D368" s="12"/>
      <c r="E368" s="12"/>
      <c r="F368" s="17"/>
      <c r="G368" s="12"/>
      <c r="H368" s="12"/>
      <c r="I368" s="12"/>
      <c r="J368" s="12"/>
      <c r="K368" s="12"/>
      <c r="L368" s="12"/>
      <c r="M368" s="12"/>
      <c r="N368" s="12"/>
      <c r="O368" s="12"/>
      <c r="P368" s="12"/>
      <c r="Q368" s="12"/>
      <c r="R368" s="12"/>
      <c r="S368" s="12"/>
      <c r="T368" s="12"/>
      <c r="U368" s="12"/>
      <c r="V368" s="14"/>
      <c r="W368" s="14"/>
      <c r="X368" s="14"/>
      <c r="Y368" s="14"/>
      <c r="Z368" s="15"/>
      <c r="AA368" s="12"/>
      <c r="AB368" s="12"/>
      <c r="AC368" s="12"/>
      <c r="AD368" s="12"/>
      <c r="AE368" s="12"/>
      <c r="AF368" s="12"/>
      <c r="AG368" s="12"/>
      <c r="AH368" s="12"/>
    </row>
    <row r="369" spans="1:34" ht="12.75">
      <c r="A369" s="12"/>
      <c r="B369" s="12"/>
      <c r="C369" s="12"/>
      <c r="D369" s="12"/>
      <c r="E369" s="12"/>
      <c r="F369" s="17"/>
      <c r="G369" s="12"/>
      <c r="H369" s="12"/>
      <c r="I369" s="12"/>
      <c r="J369" s="12"/>
      <c r="K369" s="12"/>
      <c r="L369" s="12"/>
      <c r="M369" s="12"/>
      <c r="N369" s="12"/>
      <c r="O369" s="12"/>
      <c r="P369" s="12"/>
      <c r="Q369" s="12"/>
      <c r="R369" s="12"/>
      <c r="S369" s="12"/>
      <c r="T369" s="12"/>
      <c r="U369" s="12"/>
      <c r="V369" s="14"/>
      <c r="W369" s="14"/>
      <c r="X369" s="14"/>
      <c r="Y369" s="14"/>
      <c r="Z369" s="15"/>
      <c r="AA369" s="12"/>
      <c r="AB369" s="12"/>
      <c r="AC369" s="12"/>
      <c r="AD369" s="12"/>
      <c r="AE369" s="12"/>
      <c r="AF369" s="12"/>
      <c r="AG369" s="12"/>
      <c r="AH369" s="12"/>
    </row>
    <row r="370" spans="1:34" ht="12.75">
      <c r="A370" s="12"/>
      <c r="B370" s="12"/>
      <c r="C370" s="12"/>
      <c r="D370" s="12"/>
      <c r="E370" s="12"/>
      <c r="F370" s="17"/>
      <c r="G370" s="12"/>
      <c r="H370" s="12"/>
      <c r="I370" s="12"/>
      <c r="J370" s="12"/>
      <c r="K370" s="12"/>
      <c r="L370" s="12"/>
      <c r="M370" s="12"/>
      <c r="N370" s="12"/>
      <c r="O370" s="12"/>
      <c r="P370" s="12"/>
      <c r="Q370" s="12"/>
      <c r="R370" s="12"/>
      <c r="S370" s="12"/>
      <c r="T370" s="12"/>
      <c r="U370" s="12"/>
      <c r="V370" s="14"/>
      <c r="W370" s="14"/>
      <c r="X370" s="14"/>
      <c r="Y370" s="14"/>
      <c r="Z370" s="15"/>
      <c r="AA370" s="12"/>
      <c r="AB370" s="12"/>
      <c r="AC370" s="12"/>
      <c r="AD370" s="12"/>
      <c r="AE370" s="12"/>
      <c r="AF370" s="12"/>
      <c r="AG370" s="12"/>
      <c r="AH370" s="12"/>
    </row>
    <row r="371" spans="1:34" ht="12.75">
      <c r="A371" s="12"/>
      <c r="B371" s="12"/>
      <c r="C371" s="12"/>
      <c r="D371" s="12"/>
      <c r="E371" s="12"/>
      <c r="F371" s="17"/>
      <c r="G371" s="12"/>
      <c r="H371" s="12"/>
      <c r="I371" s="12"/>
      <c r="J371" s="12"/>
      <c r="K371" s="12"/>
      <c r="L371" s="12"/>
      <c r="M371" s="12"/>
      <c r="N371" s="12"/>
      <c r="O371" s="12"/>
      <c r="P371" s="12"/>
      <c r="Q371" s="12"/>
      <c r="R371" s="12"/>
      <c r="S371" s="12"/>
      <c r="T371" s="12"/>
      <c r="U371" s="12"/>
      <c r="V371" s="14"/>
      <c r="W371" s="14"/>
      <c r="X371" s="14"/>
      <c r="Y371" s="14"/>
      <c r="Z371" s="15"/>
      <c r="AA371" s="12"/>
      <c r="AB371" s="12"/>
      <c r="AC371" s="12"/>
      <c r="AD371" s="12"/>
      <c r="AE371" s="12"/>
      <c r="AF371" s="12"/>
      <c r="AG371" s="12"/>
      <c r="AH371" s="12"/>
    </row>
    <row r="372" spans="1:34" ht="12.75">
      <c r="A372" s="12"/>
      <c r="B372" s="12"/>
      <c r="C372" s="12"/>
      <c r="D372" s="12"/>
      <c r="E372" s="12"/>
      <c r="F372" s="17"/>
      <c r="G372" s="12"/>
      <c r="H372" s="12"/>
      <c r="I372" s="12"/>
      <c r="J372" s="12"/>
      <c r="K372" s="12"/>
      <c r="L372" s="12"/>
      <c r="M372" s="12"/>
      <c r="N372" s="12"/>
      <c r="O372" s="12"/>
      <c r="P372" s="12"/>
      <c r="Q372" s="12"/>
      <c r="R372" s="12"/>
      <c r="S372" s="12"/>
      <c r="T372" s="12"/>
      <c r="U372" s="12"/>
      <c r="V372" s="14"/>
      <c r="W372" s="14"/>
      <c r="X372" s="14"/>
      <c r="Y372" s="14"/>
      <c r="Z372" s="15"/>
      <c r="AA372" s="12"/>
      <c r="AB372" s="12"/>
      <c r="AC372" s="12"/>
      <c r="AD372" s="12"/>
      <c r="AE372" s="12"/>
      <c r="AF372" s="12"/>
      <c r="AG372" s="12"/>
      <c r="AH372" s="12"/>
    </row>
    <row r="373" spans="1:34" ht="12.75">
      <c r="A373" s="12"/>
      <c r="B373" s="12"/>
      <c r="C373" s="12"/>
      <c r="D373" s="12"/>
      <c r="E373" s="12"/>
      <c r="F373" s="17"/>
      <c r="G373" s="12"/>
      <c r="H373" s="12"/>
      <c r="I373" s="12"/>
      <c r="J373" s="12"/>
      <c r="K373" s="12"/>
      <c r="L373" s="12"/>
      <c r="M373" s="12"/>
      <c r="N373" s="12"/>
      <c r="O373" s="12"/>
      <c r="P373" s="12"/>
      <c r="Q373" s="12"/>
      <c r="R373" s="12"/>
      <c r="S373" s="12"/>
      <c r="T373" s="12"/>
      <c r="U373" s="12"/>
      <c r="V373" s="14"/>
      <c r="W373" s="14"/>
      <c r="X373" s="14"/>
      <c r="Y373" s="14"/>
      <c r="Z373" s="15"/>
      <c r="AA373" s="12"/>
      <c r="AB373" s="12"/>
      <c r="AC373" s="12"/>
      <c r="AD373" s="12"/>
      <c r="AE373" s="12"/>
      <c r="AF373" s="12"/>
      <c r="AG373" s="12"/>
      <c r="AH373" s="12"/>
    </row>
    <row r="374" spans="1:34" ht="12.75">
      <c r="A374" s="12"/>
      <c r="B374" s="12"/>
      <c r="C374" s="12"/>
      <c r="D374" s="12"/>
      <c r="E374" s="12"/>
      <c r="F374" s="17"/>
      <c r="G374" s="12"/>
      <c r="H374" s="12"/>
      <c r="I374" s="12"/>
      <c r="J374" s="12"/>
      <c r="K374" s="12"/>
      <c r="L374" s="12"/>
      <c r="M374" s="12"/>
      <c r="N374" s="12"/>
      <c r="O374" s="12"/>
      <c r="P374" s="12"/>
      <c r="Q374" s="12"/>
      <c r="R374" s="12"/>
      <c r="S374" s="12"/>
      <c r="T374" s="12"/>
      <c r="U374" s="12"/>
      <c r="V374" s="14"/>
      <c r="W374" s="14"/>
      <c r="X374" s="14"/>
      <c r="Y374" s="14"/>
      <c r="Z374" s="15"/>
      <c r="AA374" s="12"/>
      <c r="AB374" s="12"/>
      <c r="AC374" s="12"/>
      <c r="AD374" s="12"/>
      <c r="AE374" s="12"/>
      <c r="AF374" s="12"/>
      <c r="AG374" s="12"/>
      <c r="AH374" s="12"/>
    </row>
    <row r="375" spans="1:34" ht="12.75">
      <c r="A375" s="12"/>
      <c r="B375" s="12"/>
      <c r="C375" s="12"/>
      <c r="D375" s="12"/>
      <c r="E375" s="12"/>
      <c r="F375" s="17"/>
      <c r="G375" s="12"/>
      <c r="H375" s="12"/>
      <c r="I375" s="12"/>
      <c r="J375" s="12"/>
      <c r="K375" s="12"/>
      <c r="L375" s="12"/>
      <c r="M375" s="12"/>
      <c r="N375" s="12"/>
      <c r="O375" s="12"/>
      <c r="P375" s="12"/>
      <c r="Q375" s="12"/>
      <c r="R375" s="12"/>
      <c r="S375" s="12"/>
      <c r="T375" s="12"/>
      <c r="U375" s="12"/>
      <c r="V375" s="14"/>
      <c r="W375" s="14"/>
      <c r="X375" s="14"/>
      <c r="Y375" s="14"/>
      <c r="Z375" s="15"/>
      <c r="AA375" s="12"/>
      <c r="AB375" s="12"/>
      <c r="AC375" s="12"/>
      <c r="AD375" s="12"/>
      <c r="AE375" s="12"/>
      <c r="AF375" s="12"/>
      <c r="AG375" s="12"/>
      <c r="AH375" s="12"/>
    </row>
    <row r="376" spans="1:34" ht="12.75">
      <c r="A376" s="12"/>
      <c r="B376" s="12"/>
      <c r="C376" s="12"/>
      <c r="D376" s="12"/>
      <c r="E376" s="12"/>
      <c r="F376" s="17"/>
      <c r="G376" s="12"/>
      <c r="H376" s="12"/>
      <c r="I376" s="12"/>
      <c r="J376" s="12"/>
      <c r="K376" s="12"/>
      <c r="L376" s="12"/>
      <c r="M376" s="12"/>
      <c r="N376" s="12"/>
      <c r="O376" s="12"/>
      <c r="P376" s="12"/>
      <c r="Q376" s="12"/>
      <c r="R376" s="12"/>
      <c r="S376" s="12"/>
      <c r="T376" s="12"/>
      <c r="U376" s="12"/>
      <c r="V376" s="14"/>
      <c r="W376" s="14"/>
      <c r="X376" s="14"/>
      <c r="Y376" s="14"/>
      <c r="Z376" s="15"/>
      <c r="AA376" s="12"/>
      <c r="AB376" s="12"/>
      <c r="AC376" s="12"/>
      <c r="AD376" s="12"/>
      <c r="AE376" s="12"/>
      <c r="AF376" s="12"/>
      <c r="AG376" s="12"/>
      <c r="AH376" s="12"/>
    </row>
    <row r="377" spans="1:34" ht="12.75">
      <c r="A377" s="12"/>
      <c r="B377" s="12"/>
      <c r="C377" s="12"/>
      <c r="D377" s="12"/>
      <c r="E377" s="12"/>
      <c r="F377" s="17"/>
      <c r="G377" s="12"/>
      <c r="H377" s="12"/>
      <c r="I377" s="12"/>
      <c r="J377" s="12"/>
      <c r="K377" s="12"/>
      <c r="L377" s="12"/>
      <c r="M377" s="12"/>
      <c r="N377" s="12"/>
      <c r="O377" s="12"/>
      <c r="P377" s="12"/>
      <c r="Q377" s="12"/>
      <c r="R377" s="12"/>
      <c r="S377" s="12"/>
      <c r="T377" s="12"/>
      <c r="U377" s="12"/>
      <c r="V377" s="14"/>
      <c r="W377" s="14"/>
      <c r="X377" s="14"/>
      <c r="Y377" s="14"/>
      <c r="Z377" s="15"/>
      <c r="AA377" s="12"/>
      <c r="AB377" s="12"/>
      <c r="AC377" s="12"/>
      <c r="AD377" s="12"/>
      <c r="AE377" s="12"/>
      <c r="AF377" s="12"/>
      <c r="AG377" s="12"/>
      <c r="AH377" s="12"/>
    </row>
    <row r="378" spans="1:34" ht="12.75">
      <c r="A378" s="12"/>
      <c r="B378" s="12"/>
      <c r="C378" s="12"/>
      <c r="D378" s="12"/>
      <c r="E378" s="12"/>
      <c r="F378" s="17"/>
      <c r="G378" s="12"/>
      <c r="H378" s="12"/>
      <c r="I378" s="12"/>
      <c r="J378" s="12"/>
      <c r="K378" s="12"/>
      <c r="L378" s="12"/>
      <c r="M378" s="12"/>
      <c r="N378" s="12"/>
      <c r="O378" s="12"/>
      <c r="P378" s="12"/>
      <c r="Q378" s="12"/>
      <c r="R378" s="12"/>
      <c r="S378" s="12"/>
      <c r="T378" s="12"/>
      <c r="U378" s="12"/>
      <c r="V378" s="14"/>
      <c r="W378" s="14"/>
      <c r="X378" s="14"/>
      <c r="Y378" s="14"/>
      <c r="Z378" s="15"/>
      <c r="AA378" s="12"/>
      <c r="AB378" s="12"/>
      <c r="AC378" s="12"/>
      <c r="AD378" s="12"/>
      <c r="AE378" s="12"/>
      <c r="AF378" s="12"/>
      <c r="AG378" s="12"/>
      <c r="AH378" s="12"/>
    </row>
    <row r="379" spans="1:34" ht="12.75">
      <c r="A379" s="12"/>
      <c r="B379" s="12"/>
      <c r="C379" s="12"/>
      <c r="D379" s="12"/>
      <c r="E379" s="12"/>
      <c r="F379" s="17"/>
      <c r="G379" s="12"/>
      <c r="H379" s="12"/>
      <c r="I379" s="12"/>
      <c r="J379" s="12"/>
      <c r="K379" s="12"/>
      <c r="L379" s="12"/>
      <c r="M379" s="12"/>
      <c r="N379" s="12"/>
      <c r="O379" s="12"/>
      <c r="P379" s="12"/>
      <c r="Q379" s="12"/>
      <c r="R379" s="12"/>
      <c r="S379" s="12"/>
      <c r="T379" s="12"/>
      <c r="U379" s="12"/>
      <c r="V379" s="14"/>
      <c r="W379" s="14"/>
      <c r="X379" s="14"/>
      <c r="Y379" s="14"/>
      <c r="Z379" s="15"/>
      <c r="AA379" s="12"/>
      <c r="AB379" s="12"/>
      <c r="AC379" s="12"/>
      <c r="AD379" s="12"/>
      <c r="AE379" s="12"/>
      <c r="AF379" s="12"/>
      <c r="AG379" s="12"/>
      <c r="AH379" s="12"/>
    </row>
    <row r="380" spans="1:34" ht="12.75">
      <c r="A380" s="12"/>
      <c r="B380" s="12"/>
      <c r="C380" s="12"/>
      <c r="D380" s="12"/>
      <c r="E380" s="12"/>
      <c r="F380" s="17"/>
      <c r="G380" s="12"/>
      <c r="H380" s="12"/>
      <c r="I380" s="12"/>
      <c r="J380" s="12"/>
      <c r="K380" s="12"/>
      <c r="L380" s="12"/>
      <c r="M380" s="12"/>
      <c r="N380" s="12"/>
      <c r="O380" s="12"/>
      <c r="P380" s="12"/>
      <c r="Q380" s="12"/>
      <c r="R380" s="12"/>
      <c r="S380" s="12"/>
      <c r="T380" s="12"/>
      <c r="U380" s="12"/>
      <c r="V380" s="14"/>
      <c r="W380" s="14"/>
      <c r="X380" s="14"/>
      <c r="Y380" s="14"/>
      <c r="Z380" s="15"/>
      <c r="AA380" s="12"/>
      <c r="AB380" s="12"/>
      <c r="AC380" s="12"/>
      <c r="AD380" s="12"/>
      <c r="AE380" s="12"/>
      <c r="AF380" s="12"/>
      <c r="AG380" s="12"/>
      <c r="AH380" s="12"/>
    </row>
    <row r="381" spans="1:34" ht="12.75">
      <c r="A381" s="12"/>
      <c r="B381" s="12"/>
      <c r="C381" s="12"/>
      <c r="D381" s="12"/>
      <c r="E381" s="12"/>
      <c r="F381" s="17"/>
      <c r="G381" s="12"/>
      <c r="H381" s="12"/>
      <c r="I381" s="12"/>
      <c r="J381" s="12"/>
      <c r="K381" s="12"/>
      <c r="L381" s="12"/>
      <c r="M381" s="12"/>
      <c r="N381" s="12"/>
      <c r="O381" s="12"/>
      <c r="P381" s="12"/>
      <c r="Q381" s="12"/>
      <c r="R381" s="12"/>
      <c r="S381" s="12"/>
      <c r="T381" s="12"/>
      <c r="U381" s="12"/>
      <c r="V381" s="14"/>
      <c r="W381" s="14"/>
      <c r="X381" s="14"/>
      <c r="Y381" s="14"/>
      <c r="Z381" s="15"/>
      <c r="AA381" s="12"/>
      <c r="AB381" s="12"/>
      <c r="AC381" s="12"/>
      <c r="AD381" s="12"/>
      <c r="AE381" s="12"/>
      <c r="AF381" s="12"/>
      <c r="AG381" s="12"/>
      <c r="AH381" s="12"/>
    </row>
    <row r="382" spans="1:34" ht="12.75">
      <c r="A382" s="12"/>
      <c r="B382" s="12"/>
      <c r="C382" s="12"/>
      <c r="D382" s="12"/>
      <c r="E382" s="12"/>
      <c r="F382" s="17"/>
      <c r="G382" s="12"/>
      <c r="H382" s="12"/>
      <c r="I382" s="12"/>
      <c r="J382" s="12"/>
      <c r="K382" s="12"/>
      <c r="L382" s="12"/>
      <c r="M382" s="12"/>
      <c r="N382" s="12"/>
      <c r="O382" s="12"/>
      <c r="P382" s="12"/>
      <c r="Q382" s="12"/>
      <c r="R382" s="12"/>
      <c r="S382" s="12"/>
      <c r="T382" s="12"/>
      <c r="U382" s="12"/>
      <c r="V382" s="14"/>
      <c r="W382" s="14"/>
      <c r="X382" s="14"/>
      <c r="Y382" s="14"/>
      <c r="Z382" s="15"/>
      <c r="AA382" s="12"/>
      <c r="AB382" s="12"/>
      <c r="AC382" s="12"/>
      <c r="AD382" s="12"/>
      <c r="AE382" s="12"/>
      <c r="AF382" s="12"/>
      <c r="AG382" s="12"/>
      <c r="AH382" s="12"/>
    </row>
    <row r="383" spans="1:34" ht="12.75">
      <c r="A383" s="12"/>
      <c r="B383" s="12"/>
      <c r="C383" s="12"/>
      <c r="D383" s="12"/>
      <c r="E383" s="12"/>
      <c r="F383" s="17"/>
      <c r="G383" s="12"/>
      <c r="H383" s="12"/>
      <c r="I383" s="12"/>
      <c r="J383" s="12"/>
      <c r="K383" s="12"/>
      <c r="L383" s="12"/>
      <c r="M383" s="12"/>
      <c r="N383" s="12"/>
      <c r="O383" s="12"/>
      <c r="P383" s="12"/>
      <c r="Q383" s="12"/>
      <c r="R383" s="12"/>
      <c r="S383" s="12"/>
      <c r="T383" s="12"/>
      <c r="U383" s="12"/>
      <c r="V383" s="14"/>
      <c r="W383" s="14"/>
      <c r="X383" s="14"/>
      <c r="Y383" s="14"/>
      <c r="Z383" s="15"/>
      <c r="AA383" s="12"/>
      <c r="AB383" s="12"/>
      <c r="AC383" s="12"/>
      <c r="AD383" s="12"/>
      <c r="AE383" s="12"/>
      <c r="AF383" s="12"/>
      <c r="AG383" s="12"/>
      <c r="AH383" s="12"/>
    </row>
    <row r="384" spans="1:34" ht="12.75">
      <c r="A384" s="12"/>
      <c r="B384" s="12"/>
      <c r="C384" s="12"/>
      <c r="D384" s="12"/>
      <c r="E384" s="12"/>
      <c r="F384" s="17"/>
      <c r="G384" s="12"/>
      <c r="H384" s="12"/>
      <c r="I384" s="12"/>
      <c r="J384" s="12"/>
      <c r="K384" s="12"/>
      <c r="L384" s="12"/>
      <c r="M384" s="12"/>
      <c r="N384" s="12"/>
      <c r="O384" s="12"/>
      <c r="P384" s="12"/>
      <c r="Q384" s="12"/>
      <c r="R384" s="12"/>
      <c r="S384" s="12"/>
      <c r="T384" s="12"/>
      <c r="U384" s="12"/>
      <c r="V384" s="14"/>
      <c r="W384" s="14"/>
      <c r="X384" s="14"/>
      <c r="Y384" s="14"/>
      <c r="Z384" s="15"/>
      <c r="AA384" s="12"/>
      <c r="AB384" s="12"/>
      <c r="AC384" s="12"/>
      <c r="AD384" s="12"/>
      <c r="AE384" s="12"/>
      <c r="AF384" s="12"/>
      <c r="AG384" s="12"/>
      <c r="AH384" s="12"/>
    </row>
    <row r="385" spans="1:34" ht="12.75">
      <c r="A385" s="12"/>
      <c r="B385" s="12"/>
      <c r="C385" s="12"/>
      <c r="D385" s="12"/>
      <c r="E385" s="12"/>
      <c r="F385" s="17"/>
      <c r="G385" s="12"/>
      <c r="H385" s="12"/>
      <c r="I385" s="12"/>
      <c r="J385" s="12"/>
      <c r="K385" s="12"/>
      <c r="L385" s="12"/>
      <c r="M385" s="12"/>
      <c r="N385" s="12"/>
      <c r="O385" s="12"/>
      <c r="P385" s="12"/>
      <c r="Q385" s="12"/>
      <c r="R385" s="12"/>
      <c r="S385" s="12"/>
      <c r="T385" s="12"/>
      <c r="U385" s="12"/>
      <c r="V385" s="14"/>
      <c r="W385" s="14"/>
      <c r="X385" s="14"/>
      <c r="Y385" s="14"/>
      <c r="Z385" s="15"/>
      <c r="AA385" s="12"/>
      <c r="AB385" s="12"/>
      <c r="AC385" s="12"/>
      <c r="AD385" s="12"/>
      <c r="AE385" s="12"/>
      <c r="AF385" s="12"/>
      <c r="AG385" s="12"/>
      <c r="AH385" s="12"/>
    </row>
    <row r="386" spans="1:34" ht="12.75">
      <c r="A386" s="12"/>
      <c r="B386" s="12"/>
      <c r="C386" s="12"/>
      <c r="D386" s="12"/>
      <c r="E386" s="12"/>
      <c r="F386" s="17"/>
      <c r="G386" s="12"/>
      <c r="H386" s="12"/>
      <c r="I386" s="12"/>
      <c r="J386" s="12"/>
      <c r="K386" s="12"/>
      <c r="L386" s="12"/>
      <c r="M386" s="12"/>
      <c r="N386" s="12"/>
      <c r="O386" s="12"/>
      <c r="P386" s="12"/>
      <c r="Q386" s="12"/>
      <c r="R386" s="12"/>
      <c r="S386" s="12"/>
      <c r="T386" s="12"/>
      <c r="U386" s="12"/>
      <c r="V386" s="14"/>
      <c r="W386" s="14"/>
      <c r="X386" s="14"/>
      <c r="Y386" s="14"/>
      <c r="Z386" s="15"/>
      <c r="AA386" s="12"/>
      <c r="AB386" s="12"/>
      <c r="AC386" s="12"/>
      <c r="AD386" s="12"/>
      <c r="AE386" s="12"/>
      <c r="AF386" s="12"/>
      <c r="AG386" s="12"/>
      <c r="AH386" s="12"/>
    </row>
    <row r="387" spans="1:34" ht="12.75">
      <c r="A387" s="12"/>
      <c r="B387" s="12"/>
      <c r="C387" s="12"/>
      <c r="D387" s="12"/>
      <c r="E387" s="12"/>
      <c r="F387" s="17"/>
      <c r="G387" s="12"/>
      <c r="H387" s="12"/>
      <c r="I387" s="12"/>
      <c r="J387" s="12"/>
      <c r="K387" s="12"/>
      <c r="L387" s="12"/>
      <c r="M387" s="12"/>
      <c r="N387" s="12"/>
      <c r="O387" s="12"/>
      <c r="P387" s="12"/>
      <c r="Q387" s="12"/>
      <c r="R387" s="12"/>
      <c r="S387" s="12"/>
      <c r="T387" s="12"/>
      <c r="U387" s="12"/>
      <c r="V387" s="14"/>
      <c r="W387" s="14"/>
      <c r="X387" s="14"/>
      <c r="Y387" s="14"/>
      <c r="Z387" s="15"/>
      <c r="AA387" s="12"/>
      <c r="AB387" s="12"/>
      <c r="AC387" s="12"/>
      <c r="AD387" s="12"/>
      <c r="AE387" s="12"/>
      <c r="AF387" s="12"/>
      <c r="AG387" s="12"/>
      <c r="AH387" s="12"/>
    </row>
    <row r="388" spans="1:34" ht="12.75">
      <c r="A388" s="12"/>
      <c r="B388" s="12"/>
      <c r="C388" s="12"/>
      <c r="D388" s="12"/>
      <c r="E388" s="12"/>
      <c r="F388" s="17"/>
      <c r="G388" s="12"/>
      <c r="H388" s="12"/>
      <c r="I388" s="12"/>
      <c r="J388" s="12"/>
      <c r="K388" s="12"/>
      <c r="L388" s="12"/>
      <c r="M388" s="12"/>
      <c r="N388" s="12"/>
      <c r="O388" s="12"/>
      <c r="P388" s="12"/>
      <c r="Q388" s="12"/>
      <c r="R388" s="12"/>
      <c r="S388" s="12"/>
      <c r="T388" s="12"/>
      <c r="U388" s="12"/>
      <c r="V388" s="14"/>
      <c r="W388" s="14"/>
      <c r="X388" s="14"/>
      <c r="Y388" s="14"/>
      <c r="Z388" s="15"/>
      <c r="AA388" s="12"/>
      <c r="AB388" s="12"/>
      <c r="AC388" s="12"/>
      <c r="AD388" s="12"/>
      <c r="AE388" s="12"/>
      <c r="AF388" s="12"/>
      <c r="AG388" s="12"/>
      <c r="AH388" s="12"/>
    </row>
    <row r="389" spans="1:34" ht="12.75">
      <c r="A389" s="12"/>
      <c r="B389" s="12"/>
      <c r="C389" s="12"/>
      <c r="D389" s="12"/>
      <c r="E389" s="12"/>
      <c r="F389" s="17"/>
      <c r="G389" s="12"/>
      <c r="H389" s="12"/>
      <c r="I389" s="12"/>
      <c r="J389" s="12"/>
      <c r="K389" s="12"/>
      <c r="L389" s="12"/>
      <c r="M389" s="12"/>
      <c r="N389" s="12"/>
      <c r="O389" s="12"/>
      <c r="P389" s="12"/>
      <c r="Q389" s="12"/>
      <c r="R389" s="12"/>
      <c r="S389" s="12"/>
      <c r="T389" s="12"/>
      <c r="U389" s="12"/>
      <c r="V389" s="14"/>
      <c r="W389" s="14"/>
      <c r="X389" s="14"/>
      <c r="Y389" s="14"/>
      <c r="Z389" s="15"/>
      <c r="AA389" s="12"/>
      <c r="AB389" s="12"/>
      <c r="AC389" s="12"/>
      <c r="AD389" s="12"/>
      <c r="AE389" s="12"/>
      <c r="AF389" s="12"/>
      <c r="AG389" s="12"/>
      <c r="AH389" s="12"/>
    </row>
    <row r="390" spans="1:34" ht="12.75">
      <c r="A390" s="12"/>
      <c r="B390" s="12"/>
      <c r="C390" s="12"/>
      <c r="D390" s="12"/>
      <c r="E390" s="12"/>
      <c r="F390" s="17"/>
      <c r="G390" s="12"/>
      <c r="H390" s="12"/>
      <c r="I390" s="12"/>
      <c r="J390" s="12"/>
      <c r="K390" s="12"/>
      <c r="L390" s="12"/>
      <c r="M390" s="12"/>
      <c r="N390" s="12"/>
      <c r="O390" s="12"/>
      <c r="P390" s="12"/>
      <c r="Q390" s="12"/>
      <c r="R390" s="12"/>
      <c r="S390" s="12"/>
      <c r="T390" s="12"/>
      <c r="U390" s="12"/>
      <c r="V390" s="14"/>
      <c r="W390" s="14"/>
      <c r="X390" s="14"/>
      <c r="Y390" s="14"/>
      <c r="Z390" s="15"/>
      <c r="AA390" s="12"/>
      <c r="AB390" s="12"/>
      <c r="AC390" s="12"/>
      <c r="AD390" s="12"/>
      <c r="AE390" s="12"/>
      <c r="AF390" s="12"/>
      <c r="AG390" s="12"/>
      <c r="AH390" s="12"/>
    </row>
    <row r="391" spans="1:34" ht="12.75">
      <c r="A391" s="12"/>
      <c r="B391" s="12"/>
      <c r="C391" s="12"/>
      <c r="D391" s="12"/>
      <c r="E391" s="12"/>
      <c r="F391" s="17"/>
      <c r="G391" s="12"/>
      <c r="H391" s="12"/>
      <c r="I391" s="12"/>
      <c r="J391" s="12"/>
      <c r="K391" s="12"/>
      <c r="L391" s="12"/>
      <c r="M391" s="12"/>
      <c r="N391" s="12"/>
      <c r="O391" s="12"/>
      <c r="P391" s="12"/>
      <c r="Q391" s="12"/>
      <c r="R391" s="12"/>
      <c r="S391" s="12"/>
      <c r="T391" s="12"/>
      <c r="U391" s="12"/>
      <c r="V391" s="14"/>
      <c r="W391" s="14"/>
      <c r="X391" s="14"/>
      <c r="Y391" s="14"/>
      <c r="Z391" s="15"/>
      <c r="AA391" s="12"/>
      <c r="AB391" s="12"/>
      <c r="AC391" s="12"/>
      <c r="AD391" s="12"/>
      <c r="AE391" s="12"/>
      <c r="AF391" s="12"/>
      <c r="AG391" s="12"/>
      <c r="AH391" s="12"/>
    </row>
    <row r="392" spans="1:34" ht="12.75">
      <c r="A392" s="12"/>
      <c r="B392" s="12"/>
      <c r="C392" s="12"/>
      <c r="D392" s="12"/>
      <c r="E392" s="12"/>
      <c r="F392" s="17"/>
      <c r="G392" s="12"/>
      <c r="H392" s="12"/>
      <c r="I392" s="12"/>
      <c r="J392" s="12"/>
      <c r="K392" s="12"/>
      <c r="L392" s="12"/>
      <c r="M392" s="12"/>
      <c r="N392" s="12"/>
      <c r="O392" s="12"/>
      <c r="P392" s="12"/>
      <c r="Q392" s="12"/>
      <c r="R392" s="12"/>
      <c r="S392" s="12"/>
      <c r="T392" s="12"/>
      <c r="U392" s="12"/>
      <c r="V392" s="14"/>
      <c r="W392" s="14"/>
      <c r="X392" s="14"/>
      <c r="Y392" s="14"/>
      <c r="Z392" s="15"/>
      <c r="AA392" s="12"/>
      <c r="AB392" s="12"/>
      <c r="AC392" s="12"/>
      <c r="AD392" s="12"/>
      <c r="AE392" s="12"/>
      <c r="AF392" s="12"/>
      <c r="AG392" s="12"/>
      <c r="AH392" s="12"/>
    </row>
    <row r="393" spans="1:34" ht="12.75">
      <c r="A393" s="12"/>
      <c r="B393" s="12"/>
      <c r="C393" s="12"/>
      <c r="D393" s="12"/>
      <c r="E393" s="12"/>
      <c r="F393" s="17"/>
      <c r="G393" s="12"/>
      <c r="H393" s="12"/>
      <c r="I393" s="12"/>
      <c r="J393" s="12"/>
      <c r="K393" s="12"/>
      <c r="L393" s="12"/>
      <c r="M393" s="12"/>
      <c r="N393" s="12"/>
      <c r="O393" s="12"/>
      <c r="P393" s="12"/>
      <c r="Q393" s="12"/>
      <c r="R393" s="12"/>
      <c r="S393" s="12"/>
      <c r="T393" s="12"/>
      <c r="U393" s="12"/>
      <c r="V393" s="14"/>
      <c r="W393" s="14"/>
      <c r="X393" s="14"/>
      <c r="Y393" s="14"/>
      <c r="Z393" s="15"/>
      <c r="AA393" s="12"/>
      <c r="AB393" s="12"/>
      <c r="AC393" s="12"/>
      <c r="AD393" s="12"/>
      <c r="AE393" s="12"/>
      <c r="AF393" s="12"/>
      <c r="AG393" s="12"/>
      <c r="AH393" s="12"/>
    </row>
    <row r="394" spans="1:34" ht="12.75">
      <c r="A394" s="12"/>
      <c r="B394" s="12"/>
      <c r="C394" s="12"/>
      <c r="D394" s="12"/>
      <c r="E394" s="12"/>
      <c r="F394" s="17"/>
      <c r="G394" s="12"/>
      <c r="H394" s="12"/>
      <c r="I394" s="12"/>
      <c r="J394" s="12"/>
      <c r="K394" s="12"/>
      <c r="L394" s="12"/>
      <c r="M394" s="12"/>
      <c r="N394" s="12"/>
      <c r="O394" s="12"/>
      <c r="P394" s="12"/>
      <c r="Q394" s="12"/>
      <c r="R394" s="12"/>
      <c r="S394" s="12"/>
      <c r="T394" s="12"/>
      <c r="U394" s="12"/>
      <c r="V394" s="14"/>
      <c r="W394" s="14"/>
      <c r="X394" s="14"/>
      <c r="Y394" s="14"/>
      <c r="Z394" s="15"/>
      <c r="AA394" s="12"/>
      <c r="AB394" s="12"/>
      <c r="AC394" s="12"/>
      <c r="AD394" s="12"/>
      <c r="AE394" s="12"/>
      <c r="AF394" s="12"/>
      <c r="AG394" s="12"/>
      <c r="AH394" s="12"/>
    </row>
    <row r="395" spans="1:34" ht="12.75">
      <c r="A395" s="12"/>
      <c r="B395" s="12"/>
      <c r="C395" s="12"/>
      <c r="D395" s="12"/>
      <c r="E395" s="12"/>
      <c r="F395" s="17"/>
      <c r="G395" s="12"/>
      <c r="H395" s="12"/>
      <c r="I395" s="12"/>
      <c r="J395" s="12"/>
      <c r="K395" s="12"/>
      <c r="L395" s="12"/>
      <c r="M395" s="12"/>
      <c r="N395" s="12"/>
      <c r="O395" s="12"/>
      <c r="P395" s="12"/>
      <c r="Q395" s="12"/>
      <c r="R395" s="12"/>
      <c r="S395" s="12"/>
      <c r="T395" s="12"/>
      <c r="U395" s="12"/>
      <c r="V395" s="14"/>
      <c r="W395" s="14"/>
      <c r="X395" s="14"/>
      <c r="Y395" s="14"/>
      <c r="Z395" s="15"/>
      <c r="AA395" s="12"/>
      <c r="AB395" s="12"/>
      <c r="AC395" s="12"/>
      <c r="AD395" s="12"/>
      <c r="AE395" s="12"/>
      <c r="AF395" s="12"/>
      <c r="AG395" s="12"/>
      <c r="AH395" s="12"/>
    </row>
    <row r="396" spans="1:34" ht="12.75">
      <c r="A396" s="12"/>
      <c r="B396" s="12"/>
      <c r="C396" s="12"/>
      <c r="D396" s="12"/>
      <c r="E396" s="12"/>
      <c r="F396" s="17"/>
      <c r="G396" s="12"/>
      <c r="H396" s="12"/>
      <c r="I396" s="12"/>
      <c r="J396" s="12"/>
      <c r="K396" s="12"/>
      <c r="L396" s="12"/>
      <c r="M396" s="12"/>
      <c r="N396" s="12"/>
      <c r="O396" s="12"/>
      <c r="P396" s="12"/>
      <c r="Q396" s="12"/>
      <c r="R396" s="12"/>
      <c r="S396" s="12"/>
      <c r="T396" s="12"/>
      <c r="U396" s="12"/>
      <c r="V396" s="14"/>
      <c r="W396" s="14"/>
      <c r="X396" s="14"/>
      <c r="Y396" s="14"/>
      <c r="Z396" s="15"/>
      <c r="AA396" s="12"/>
      <c r="AB396" s="12"/>
      <c r="AC396" s="12"/>
      <c r="AD396" s="12"/>
      <c r="AE396" s="12"/>
      <c r="AF396" s="12"/>
      <c r="AG396" s="12"/>
      <c r="AH396" s="12"/>
    </row>
    <row r="397" spans="1:34" ht="12.75">
      <c r="A397" s="12"/>
      <c r="B397" s="12"/>
      <c r="C397" s="12"/>
      <c r="D397" s="12"/>
      <c r="E397" s="12"/>
      <c r="F397" s="17"/>
      <c r="G397" s="12"/>
      <c r="H397" s="12"/>
      <c r="I397" s="12"/>
      <c r="J397" s="12"/>
      <c r="K397" s="12"/>
      <c r="L397" s="12"/>
      <c r="M397" s="12"/>
      <c r="N397" s="12"/>
      <c r="O397" s="12"/>
      <c r="P397" s="12"/>
      <c r="Q397" s="12"/>
      <c r="R397" s="12"/>
      <c r="S397" s="12"/>
      <c r="T397" s="12"/>
      <c r="U397" s="12"/>
      <c r="V397" s="14"/>
      <c r="W397" s="14"/>
      <c r="X397" s="14"/>
      <c r="Y397" s="14"/>
      <c r="Z397" s="15"/>
      <c r="AA397" s="12"/>
      <c r="AB397" s="12"/>
      <c r="AC397" s="12"/>
      <c r="AD397" s="12"/>
      <c r="AE397" s="12"/>
      <c r="AF397" s="12"/>
      <c r="AG397" s="12"/>
      <c r="AH397" s="12"/>
    </row>
    <row r="398" spans="1:34" ht="12.75">
      <c r="A398" s="12"/>
      <c r="B398" s="12"/>
      <c r="C398" s="12"/>
      <c r="D398" s="12"/>
      <c r="E398" s="12"/>
      <c r="F398" s="17"/>
      <c r="G398" s="12"/>
      <c r="H398" s="12"/>
      <c r="I398" s="12"/>
      <c r="J398" s="12"/>
      <c r="K398" s="12"/>
      <c r="L398" s="12"/>
      <c r="M398" s="12"/>
      <c r="N398" s="12"/>
      <c r="O398" s="12"/>
      <c r="P398" s="12"/>
      <c r="Q398" s="12"/>
      <c r="R398" s="12"/>
      <c r="S398" s="12"/>
      <c r="T398" s="12"/>
      <c r="U398" s="12"/>
      <c r="V398" s="14"/>
      <c r="W398" s="14"/>
      <c r="X398" s="14"/>
      <c r="Y398" s="14"/>
      <c r="Z398" s="15"/>
      <c r="AA398" s="12"/>
      <c r="AB398" s="12"/>
      <c r="AC398" s="12"/>
      <c r="AD398" s="12"/>
      <c r="AE398" s="12"/>
      <c r="AF398" s="12"/>
      <c r="AG398" s="12"/>
      <c r="AH398" s="12"/>
    </row>
    <row r="399" spans="1:34" ht="12.75">
      <c r="A399" s="12"/>
      <c r="B399" s="12"/>
      <c r="C399" s="12"/>
      <c r="D399" s="12"/>
      <c r="E399" s="12"/>
      <c r="F399" s="17"/>
      <c r="G399" s="12"/>
      <c r="H399" s="12"/>
      <c r="I399" s="12"/>
      <c r="J399" s="12"/>
      <c r="K399" s="12"/>
      <c r="L399" s="12"/>
      <c r="M399" s="12"/>
      <c r="N399" s="12"/>
      <c r="O399" s="12"/>
      <c r="P399" s="12"/>
      <c r="Q399" s="12"/>
      <c r="R399" s="12"/>
      <c r="S399" s="12"/>
      <c r="T399" s="12"/>
      <c r="U399" s="12"/>
      <c r="V399" s="14"/>
      <c r="W399" s="14"/>
      <c r="X399" s="14"/>
      <c r="Y399" s="14"/>
      <c r="Z399" s="15"/>
      <c r="AA399" s="12"/>
      <c r="AB399" s="12"/>
      <c r="AC399" s="12"/>
      <c r="AD399" s="12"/>
      <c r="AE399" s="12"/>
      <c r="AF399" s="12"/>
      <c r="AG399" s="12"/>
      <c r="AH399" s="12"/>
    </row>
    <row r="400" spans="1:34" ht="12.75">
      <c r="A400" s="12"/>
      <c r="B400" s="12"/>
      <c r="C400" s="12"/>
      <c r="D400" s="12"/>
      <c r="E400" s="12"/>
      <c r="F400" s="17"/>
      <c r="G400" s="12"/>
      <c r="H400" s="12"/>
      <c r="I400" s="12"/>
      <c r="J400" s="12"/>
      <c r="K400" s="12"/>
      <c r="L400" s="12"/>
      <c r="M400" s="12"/>
      <c r="N400" s="12"/>
      <c r="O400" s="12"/>
      <c r="P400" s="12"/>
      <c r="Q400" s="12"/>
      <c r="R400" s="12"/>
      <c r="S400" s="12"/>
      <c r="T400" s="12"/>
      <c r="U400" s="12"/>
      <c r="V400" s="14"/>
      <c r="W400" s="14"/>
      <c r="X400" s="14"/>
      <c r="Y400" s="14"/>
      <c r="Z400" s="15"/>
      <c r="AA400" s="12"/>
      <c r="AB400" s="12"/>
      <c r="AC400" s="12"/>
      <c r="AD400" s="12"/>
      <c r="AE400" s="12"/>
      <c r="AF400" s="12"/>
      <c r="AG400" s="12"/>
      <c r="AH400" s="12"/>
    </row>
    <row r="401" spans="1:34" ht="12.75">
      <c r="A401" s="12"/>
      <c r="B401" s="12"/>
      <c r="C401" s="12"/>
      <c r="D401" s="12"/>
      <c r="E401" s="12"/>
      <c r="F401" s="17"/>
      <c r="G401" s="12"/>
      <c r="H401" s="12"/>
      <c r="I401" s="12"/>
      <c r="J401" s="12"/>
      <c r="K401" s="12"/>
      <c r="L401" s="12"/>
      <c r="M401" s="12"/>
      <c r="N401" s="12"/>
      <c r="O401" s="12"/>
      <c r="P401" s="12"/>
      <c r="Q401" s="12"/>
      <c r="R401" s="12"/>
      <c r="S401" s="12"/>
      <c r="T401" s="12"/>
      <c r="U401" s="12"/>
      <c r="V401" s="14"/>
      <c r="W401" s="14"/>
      <c r="X401" s="14"/>
      <c r="Y401" s="14"/>
      <c r="Z401" s="15"/>
      <c r="AA401" s="12"/>
      <c r="AB401" s="12"/>
      <c r="AC401" s="12"/>
      <c r="AD401" s="12"/>
      <c r="AE401" s="12"/>
      <c r="AF401" s="12"/>
      <c r="AG401" s="12"/>
      <c r="AH401" s="12"/>
    </row>
    <row r="402" spans="1:34" ht="12.75">
      <c r="A402" s="12"/>
      <c r="B402" s="12"/>
      <c r="C402" s="12"/>
      <c r="D402" s="12"/>
      <c r="E402" s="12"/>
      <c r="F402" s="17"/>
      <c r="G402" s="12"/>
      <c r="H402" s="12"/>
      <c r="I402" s="12"/>
      <c r="J402" s="12"/>
      <c r="K402" s="12"/>
      <c r="L402" s="12"/>
      <c r="M402" s="12"/>
      <c r="N402" s="12"/>
      <c r="O402" s="12"/>
      <c r="P402" s="12"/>
      <c r="Q402" s="12"/>
      <c r="R402" s="12"/>
      <c r="S402" s="12"/>
      <c r="T402" s="12"/>
      <c r="U402" s="12"/>
      <c r="V402" s="14"/>
      <c r="W402" s="14"/>
      <c r="X402" s="14"/>
      <c r="Y402" s="14"/>
      <c r="Z402" s="15"/>
      <c r="AA402" s="12"/>
      <c r="AB402" s="12"/>
      <c r="AC402" s="12"/>
      <c r="AD402" s="12"/>
      <c r="AE402" s="12"/>
      <c r="AF402" s="12"/>
      <c r="AG402" s="12"/>
      <c r="AH402" s="12"/>
    </row>
    <row r="403" spans="1:34" ht="12.75">
      <c r="A403" s="12"/>
      <c r="B403" s="12"/>
      <c r="C403" s="12"/>
      <c r="D403" s="12"/>
      <c r="E403" s="12"/>
      <c r="F403" s="17"/>
      <c r="G403" s="12"/>
      <c r="H403" s="12"/>
      <c r="I403" s="12"/>
      <c r="J403" s="12"/>
      <c r="K403" s="12"/>
      <c r="L403" s="12"/>
      <c r="M403" s="12"/>
      <c r="N403" s="12"/>
      <c r="O403" s="12"/>
      <c r="P403" s="12"/>
      <c r="Q403" s="12"/>
      <c r="R403" s="12"/>
      <c r="S403" s="12"/>
      <c r="T403" s="12"/>
      <c r="U403" s="12"/>
      <c r="V403" s="14"/>
      <c r="W403" s="14"/>
      <c r="X403" s="14"/>
      <c r="Y403" s="14"/>
      <c r="Z403" s="15"/>
      <c r="AA403" s="12"/>
      <c r="AB403" s="12"/>
      <c r="AC403" s="12"/>
      <c r="AD403" s="12"/>
      <c r="AE403" s="12"/>
      <c r="AF403" s="12"/>
      <c r="AG403" s="12"/>
      <c r="AH403" s="12"/>
    </row>
    <row r="404" spans="1:34" ht="12.75">
      <c r="A404" s="12"/>
      <c r="B404" s="12"/>
      <c r="C404" s="12"/>
      <c r="D404" s="12"/>
      <c r="E404" s="12"/>
      <c r="F404" s="17"/>
      <c r="G404" s="12"/>
      <c r="H404" s="12"/>
      <c r="I404" s="12"/>
      <c r="J404" s="12"/>
      <c r="K404" s="12"/>
      <c r="L404" s="12"/>
      <c r="M404" s="12"/>
      <c r="N404" s="12"/>
      <c r="O404" s="12"/>
      <c r="P404" s="12"/>
      <c r="Q404" s="12"/>
      <c r="R404" s="12"/>
      <c r="S404" s="12"/>
      <c r="T404" s="12"/>
      <c r="U404" s="12"/>
      <c r="V404" s="14"/>
      <c r="W404" s="14"/>
      <c r="X404" s="14"/>
      <c r="Y404" s="14"/>
      <c r="Z404" s="15"/>
      <c r="AA404" s="12"/>
      <c r="AB404" s="12"/>
      <c r="AC404" s="12"/>
      <c r="AD404" s="12"/>
      <c r="AE404" s="12"/>
      <c r="AF404" s="12"/>
      <c r="AG404" s="12"/>
      <c r="AH404" s="12"/>
    </row>
    <row r="405" spans="1:34" ht="12.75">
      <c r="A405" s="12"/>
      <c r="B405" s="12"/>
      <c r="C405" s="12"/>
      <c r="D405" s="12"/>
      <c r="E405" s="12"/>
      <c r="F405" s="17"/>
      <c r="G405" s="12"/>
      <c r="H405" s="12"/>
      <c r="I405" s="12"/>
      <c r="J405" s="12"/>
      <c r="K405" s="12"/>
      <c r="L405" s="12"/>
      <c r="M405" s="12"/>
      <c r="N405" s="12"/>
      <c r="O405" s="12"/>
      <c r="P405" s="12"/>
      <c r="Q405" s="12"/>
      <c r="R405" s="12"/>
      <c r="S405" s="12"/>
      <c r="T405" s="12"/>
      <c r="U405" s="12"/>
      <c r="V405" s="14"/>
      <c r="W405" s="14"/>
      <c r="X405" s="14"/>
      <c r="Y405" s="14"/>
      <c r="Z405" s="15"/>
      <c r="AA405" s="12"/>
      <c r="AB405" s="12"/>
      <c r="AC405" s="12"/>
      <c r="AD405" s="12"/>
      <c r="AE405" s="12"/>
      <c r="AF405" s="12"/>
      <c r="AG405" s="12"/>
      <c r="AH405" s="12"/>
    </row>
    <row r="406" spans="1:34" ht="12.75">
      <c r="A406" s="12"/>
      <c r="B406" s="12"/>
      <c r="C406" s="12"/>
      <c r="D406" s="12"/>
      <c r="E406" s="12"/>
      <c r="F406" s="17"/>
      <c r="G406" s="12"/>
      <c r="H406" s="12"/>
      <c r="I406" s="12"/>
      <c r="J406" s="12"/>
      <c r="K406" s="12"/>
      <c r="L406" s="12"/>
      <c r="M406" s="12"/>
      <c r="N406" s="12"/>
      <c r="O406" s="12"/>
      <c r="P406" s="12"/>
      <c r="Q406" s="12"/>
      <c r="R406" s="12"/>
      <c r="S406" s="12"/>
      <c r="T406" s="12"/>
      <c r="U406" s="12"/>
      <c r="V406" s="14"/>
      <c r="W406" s="14"/>
      <c r="X406" s="14"/>
      <c r="Y406" s="14"/>
      <c r="Z406" s="15"/>
      <c r="AA406" s="12"/>
      <c r="AB406" s="12"/>
      <c r="AC406" s="12"/>
      <c r="AD406" s="12"/>
      <c r="AE406" s="12"/>
      <c r="AF406" s="12"/>
      <c r="AG406" s="12"/>
      <c r="AH406" s="12"/>
    </row>
    <row r="407" spans="1:34" ht="12.75">
      <c r="A407" s="12"/>
      <c r="B407" s="12"/>
      <c r="C407" s="12"/>
      <c r="D407" s="12"/>
      <c r="E407" s="12"/>
      <c r="F407" s="17"/>
      <c r="G407" s="12"/>
      <c r="H407" s="12"/>
      <c r="I407" s="12"/>
      <c r="J407" s="12"/>
      <c r="K407" s="12"/>
      <c r="L407" s="12"/>
      <c r="M407" s="12"/>
      <c r="N407" s="12"/>
      <c r="O407" s="12"/>
      <c r="P407" s="12"/>
      <c r="Q407" s="12"/>
      <c r="R407" s="12"/>
      <c r="S407" s="12"/>
      <c r="T407" s="12"/>
      <c r="U407" s="12"/>
      <c r="V407" s="14"/>
      <c r="W407" s="14"/>
      <c r="X407" s="14"/>
      <c r="Y407" s="14"/>
      <c r="Z407" s="15"/>
      <c r="AA407" s="12"/>
      <c r="AB407" s="12"/>
      <c r="AC407" s="12"/>
      <c r="AD407" s="12"/>
      <c r="AE407" s="12"/>
      <c r="AF407" s="12"/>
      <c r="AG407" s="12"/>
      <c r="AH407" s="12"/>
    </row>
    <row r="408" spans="1:34" ht="12.75">
      <c r="A408" s="12"/>
      <c r="B408" s="12"/>
      <c r="C408" s="12"/>
      <c r="D408" s="12"/>
      <c r="E408" s="12"/>
      <c r="F408" s="17"/>
      <c r="G408" s="12"/>
      <c r="H408" s="12"/>
      <c r="I408" s="12"/>
      <c r="J408" s="12"/>
      <c r="K408" s="12"/>
      <c r="L408" s="12"/>
      <c r="M408" s="12"/>
      <c r="N408" s="12"/>
      <c r="O408" s="12"/>
      <c r="P408" s="12"/>
      <c r="Q408" s="12"/>
      <c r="R408" s="12"/>
      <c r="S408" s="12"/>
      <c r="T408" s="12"/>
      <c r="U408" s="12"/>
      <c r="V408" s="14"/>
      <c r="W408" s="14"/>
      <c r="X408" s="14"/>
      <c r="Y408" s="14"/>
      <c r="Z408" s="15"/>
      <c r="AA408" s="12"/>
      <c r="AB408" s="12"/>
      <c r="AC408" s="12"/>
      <c r="AD408" s="12"/>
      <c r="AE408" s="12"/>
      <c r="AF408" s="12"/>
      <c r="AG408" s="12"/>
      <c r="AH408" s="12"/>
    </row>
    <row r="409" spans="1:34" ht="12.75">
      <c r="A409" s="12"/>
      <c r="B409" s="12"/>
      <c r="C409" s="12"/>
      <c r="D409" s="12"/>
      <c r="E409" s="12"/>
      <c r="F409" s="17"/>
      <c r="G409" s="12"/>
      <c r="H409" s="12"/>
      <c r="I409" s="12"/>
      <c r="J409" s="12"/>
      <c r="K409" s="12"/>
      <c r="L409" s="12"/>
      <c r="M409" s="12"/>
      <c r="N409" s="12"/>
      <c r="O409" s="12"/>
      <c r="P409" s="12"/>
      <c r="Q409" s="12"/>
      <c r="R409" s="12"/>
      <c r="S409" s="12"/>
      <c r="T409" s="12"/>
      <c r="U409" s="12"/>
      <c r="V409" s="14"/>
      <c r="W409" s="14"/>
      <c r="X409" s="14"/>
      <c r="Y409" s="14"/>
      <c r="Z409" s="15"/>
      <c r="AA409" s="12"/>
      <c r="AB409" s="12"/>
      <c r="AC409" s="12"/>
      <c r="AD409" s="12"/>
      <c r="AE409" s="12"/>
      <c r="AF409" s="12"/>
      <c r="AG409" s="12"/>
      <c r="AH409" s="12"/>
    </row>
    <row r="410" spans="1:34" ht="12.75">
      <c r="A410" s="12"/>
      <c r="B410" s="12"/>
      <c r="C410" s="12"/>
      <c r="D410" s="12"/>
      <c r="E410" s="12"/>
      <c r="F410" s="17"/>
      <c r="G410" s="12"/>
      <c r="H410" s="12"/>
      <c r="I410" s="12"/>
      <c r="J410" s="12"/>
      <c r="K410" s="12"/>
      <c r="L410" s="12"/>
      <c r="M410" s="12"/>
      <c r="N410" s="12"/>
      <c r="O410" s="12"/>
      <c r="P410" s="12"/>
      <c r="Q410" s="12"/>
      <c r="R410" s="12"/>
      <c r="S410" s="12"/>
      <c r="T410" s="12"/>
      <c r="U410" s="12"/>
      <c r="V410" s="14"/>
      <c r="W410" s="14"/>
      <c r="X410" s="14"/>
      <c r="Y410" s="14"/>
      <c r="Z410" s="15"/>
      <c r="AA410" s="12"/>
      <c r="AB410" s="12"/>
      <c r="AC410" s="12"/>
      <c r="AD410" s="12"/>
      <c r="AE410" s="12"/>
      <c r="AF410" s="12"/>
      <c r="AG410" s="12"/>
      <c r="AH410" s="12"/>
    </row>
    <row r="411" spans="1:34" ht="12.75">
      <c r="A411" s="12"/>
      <c r="B411" s="12"/>
      <c r="C411" s="12"/>
      <c r="D411" s="12"/>
      <c r="E411" s="12"/>
      <c r="F411" s="17"/>
      <c r="G411" s="12"/>
      <c r="H411" s="12"/>
      <c r="I411" s="12"/>
      <c r="J411" s="12"/>
      <c r="K411" s="12"/>
      <c r="L411" s="12"/>
      <c r="M411" s="12"/>
      <c r="N411" s="12"/>
      <c r="O411" s="12"/>
      <c r="P411" s="12"/>
      <c r="Q411" s="12"/>
      <c r="R411" s="12"/>
      <c r="S411" s="12"/>
      <c r="T411" s="12"/>
      <c r="U411" s="12"/>
      <c r="V411" s="14"/>
      <c r="W411" s="14"/>
      <c r="X411" s="14"/>
      <c r="Y411" s="14"/>
      <c r="Z411" s="15"/>
      <c r="AA411" s="12"/>
      <c r="AB411" s="12"/>
      <c r="AC411" s="12"/>
      <c r="AD411" s="12"/>
      <c r="AE411" s="12"/>
      <c r="AF411" s="12"/>
      <c r="AG411" s="12"/>
      <c r="AH411" s="12"/>
    </row>
    <row r="412" spans="1:34" ht="12.75">
      <c r="A412" s="12"/>
      <c r="B412" s="12"/>
      <c r="C412" s="12"/>
      <c r="D412" s="12"/>
      <c r="E412" s="12"/>
      <c r="F412" s="17"/>
      <c r="G412" s="12"/>
      <c r="H412" s="12"/>
      <c r="I412" s="12"/>
      <c r="J412" s="12"/>
      <c r="K412" s="12"/>
      <c r="L412" s="12"/>
      <c r="M412" s="12"/>
      <c r="N412" s="12"/>
      <c r="O412" s="12"/>
      <c r="P412" s="12"/>
      <c r="Q412" s="12"/>
      <c r="R412" s="12"/>
      <c r="S412" s="12"/>
      <c r="T412" s="12"/>
      <c r="U412" s="12"/>
      <c r="V412" s="14"/>
      <c r="W412" s="14"/>
      <c r="X412" s="14"/>
      <c r="Y412" s="14"/>
      <c r="Z412" s="15"/>
      <c r="AA412" s="12"/>
      <c r="AB412" s="12"/>
      <c r="AC412" s="12"/>
      <c r="AD412" s="12"/>
      <c r="AE412" s="12"/>
      <c r="AF412" s="12"/>
      <c r="AG412" s="12"/>
      <c r="AH412" s="12"/>
    </row>
    <row r="413" spans="1:34" ht="12.75">
      <c r="A413" s="12"/>
      <c r="B413" s="12"/>
      <c r="C413" s="12"/>
      <c r="D413" s="12"/>
      <c r="E413" s="12"/>
      <c r="F413" s="17"/>
      <c r="G413" s="12"/>
      <c r="H413" s="12"/>
      <c r="I413" s="12"/>
      <c r="J413" s="12"/>
      <c r="K413" s="12"/>
      <c r="L413" s="12"/>
      <c r="M413" s="12"/>
      <c r="N413" s="12"/>
      <c r="O413" s="12"/>
      <c r="P413" s="12"/>
      <c r="Q413" s="12"/>
      <c r="R413" s="12"/>
      <c r="S413" s="12"/>
      <c r="T413" s="12"/>
      <c r="U413" s="12"/>
      <c r="V413" s="14"/>
      <c r="W413" s="14"/>
      <c r="X413" s="14"/>
      <c r="Y413" s="14"/>
      <c r="Z413" s="15"/>
      <c r="AA413" s="12"/>
      <c r="AB413" s="12"/>
      <c r="AC413" s="12"/>
      <c r="AD413" s="12"/>
      <c r="AE413" s="12"/>
      <c r="AF413" s="12"/>
      <c r="AG413" s="12"/>
      <c r="AH413" s="12"/>
    </row>
    <row r="414" spans="1:34" ht="12.75">
      <c r="A414" s="12"/>
      <c r="B414" s="12"/>
      <c r="C414" s="12"/>
      <c r="D414" s="12"/>
      <c r="E414" s="12"/>
      <c r="F414" s="17"/>
      <c r="G414" s="12"/>
      <c r="H414" s="12"/>
      <c r="I414" s="12"/>
      <c r="J414" s="12"/>
      <c r="K414" s="12"/>
      <c r="L414" s="12"/>
      <c r="M414" s="12"/>
      <c r="N414" s="12"/>
      <c r="O414" s="12"/>
      <c r="P414" s="12"/>
      <c r="Q414" s="12"/>
      <c r="R414" s="12"/>
      <c r="S414" s="12"/>
      <c r="T414" s="12"/>
      <c r="U414" s="12"/>
      <c r="V414" s="14"/>
      <c r="W414" s="14"/>
      <c r="X414" s="14"/>
      <c r="Y414" s="14"/>
      <c r="Z414" s="15"/>
      <c r="AA414" s="12"/>
      <c r="AB414" s="12"/>
      <c r="AC414" s="12"/>
      <c r="AD414" s="12"/>
      <c r="AE414" s="12"/>
      <c r="AF414" s="12"/>
      <c r="AG414" s="12"/>
      <c r="AH414" s="12"/>
    </row>
    <row r="415" spans="1:34" ht="12.75">
      <c r="A415" s="12"/>
      <c r="B415" s="12"/>
      <c r="C415" s="12"/>
      <c r="D415" s="12"/>
      <c r="E415" s="12"/>
      <c r="F415" s="17"/>
      <c r="G415" s="12"/>
      <c r="H415" s="12"/>
      <c r="I415" s="12"/>
      <c r="J415" s="12"/>
      <c r="K415" s="12"/>
      <c r="L415" s="12"/>
      <c r="M415" s="12"/>
      <c r="N415" s="12"/>
      <c r="O415" s="12"/>
      <c r="P415" s="12"/>
      <c r="Q415" s="12"/>
      <c r="R415" s="12"/>
      <c r="S415" s="12"/>
      <c r="T415" s="12"/>
      <c r="U415" s="12"/>
      <c r="V415" s="14"/>
      <c r="W415" s="14"/>
      <c r="X415" s="14"/>
      <c r="Y415" s="14"/>
      <c r="Z415" s="15"/>
      <c r="AA415" s="12"/>
      <c r="AB415" s="12"/>
      <c r="AC415" s="12"/>
      <c r="AD415" s="12"/>
      <c r="AE415" s="12"/>
      <c r="AF415" s="12"/>
      <c r="AG415" s="12"/>
      <c r="AH415" s="12"/>
    </row>
    <row r="416" spans="1:34" ht="12.75">
      <c r="A416" s="12"/>
      <c r="B416" s="12"/>
      <c r="C416" s="12"/>
      <c r="D416" s="12"/>
      <c r="E416" s="12"/>
      <c r="F416" s="17"/>
      <c r="G416" s="12"/>
      <c r="H416" s="12"/>
      <c r="I416" s="12"/>
      <c r="J416" s="12"/>
      <c r="K416" s="12"/>
      <c r="L416" s="12"/>
      <c r="M416" s="12"/>
      <c r="N416" s="12"/>
      <c r="O416" s="12"/>
      <c r="P416" s="12"/>
      <c r="Q416" s="12"/>
      <c r="R416" s="12"/>
      <c r="S416" s="12"/>
      <c r="T416" s="12"/>
      <c r="U416" s="12"/>
      <c r="V416" s="14"/>
      <c r="W416" s="14"/>
      <c r="X416" s="14"/>
      <c r="Y416" s="14"/>
      <c r="Z416" s="15"/>
      <c r="AA416" s="12"/>
      <c r="AB416" s="12"/>
      <c r="AC416" s="12"/>
      <c r="AD416" s="12"/>
      <c r="AE416" s="12"/>
      <c r="AF416" s="12"/>
      <c r="AG416" s="12"/>
      <c r="AH416" s="12"/>
    </row>
    <row r="417" spans="1:34" ht="12.75">
      <c r="A417" s="12"/>
      <c r="B417" s="12"/>
      <c r="C417" s="12"/>
      <c r="D417" s="12"/>
      <c r="E417" s="12"/>
      <c r="F417" s="17"/>
      <c r="G417" s="12"/>
      <c r="H417" s="12"/>
      <c r="I417" s="12"/>
      <c r="J417" s="12"/>
      <c r="K417" s="12"/>
      <c r="L417" s="12"/>
      <c r="M417" s="12"/>
      <c r="N417" s="12"/>
      <c r="O417" s="12"/>
      <c r="P417" s="12"/>
      <c r="Q417" s="12"/>
      <c r="R417" s="12"/>
      <c r="S417" s="12"/>
      <c r="T417" s="12"/>
      <c r="U417" s="12"/>
      <c r="V417" s="14"/>
      <c r="W417" s="14"/>
      <c r="X417" s="14"/>
      <c r="Y417" s="14"/>
      <c r="Z417" s="15"/>
      <c r="AA417" s="12"/>
      <c r="AB417" s="12"/>
      <c r="AC417" s="12"/>
      <c r="AD417" s="12"/>
      <c r="AE417" s="12"/>
      <c r="AF417" s="12"/>
      <c r="AG417" s="12"/>
      <c r="AH417" s="12"/>
    </row>
    <row r="418" spans="1:34" ht="12.75">
      <c r="A418" s="12"/>
      <c r="B418" s="12"/>
      <c r="C418" s="12"/>
      <c r="D418" s="12"/>
      <c r="E418" s="12"/>
      <c r="F418" s="17"/>
      <c r="G418" s="12"/>
      <c r="H418" s="12"/>
      <c r="I418" s="12"/>
      <c r="J418" s="12"/>
      <c r="K418" s="12"/>
      <c r="L418" s="12"/>
      <c r="M418" s="12"/>
      <c r="N418" s="12"/>
      <c r="O418" s="12"/>
      <c r="P418" s="12"/>
      <c r="Q418" s="12"/>
      <c r="R418" s="12"/>
      <c r="S418" s="12"/>
      <c r="T418" s="12"/>
      <c r="U418" s="12"/>
      <c r="V418" s="14"/>
      <c r="W418" s="14"/>
      <c r="X418" s="14"/>
      <c r="Y418" s="14"/>
      <c r="Z418" s="15"/>
      <c r="AA418" s="12"/>
      <c r="AB418" s="12"/>
      <c r="AC418" s="12"/>
      <c r="AD418" s="12"/>
      <c r="AE418" s="12"/>
      <c r="AF418" s="12"/>
      <c r="AG418" s="12"/>
      <c r="AH418" s="12"/>
    </row>
    <row r="419" spans="1:34" ht="12.75">
      <c r="A419" s="12"/>
      <c r="B419" s="12"/>
      <c r="C419" s="12"/>
      <c r="D419" s="12"/>
      <c r="E419" s="12"/>
      <c r="F419" s="17"/>
      <c r="G419" s="12"/>
      <c r="H419" s="12"/>
      <c r="I419" s="12"/>
      <c r="J419" s="12"/>
      <c r="K419" s="12"/>
      <c r="L419" s="12"/>
      <c r="M419" s="12"/>
      <c r="N419" s="12"/>
      <c r="O419" s="12"/>
      <c r="P419" s="12"/>
      <c r="Q419" s="12"/>
      <c r="R419" s="12"/>
      <c r="S419" s="12"/>
      <c r="T419" s="12"/>
      <c r="U419" s="12"/>
      <c r="V419" s="14"/>
      <c r="W419" s="14"/>
      <c r="X419" s="14"/>
      <c r="Y419" s="14"/>
      <c r="Z419" s="15"/>
      <c r="AA419" s="12"/>
      <c r="AB419" s="12"/>
      <c r="AC419" s="12"/>
      <c r="AD419" s="12"/>
      <c r="AE419" s="12"/>
      <c r="AF419" s="12"/>
      <c r="AG419" s="12"/>
      <c r="AH419" s="12"/>
    </row>
    <row r="420" spans="1:34" ht="12.75">
      <c r="A420" s="12"/>
      <c r="B420" s="12"/>
      <c r="C420" s="12"/>
      <c r="D420" s="12"/>
      <c r="E420" s="12"/>
      <c r="F420" s="17"/>
      <c r="G420" s="12"/>
      <c r="H420" s="12"/>
      <c r="I420" s="12"/>
      <c r="J420" s="12"/>
      <c r="K420" s="12"/>
      <c r="L420" s="12"/>
      <c r="M420" s="12"/>
      <c r="N420" s="12"/>
      <c r="O420" s="12"/>
      <c r="P420" s="12"/>
      <c r="Q420" s="12"/>
      <c r="R420" s="12"/>
      <c r="S420" s="12"/>
      <c r="T420" s="12"/>
      <c r="U420" s="12"/>
      <c r="V420" s="14"/>
      <c r="W420" s="14"/>
      <c r="X420" s="14"/>
      <c r="Y420" s="14"/>
      <c r="Z420" s="15"/>
      <c r="AA420" s="12"/>
      <c r="AB420" s="12"/>
      <c r="AC420" s="12"/>
      <c r="AD420" s="12"/>
      <c r="AE420" s="12"/>
      <c r="AF420" s="12"/>
      <c r="AG420" s="12"/>
      <c r="AH420" s="12"/>
    </row>
    <row r="421" spans="1:34" ht="12.75">
      <c r="A421" s="12"/>
      <c r="B421" s="12"/>
      <c r="C421" s="12"/>
      <c r="D421" s="12"/>
      <c r="E421" s="12"/>
      <c r="F421" s="17"/>
      <c r="G421" s="12"/>
      <c r="H421" s="12"/>
      <c r="I421" s="12"/>
      <c r="J421" s="12"/>
      <c r="K421" s="12"/>
      <c r="L421" s="12"/>
      <c r="M421" s="12"/>
      <c r="N421" s="12"/>
      <c r="O421" s="12"/>
      <c r="P421" s="12"/>
      <c r="Q421" s="12"/>
      <c r="R421" s="12"/>
      <c r="S421" s="12"/>
      <c r="T421" s="12"/>
      <c r="U421" s="12"/>
      <c r="V421" s="14"/>
      <c r="W421" s="14"/>
      <c r="X421" s="14"/>
      <c r="Y421" s="14"/>
      <c r="Z421" s="15"/>
      <c r="AA421" s="12"/>
      <c r="AB421" s="12"/>
      <c r="AC421" s="12"/>
      <c r="AD421" s="12"/>
      <c r="AE421" s="12"/>
      <c r="AF421" s="12"/>
      <c r="AG421" s="12"/>
      <c r="AH421" s="12"/>
    </row>
    <row r="422" spans="1:34" ht="12.75">
      <c r="A422" s="12"/>
      <c r="B422" s="12"/>
      <c r="C422" s="12"/>
      <c r="D422" s="12"/>
      <c r="E422" s="12"/>
      <c r="F422" s="17"/>
      <c r="G422" s="12"/>
      <c r="H422" s="12"/>
      <c r="I422" s="12"/>
      <c r="J422" s="12"/>
      <c r="K422" s="12"/>
      <c r="L422" s="12"/>
      <c r="M422" s="12"/>
      <c r="N422" s="12"/>
      <c r="O422" s="12"/>
      <c r="P422" s="12"/>
      <c r="Q422" s="12"/>
      <c r="R422" s="12"/>
      <c r="S422" s="12"/>
      <c r="T422" s="12"/>
      <c r="U422" s="12"/>
      <c r="V422" s="14"/>
      <c r="W422" s="14"/>
      <c r="X422" s="14"/>
      <c r="Y422" s="14"/>
      <c r="Z422" s="15"/>
      <c r="AA422" s="12"/>
      <c r="AB422" s="12"/>
      <c r="AC422" s="12"/>
      <c r="AD422" s="12"/>
      <c r="AE422" s="12"/>
      <c r="AF422" s="12"/>
      <c r="AG422" s="12"/>
      <c r="AH422" s="12"/>
    </row>
    <row r="423" spans="1:34" ht="12.75">
      <c r="A423" s="12"/>
      <c r="B423" s="12"/>
      <c r="C423" s="12"/>
      <c r="D423" s="12"/>
      <c r="E423" s="12"/>
      <c r="F423" s="17"/>
      <c r="G423" s="12"/>
      <c r="H423" s="12"/>
      <c r="I423" s="12"/>
      <c r="J423" s="12"/>
      <c r="K423" s="12"/>
      <c r="L423" s="12"/>
      <c r="M423" s="12"/>
      <c r="N423" s="12"/>
      <c r="O423" s="12"/>
      <c r="P423" s="12"/>
      <c r="Q423" s="12"/>
      <c r="R423" s="12"/>
      <c r="S423" s="12"/>
      <c r="T423" s="12"/>
      <c r="U423" s="12"/>
      <c r="V423" s="14"/>
      <c r="W423" s="14"/>
      <c r="X423" s="14"/>
      <c r="Y423" s="14"/>
      <c r="Z423" s="15"/>
      <c r="AA423" s="12"/>
      <c r="AB423" s="12"/>
      <c r="AC423" s="12"/>
      <c r="AD423" s="12"/>
      <c r="AE423" s="12"/>
      <c r="AF423" s="12"/>
      <c r="AG423" s="12"/>
      <c r="AH423" s="12"/>
    </row>
    <row r="424" spans="1:34" ht="12.75">
      <c r="A424" s="12"/>
      <c r="B424" s="12"/>
      <c r="C424" s="12"/>
      <c r="D424" s="12"/>
      <c r="E424" s="12"/>
      <c r="F424" s="17"/>
      <c r="G424" s="12"/>
      <c r="H424" s="12"/>
      <c r="I424" s="12"/>
      <c r="J424" s="12"/>
      <c r="K424" s="12"/>
      <c r="L424" s="12"/>
      <c r="M424" s="12"/>
      <c r="N424" s="12"/>
      <c r="O424" s="12"/>
      <c r="P424" s="12"/>
      <c r="Q424" s="12"/>
      <c r="R424" s="12"/>
      <c r="S424" s="12"/>
      <c r="T424" s="12"/>
      <c r="U424" s="12"/>
      <c r="V424" s="14"/>
      <c r="W424" s="14"/>
      <c r="X424" s="14"/>
      <c r="Y424" s="14"/>
      <c r="Z424" s="15"/>
      <c r="AA424" s="12"/>
      <c r="AB424" s="12"/>
      <c r="AC424" s="12"/>
      <c r="AD424" s="12"/>
      <c r="AE424" s="12"/>
      <c r="AF424" s="12"/>
      <c r="AG424" s="12"/>
      <c r="AH424" s="12"/>
    </row>
    <row r="425" spans="1:34" ht="12.75">
      <c r="A425" s="12"/>
      <c r="B425" s="12"/>
      <c r="C425" s="12"/>
      <c r="D425" s="12"/>
      <c r="E425" s="12"/>
      <c r="F425" s="17"/>
      <c r="G425" s="12"/>
      <c r="H425" s="12"/>
      <c r="I425" s="12"/>
      <c r="J425" s="12"/>
      <c r="K425" s="12"/>
      <c r="L425" s="12"/>
      <c r="M425" s="12"/>
      <c r="N425" s="12"/>
      <c r="O425" s="12"/>
      <c r="P425" s="12"/>
      <c r="Q425" s="12"/>
      <c r="R425" s="12"/>
      <c r="S425" s="12"/>
      <c r="T425" s="12"/>
      <c r="U425" s="12"/>
      <c r="V425" s="14"/>
      <c r="W425" s="14"/>
      <c r="X425" s="14"/>
      <c r="Y425" s="14"/>
      <c r="Z425" s="15"/>
      <c r="AA425" s="12"/>
      <c r="AB425" s="12"/>
      <c r="AC425" s="12"/>
      <c r="AD425" s="12"/>
      <c r="AE425" s="12"/>
      <c r="AF425" s="12"/>
      <c r="AG425" s="12"/>
      <c r="AH425" s="12"/>
    </row>
    <row r="426" spans="1:34" ht="12.75">
      <c r="A426" s="12"/>
      <c r="B426" s="12"/>
      <c r="C426" s="12"/>
      <c r="D426" s="12"/>
      <c r="E426" s="12"/>
      <c r="F426" s="17"/>
      <c r="G426" s="12"/>
      <c r="H426" s="12"/>
      <c r="I426" s="12"/>
      <c r="J426" s="12"/>
      <c r="K426" s="12"/>
      <c r="L426" s="12"/>
      <c r="M426" s="12"/>
      <c r="N426" s="12"/>
      <c r="O426" s="12"/>
      <c r="P426" s="12"/>
      <c r="Q426" s="12"/>
      <c r="R426" s="12"/>
      <c r="S426" s="12"/>
      <c r="T426" s="12"/>
      <c r="U426" s="12"/>
      <c r="V426" s="14"/>
      <c r="W426" s="14"/>
      <c r="X426" s="14"/>
      <c r="Y426" s="14"/>
      <c r="Z426" s="15"/>
      <c r="AA426" s="12"/>
      <c r="AB426" s="12"/>
      <c r="AC426" s="12"/>
      <c r="AD426" s="12"/>
      <c r="AE426" s="12"/>
      <c r="AF426" s="12"/>
      <c r="AG426" s="12"/>
      <c r="AH426" s="12"/>
    </row>
    <row r="427" spans="1:34" ht="12.75">
      <c r="A427" s="12"/>
      <c r="B427" s="12"/>
      <c r="C427" s="12"/>
      <c r="D427" s="12"/>
      <c r="E427" s="12"/>
      <c r="F427" s="17"/>
      <c r="G427" s="12"/>
      <c r="H427" s="12"/>
      <c r="I427" s="12"/>
      <c r="J427" s="12"/>
      <c r="K427" s="12"/>
      <c r="L427" s="12"/>
      <c r="M427" s="12"/>
      <c r="N427" s="12"/>
      <c r="O427" s="12"/>
      <c r="P427" s="12"/>
      <c r="Q427" s="12"/>
      <c r="R427" s="12"/>
      <c r="S427" s="12"/>
      <c r="T427" s="12"/>
      <c r="U427" s="12"/>
      <c r="V427" s="14"/>
      <c r="W427" s="14"/>
      <c r="X427" s="14"/>
      <c r="Y427" s="14"/>
      <c r="Z427" s="15"/>
      <c r="AA427" s="12"/>
      <c r="AB427" s="12"/>
      <c r="AC427" s="12"/>
      <c r="AD427" s="12"/>
      <c r="AE427" s="12"/>
      <c r="AF427" s="12"/>
      <c r="AG427" s="12"/>
      <c r="AH427" s="12"/>
    </row>
    <row r="428" spans="1:34" ht="12.75">
      <c r="A428" s="12"/>
      <c r="B428" s="12"/>
      <c r="C428" s="12"/>
      <c r="D428" s="12"/>
      <c r="E428" s="12"/>
      <c r="F428" s="17"/>
      <c r="G428" s="12"/>
      <c r="H428" s="12"/>
      <c r="I428" s="12"/>
      <c r="J428" s="12"/>
      <c r="K428" s="12"/>
      <c r="L428" s="12"/>
      <c r="M428" s="12"/>
      <c r="N428" s="12"/>
      <c r="O428" s="12"/>
      <c r="P428" s="12"/>
      <c r="Q428" s="12"/>
      <c r="R428" s="12"/>
      <c r="S428" s="12"/>
      <c r="T428" s="12"/>
      <c r="U428" s="12"/>
      <c r="V428" s="14"/>
      <c r="W428" s="14"/>
      <c r="X428" s="14"/>
      <c r="Y428" s="14"/>
      <c r="Z428" s="15"/>
      <c r="AA428" s="12"/>
      <c r="AB428" s="12"/>
      <c r="AC428" s="12"/>
      <c r="AD428" s="12"/>
      <c r="AE428" s="12"/>
      <c r="AF428" s="12"/>
      <c r="AG428" s="12"/>
      <c r="AH428" s="12"/>
    </row>
    <row r="429" spans="1:34" ht="12.75">
      <c r="A429" s="12"/>
      <c r="B429" s="12"/>
      <c r="C429" s="12"/>
      <c r="D429" s="12"/>
      <c r="E429" s="12"/>
      <c r="F429" s="17"/>
      <c r="G429" s="12"/>
      <c r="H429" s="12"/>
      <c r="I429" s="12"/>
      <c r="J429" s="12"/>
      <c r="K429" s="12"/>
      <c r="L429" s="12"/>
      <c r="M429" s="12"/>
      <c r="N429" s="12"/>
      <c r="O429" s="12"/>
      <c r="P429" s="12"/>
      <c r="Q429" s="12"/>
      <c r="R429" s="12"/>
      <c r="S429" s="12"/>
      <c r="T429" s="12"/>
      <c r="U429" s="12"/>
      <c r="V429" s="14"/>
      <c r="W429" s="14"/>
      <c r="X429" s="14"/>
      <c r="Y429" s="14"/>
      <c r="Z429" s="15"/>
      <c r="AA429" s="12"/>
      <c r="AB429" s="12"/>
      <c r="AC429" s="12"/>
      <c r="AD429" s="12"/>
      <c r="AE429" s="12"/>
      <c r="AF429" s="12"/>
      <c r="AG429" s="12"/>
      <c r="AH429" s="12"/>
    </row>
    <row r="430" spans="1:34" ht="12.75">
      <c r="A430" s="12"/>
      <c r="B430" s="12"/>
      <c r="C430" s="12"/>
      <c r="D430" s="12"/>
      <c r="E430" s="12"/>
      <c r="F430" s="17"/>
      <c r="G430" s="12"/>
      <c r="H430" s="12"/>
      <c r="I430" s="12"/>
      <c r="J430" s="12"/>
      <c r="K430" s="12"/>
      <c r="L430" s="12"/>
      <c r="M430" s="12"/>
      <c r="N430" s="12"/>
      <c r="O430" s="12"/>
      <c r="P430" s="12"/>
      <c r="Q430" s="12"/>
      <c r="R430" s="12"/>
      <c r="S430" s="12"/>
      <c r="T430" s="12"/>
      <c r="U430" s="12"/>
      <c r="V430" s="14"/>
      <c r="W430" s="14"/>
      <c r="X430" s="14"/>
      <c r="Y430" s="14"/>
      <c r="Z430" s="15"/>
      <c r="AA430" s="12"/>
      <c r="AB430" s="12"/>
      <c r="AC430" s="12"/>
      <c r="AD430" s="12"/>
      <c r="AE430" s="12"/>
      <c r="AF430" s="12"/>
      <c r="AG430" s="12"/>
      <c r="AH430" s="12"/>
    </row>
    <row r="431" spans="1:34" ht="12.75">
      <c r="A431" s="12"/>
      <c r="B431" s="12"/>
      <c r="C431" s="12"/>
      <c r="D431" s="12"/>
      <c r="E431" s="12"/>
      <c r="F431" s="17"/>
      <c r="G431" s="12"/>
      <c r="H431" s="12"/>
      <c r="I431" s="12"/>
      <c r="J431" s="12"/>
      <c r="K431" s="12"/>
      <c r="L431" s="12"/>
      <c r="M431" s="12"/>
      <c r="N431" s="12"/>
      <c r="O431" s="12"/>
      <c r="P431" s="12"/>
      <c r="Q431" s="12"/>
      <c r="R431" s="12"/>
      <c r="S431" s="12"/>
      <c r="T431" s="12"/>
      <c r="U431" s="12"/>
      <c r="V431" s="14"/>
      <c r="W431" s="14"/>
      <c r="X431" s="14"/>
      <c r="Y431" s="14"/>
      <c r="Z431" s="15"/>
      <c r="AA431" s="12"/>
      <c r="AB431" s="12"/>
      <c r="AC431" s="12"/>
      <c r="AD431" s="12"/>
      <c r="AE431" s="12"/>
      <c r="AF431" s="12"/>
      <c r="AG431" s="12"/>
      <c r="AH431" s="12"/>
    </row>
    <row r="432" spans="1:34" ht="12.75">
      <c r="A432" s="12"/>
      <c r="B432" s="12"/>
      <c r="C432" s="12"/>
      <c r="D432" s="12"/>
      <c r="E432" s="12"/>
      <c r="F432" s="17"/>
      <c r="G432" s="12"/>
      <c r="H432" s="12"/>
      <c r="I432" s="12"/>
      <c r="J432" s="12"/>
      <c r="K432" s="12"/>
      <c r="L432" s="12"/>
      <c r="M432" s="12"/>
      <c r="N432" s="12"/>
      <c r="O432" s="12"/>
      <c r="P432" s="12"/>
      <c r="Q432" s="12"/>
      <c r="R432" s="12"/>
      <c r="S432" s="12"/>
      <c r="T432" s="12"/>
      <c r="U432" s="12"/>
      <c r="V432" s="14"/>
      <c r="W432" s="14"/>
      <c r="X432" s="14"/>
      <c r="Y432" s="14"/>
      <c r="Z432" s="15"/>
      <c r="AA432" s="12"/>
      <c r="AB432" s="12"/>
      <c r="AC432" s="12"/>
      <c r="AD432" s="12"/>
      <c r="AE432" s="12"/>
      <c r="AF432" s="12"/>
      <c r="AG432" s="12"/>
      <c r="AH432" s="12"/>
    </row>
    <row r="433" spans="1:34" ht="12.75">
      <c r="A433" s="12"/>
      <c r="B433" s="12"/>
      <c r="C433" s="12"/>
      <c r="D433" s="12"/>
      <c r="E433" s="12"/>
      <c r="F433" s="17"/>
      <c r="G433" s="12"/>
      <c r="H433" s="12"/>
      <c r="I433" s="12"/>
      <c r="J433" s="12"/>
      <c r="K433" s="12"/>
      <c r="L433" s="12"/>
      <c r="M433" s="12"/>
      <c r="N433" s="12"/>
      <c r="O433" s="12"/>
      <c r="P433" s="12"/>
      <c r="Q433" s="12"/>
      <c r="R433" s="12"/>
      <c r="S433" s="12"/>
      <c r="T433" s="12"/>
      <c r="U433" s="12"/>
      <c r="V433" s="14"/>
      <c r="W433" s="14"/>
      <c r="X433" s="14"/>
      <c r="Y433" s="14"/>
      <c r="Z433" s="15"/>
      <c r="AA433" s="12"/>
      <c r="AB433" s="12"/>
      <c r="AC433" s="12"/>
      <c r="AD433" s="12"/>
      <c r="AE433" s="12"/>
      <c r="AF433" s="12"/>
      <c r="AG433" s="12"/>
      <c r="AH433" s="12"/>
    </row>
    <row r="434" spans="1:34" ht="12.75">
      <c r="A434" s="12"/>
      <c r="B434" s="12"/>
      <c r="C434" s="12"/>
      <c r="D434" s="12"/>
      <c r="E434" s="12"/>
      <c r="F434" s="17"/>
      <c r="G434" s="12"/>
      <c r="H434" s="12"/>
      <c r="I434" s="12"/>
      <c r="J434" s="12"/>
      <c r="K434" s="12"/>
      <c r="L434" s="12"/>
      <c r="M434" s="12"/>
      <c r="N434" s="12"/>
      <c r="O434" s="12"/>
      <c r="P434" s="12"/>
      <c r="Q434" s="12"/>
      <c r="R434" s="12"/>
      <c r="S434" s="12"/>
      <c r="T434" s="12"/>
      <c r="U434" s="12"/>
      <c r="V434" s="14"/>
      <c r="W434" s="14"/>
      <c r="X434" s="14"/>
      <c r="Y434" s="14"/>
      <c r="Z434" s="15"/>
      <c r="AA434" s="12"/>
      <c r="AB434" s="12"/>
      <c r="AC434" s="12"/>
      <c r="AD434" s="12"/>
      <c r="AE434" s="12"/>
      <c r="AF434" s="12"/>
      <c r="AG434" s="12"/>
      <c r="AH434" s="12"/>
    </row>
    <row r="435" spans="1:34" ht="12.75">
      <c r="A435" s="12"/>
      <c r="B435" s="12"/>
      <c r="C435" s="12"/>
      <c r="D435" s="12"/>
      <c r="E435" s="12"/>
      <c r="F435" s="17"/>
      <c r="G435" s="12"/>
      <c r="H435" s="12"/>
      <c r="I435" s="12"/>
      <c r="J435" s="12"/>
      <c r="K435" s="12"/>
      <c r="L435" s="12"/>
      <c r="M435" s="12"/>
      <c r="N435" s="12"/>
      <c r="O435" s="12"/>
      <c r="P435" s="12"/>
      <c r="Q435" s="12"/>
      <c r="R435" s="12"/>
      <c r="S435" s="12"/>
      <c r="T435" s="12"/>
      <c r="U435" s="12"/>
      <c r="V435" s="14"/>
      <c r="W435" s="14"/>
      <c r="X435" s="14"/>
      <c r="Y435" s="14"/>
      <c r="Z435" s="15"/>
      <c r="AA435" s="12"/>
      <c r="AB435" s="12"/>
      <c r="AC435" s="12"/>
      <c r="AD435" s="12"/>
      <c r="AE435" s="12"/>
      <c r="AF435" s="12"/>
      <c r="AG435" s="12"/>
      <c r="AH435" s="12"/>
    </row>
    <row r="436" spans="1:34" ht="12.75">
      <c r="A436" s="12"/>
      <c r="B436" s="12"/>
      <c r="C436" s="12"/>
      <c r="D436" s="12"/>
      <c r="E436" s="12"/>
      <c r="F436" s="17"/>
      <c r="G436" s="12"/>
      <c r="H436" s="12"/>
      <c r="I436" s="12"/>
      <c r="J436" s="12"/>
      <c r="K436" s="12"/>
      <c r="L436" s="12"/>
      <c r="M436" s="12"/>
      <c r="N436" s="12"/>
      <c r="O436" s="12"/>
      <c r="P436" s="12"/>
      <c r="Q436" s="12"/>
      <c r="R436" s="12"/>
      <c r="S436" s="12"/>
      <c r="T436" s="12"/>
      <c r="U436" s="12"/>
      <c r="V436" s="14"/>
      <c r="W436" s="14"/>
      <c r="X436" s="14"/>
      <c r="Y436" s="14"/>
      <c r="Z436" s="15"/>
      <c r="AA436" s="12"/>
      <c r="AB436" s="12"/>
      <c r="AC436" s="12"/>
      <c r="AD436" s="12"/>
      <c r="AE436" s="12"/>
      <c r="AF436" s="12"/>
      <c r="AG436" s="12"/>
      <c r="AH436" s="12"/>
    </row>
    <row r="437" spans="1:34" ht="12.75">
      <c r="A437" s="12"/>
      <c r="B437" s="12"/>
      <c r="C437" s="12"/>
      <c r="D437" s="12"/>
      <c r="E437" s="12"/>
      <c r="F437" s="17"/>
      <c r="G437" s="12"/>
      <c r="H437" s="12"/>
      <c r="I437" s="12"/>
      <c r="J437" s="12"/>
      <c r="K437" s="12"/>
      <c r="L437" s="12"/>
      <c r="M437" s="12"/>
      <c r="N437" s="12"/>
      <c r="O437" s="12"/>
      <c r="P437" s="12"/>
      <c r="Q437" s="12"/>
      <c r="R437" s="12"/>
      <c r="S437" s="12"/>
      <c r="T437" s="12"/>
      <c r="U437" s="12"/>
      <c r="V437" s="14"/>
      <c r="W437" s="14"/>
      <c r="X437" s="14"/>
      <c r="Y437" s="14"/>
      <c r="Z437" s="15"/>
      <c r="AA437" s="12"/>
      <c r="AB437" s="12"/>
      <c r="AC437" s="12"/>
      <c r="AD437" s="12"/>
      <c r="AE437" s="12"/>
      <c r="AF437" s="12"/>
      <c r="AG437" s="12"/>
      <c r="AH437" s="12"/>
    </row>
    <row r="438" spans="1:34" ht="12.75">
      <c r="A438" s="12"/>
      <c r="B438" s="12"/>
      <c r="C438" s="12"/>
      <c r="D438" s="12"/>
      <c r="E438" s="12"/>
      <c r="F438" s="17"/>
      <c r="G438" s="12"/>
      <c r="H438" s="12"/>
      <c r="I438" s="12"/>
      <c r="J438" s="12"/>
      <c r="K438" s="12"/>
      <c r="L438" s="12"/>
      <c r="M438" s="12"/>
      <c r="N438" s="12"/>
      <c r="O438" s="12"/>
      <c r="P438" s="12"/>
      <c r="Q438" s="12"/>
      <c r="R438" s="12"/>
      <c r="S438" s="12"/>
      <c r="T438" s="12"/>
      <c r="U438" s="12"/>
      <c r="V438" s="14"/>
      <c r="W438" s="14"/>
      <c r="X438" s="14"/>
      <c r="Y438" s="14"/>
      <c r="Z438" s="15"/>
      <c r="AA438" s="12"/>
      <c r="AB438" s="12"/>
      <c r="AC438" s="12"/>
      <c r="AD438" s="12"/>
      <c r="AE438" s="12"/>
      <c r="AF438" s="12"/>
      <c r="AG438" s="12"/>
      <c r="AH438" s="12"/>
    </row>
    <row r="439" spans="1:34" ht="12.75">
      <c r="A439" s="12"/>
      <c r="B439" s="12"/>
      <c r="C439" s="12"/>
      <c r="D439" s="12"/>
      <c r="E439" s="12"/>
      <c r="F439" s="17"/>
      <c r="G439" s="12"/>
      <c r="H439" s="12"/>
      <c r="I439" s="12"/>
      <c r="J439" s="12"/>
      <c r="K439" s="12"/>
      <c r="L439" s="12"/>
      <c r="M439" s="12"/>
      <c r="N439" s="12"/>
      <c r="O439" s="12"/>
      <c r="P439" s="12"/>
      <c r="Q439" s="12"/>
      <c r="R439" s="12"/>
      <c r="S439" s="12"/>
      <c r="T439" s="12"/>
      <c r="U439" s="12"/>
      <c r="V439" s="14"/>
      <c r="W439" s="14"/>
      <c r="X439" s="14"/>
      <c r="Y439" s="14"/>
      <c r="Z439" s="15"/>
      <c r="AA439" s="12"/>
      <c r="AB439" s="12"/>
      <c r="AC439" s="12"/>
      <c r="AD439" s="12"/>
      <c r="AE439" s="12"/>
      <c r="AF439" s="12"/>
      <c r="AG439" s="12"/>
      <c r="AH439" s="12"/>
    </row>
    <row r="440" spans="1:34" ht="12.75">
      <c r="A440" s="12"/>
      <c r="B440" s="12"/>
      <c r="C440" s="12"/>
      <c r="D440" s="12"/>
      <c r="E440" s="12"/>
      <c r="F440" s="17"/>
      <c r="G440" s="12"/>
      <c r="H440" s="12"/>
      <c r="I440" s="12"/>
      <c r="J440" s="12"/>
      <c r="K440" s="12"/>
      <c r="L440" s="12"/>
      <c r="M440" s="12"/>
      <c r="N440" s="12"/>
      <c r="O440" s="12"/>
      <c r="P440" s="12"/>
      <c r="Q440" s="12"/>
      <c r="R440" s="12"/>
      <c r="S440" s="12"/>
      <c r="T440" s="12"/>
      <c r="U440" s="12"/>
      <c r="V440" s="14"/>
      <c r="W440" s="14"/>
      <c r="X440" s="14"/>
      <c r="Y440" s="14"/>
      <c r="Z440" s="15"/>
      <c r="AA440" s="12"/>
      <c r="AB440" s="12"/>
      <c r="AC440" s="12"/>
      <c r="AD440" s="12"/>
      <c r="AE440" s="12"/>
      <c r="AF440" s="12"/>
      <c r="AG440" s="12"/>
      <c r="AH440" s="12"/>
    </row>
    <row r="441" spans="1:34" ht="12.75">
      <c r="A441" s="12"/>
      <c r="B441" s="12"/>
      <c r="C441" s="12"/>
      <c r="D441" s="12"/>
      <c r="E441" s="12"/>
      <c r="F441" s="17"/>
      <c r="G441" s="12"/>
      <c r="H441" s="12"/>
      <c r="I441" s="12"/>
      <c r="J441" s="12"/>
      <c r="K441" s="12"/>
      <c r="L441" s="12"/>
      <c r="M441" s="12"/>
      <c r="N441" s="12"/>
      <c r="O441" s="12"/>
      <c r="P441" s="12"/>
      <c r="Q441" s="12"/>
      <c r="R441" s="12"/>
      <c r="S441" s="12"/>
      <c r="T441" s="12"/>
      <c r="U441" s="12"/>
      <c r="V441" s="14"/>
      <c r="W441" s="14"/>
      <c r="X441" s="14"/>
      <c r="Y441" s="14"/>
      <c r="Z441" s="15"/>
      <c r="AA441" s="12"/>
      <c r="AB441" s="12"/>
      <c r="AC441" s="12"/>
      <c r="AD441" s="12"/>
      <c r="AE441" s="12"/>
      <c r="AF441" s="12"/>
      <c r="AG441" s="12"/>
      <c r="AH441" s="12"/>
    </row>
    <row r="442" spans="1:34" ht="12.75">
      <c r="A442" s="12"/>
      <c r="B442" s="12"/>
      <c r="C442" s="12"/>
      <c r="D442" s="12"/>
      <c r="E442" s="12"/>
      <c r="F442" s="17"/>
      <c r="G442" s="12"/>
      <c r="H442" s="12"/>
      <c r="I442" s="12"/>
      <c r="J442" s="12"/>
      <c r="K442" s="12"/>
      <c r="L442" s="12"/>
      <c r="M442" s="12"/>
      <c r="N442" s="12"/>
      <c r="O442" s="12"/>
      <c r="P442" s="12"/>
      <c r="Q442" s="12"/>
      <c r="R442" s="12"/>
      <c r="S442" s="12"/>
      <c r="T442" s="12"/>
      <c r="U442" s="12"/>
      <c r="V442" s="14"/>
      <c r="W442" s="14"/>
      <c r="X442" s="14"/>
      <c r="Y442" s="14"/>
      <c r="Z442" s="15"/>
      <c r="AA442" s="12"/>
      <c r="AB442" s="12"/>
      <c r="AC442" s="12"/>
      <c r="AD442" s="12"/>
      <c r="AE442" s="12"/>
      <c r="AF442" s="12"/>
      <c r="AG442" s="12"/>
      <c r="AH442" s="12"/>
    </row>
    <row r="443" spans="1:34" ht="12.75">
      <c r="A443" s="12"/>
      <c r="B443" s="12"/>
      <c r="C443" s="12"/>
      <c r="D443" s="12"/>
      <c r="E443" s="12"/>
      <c r="F443" s="17"/>
      <c r="G443" s="12"/>
      <c r="H443" s="12"/>
      <c r="I443" s="12"/>
      <c r="J443" s="12"/>
      <c r="K443" s="12"/>
      <c r="L443" s="12"/>
      <c r="M443" s="12"/>
      <c r="N443" s="12"/>
      <c r="O443" s="12"/>
      <c r="P443" s="12"/>
      <c r="Q443" s="12"/>
      <c r="R443" s="12"/>
      <c r="S443" s="12"/>
      <c r="T443" s="12"/>
      <c r="U443" s="12"/>
      <c r="V443" s="14"/>
      <c r="W443" s="14"/>
      <c r="X443" s="14"/>
      <c r="Y443" s="14"/>
      <c r="Z443" s="15"/>
      <c r="AA443" s="12"/>
      <c r="AB443" s="12"/>
      <c r="AC443" s="12"/>
      <c r="AD443" s="12"/>
      <c r="AE443" s="12"/>
      <c r="AF443" s="12"/>
      <c r="AG443" s="12"/>
      <c r="AH443" s="12"/>
    </row>
    <row r="444" spans="1:34" ht="12.75">
      <c r="A444" s="12"/>
      <c r="B444" s="12"/>
      <c r="C444" s="12"/>
      <c r="D444" s="12"/>
      <c r="E444" s="12"/>
      <c r="F444" s="17"/>
      <c r="G444" s="12"/>
      <c r="H444" s="12"/>
      <c r="I444" s="12"/>
      <c r="J444" s="12"/>
      <c r="K444" s="12"/>
      <c r="L444" s="12"/>
      <c r="M444" s="12"/>
      <c r="N444" s="12"/>
      <c r="O444" s="12"/>
      <c r="P444" s="12"/>
      <c r="Q444" s="12"/>
      <c r="R444" s="12"/>
      <c r="S444" s="12"/>
      <c r="T444" s="12"/>
      <c r="U444" s="12"/>
      <c r="V444" s="14"/>
      <c r="W444" s="14"/>
      <c r="X444" s="14"/>
      <c r="Y444" s="14"/>
      <c r="Z444" s="15"/>
      <c r="AA444" s="12"/>
      <c r="AB444" s="12"/>
      <c r="AC444" s="12"/>
      <c r="AD444" s="12"/>
      <c r="AE444" s="12"/>
      <c r="AF444" s="12"/>
      <c r="AG444" s="12"/>
      <c r="AH444" s="12"/>
    </row>
    <row r="445" spans="1:34" ht="12.75">
      <c r="A445" s="12"/>
      <c r="B445" s="12"/>
      <c r="C445" s="12"/>
      <c r="D445" s="12"/>
      <c r="E445" s="12"/>
      <c r="F445" s="17"/>
      <c r="G445" s="12"/>
      <c r="H445" s="12"/>
      <c r="I445" s="12"/>
      <c r="J445" s="12"/>
      <c r="K445" s="12"/>
      <c r="L445" s="12"/>
      <c r="M445" s="12"/>
      <c r="N445" s="12"/>
      <c r="O445" s="12"/>
      <c r="P445" s="12"/>
      <c r="Q445" s="12"/>
      <c r="R445" s="12"/>
      <c r="S445" s="12"/>
      <c r="T445" s="12"/>
      <c r="U445" s="12"/>
      <c r="V445" s="14"/>
      <c r="W445" s="14"/>
      <c r="X445" s="14"/>
      <c r="Y445" s="14"/>
      <c r="Z445" s="15"/>
      <c r="AA445" s="12"/>
      <c r="AB445" s="12"/>
      <c r="AC445" s="12"/>
      <c r="AD445" s="12"/>
      <c r="AE445" s="12"/>
      <c r="AF445" s="12"/>
      <c r="AG445" s="12"/>
      <c r="AH445" s="12"/>
    </row>
    <row r="446" spans="1:34" ht="12.75">
      <c r="A446" s="12"/>
      <c r="B446" s="12"/>
      <c r="C446" s="12"/>
      <c r="D446" s="12"/>
      <c r="E446" s="12"/>
      <c r="F446" s="17"/>
      <c r="G446" s="12"/>
      <c r="H446" s="12"/>
      <c r="I446" s="12"/>
      <c r="J446" s="12"/>
      <c r="K446" s="12"/>
      <c r="L446" s="12"/>
      <c r="M446" s="12"/>
      <c r="N446" s="12"/>
      <c r="O446" s="12"/>
      <c r="P446" s="12"/>
      <c r="Q446" s="12"/>
      <c r="R446" s="12"/>
      <c r="S446" s="12"/>
      <c r="T446" s="12"/>
      <c r="U446" s="12"/>
      <c r="V446" s="14"/>
      <c r="W446" s="14"/>
      <c r="X446" s="14"/>
      <c r="Y446" s="14"/>
      <c r="Z446" s="15"/>
      <c r="AA446" s="12"/>
      <c r="AB446" s="12"/>
      <c r="AC446" s="12"/>
      <c r="AD446" s="12"/>
      <c r="AE446" s="12"/>
      <c r="AF446" s="12"/>
      <c r="AG446" s="12"/>
      <c r="AH446" s="12"/>
    </row>
    <row r="447" spans="1:34" ht="12.75">
      <c r="A447" s="12"/>
      <c r="B447" s="12"/>
      <c r="C447" s="12"/>
      <c r="D447" s="12"/>
      <c r="E447" s="12"/>
      <c r="F447" s="17"/>
      <c r="G447" s="12"/>
      <c r="H447" s="12"/>
      <c r="I447" s="12"/>
      <c r="J447" s="12"/>
      <c r="K447" s="12"/>
      <c r="L447" s="12"/>
      <c r="M447" s="12"/>
      <c r="N447" s="12"/>
      <c r="O447" s="12"/>
      <c r="P447" s="12"/>
      <c r="Q447" s="12"/>
      <c r="R447" s="12"/>
      <c r="S447" s="12"/>
      <c r="T447" s="12"/>
      <c r="U447" s="12"/>
      <c r="V447" s="14"/>
      <c r="W447" s="14"/>
      <c r="X447" s="14"/>
      <c r="Y447" s="14"/>
      <c r="Z447" s="15"/>
      <c r="AA447" s="12"/>
      <c r="AB447" s="12"/>
      <c r="AC447" s="12"/>
      <c r="AD447" s="12"/>
      <c r="AE447" s="12"/>
      <c r="AF447" s="12"/>
      <c r="AG447" s="12"/>
      <c r="AH447" s="12"/>
    </row>
    <row r="448" spans="1:34" ht="12.75">
      <c r="A448" s="12"/>
      <c r="B448" s="12"/>
      <c r="C448" s="12"/>
      <c r="D448" s="12"/>
      <c r="E448" s="12"/>
      <c r="F448" s="17"/>
      <c r="G448" s="12"/>
      <c r="H448" s="12"/>
      <c r="I448" s="12"/>
      <c r="J448" s="12"/>
      <c r="K448" s="12"/>
      <c r="L448" s="12"/>
      <c r="M448" s="12"/>
      <c r="N448" s="12"/>
      <c r="O448" s="12"/>
      <c r="P448" s="12"/>
      <c r="Q448" s="12"/>
      <c r="R448" s="12"/>
      <c r="S448" s="12"/>
      <c r="T448" s="12"/>
      <c r="U448" s="12"/>
      <c r="V448" s="14"/>
      <c r="W448" s="14"/>
      <c r="X448" s="14"/>
      <c r="Y448" s="14"/>
      <c r="Z448" s="15"/>
      <c r="AA448" s="12"/>
      <c r="AB448" s="12"/>
      <c r="AC448" s="12"/>
      <c r="AD448" s="12"/>
      <c r="AE448" s="12"/>
      <c r="AF448" s="12"/>
      <c r="AG448" s="12"/>
      <c r="AH448" s="12"/>
    </row>
    <row r="449" spans="1:34" ht="12.75">
      <c r="A449" s="12"/>
      <c r="B449" s="12"/>
      <c r="C449" s="12"/>
      <c r="D449" s="12"/>
      <c r="E449" s="12"/>
      <c r="F449" s="17"/>
      <c r="G449" s="12"/>
      <c r="H449" s="12"/>
      <c r="I449" s="12"/>
      <c r="J449" s="12"/>
      <c r="K449" s="12"/>
      <c r="L449" s="12"/>
      <c r="M449" s="12"/>
      <c r="N449" s="12"/>
      <c r="O449" s="12"/>
      <c r="P449" s="12"/>
      <c r="Q449" s="12"/>
      <c r="R449" s="12"/>
      <c r="S449" s="12"/>
      <c r="T449" s="12"/>
      <c r="U449" s="12"/>
      <c r="V449" s="14"/>
      <c r="W449" s="14"/>
      <c r="X449" s="14"/>
      <c r="Y449" s="14"/>
      <c r="Z449" s="15"/>
      <c r="AA449" s="12"/>
      <c r="AB449" s="12"/>
      <c r="AC449" s="12"/>
      <c r="AD449" s="12"/>
      <c r="AE449" s="12"/>
      <c r="AF449" s="12"/>
      <c r="AG449" s="12"/>
      <c r="AH449" s="12"/>
    </row>
    <row r="450" spans="1:34" ht="12.75">
      <c r="A450" s="12"/>
      <c r="B450" s="12"/>
      <c r="C450" s="12"/>
      <c r="D450" s="12"/>
      <c r="E450" s="12"/>
      <c r="F450" s="17"/>
      <c r="G450" s="12"/>
      <c r="H450" s="12"/>
      <c r="I450" s="12"/>
      <c r="J450" s="12"/>
      <c r="K450" s="12"/>
      <c r="L450" s="12"/>
      <c r="M450" s="12"/>
      <c r="N450" s="12"/>
      <c r="O450" s="12"/>
      <c r="P450" s="12"/>
      <c r="Q450" s="12"/>
      <c r="R450" s="12"/>
      <c r="S450" s="12"/>
      <c r="T450" s="12"/>
      <c r="U450" s="12"/>
      <c r="V450" s="14"/>
      <c r="W450" s="14"/>
      <c r="X450" s="14"/>
      <c r="Y450" s="14"/>
      <c r="Z450" s="15"/>
      <c r="AA450" s="12"/>
      <c r="AB450" s="12"/>
      <c r="AC450" s="12"/>
      <c r="AD450" s="12"/>
      <c r="AE450" s="12"/>
      <c r="AF450" s="12"/>
      <c r="AG450" s="12"/>
      <c r="AH450" s="12"/>
    </row>
    <row r="451" spans="1:34" ht="12.75">
      <c r="A451" s="12"/>
      <c r="B451" s="12"/>
      <c r="C451" s="12"/>
      <c r="D451" s="12"/>
      <c r="E451" s="12"/>
      <c r="F451" s="17"/>
      <c r="G451" s="12"/>
      <c r="H451" s="12"/>
      <c r="I451" s="12"/>
      <c r="J451" s="12"/>
      <c r="K451" s="12"/>
      <c r="L451" s="12"/>
      <c r="M451" s="12"/>
      <c r="N451" s="12"/>
      <c r="O451" s="12"/>
      <c r="P451" s="12"/>
      <c r="Q451" s="12"/>
      <c r="R451" s="12"/>
      <c r="S451" s="12"/>
      <c r="T451" s="12"/>
      <c r="U451" s="12"/>
      <c r="V451" s="14"/>
      <c r="W451" s="14"/>
      <c r="X451" s="14"/>
      <c r="Y451" s="14"/>
      <c r="Z451" s="15"/>
      <c r="AA451" s="12"/>
      <c r="AB451" s="12"/>
      <c r="AC451" s="12"/>
      <c r="AD451" s="12"/>
      <c r="AE451" s="12"/>
      <c r="AF451" s="12"/>
      <c r="AG451" s="12"/>
      <c r="AH451" s="12"/>
    </row>
    <row r="452" spans="1:34" ht="12.75">
      <c r="A452" s="12"/>
      <c r="B452" s="12"/>
      <c r="C452" s="12"/>
      <c r="D452" s="12"/>
      <c r="E452" s="12"/>
      <c r="F452" s="17"/>
      <c r="G452" s="12"/>
      <c r="H452" s="12"/>
      <c r="I452" s="12"/>
      <c r="J452" s="12"/>
      <c r="K452" s="12"/>
      <c r="L452" s="12"/>
      <c r="M452" s="12"/>
      <c r="N452" s="12"/>
      <c r="O452" s="12"/>
      <c r="P452" s="12"/>
      <c r="Q452" s="12"/>
      <c r="R452" s="12"/>
      <c r="S452" s="12"/>
      <c r="T452" s="12"/>
      <c r="U452" s="12"/>
      <c r="V452" s="14"/>
      <c r="W452" s="14"/>
      <c r="X452" s="14"/>
      <c r="Y452" s="14"/>
      <c r="Z452" s="15"/>
      <c r="AA452" s="12"/>
      <c r="AB452" s="12"/>
      <c r="AC452" s="12"/>
      <c r="AD452" s="12"/>
      <c r="AE452" s="12"/>
      <c r="AF452" s="12"/>
      <c r="AG452" s="12"/>
      <c r="AH452" s="12"/>
    </row>
    <row r="453" spans="1:34" ht="12.75">
      <c r="A453" s="12"/>
      <c r="B453" s="12"/>
      <c r="C453" s="12"/>
      <c r="D453" s="12"/>
      <c r="E453" s="12"/>
      <c r="F453" s="17"/>
      <c r="G453" s="12"/>
      <c r="H453" s="12"/>
      <c r="I453" s="12"/>
      <c r="J453" s="12"/>
      <c r="K453" s="12"/>
      <c r="L453" s="12"/>
      <c r="M453" s="12"/>
      <c r="N453" s="12"/>
      <c r="O453" s="12"/>
      <c r="P453" s="12"/>
      <c r="Q453" s="12"/>
      <c r="R453" s="12"/>
      <c r="S453" s="12"/>
      <c r="T453" s="12"/>
      <c r="U453" s="12"/>
      <c r="V453" s="14"/>
      <c r="W453" s="14"/>
      <c r="X453" s="14"/>
      <c r="Y453" s="14"/>
      <c r="Z453" s="15"/>
      <c r="AA453" s="12"/>
      <c r="AB453" s="12"/>
      <c r="AC453" s="12"/>
      <c r="AD453" s="12"/>
      <c r="AE453" s="12"/>
      <c r="AF453" s="12"/>
      <c r="AG453" s="12"/>
      <c r="AH453" s="12"/>
    </row>
    <row r="454" spans="1:34" ht="12.75">
      <c r="A454" s="12"/>
      <c r="B454" s="12"/>
      <c r="C454" s="12"/>
      <c r="D454" s="12"/>
      <c r="E454" s="12"/>
      <c r="F454" s="17"/>
      <c r="G454" s="12"/>
      <c r="H454" s="12"/>
      <c r="I454" s="12"/>
      <c r="J454" s="12"/>
      <c r="K454" s="12"/>
      <c r="L454" s="12"/>
      <c r="M454" s="12"/>
      <c r="N454" s="12"/>
      <c r="O454" s="12"/>
      <c r="P454" s="12"/>
      <c r="Q454" s="12"/>
      <c r="R454" s="12"/>
      <c r="S454" s="12"/>
      <c r="T454" s="12"/>
      <c r="U454" s="12"/>
      <c r="V454" s="14"/>
      <c r="W454" s="14"/>
      <c r="X454" s="14"/>
      <c r="Y454" s="14"/>
      <c r="Z454" s="15"/>
      <c r="AA454" s="12"/>
      <c r="AB454" s="12"/>
      <c r="AC454" s="12"/>
      <c r="AD454" s="12"/>
      <c r="AE454" s="12"/>
      <c r="AF454" s="12"/>
      <c r="AG454" s="12"/>
      <c r="AH454" s="12"/>
    </row>
    <row r="455" spans="1:34" ht="12.75">
      <c r="A455" s="12"/>
      <c r="B455" s="12"/>
      <c r="C455" s="12"/>
      <c r="D455" s="12"/>
      <c r="E455" s="12"/>
      <c r="F455" s="17"/>
      <c r="G455" s="12"/>
      <c r="H455" s="12"/>
      <c r="I455" s="12"/>
      <c r="J455" s="12"/>
      <c r="K455" s="12"/>
      <c r="L455" s="12"/>
      <c r="M455" s="12"/>
      <c r="N455" s="12"/>
      <c r="O455" s="12"/>
      <c r="P455" s="12"/>
      <c r="Q455" s="12"/>
      <c r="R455" s="12"/>
      <c r="S455" s="12"/>
      <c r="T455" s="12"/>
      <c r="U455" s="12"/>
      <c r="V455" s="14"/>
      <c r="W455" s="14"/>
      <c r="X455" s="14"/>
      <c r="Y455" s="14"/>
      <c r="Z455" s="15"/>
      <c r="AA455" s="12"/>
      <c r="AB455" s="12"/>
      <c r="AC455" s="12"/>
      <c r="AD455" s="12"/>
      <c r="AE455" s="12"/>
      <c r="AF455" s="12"/>
      <c r="AG455" s="12"/>
      <c r="AH455" s="12"/>
    </row>
    <row r="456" spans="1:34" ht="12.75">
      <c r="A456" s="12"/>
      <c r="B456" s="12"/>
      <c r="C456" s="12"/>
      <c r="D456" s="12"/>
      <c r="E456" s="12"/>
      <c r="F456" s="17"/>
      <c r="G456" s="12"/>
      <c r="H456" s="12"/>
      <c r="I456" s="12"/>
      <c r="J456" s="12"/>
      <c r="K456" s="12"/>
      <c r="L456" s="12"/>
      <c r="M456" s="12"/>
      <c r="N456" s="12"/>
      <c r="O456" s="12"/>
      <c r="P456" s="12"/>
      <c r="Q456" s="12"/>
      <c r="R456" s="12"/>
      <c r="S456" s="12"/>
      <c r="T456" s="12"/>
      <c r="U456" s="12"/>
      <c r="V456" s="14"/>
      <c r="W456" s="14"/>
      <c r="X456" s="14"/>
      <c r="Y456" s="14"/>
      <c r="Z456" s="15"/>
      <c r="AA456" s="12"/>
      <c r="AB456" s="12"/>
      <c r="AC456" s="12"/>
      <c r="AD456" s="12"/>
      <c r="AE456" s="12"/>
      <c r="AF456" s="12"/>
      <c r="AG456" s="12"/>
      <c r="AH456" s="12"/>
    </row>
    <row r="457" spans="1:34" ht="12.75">
      <c r="A457" s="12"/>
      <c r="B457" s="12"/>
      <c r="C457" s="12"/>
      <c r="D457" s="12"/>
      <c r="E457" s="12"/>
      <c r="F457" s="17"/>
      <c r="G457" s="12"/>
      <c r="H457" s="12"/>
      <c r="I457" s="12"/>
      <c r="J457" s="12"/>
      <c r="K457" s="12"/>
      <c r="L457" s="12"/>
      <c r="M457" s="12"/>
      <c r="N457" s="12"/>
      <c r="O457" s="12"/>
      <c r="P457" s="12"/>
      <c r="Q457" s="12"/>
      <c r="R457" s="12"/>
      <c r="S457" s="12"/>
      <c r="T457" s="12"/>
      <c r="U457" s="12"/>
      <c r="V457" s="14"/>
      <c r="W457" s="14"/>
      <c r="X457" s="14"/>
      <c r="Y457" s="14"/>
      <c r="Z457" s="15"/>
      <c r="AA457" s="12"/>
      <c r="AB457" s="12"/>
      <c r="AC457" s="12"/>
      <c r="AD457" s="12"/>
      <c r="AE457" s="12"/>
      <c r="AF457" s="12"/>
      <c r="AG457" s="12"/>
      <c r="AH457" s="12"/>
    </row>
    <row r="458" spans="1:34" ht="12.75">
      <c r="A458" s="12"/>
      <c r="B458" s="12"/>
      <c r="C458" s="12"/>
      <c r="D458" s="12"/>
      <c r="E458" s="12"/>
      <c r="F458" s="17"/>
      <c r="G458" s="12"/>
      <c r="H458" s="12"/>
      <c r="I458" s="12"/>
      <c r="J458" s="12"/>
      <c r="K458" s="12"/>
      <c r="L458" s="12"/>
      <c r="M458" s="12"/>
      <c r="N458" s="12"/>
      <c r="O458" s="12"/>
      <c r="P458" s="12"/>
      <c r="Q458" s="12"/>
      <c r="R458" s="12"/>
      <c r="S458" s="12"/>
      <c r="T458" s="12"/>
      <c r="U458" s="12"/>
      <c r="V458" s="14"/>
      <c r="W458" s="14"/>
      <c r="X458" s="14"/>
      <c r="Y458" s="14"/>
      <c r="Z458" s="15"/>
      <c r="AA458" s="12"/>
      <c r="AB458" s="12"/>
      <c r="AC458" s="12"/>
      <c r="AD458" s="12"/>
      <c r="AE458" s="12"/>
      <c r="AF458" s="12"/>
      <c r="AG458" s="12"/>
      <c r="AH458" s="12"/>
    </row>
    <row r="459" spans="1:34" ht="12.75">
      <c r="A459" s="12"/>
      <c r="B459" s="12"/>
      <c r="C459" s="12"/>
      <c r="D459" s="12"/>
      <c r="E459" s="12"/>
      <c r="F459" s="17"/>
      <c r="G459" s="12"/>
      <c r="H459" s="12"/>
      <c r="I459" s="12"/>
      <c r="J459" s="12"/>
      <c r="K459" s="12"/>
      <c r="L459" s="12"/>
      <c r="M459" s="12"/>
      <c r="N459" s="12"/>
      <c r="O459" s="12"/>
      <c r="P459" s="12"/>
      <c r="Q459" s="12"/>
      <c r="R459" s="12"/>
      <c r="S459" s="12"/>
      <c r="T459" s="12"/>
      <c r="U459" s="12"/>
      <c r="V459" s="14"/>
      <c r="W459" s="14"/>
      <c r="X459" s="14"/>
      <c r="Y459" s="14"/>
      <c r="Z459" s="15"/>
      <c r="AA459" s="12"/>
      <c r="AB459" s="12"/>
      <c r="AC459" s="12"/>
      <c r="AD459" s="12"/>
      <c r="AE459" s="12"/>
      <c r="AF459" s="12"/>
      <c r="AG459" s="12"/>
      <c r="AH459" s="12"/>
    </row>
    <row r="460" spans="1:34" ht="12.75">
      <c r="A460" s="12"/>
      <c r="B460" s="12"/>
      <c r="C460" s="12"/>
      <c r="D460" s="12"/>
      <c r="E460" s="12"/>
      <c r="F460" s="17"/>
      <c r="G460" s="12"/>
      <c r="H460" s="12"/>
      <c r="I460" s="12"/>
      <c r="J460" s="12"/>
      <c r="K460" s="12"/>
      <c r="L460" s="12"/>
      <c r="M460" s="12"/>
      <c r="N460" s="12"/>
      <c r="O460" s="12"/>
      <c r="P460" s="12"/>
      <c r="Q460" s="12"/>
      <c r="R460" s="12"/>
      <c r="S460" s="12"/>
      <c r="T460" s="12"/>
      <c r="U460" s="12"/>
      <c r="V460" s="14"/>
      <c r="W460" s="14"/>
      <c r="X460" s="14"/>
      <c r="Y460" s="14"/>
      <c r="Z460" s="15"/>
      <c r="AA460" s="12"/>
      <c r="AB460" s="12"/>
      <c r="AC460" s="12"/>
      <c r="AD460" s="12"/>
      <c r="AE460" s="12"/>
      <c r="AF460" s="12"/>
      <c r="AG460" s="12"/>
      <c r="AH460" s="12"/>
    </row>
    <row r="461" spans="1:34" ht="12.75">
      <c r="A461" s="12"/>
      <c r="B461" s="12"/>
      <c r="C461" s="12"/>
      <c r="D461" s="12"/>
      <c r="E461" s="12"/>
      <c r="F461" s="17"/>
      <c r="G461" s="12"/>
      <c r="H461" s="12"/>
      <c r="I461" s="12"/>
      <c r="J461" s="12"/>
      <c r="K461" s="12"/>
      <c r="L461" s="12"/>
      <c r="M461" s="12"/>
      <c r="N461" s="12"/>
      <c r="O461" s="12"/>
      <c r="P461" s="12"/>
      <c r="Q461" s="12"/>
      <c r="R461" s="12"/>
      <c r="S461" s="12"/>
      <c r="T461" s="12"/>
      <c r="U461" s="12"/>
      <c r="V461" s="14"/>
      <c r="W461" s="14"/>
      <c r="X461" s="14"/>
      <c r="Y461" s="14"/>
      <c r="Z461" s="15"/>
      <c r="AA461" s="12"/>
      <c r="AB461" s="12"/>
      <c r="AC461" s="12"/>
      <c r="AD461" s="12"/>
      <c r="AE461" s="12"/>
      <c r="AF461" s="12"/>
      <c r="AG461" s="12"/>
      <c r="AH461" s="12"/>
    </row>
    <row r="462" spans="1:34" ht="12.75">
      <c r="A462" s="12"/>
      <c r="B462" s="12"/>
      <c r="C462" s="12"/>
      <c r="D462" s="12"/>
      <c r="E462" s="12"/>
      <c r="F462" s="17"/>
      <c r="G462" s="12"/>
      <c r="H462" s="12"/>
      <c r="I462" s="12"/>
      <c r="J462" s="12"/>
      <c r="K462" s="12"/>
      <c r="L462" s="12"/>
      <c r="M462" s="12"/>
      <c r="N462" s="12"/>
      <c r="O462" s="12"/>
      <c r="P462" s="12"/>
      <c r="Q462" s="12"/>
      <c r="R462" s="12"/>
      <c r="S462" s="12"/>
      <c r="T462" s="12"/>
      <c r="U462" s="12"/>
      <c r="V462" s="14"/>
      <c r="W462" s="14"/>
      <c r="X462" s="14"/>
      <c r="Y462" s="14"/>
      <c r="Z462" s="15"/>
      <c r="AA462" s="12"/>
      <c r="AB462" s="12"/>
      <c r="AC462" s="12"/>
      <c r="AD462" s="12"/>
      <c r="AE462" s="12"/>
      <c r="AF462" s="12"/>
      <c r="AG462" s="12"/>
      <c r="AH462" s="12"/>
    </row>
    <row r="463" spans="1:34" ht="12.75">
      <c r="A463" s="12"/>
      <c r="B463" s="12"/>
      <c r="C463" s="12"/>
      <c r="D463" s="12"/>
      <c r="E463" s="12"/>
      <c r="F463" s="17"/>
      <c r="G463" s="12"/>
      <c r="H463" s="12"/>
      <c r="I463" s="12"/>
      <c r="J463" s="12"/>
      <c r="K463" s="12"/>
      <c r="L463" s="12"/>
      <c r="M463" s="12"/>
      <c r="N463" s="12"/>
      <c r="O463" s="12"/>
      <c r="P463" s="12"/>
      <c r="Q463" s="12"/>
      <c r="R463" s="12"/>
      <c r="S463" s="12"/>
      <c r="T463" s="12"/>
      <c r="U463" s="12"/>
      <c r="V463" s="14"/>
      <c r="W463" s="14"/>
      <c r="X463" s="14"/>
      <c r="Y463" s="14"/>
      <c r="Z463" s="15"/>
      <c r="AA463" s="12"/>
      <c r="AB463" s="12"/>
      <c r="AC463" s="12"/>
      <c r="AD463" s="12"/>
      <c r="AE463" s="12"/>
      <c r="AF463" s="12"/>
      <c r="AG463" s="12"/>
      <c r="AH463" s="12"/>
    </row>
    <row r="464" spans="1:34" ht="12.75">
      <c r="A464" s="12"/>
      <c r="B464" s="12"/>
      <c r="C464" s="12"/>
      <c r="D464" s="12"/>
      <c r="E464" s="12"/>
      <c r="F464" s="17"/>
      <c r="G464" s="12"/>
      <c r="H464" s="12"/>
      <c r="I464" s="12"/>
      <c r="J464" s="12"/>
      <c r="K464" s="12"/>
      <c r="L464" s="12"/>
      <c r="M464" s="12"/>
      <c r="N464" s="12"/>
      <c r="O464" s="12"/>
      <c r="P464" s="12"/>
      <c r="Q464" s="12"/>
      <c r="R464" s="12"/>
      <c r="S464" s="12"/>
      <c r="T464" s="12"/>
      <c r="U464" s="12"/>
      <c r="V464" s="14"/>
      <c r="W464" s="14"/>
      <c r="X464" s="14"/>
      <c r="Y464" s="14"/>
      <c r="Z464" s="15"/>
      <c r="AA464" s="12"/>
      <c r="AB464" s="12"/>
      <c r="AC464" s="12"/>
      <c r="AD464" s="12"/>
      <c r="AE464" s="12"/>
      <c r="AF464" s="12"/>
      <c r="AG464" s="12"/>
      <c r="AH464" s="12"/>
    </row>
    <row r="465" spans="1:34" ht="12.75">
      <c r="A465" s="12"/>
      <c r="B465" s="12"/>
      <c r="C465" s="12"/>
      <c r="D465" s="12"/>
      <c r="E465" s="12"/>
      <c r="F465" s="17"/>
      <c r="G465" s="12"/>
      <c r="H465" s="12"/>
      <c r="I465" s="12"/>
      <c r="J465" s="12"/>
      <c r="K465" s="12"/>
      <c r="L465" s="12"/>
      <c r="M465" s="12"/>
      <c r="N465" s="12"/>
      <c r="O465" s="12"/>
      <c r="P465" s="12"/>
      <c r="Q465" s="12"/>
      <c r="R465" s="12"/>
      <c r="S465" s="12"/>
      <c r="T465" s="12"/>
      <c r="U465" s="12"/>
      <c r="V465" s="14"/>
      <c r="W465" s="14"/>
      <c r="X465" s="14"/>
      <c r="Y465" s="14"/>
      <c r="Z465" s="15"/>
      <c r="AA465" s="12"/>
      <c r="AB465" s="12"/>
      <c r="AC465" s="12"/>
      <c r="AD465" s="12"/>
      <c r="AE465" s="12"/>
      <c r="AF465" s="12"/>
      <c r="AG465" s="12"/>
      <c r="AH465" s="12"/>
    </row>
    <row r="466" spans="1:34" ht="12.75">
      <c r="A466" s="12"/>
      <c r="B466" s="12"/>
      <c r="C466" s="12"/>
      <c r="D466" s="12"/>
      <c r="E466" s="12"/>
      <c r="F466" s="17"/>
      <c r="G466" s="12"/>
      <c r="H466" s="12"/>
      <c r="I466" s="12"/>
      <c r="J466" s="12"/>
      <c r="K466" s="12"/>
      <c r="L466" s="12"/>
      <c r="M466" s="12"/>
      <c r="N466" s="12"/>
      <c r="O466" s="12"/>
      <c r="P466" s="12"/>
      <c r="Q466" s="12"/>
      <c r="R466" s="12"/>
      <c r="S466" s="12"/>
      <c r="T466" s="12"/>
      <c r="U466" s="12"/>
      <c r="V466" s="14"/>
      <c r="W466" s="14"/>
      <c r="X466" s="14"/>
      <c r="Y466" s="14"/>
      <c r="Z466" s="15"/>
      <c r="AA466" s="12"/>
      <c r="AB466" s="12"/>
      <c r="AC466" s="12"/>
      <c r="AD466" s="12"/>
      <c r="AE466" s="12"/>
      <c r="AF466" s="12"/>
      <c r="AG466" s="12"/>
      <c r="AH466" s="12"/>
    </row>
    <row r="467" spans="1:34" ht="12.75">
      <c r="A467" s="12"/>
      <c r="B467" s="12"/>
      <c r="C467" s="12"/>
      <c r="D467" s="12"/>
      <c r="E467" s="12"/>
      <c r="F467" s="17"/>
      <c r="G467" s="12"/>
      <c r="H467" s="12"/>
      <c r="I467" s="12"/>
      <c r="J467" s="12"/>
      <c r="K467" s="12"/>
      <c r="L467" s="12"/>
      <c r="M467" s="12"/>
      <c r="N467" s="12"/>
      <c r="O467" s="12"/>
      <c r="P467" s="12"/>
      <c r="Q467" s="12"/>
      <c r="R467" s="12"/>
      <c r="S467" s="12"/>
      <c r="T467" s="12"/>
      <c r="U467" s="12"/>
      <c r="V467" s="14"/>
      <c r="W467" s="14"/>
      <c r="X467" s="14"/>
      <c r="Y467" s="14"/>
      <c r="Z467" s="15"/>
      <c r="AA467" s="12"/>
      <c r="AB467" s="12"/>
      <c r="AC467" s="12"/>
      <c r="AD467" s="12"/>
      <c r="AE467" s="12"/>
      <c r="AF467" s="12"/>
      <c r="AG467" s="12"/>
      <c r="AH467" s="12"/>
    </row>
    <row r="468" spans="1:34" ht="12.75">
      <c r="A468" s="12"/>
      <c r="B468" s="12"/>
      <c r="C468" s="12"/>
      <c r="D468" s="12"/>
      <c r="E468" s="12"/>
      <c r="F468" s="17"/>
      <c r="G468" s="12"/>
      <c r="H468" s="12"/>
      <c r="I468" s="12"/>
      <c r="J468" s="12"/>
      <c r="K468" s="12"/>
      <c r="L468" s="12"/>
      <c r="M468" s="12"/>
      <c r="N468" s="12"/>
      <c r="O468" s="12"/>
      <c r="P468" s="12"/>
      <c r="Q468" s="12"/>
      <c r="R468" s="12"/>
      <c r="S468" s="12"/>
      <c r="T468" s="12"/>
      <c r="U468" s="12"/>
      <c r="V468" s="14"/>
      <c r="W468" s="14"/>
      <c r="X468" s="14"/>
      <c r="Y468" s="14"/>
      <c r="Z468" s="15"/>
      <c r="AA468" s="12"/>
      <c r="AB468" s="12"/>
      <c r="AC468" s="12"/>
      <c r="AD468" s="12"/>
      <c r="AE468" s="12"/>
      <c r="AF468" s="12"/>
      <c r="AG468" s="12"/>
      <c r="AH468" s="12"/>
    </row>
    <row r="469" spans="1:34" ht="12.75">
      <c r="A469" s="12"/>
      <c r="B469" s="12"/>
      <c r="C469" s="12"/>
      <c r="D469" s="12"/>
      <c r="E469" s="12"/>
      <c r="F469" s="17"/>
      <c r="G469" s="12"/>
      <c r="H469" s="12"/>
      <c r="I469" s="12"/>
      <c r="J469" s="12"/>
      <c r="K469" s="12"/>
      <c r="L469" s="12"/>
      <c r="M469" s="12"/>
      <c r="N469" s="12"/>
      <c r="O469" s="12"/>
      <c r="P469" s="12"/>
      <c r="Q469" s="12"/>
      <c r="R469" s="12"/>
      <c r="S469" s="12"/>
      <c r="T469" s="12"/>
      <c r="U469" s="12"/>
      <c r="V469" s="14"/>
      <c r="W469" s="14"/>
      <c r="X469" s="14"/>
      <c r="Y469" s="14"/>
      <c r="Z469" s="15"/>
      <c r="AA469" s="12"/>
      <c r="AB469" s="12"/>
      <c r="AC469" s="12"/>
      <c r="AD469" s="12"/>
      <c r="AE469" s="12"/>
      <c r="AF469" s="12"/>
      <c r="AG469" s="12"/>
      <c r="AH469" s="12"/>
    </row>
    <row r="470" spans="1:34" ht="12.75">
      <c r="A470" s="12"/>
      <c r="B470" s="12"/>
      <c r="C470" s="12"/>
      <c r="D470" s="12"/>
      <c r="E470" s="12"/>
      <c r="F470" s="17"/>
      <c r="G470" s="12"/>
      <c r="H470" s="12"/>
      <c r="I470" s="12"/>
      <c r="J470" s="12"/>
      <c r="K470" s="12"/>
      <c r="L470" s="12"/>
      <c r="M470" s="12"/>
      <c r="N470" s="12"/>
      <c r="O470" s="12"/>
      <c r="P470" s="12"/>
      <c r="Q470" s="12"/>
      <c r="R470" s="12"/>
      <c r="S470" s="12"/>
      <c r="T470" s="12"/>
      <c r="U470" s="12"/>
      <c r="V470" s="14"/>
      <c r="W470" s="14"/>
      <c r="X470" s="14"/>
      <c r="Y470" s="14"/>
      <c r="Z470" s="15"/>
      <c r="AA470" s="12"/>
      <c r="AB470" s="12"/>
      <c r="AC470" s="12"/>
      <c r="AD470" s="12"/>
      <c r="AE470" s="12"/>
      <c r="AF470" s="12"/>
      <c r="AG470" s="12"/>
      <c r="AH470" s="12"/>
    </row>
    <row r="471" spans="1:34" ht="12.75">
      <c r="A471" s="12"/>
      <c r="B471" s="12"/>
      <c r="C471" s="12"/>
      <c r="D471" s="12"/>
      <c r="E471" s="12"/>
      <c r="F471" s="17"/>
      <c r="G471" s="12"/>
      <c r="H471" s="12"/>
      <c r="I471" s="12"/>
      <c r="J471" s="12"/>
      <c r="K471" s="12"/>
      <c r="L471" s="12"/>
      <c r="M471" s="12"/>
      <c r="N471" s="12"/>
      <c r="O471" s="12"/>
      <c r="P471" s="12"/>
      <c r="Q471" s="12"/>
      <c r="R471" s="12"/>
      <c r="S471" s="12"/>
      <c r="T471" s="12"/>
      <c r="U471" s="12"/>
      <c r="V471" s="14"/>
      <c r="W471" s="14"/>
      <c r="X471" s="14"/>
      <c r="Y471" s="14"/>
      <c r="Z471" s="15"/>
      <c r="AA471" s="12"/>
      <c r="AB471" s="12"/>
      <c r="AC471" s="12"/>
      <c r="AD471" s="12"/>
      <c r="AE471" s="12"/>
      <c r="AF471" s="12"/>
      <c r="AG471" s="12"/>
      <c r="AH471" s="12"/>
    </row>
    <row r="472" spans="1:34" ht="12.75">
      <c r="A472" s="12"/>
      <c r="B472" s="12"/>
      <c r="C472" s="12"/>
      <c r="D472" s="12"/>
      <c r="E472" s="12"/>
      <c r="F472" s="17"/>
      <c r="G472" s="12"/>
      <c r="H472" s="12"/>
      <c r="I472" s="12"/>
      <c r="J472" s="12"/>
      <c r="K472" s="12"/>
      <c r="L472" s="12"/>
      <c r="M472" s="12"/>
      <c r="N472" s="12"/>
      <c r="O472" s="12"/>
      <c r="P472" s="12"/>
      <c r="Q472" s="12"/>
      <c r="R472" s="12"/>
      <c r="S472" s="12"/>
      <c r="T472" s="12"/>
      <c r="U472" s="12"/>
      <c r="V472" s="14"/>
      <c r="W472" s="14"/>
      <c r="X472" s="14"/>
      <c r="Y472" s="14"/>
      <c r="Z472" s="15"/>
      <c r="AA472" s="12"/>
      <c r="AB472" s="12"/>
      <c r="AC472" s="12"/>
      <c r="AD472" s="12"/>
      <c r="AE472" s="12"/>
      <c r="AF472" s="12"/>
      <c r="AG472" s="12"/>
      <c r="AH472" s="12"/>
    </row>
    <row r="473" spans="1:34" ht="12.75">
      <c r="A473" s="12"/>
      <c r="B473" s="12"/>
      <c r="C473" s="12"/>
      <c r="D473" s="12"/>
      <c r="E473" s="12"/>
      <c r="F473" s="17"/>
      <c r="G473" s="12"/>
      <c r="H473" s="12"/>
      <c r="I473" s="12"/>
      <c r="J473" s="12"/>
      <c r="K473" s="12"/>
      <c r="L473" s="12"/>
      <c r="M473" s="12"/>
      <c r="N473" s="12"/>
      <c r="O473" s="12"/>
      <c r="P473" s="12"/>
      <c r="Q473" s="12"/>
      <c r="R473" s="12"/>
      <c r="S473" s="12"/>
      <c r="T473" s="12"/>
      <c r="U473" s="12"/>
      <c r="V473" s="14"/>
      <c r="W473" s="14"/>
      <c r="X473" s="14"/>
      <c r="Y473" s="14"/>
      <c r="Z473" s="15"/>
      <c r="AA473" s="12"/>
      <c r="AB473" s="12"/>
      <c r="AC473" s="12"/>
      <c r="AD473" s="12"/>
      <c r="AE473" s="12"/>
      <c r="AF473" s="12"/>
      <c r="AG473" s="12"/>
      <c r="AH473" s="12"/>
    </row>
    <row r="474" spans="1:34" ht="12.75">
      <c r="A474" s="12"/>
      <c r="B474" s="12"/>
      <c r="C474" s="12"/>
      <c r="D474" s="12"/>
      <c r="E474" s="12"/>
      <c r="F474" s="17"/>
      <c r="G474" s="12"/>
      <c r="H474" s="12"/>
      <c r="I474" s="12"/>
      <c r="J474" s="12"/>
      <c r="K474" s="12"/>
      <c r="L474" s="12"/>
      <c r="M474" s="12"/>
      <c r="N474" s="12"/>
      <c r="O474" s="12"/>
      <c r="P474" s="12"/>
      <c r="Q474" s="12"/>
      <c r="R474" s="12"/>
      <c r="S474" s="12"/>
      <c r="T474" s="12"/>
      <c r="U474" s="12"/>
      <c r="V474" s="14"/>
      <c r="W474" s="14"/>
      <c r="X474" s="14"/>
      <c r="Y474" s="14"/>
      <c r="Z474" s="15"/>
      <c r="AA474" s="12"/>
      <c r="AB474" s="12"/>
      <c r="AC474" s="12"/>
      <c r="AD474" s="12"/>
      <c r="AE474" s="12"/>
      <c r="AF474" s="12"/>
      <c r="AG474" s="12"/>
      <c r="AH474" s="12"/>
    </row>
    <row r="475" spans="1:34" ht="12.75">
      <c r="A475" s="12"/>
      <c r="B475" s="12"/>
      <c r="C475" s="12"/>
      <c r="D475" s="12"/>
      <c r="E475" s="12"/>
      <c r="F475" s="17"/>
      <c r="G475" s="12"/>
      <c r="H475" s="12"/>
      <c r="I475" s="12"/>
      <c r="J475" s="12"/>
      <c r="K475" s="12"/>
      <c r="L475" s="12"/>
      <c r="M475" s="12"/>
      <c r="N475" s="12"/>
      <c r="O475" s="12"/>
      <c r="P475" s="12"/>
      <c r="Q475" s="12"/>
      <c r="R475" s="12"/>
      <c r="S475" s="12"/>
      <c r="T475" s="12"/>
      <c r="U475" s="12"/>
      <c r="V475" s="14"/>
      <c r="W475" s="14"/>
      <c r="X475" s="14"/>
      <c r="Y475" s="14"/>
      <c r="Z475" s="15"/>
      <c r="AA475" s="12"/>
      <c r="AB475" s="12"/>
      <c r="AC475" s="12"/>
      <c r="AD475" s="12"/>
      <c r="AE475" s="12"/>
      <c r="AF475" s="12"/>
      <c r="AG475" s="12"/>
      <c r="AH475" s="12"/>
    </row>
    <row r="476" spans="1:34" ht="12.75">
      <c r="A476" s="12"/>
      <c r="B476" s="12"/>
      <c r="C476" s="12"/>
      <c r="D476" s="12"/>
      <c r="E476" s="12"/>
      <c r="F476" s="17"/>
      <c r="G476" s="12"/>
      <c r="H476" s="12"/>
      <c r="I476" s="12"/>
      <c r="J476" s="12"/>
      <c r="K476" s="12"/>
      <c r="L476" s="12"/>
      <c r="M476" s="12"/>
      <c r="N476" s="12"/>
      <c r="O476" s="12"/>
      <c r="P476" s="12"/>
      <c r="Q476" s="12"/>
      <c r="R476" s="12"/>
      <c r="S476" s="12"/>
      <c r="T476" s="12"/>
      <c r="U476" s="12"/>
      <c r="V476" s="14"/>
      <c r="W476" s="14"/>
      <c r="X476" s="14"/>
      <c r="Y476" s="14"/>
      <c r="Z476" s="15"/>
      <c r="AA476" s="12"/>
      <c r="AB476" s="12"/>
      <c r="AC476" s="12"/>
      <c r="AD476" s="12"/>
      <c r="AE476" s="12"/>
      <c r="AF476" s="12"/>
      <c r="AG476" s="12"/>
      <c r="AH476" s="12"/>
    </row>
    <row r="477" spans="1:34" ht="12.75">
      <c r="A477" s="12"/>
      <c r="B477" s="12"/>
      <c r="C477" s="12"/>
      <c r="D477" s="12"/>
      <c r="E477" s="12"/>
      <c r="F477" s="17"/>
      <c r="G477" s="12"/>
      <c r="H477" s="12"/>
      <c r="I477" s="12"/>
      <c r="J477" s="12"/>
      <c r="K477" s="12"/>
      <c r="L477" s="12"/>
      <c r="M477" s="12"/>
      <c r="N477" s="12"/>
      <c r="O477" s="12"/>
      <c r="P477" s="12"/>
      <c r="Q477" s="12"/>
      <c r="R477" s="12"/>
      <c r="S477" s="12"/>
      <c r="T477" s="12"/>
      <c r="U477" s="12"/>
      <c r="V477" s="14"/>
      <c r="W477" s="14"/>
      <c r="X477" s="14"/>
      <c r="Y477" s="14"/>
      <c r="Z477" s="15"/>
      <c r="AA477" s="12"/>
      <c r="AB477" s="12"/>
      <c r="AC477" s="12"/>
      <c r="AD477" s="12"/>
      <c r="AE477" s="12"/>
      <c r="AF477" s="12"/>
      <c r="AG477" s="12"/>
      <c r="AH477" s="12"/>
    </row>
    <row r="478" spans="1:34" ht="12.75">
      <c r="A478" s="12"/>
      <c r="B478" s="12"/>
      <c r="C478" s="12"/>
      <c r="D478" s="12"/>
      <c r="E478" s="12"/>
      <c r="F478" s="17"/>
      <c r="G478" s="12"/>
      <c r="H478" s="12"/>
      <c r="I478" s="12"/>
      <c r="J478" s="12"/>
      <c r="K478" s="12"/>
      <c r="L478" s="12"/>
      <c r="M478" s="12"/>
      <c r="N478" s="12"/>
      <c r="O478" s="12"/>
      <c r="P478" s="12"/>
      <c r="Q478" s="12"/>
      <c r="R478" s="12"/>
      <c r="S478" s="12"/>
      <c r="T478" s="12"/>
      <c r="U478" s="12"/>
      <c r="V478" s="14"/>
      <c r="W478" s="14"/>
      <c r="X478" s="14"/>
      <c r="Y478" s="14"/>
      <c r="Z478" s="15"/>
      <c r="AA478" s="12"/>
      <c r="AB478" s="12"/>
      <c r="AC478" s="12"/>
      <c r="AD478" s="12"/>
      <c r="AE478" s="12"/>
      <c r="AF478" s="12"/>
      <c r="AG478" s="12"/>
      <c r="AH478" s="12"/>
    </row>
    <row r="479" spans="1:34" ht="12.75">
      <c r="A479" s="12"/>
      <c r="B479" s="12"/>
      <c r="C479" s="12"/>
      <c r="D479" s="12"/>
      <c r="E479" s="12"/>
      <c r="F479" s="17"/>
      <c r="G479" s="12"/>
      <c r="H479" s="12"/>
      <c r="I479" s="12"/>
      <c r="J479" s="12"/>
      <c r="K479" s="12"/>
      <c r="L479" s="12"/>
      <c r="M479" s="12"/>
      <c r="N479" s="12"/>
      <c r="O479" s="12"/>
      <c r="P479" s="12"/>
      <c r="Q479" s="12"/>
      <c r="R479" s="12"/>
      <c r="S479" s="12"/>
      <c r="T479" s="12"/>
      <c r="U479" s="12"/>
      <c r="V479" s="14"/>
      <c r="W479" s="14"/>
      <c r="X479" s="14"/>
      <c r="Y479" s="14"/>
      <c r="Z479" s="15"/>
      <c r="AA479" s="12"/>
      <c r="AB479" s="12"/>
      <c r="AC479" s="12"/>
      <c r="AD479" s="12"/>
      <c r="AE479" s="12"/>
      <c r="AF479" s="12"/>
      <c r="AG479" s="12"/>
      <c r="AH479" s="12"/>
    </row>
    <row r="480" spans="1:34" ht="12.75">
      <c r="A480" s="12"/>
      <c r="B480" s="12"/>
      <c r="C480" s="12"/>
      <c r="D480" s="12"/>
      <c r="E480" s="12"/>
      <c r="F480" s="17"/>
      <c r="G480" s="12"/>
      <c r="H480" s="12"/>
      <c r="I480" s="12"/>
      <c r="J480" s="12"/>
      <c r="K480" s="12"/>
      <c r="L480" s="12"/>
      <c r="M480" s="12"/>
      <c r="N480" s="12"/>
      <c r="O480" s="12"/>
      <c r="P480" s="12"/>
      <c r="Q480" s="12"/>
      <c r="R480" s="12"/>
      <c r="S480" s="12"/>
      <c r="T480" s="12"/>
      <c r="U480" s="12"/>
      <c r="V480" s="14"/>
      <c r="W480" s="14"/>
      <c r="X480" s="14"/>
      <c r="Y480" s="14"/>
      <c r="Z480" s="15"/>
      <c r="AA480" s="12"/>
      <c r="AB480" s="12"/>
      <c r="AC480" s="12"/>
      <c r="AD480" s="12"/>
      <c r="AE480" s="12"/>
      <c r="AF480" s="12"/>
      <c r="AG480" s="12"/>
      <c r="AH480" s="12"/>
    </row>
    <row r="481" spans="1:34" ht="12.75">
      <c r="A481" s="12"/>
      <c r="B481" s="12"/>
      <c r="C481" s="12"/>
      <c r="D481" s="12"/>
      <c r="E481" s="12"/>
      <c r="F481" s="17"/>
      <c r="G481" s="12"/>
      <c r="H481" s="12"/>
      <c r="I481" s="12"/>
      <c r="J481" s="12"/>
      <c r="K481" s="12"/>
      <c r="L481" s="12"/>
      <c r="M481" s="12"/>
      <c r="N481" s="12"/>
      <c r="O481" s="12"/>
      <c r="P481" s="12"/>
      <c r="Q481" s="12"/>
      <c r="R481" s="12"/>
      <c r="S481" s="12"/>
      <c r="T481" s="12"/>
      <c r="U481" s="12"/>
      <c r="V481" s="14"/>
      <c r="W481" s="14"/>
      <c r="X481" s="14"/>
      <c r="Y481" s="14"/>
      <c r="Z481" s="15"/>
      <c r="AA481" s="12"/>
      <c r="AB481" s="12"/>
      <c r="AC481" s="12"/>
      <c r="AD481" s="12"/>
      <c r="AE481" s="12"/>
      <c r="AF481" s="12"/>
      <c r="AG481" s="12"/>
      <c r="AH481" s="12"/>
    </row>
    <row r="482" spans="1:34" ht="12.75">
      <c r="A482" s="12"/>
      <c r="B482" s="12"/>
      <c r="C482" s="12"/>
      <c r="D482" s="12"/>
      <c r="E482" s="12"/>
      <c r="F482" s="17"/>
      <c r="G482" s="12"/>
      <c r="H482" s="12"/>
      <c r="I482" s="12"/>
      <c r="J482" s="12"/>
      <c r="K482" s="12"/>
      <c r="L482" s="12"/>
      <c r="M482" s="12"/>
      <c r="N482" s="12"/>
      <c r="O482" s="12"/>
      <c r="P482" s="12"/>
      <c r="Q482" s="12"/>
      <c r="R482" s="12"/>
      <c r="S482" s="12"/>
      <c r="T482" s="12"/>
      <c r="U482" s="12"/>
      <c r="V482" s="14"/>
      <c r="W482" s="14"/>
      <c r="X482" s="14"/>
      <c r="Y482" s="14"/>
      <c r="Z482" s="15"/>
      <c r="AA482" s="12"/>
      <c r="AB482" s="12"/>
      <c r="AC482" s="12"/>
      <c r="AD482" s="12"/>
      <c r="AE482" s="12"/>
      <c r="AF482" s="12"/>
      <c r="AG482" s="12"/>
      <c r="AH482" s="12"/>
    </row>
    <row r="483" spans="1:34" ht="12.75">
      <c r="A483" s="12"/>
      <c r="B483" s="12"/>
      <c r="C483" s="12"/>
      <c r="D483" s="12"/>
      <c r="E483" s="12"/>
      <c r="F483" s="17"/>
      <c r="G483" s="12"/>
      <c r="H483" s="12"/>
      <c r="I483" s="12"/>
      <c r="J483" s="12"/>
      <c r="K483" s="12"/>
      <c r="L483" s="12"/>
      <c r="M483" s="12"/>
      <c r="N483" s="12"/>
      <c r="O483" s="12"/>
      <c r="P483" s="12"/>
      <c r="Q483" s="12"/>
      <c r="R483" s="12"/>
      <c r="S483" s="12"/>
      <c r="T483" s="12"/>
      <c r="U483" s="12"/>
      <c r="V483" s="14"/>
      <c r="W483" s="14"/>
      <c r="X483" s="14"/>
      <c r="Y483" s="14"/>
      <c r="Z483" s="15"/>
      <c r="AA483" s="12"/>
      <c r="AB483" s="12"/>
      <c r="AC483" s="12"/>
      <c r="AD483" s="12"/>
      <c r="AE483" s="12"/>
      <c r="AF483" s="12"/>
      <c r="AG483" s="12"/>
      <c r="AH483" s="12"/>
    </row>
    <row r="484" spans="1:34" ht="12.75">
      <c r="A484" s="12"/>
      <c r="B484" s="12"/>
      <c r="C484" s="12"/>
      <c r="D484" s="12"/>
      <c r="E484" s="12"/>
      <c r="F484" s="17"/>
      <c r="G484" s="12"/>
      <c r="H484" s="12"/>
      <c r="I484" s="12"/>
      <c r="J484" s="12"/>
      <c r="K484" s="12"/>
      <c r="L484" s="12"/>
      <c r="M484" s="12"/>
      <c r="N484" s="12"/>
      <c r="O484" s="12"/>
      <c r="P484" s="12"/>
      <c r="Q484" s="12"/>
      <c r="R484" s="12"/>
      <c r="S484" s="12"/>
      <c r="T484" s="12"/>
      <c r="U484" s="12"/>
      <c r="V484" s="14"/>
      <c r="W484" s="14"/>
      <c r="X484" s="14"/>
      <c r="Y484" s="14"/>
      <c r="Z484" s="15"/>
      <c r="AA484" s="12"/>
      <c r="AB484" s="12"/>
      <c r="AC484" s="12"/>
      <c r="AD484" s="12"/>
      <c r="AE484" s="12"/>
      <c r="AF484" s="12"/>
      <c r="AG484" s="12"/>
      <c r="AH484" s="12"/>
    </row>
    <row r="485" spans="1:34" ht="12.75">
      <c r="A485" s="12"/>
      <c r="B485" s="12"/>
      <c r="C485" s="12"/>
      <c r="D485" s="12"/>
      <c r="E485" s="12"/>
      <c r="F485" s="17"/>
      <c r="G485" s="12"/>
      <c r="H485" s="12"/>
      <c r="I485" s="12"/>
      <c r="J485" s="12"/>
      <c r="K485" s="12"/>
      <c r="L485" s="12"/>
      <c r="M485" s="12"/>
      <c r="N485" s="12"/>
      <c r="O485" s="12"/>
      <c r="P485" s="12"/>
      <c r="Q485" s="12"/>
      <c r="R485" s="12"/>
      <c r="S485" s="12"/>
      <c r="T485" s="12"/>
      <c r="U485" s="12"/>
      <c r="V485" s="14"/>
      <c r="W485" s="14"/>
      <c r="X485" s="14"/>
      <c r="Y485" s="14"/>
      <c r="Z485" s="15"/>
      <c r="AA485" s="12"/>
      <c r="AB485" s="12"/>
      <c r="AC485" s="12"/>
      <c r="AD485" s="12"/>
      <c r="AE485" s="12"/>
      <c r="AF485" s="12"/>
      <c r="AG485" s="12"/>
      <c r="AH485" s="12"/>
    </row>
    <row r="486" spans="1:34" ht="12.75">
      <c r="A486" s="12"/>
      <c r="B486" s="12"/>
      <c r="C486" s="12"/>
      <c r="D486" s="12"/>
      <c r="E486" s="12"/>
      <c r="F486" s="17"/>
      <c r="G486" s="12"/>
      <c r="H486" s="12"/>
      <c r="I486" s="12"/>
      <c r="J486" s="12"/>
      <c r="K486" s="12"/>
      <c r="L486" s="12"/>
      <c r="M486" s="12"/>
      <c r="N486" s="12"/>
      <c r="O486" s="12"/>
      <c r="P486" s="12"/>
      <c r="Q486" s="12"/>
      <c r="R486" s="12"/>
      <c r="S486" s="12"/>
      <c r="T486" s="12"/>
      <c r="U486" s="12"/>
      <c r="V486" s="14"/>
      <c r="W486" s="14"/>
      <c r="X486" s="14"/>
      <c r="Y486" s="14"/>
      <c r="Z486" s="15"/>
      <c r="AA486" s="12"/>
      <c r="AB486" s="12"/>
      <c r="AC486" s="12"/>
      <c r="AD486" s="12"/>
      <c r="AE486" s="12"/>
      <c r="AF486" s="12"/>
      <c r="AG486" s="12"/>
      <c r="AH486" s="12"/>
    </row>
    <row r="487" spans="1:34" ht="12.75">
      <c r="A487" s="12"/>
      <c r="B487" s="12"/>
      <c r="C487" s="12"/>
      <c r="D487" s="12"/>
      <c r="E487" s="12"/>
      <c r="F487" s="17"/>
      <c r="G487" s="12"/>
      <c r="H487" s="12"/>
      <c r="I487" s="12"/>
      <c r="J487" s="12"/>
      <c r="K487" s="12"/>
      <c r="L487" s="12"/>
      <c r="M487" s="12"/>
      <c r="N487" s="12"/>
      <c r="O487" s="12"/>
      <c r="P487" s="12"/>
      <c r="Q487" s="12"/>
      <c r="R487" s="12"/>
      <c r="S487" s="12"/>
      <c r="T487" s="12"/>
      <c r="U487" s="12"/>
      <c r="V487" s="14"/>
      <c r="W487" s="14"/>
      <c r="X487" s="14"/>
      <c r="Y487" s="14"/>
      <c r="Z487" s="15"/>
      <c r="AA487" s="12"/>
      <c r="AB487" s="12"/>
      <c r="AC487" s="12"/>
      <c r="AD487" s="12"/>
      <c r="AE487" s="12"/>
      <c r="AF487" s="12"/>
      <c r="AG487" s="12"/>
      <c r="AH487" s="12"/>
    </row>
    <row r="488" spans="1:34" ht="12.75">
      <c r="A488" s="12"/>
      <c r="B488" s="12"/>
      <c r="C488" s="12"/>
      <c r="D488" s="12"/>
      <c r="E488" s="12"/>
      <c r="F488" s="17"/>
      <c r="G488" s="12"/>
      <c r="H488" s="12"/>
      <c r="I488" s="12"/>
      <c r="J488" s="12"/>
      <c r="K488" s="12"/>
      <c r="L488" s="12"/>
      <c r="M488" s="12"/>
      <c r="N488" s="12"/>
      <c r="O488" s="12"/>
      <c r="P488" s="12"/>
      <c r="Q488" s="12"/>
      <c r="R488" s="12"/>
      <c r="S488" s="12"/>
      <c r="T488" s="12"/>
      <c r="U488" s="12"/>
      <c r="V488" s="14"/>
      <c r="W488" s="14"/>
      <c r="X488" s="14"/>
      <c r="Y488" s="14"/>
      <c r="Z488" s="15"/>
      <c r="AA488" s="12"/>
      <c r="AB488" s="12"/>
      <c r="AC488" s="12"/>
      <c r="AD488" s="12"/>
      <c r="AE488" s="12"/>
      <c r="AF488" s="12"/>
      <c r="AG488" s="12"/>
      <c r="AH488" s="12"/>
    </row>
    <row r="489" spans="1:34" ht="12.75">
      <c r="A489" s="12"/>
      <c r="B489" s="12"/>
      <c r="C489" s="12"/>
      <c r="D489" s="12"/>
      <c r="E489" s="12"/>
      <c r="F489" s="17"/>
      <c r="G489" s="12"/>
      <c r="H489" s="12"/>
      <c r="I489" s="12"/>
      <c r="J489" s="12"/>
      <c r="K489" s="12"/>
      <c r="L489" s="12"/>
      <c r="M489" s="12"/>
      <c r="N489" s="12"/>
      <c r="O489" s="12"/>
      <c r="P489" s="12"/>
      <c r="Q489" s="12"/>
      <c r="R489" s="12"/>
      <c r="S489" s="12"/>
      <c r="T489" s="12"/>
      <c r="U489" s="12"/>
      <c r="V489" s="14"/>
      <c r="W489" s="14"/>
      <c r="X489" s="14"/>
      <c r="Y489" s="14"/>
      <c r="Z489" s="15"/>
      <c r="AA489" s="12"/>
      <c r="AB489" s="12"/>
      <c r="AC489" s="12"/>
      <c r="AD489" s="12"/>
      <c r="AE489" s="12"/>
      <c r="AF489" s="12"/>
      <c r="AG489" s="12"/>
      <c r="AH489" s="12"/>
    </row>
    <row r="490" spans="1:34" ht="12.75">
      <c r="A490" s="12"/>
      <c r="B490" s="12"/>
      <c r="C490" s="12"/>
      <c r="D490" s="12"/>
      <c r="E490" s="12"/>
      <c r="F490" s="17"/>
      <c r="G490" s="12"/>
      <c r="H490" s="12"/>
      <c r="I490" s="12"/>
      <c r="J490" s="12"/>
      <c r="K490" s="12"/>
      <c r="L490" s="12"/>
      <c r="M490" s="12"/>
      <c r="N490" s="12"/>
      <c r="O490" s="12"/>
      <c r="P490" s="12"/>
      <c r="Q490" s="12"/>
      <c r="R490" s="12"/>
      <c r="S490" s="12"/>
      <c r="T490" s="12"/>
      <c r="U490" s="12"/>
      <c r="V490" s="14"/>
      <c r="W490" s="14"/>
      <c r="X490" s="14"/>
      <c r="Y490" s="14"/>
      <c r="Z490" s="15"/>
      <c r="AA490" s="12"/>
      <c r="AB490" s="12"/>
      <c r="AC490" s="12"/>
      <c r="AD490" s="12"/>
      <c r="AE490" s="12"/>
      <c r="AF490" s="12"/>
      <c r="AG490" s="12"/>
      <c r="AH490" s="12"/>
    </row>
    <row r="491" spans="1:34" ht="12.75">
      <c r="A491" s="12"/>
      <c r="B491" s="12"/>
      <c r="C491" s="12"/>
      <c r="D491" s="12"/>
      <c r="E491" s="12"/>
      <c r="F491" s="17"/>
      <c r="G491" s="12"/>
      <c r="H491" s="12"/>
      <c r="I491" s="12"/>
      <c r="J491" s="12"/>
      <c r="K491" s="12"/>
      <c r="L491" s="12"/>
      <c r="M491" s="12"/>
      <c r="N491" s="12"/>
      <c r="O491" s="12"/>
      <c r="P491" s="12"/>
      <c r="Q491" s="12"/>
      <c r="R491" s="12"/>
      <c r="S491" s="12"/>
      <c r="T491" s="12"/>
      <c r="U491" s="12"/>
      <c r="V491" s="14"/>
      <c r="W491" s="14"/>
      <c r="X491" s="14"/>
      <c r="Y491" s="14"/>
      <c r="Z491" s="15"/>
      <c r="AA491" s="12"/>
      <c r="AB491" s="12"/>
      <c r="AC491" s="12"/>
      <c r="AD491" s="12"/>
      <c r="AE491" s="12"/>
      <c r="AF491" s="12"/>
      <c r="AG491" s="12"/>
      <c r="AH491" s="12"/>
    </row>
    <row r="492" spans="1:34" ht="12.75">
      <c r="A492" s="12"/>
      <c r="B492" s="12"/>
      <c r="C492" s="12"/>
      <c r="D492" s="12"/>
      <c r="E492" s="12"/>
      <c r="F492" s="17"/>
      <c r="G492" s="12"/>
      <c r="H492" s="12"/>
      <c r="I492" s="12"/>
      <c r="J492" s="12"/>
      <c r="K492" s="12"/>
      <c r="L492" s="12"/>
      <c r="M492" s="12"/>
      <c r="N492" s="12"/>
      <c r="O492" s="12"/>
      <c r="P492" s="12"/>
      <c r="Q492" s="12"/>
      <c r="R492" s="12"/>
      <c r="S492" s="12"/>
      <c r="T492" s="12"/>
      <c r="U492" s="12"/>
      <c r="V492" s="14"/>
      <c r="W492" s="14"/>
      <c r="X492" s="14"/>
      <c r="Y492" s="14"/>
      <c r="Z492" s="15"/>
      <c r="AA492" s="12"/>
      <c r="AB492" s="12"/>
      <c r="AC492" s="12"/>
      <c r="AD492" s="12"/>
      <c r="AE492" s="12"/>
      <c r="AF492" s="12"/>
      <c r="AG492" s="12"/>
      <c r="AH492" s="12"/>
    </row>
    <row r="493" spans="1:34" ht="12.75">
      <c r="A493" s="12"/>
      <c r="B493" s="12"/>
      <c r="C493" s="12"/>
      <c r="D493" s="12"/>
      <c r="E493" s="12"/>
      <c r="F493" s="17"/>
      <c r="G493" s="12"/>
      <c r="H493" s="12"/>
      <c r="I493" s="12"/>
      <c r="J493" s="12"/>
      <c r="K493" s="12"/>
      <c r="L493" s="12"/>
      <c r="M493" s="12"/>
      <c r="N493" s="12"/>
      <c r="O493" s="12"/>
      <c r="P493" s="12"/>
      <c r="Q493" s="12"/>
      <c r="R493" s="12"/>
      <c r="S493" s="12"/>
      <c r="T493" s="12"/>
      <c r="U493" s="12"/>
      <c r="V493" s="14"/>
      <c r="W493" s="14"/>
      <c r="X493" s="14"/>
      <c r="Y493" s="14"/>
      <c r="Z493" s="15"/>
      <c r="AA493" s="12"/>
      <c r="AB493" s="12"/>
      <c r="AC493" s="12"/>
      <c r="AD493" s="12"/>
      <c r="AE493" s="12"/>
      <c r="AF493" s="12"/>
      <c r="AG493" s="12"/>
      <c r="AH493" s="12"/>
    </row>
    <row r="494" spans="1:34" ht="12.75">
      <c r="A494" s="12"/>
      <c r="B494" s="12"/>
      <c r="C494" s="12"/>
      <c r="D494" s="12"/>
      <c r="E494" s="12"/>
      <c r="F494" s="17"/>
      <c r="G494" s="12"/>
      <c r="H494" s="12"/>
      <c r="I494" s="12"/>
      <c r="J494" s="12"/>
      <c r="K494" s="12"/>
      <c r="L494" s="12"/>
      <c r="M494" s="12"/>
      <c r="N494" s="12"/>
      <c r="O494" s="12"/>
      <c r="P494" s="12"/>
      <c r="Q494" s="12"/>
      <c r="R494" s="12"/>
      <c r="S494" s="12"/>
      <c r="T494" s="12"/>
      <c r="U494" s="12"/>
      <c r="V494" s="14"/>
      <c r="W494" s="14"/>
      <c r="X494" s="14"/>
      <c r="Y494" s="14"/>
      <c r="Z494" s="15"/>
      <c r="AA494" s="12"/>
      <c r="AB494" s="12"/>
      <c r="AC494" s="12"/>
      <c r="AD494" s="12"/>
      <c r="AE494" s="12"/>
      <c r="AF494" s="12"/>
      <c r="AG494" s="12"/>
      <c r="AH494" s="12"/>
    </row>
    <row r="495" spans="1:34" ht="12.75">
      <c r="A495" s="12"/>
      <c r="B495" s="12"/>
      <c r="C495" s="12"/>
      <c r="D495" s="12"/>
      <c r="E495" s="12"/>
      <c r="F495" s="17"/>
      <c r="G495" s="12"/>
      <c r="H495" s="12"/>
      <c r="I495" s="12"/>
      <c r="J495" s="12"/>
      <c r="K495" s="12"/>
      <c r="L495" s="12"/>
      <c r="M495" s="12"/>
      <c r="N495" s="12"/>
      <c r="O495" s="12"/>
      <c r="P495" s="12"/>
      <c r="Q495" s="12"/>
      <c r="R495" s="12"/>
      <c r="S495" s="12"/>
      <c r="T495" s="12"/>
      <c r="U495" s="12"/>
      <c r="V495" s="14"/>
      <c r="W495" s="14"/>
      <c r="X495" s="14"/>
      <c r="Y495" s="14"/>
      <c r="Z495" s="15"/>
      <c r="AA495" s="12"/>
      <c r="AB495" s="12"/>
      <c r="AC495" s="12"/>
      <c r="AD495" s="12"/>
      <c r="AE495" s="12"/>
      <c r="AF495" s="12"/>
      <c r="AG495" s="12"/>
      <c r="AH495" s="12"/>
    </row>
    <row r="496" spans="1:34" ht="12.75">
      <c r="A496" s="12"/>
      <c r="B496" s="12"/>
      <c r="C496" s="12"/>
      <c r="D496" s="12"/>
      <c r="E496" s="12"/>
      <c r="F496" s="17"/>
      <c r="G496" s="12"/>
      <c r="H496" s="12"/>
      <c r="I496" s="12"/>
      <c r="J496" s="12"/>
      <c r="K496" s="12"/>
      <c r="L496" s="12"/>
      <c r="M496" s="12"/>
      <c r="N496" s="12"/>
      <c r="O496" s="12"/>
      <c r="P496" s="12"/>
      <c r="Q496" s="12"/>
      <c r="R496" s="12"/>
      <c r="S496" s="12"/>
      <c r="T496" s="12"/>
      <c r="U496" s="12"/>
      <c r="V496" s="14"/>
      <c r="W496" s="14"/>
      <c r="X496" s="14"/>
      <c r="Y496" s="14"/>
      <c r="Z496" s="15"/>
      <c r="AA496" s="12"/>
      <c r="AB496" s="12"/>
      <c r="AC496" s="12"/>
      <c r="AD496" s="12"/>
      <c r="AE496" s="12"/>
      <c r="AF496" s="12"/>
      <c r="AG496" s="12"/>
      <c r="AH496" s="12"/>
    </row>
    <row r="497" spans="1:34" ht="12.75">
      <c r="A497" s="12"/>
      <c r="B497" s="12"/>
      <c r="C497" s="12"/>
      <c r="D497" s="12"/>
      <c r="E497" s="12"/>
      <c r="F497" s="17"/>
      <c r="G497" s="12"/>
      <c r="H497" s="12"/>
      <c r="I497" s="12"/>
      <c r="J497" s="12"/>
      <c r="K497" s="12"/>
      <c r="L497" s="12"/>
      <c r="M497" s="12"/>
      <c r="N497" s="12"/>
      <c r="O497" s="12"/>
      <c r="P497" s="12"/>
      <c r="Q497" s="12"/>
      <c r="R497" s="12"/>
      <c r="S497" s="12"/>
      <c r="T497" s="12"/>
      <c r="U497" s="12"/>
      <c r="V497" s="14"/>
      <c r="W497" s="14"/>
      <c r="X497" s="14"/>
      <c r="Y497" s="14"/>
      <c r="Z497" s="15"/>
      <c r="AA497" s="12"/>
      <c r="AB497" s="12"/>
      <c r="AC497" s="12"/>
      <c r="AD497" s="12"/>
      <c r="AE497" s="12"/>
      <c r="AF497" s="12"/>
      <c r="AG497" s="12"/>
      <c r="AH497" s="12"/>
    </row>
    <row r="498" spans="1:34" ht="12.75">
      <c r="A498" s="12"/>
      <c r="B498" s="12"/>
      <c r="C498" s="12"/>
      <c r="D498" s="12"/>
      <c r="E498" s="12"/>
      <c r="F498" s="17"/>
      <c r="G498" s="12"/>
      <c r="H498" s="12"/>
      <c r="I498" s="12"/>
      <c r="J498" s="12"/>
      <c r="K498" s="12"/>
      <c r="L498" s="12"/>
      <c r="M498" s="12"/>
      <c r="N498" s="12"/>
      <c r="O498" s="12"/>
      <c r="P498" s="12"/>
      <c r="Q498" s="12"/>
      <c r="R498" s="12"/>
      <c r="S498" s="12"/>
      <c r="T498" s="12"/>
      <c r="U498" s="12"/>
      <c r="V498" s="14"/>
      <c r="W498" s="14"/>
      <c r="X498" s="14"/>
      <c r="Y498" s="14"/>
      <c r="Z498" s="15"/>
      <c r="AA498" s="12"/>
      <c r="AB498" s="12"/>
      <c r="AC498" s="12"/>
      <c r="AD498" s="12"/>
      <c r="AE498" s="12"/>
      <c r="AF498" s="12"/>
      <c r="AG498" s="12"/>
      <c r="AH498" s="12"/>
    </row>
    <row r="499" spans="1:34" ht="12.75">
      <c r="A499" s="12"/>
      <c r="B499" s="12"/>
      <c r="C499" s="12"/>
      <c r="D499" s="12"/>
      <c r="E499" s="12"/>
      <c r="F499" s="17"/>
      <c r="G499" s="12"/>
      <c r="H499" s="12"/>
      <c r="I499" s="12"/>
      <c r="J499" s="12"/>
      <c r="K499" s="12"/>
      <c r="L499" s="12"/>
      <c r="M499" s="12"/>
      <c r="N499" s="12"/>
      <c r="O499" s="12"/>
      <c r="P499" s="12"/>
      <c r="Q499" s="12"/>
      <c r="R499" s="12"/>
      <c r="S499" s="12"/>
      <c r="T499" s="12"/>
      <c r="U499" s="12"/>
      <c r="V499" s="14"/>
      <c r="W499" s="14"/>
      <c r="X499" s="14"/>
      <c r="Y499" s="14"/>
      <c r="Z499" s="15"/>
      <c r="AA499" s="12"/>
      <c r="AB499" s="12"/>
      <c r="AC499" s="12"/>
      <c r="AD499" s="12"/>
      <c r="AE499" s="12"/>
      <c r="AF499" s="12"/>
      <c r="AG499" s="12"/>
      <c r="AH499" s="12"/>
    </row>
    <row r="500" spans="1:34" ht="12.75">
      <c r="A500" s="12"/>
      <c r="B500" s="12"/>
      <c r="C500" s="12"/>
      <c r="D500" s="12"/>
      <c r="E500" s="12"/>
      <c r="F500" s="17"/>
      <c r="G500" s="12"/>
      <c r="H500" s="12"/>
      <c r="I500" s="12"/>
      <c r="J500" s="12"/>
      <c r="K500" s="12"/>
      <c r="L500" s="12"/>
      <c r="M500" s="12"/>
      <c r="N500" s="12"/>
      <c r="O500" s="12"/>
      <c r="P500" s="12"/>
      <c r="Q500" s="12"/>
      <c r="R500" s="12"/>
      <c r="S500" s="12"/>
      <c r="T500" s="12"/>
      <c r="U500" s="12"/>
      <c r="V500" s="14"/>
      <c r="W500" s="14"/>
      <c r="X500" s="14"/>
      <c r="Y500" s="14"/>
      <c r="Z500" s="15"/>
      <c r="AA500" s="12"/>
      <c r="AB500" s="12"/>
      <c r="AC500" s="12"/>
      <c r="AD500" s="12"/>
      <c r="AE500" s="12"/>
      <c r="AF500" s="12"/>
      <c r="AG500" s="12"/>
      <c r="AH500" s="12"/>
    </row>
    <row r="501" spans="1:34" ht="12.75">
      <c r="A501" s="12"/>
      <c r="B501" s="12"/>
      <c r="C501" s="12"/>
      <c r="D501" s="12"/>
      <c r="E501" s="12"/>
      <c r="F501" s="17"/>
      <c r="G501" s="12"/>
      <c r="H501" s="12"/>
      <c r="I501" s="12"/>
      <c r="J501" s="12"/>
      <c r="K501" s="12"/>
      <c r="L501" s="12"/>
      <c r="M501" s="12"/>
      <c r="N501" s="12"/>
      <c r="O501" s="12"/>
      <c r="P501" s="12"/>
      <c r="Q501" s="12"/>
      <c r="R501" s="12"/>
      <c r="S501" s="12"/>
      <c r="T501" s="12"/>
      <c r="U501" s="12"/>
      <c r="V501" s="14"/>
      <c r="W501" s="14"/>
      <c r="X501" s="14"/>
      <c r="Y501" s="14"/>
      <c r="Z501" s="15"/>
      <c r="AA501" s="12"/>
      <c r="AB501" s="12"/>
      <c r="AC501" s="12"/>
      <c r="AD501" s="12"/>
      <c r="AE501" s="12"/>
      <c r="AF501" s="12"/>
      <c r="AG501" s="12"/>
      <c r="AH501" s="12"/>
    </row>
    <row r="502" spans="1:34" ht="12.75">
      <c r="A502" s="12"/>
      <c r="B502" s="12"/>
      <c r="C502" s="12"/>
      <c r="D502" s="12"/>
      <c r="E502" s="12"/>
      <c r="F502" s="17"/>
      <c r="G502" s="12"/>
      <c r="H502" s="12"/>
      <c r="I502" s="12"/>
      <c r="J502" s="12"/>
      <c r="K502" s="12"/>
      <c r="L502" s="12"/>
      <c r="M502" s="12"/>
      <c r="N502" s="12"/>
      <c r="O502" s="12"/>
      <c r="P502" s="12"/>
      <c r="Q502" s="12"/>
      <c r="R502" s="12"/>
      <c r="S502" s="12"/>
      <c r="T502" s="12"/>
      <c r="U502" s="12"/>
      <c r="V502" s="14"/>
      <c r="W502" s="14"/>
      <c r="X502" s="14"/>
      <c r="Y502" s="14"/>
      <c r="Z502" s="15"/>
      <c r="AA502" s="12"/>
      <c r="AB502" s="12"/>
      <c r="AC502" s="12"/>
      <c r="AD502" s="12"/>
      <c r="AE502" s="12"/>
      <c r="AF502" s="12"/>
      <c r="AG502" s="12"/>
      <c r="AH502" s="12"/>
    </row>
    <row r="503" spans="1:34" ht="12.75">
      <c r="A503" s="12"/>
      <c r="B503" s="12"/>
      <c r="C503" s="12"/>
      <c r="D503" s="12"/>
      <c r="E503" s="12"/>
      <c r="F503" s="17"/>
      <c r="G503" s="12"/>
      <c r="H503" s="12"/>
      <c r="I503" s="12"/>
      <c r="J503" s="12"/>
      <c r="K503" s="12"/>
      <c r="L503" s="12"/>
      <c r="M503" s="12"/>
      <c r="N503" s="12"/>
      <c r="O503" s="12"/>
      <c r="P503" s="12"/>
      <c r="Q503" s="12"/>
      <c r="R503" s="12"/>
      <c r="S503" s="12"/>
      <c r="T503" s="12"/>
      <c r="U503" s="12"/>
      <c r="V503" s="14"/>
      <c r="W503" s="14"/>
      <c r="X503" s="14"/>
      <c r="Y503" s="14"/>
      <c r="Z503" s="15"/>
      <c r="AA503" s="12"/>
      <c r="AB503" s="12"/>
      <c r="AC503" s="12"/>
      <c r="AD503" s="12"/>
      <c r="AE503" s="12"/>
      <c r="AF503" s="12"/>
      <c r="AG503" s="12"/>
      <c r="AH503" s="12"/>
    </row>
    <row r="504" spans="1:34" ht="12.75">
      <c r="A504" s="12"/>
      <c r="B504" s="12"/>
      <c r="C504" s="12"/>
      <c r="D504" s="12"/>
      <c r="E504" s="12"/>
      <c r="F504" s="17"/>
      <c r="G504" s="12"/>
      <c r="H504" s="12"/>
      <c r="I504" s="12"/>
      <c r="J504" s="12"/>
      <c r="K504" s="12"/>
      <c r="L504" s="12"/>
      <c r="M504" s="12"/>
      <c r="N504" s="12"/>
      <c r="O504" s="12"/>
      <c r="P504" s="12"/>
      <c r="Q504" s="12"/>
      <c r="R504" s="12"/>
      <c r="S504" s="12"/>
      <c r="T504" s="12"/>
      <c r="U504" s="12"/>
      <c r="V504" s="14"/>
      <c r="W504" s="14"/>
      <c r="X504" s="14"/>
      <c r="Y504" s="14"/>
      <c r="Z504" s="15"/>
      <c r="AA504" s="12"/>
      <c r="AB504" s="12"/>
      <c r="AC504" s="12"/>
      <c r="AD504" s="12"/>
      <c r="AE504" s="12"/>
      <c r="AF504" s="12"/>
      <c r="AG504" s="12"/>
      <c r="AH504" s="12"/>
    </row>
    <row r="505" spans="1:34" ht="12.75">
      <c r="A505" s="12"/>
      <c r="B505" s="12"/>
      <c r="C505" s="12"/>
      <c r="D505" s="12"/>
      <c r="E505" s="12"/>
      <c r="F505" s="17"/>
      <c r="G505" s="12"/>
      <c r="H505" s="12"/>
      <c r="I505" s="12"/>
      <c r="J505" s="12"/>
      <c r="K505" s="12"/>
      <c r="L505" s="12"/>
      <c r="M505" s="12"/>
      <c r="N505" s="12"/>
      <c r="O505" s="12"/>
      <c r="P505" s="12"/>
      <c r="Q505" s="12"/>
      <c r="R505" s="12"/>
      <c r="S505" s="12"/>
      <c r="T505" s="12"/>
      <c r="U505" s="12"/>
      <c r="V505" s="14"/>
      <c r="W505" s="14"/>
      <c r="X505" s="14"/>
      <c r="Y505" s="14"/>
      <c r="Z505" s="15"/>
      <c r="AA505" s="12"/>
      <c r="AB505" s="12"/>
      <c r="AC505" s="12"/>
      <c r="AD505" s="12"/>
      <c r="AE505" s="12"/>
      <c r="AF505" s="12"/>
      <c r="AG505" s="12"/>
      <c r="AH505" s="12"/>
    </row>
    <row r="506" spans="1:34" ht="12.75">
      <c r="A506" s="12"/>
      <c r="B506" s="12"/>
      <c r="C506" s="12"/>
      <c r="D506" s="12"/>
      <c r="E506" s="12"/>
      <c r="F506" s="17"/>
      <c r="G506" s="12"/>
      <c r="H506" s="12"/>
      <c r="I506" s="12"/>
      <c r="J506" s="12"/>
      <c r="K506" s="12"/>
      <c r="L506" s="12"/>
      <c r="M506" s="12"/>
      <c r="N506" s="12"/>
      <c r="O506" s="12"/>
      <c r="P506" s="12"/>
      <c r="Q506" s="12"/>
      <c r="R506" s="12"/>
      <c r="S506" s="12"/>
      <c r="T506" s="12"/>
      <c r="U506" s="12"/>
      <c r="V506" s="14"/>
      <c r="W506" s="14"/>
      <c r="X506" s="14"/>
      <c r="Y506" s="14"/>
      <c r="Z506" s="15"/>
      <c r="AA506" s="12"/>
      <c r="AB506" s="12"/>
      <c r="AC506" s="12"/>
      <c r="AD506" s="12"/>
      <c r="AE506" s="12"/>
      <c r="AF506" s="12"/>
      <c r="AG506" s="12"/>
      <c r="AH506" s="12"/>
    </row>
    <row r="507" spans="1:34" ht="12.75">
      <c r="A507" s="12"/>
      <c r="B507" s="12"/>
      <c r="C507" s="12"/>
      <c r="D507" s="12"/>
      <c r="E507" s="12"/>
      <c r="F507" s="17"/>
      <c r="G507" s="12"/>
      <c r="H507" s="12"/>
      <c r="I507" s="12"/>
      <c r="J507" s="12"/>
      <c r="K507" s="12"/>
      <c r="L507" s="12"/>
      <c r="M507" s="12"/>
      <c r="N507" s="12"/>
      <c r="O507" s="12"/>
      <c r="P507" s="12"/>
      <c r="Q507" s="12"/>
      <c r="R507" s="12"/>
      <c r="S507" s="12"/>
      <c r="T507" s="12"/>
      <c r="U507" s="12"/>
      <c r="V507" s="14"/>
      <c r="W507" s="14"/>
      <c r="X507" s="14"/>
      <c r="Y507" s="14"/>
      <c r="Z507" s="15"/>
      <c r="AA507" s="12"/>
      <c r="AB507" s="12"/>
      <c r="AC507" s="12"/>
      <c r="AD507" s="12"/>
      <c r="AE507" s="12"/>
      <c r="AF507" s="12"/>
      <c r="AG507" s="12"/>
      <c r="AH507" s="12"/>
    </row>
    <row r="508" spans="1:34" ht="12.75">
      <c r="A508" s="12"/>
      <c r="B508" s="12"/>
      <c r="C508" s="12"/>
      <c r="D508" s="12"/>
      <c r="E508" s="12"/>
      <c r="F508" s="17"/>
      <c r="G508" s="12"/>
      <c r="H508" s="12"/>
      <c r="I508" s="12"/>
      <c r="J508" s="12"/>
      <c r="K508" s="12"/>
      <c r="L508" s="12"/>
      <c r="M508" s="12"/>
      <c r="N508" s="12"/>
      <c r="O508" s="12"/>
      <c r="P508" s="12"/>
      <c r="Q508" s="12"/>
      <c r="R508" s="12"/>
      <c r="S508" s="12"/>
      <c r="T508" s="12"/>
      <c r="U508" s="12"/>
      <c r="V508" s="14"/>
      <c r="W508" s="14"/>
      <c r="X508" s="14"/>
      <c r="Y508" s="14"/>
      <c r="Z508" s="15"/>
      <c r="AA508" s="12"/>
      <c r="AB508" s="12"/>
      <c r="AC508" s="12"/>
      <c r="AD508" s="12"/>
      <c r="AE508" s="12"/>
      <c r="AF508" s="12"/>
      <c r="AG508" s="12"/>
      <c r="AH508" s="12"/>
    </row>
    <row r="509" spans="1:34" ht="12.75">
      <c r="A509" s="12"/>
      <c r="B509" s="12"/>
      <c r="C509" s="12"/>
      <c r="D509" s="12"/>
      <c r="E509" s="12"/>
      <c r="F509" s="17"/>
      <c r="G509" s="12"/>
      <c r="H509" s="12"/>
      <c r="I509" s="12"/>
      <c r="J509" s="12"/>
      <c r="K509" s="12"/>
      <c r="L509" s="12"/>
      <c r="M509" s="12"/>
      <c r="N509" s="12"/>
      <c r="O509" s="12"/>
      <c r="P509" s="12"/>
      <c r="Q509" s="12"/>
      <c r="R509" s="12"/>
      <c r="S509" s="12"/>
      <c r="T509" s="12"/>
      <c r="U509" s="12"/>
      <c r="V509" s="14"/>
      <c r="W509" s="14"/>
      <c r="X509" s="14"/>
      <c r="Y509" s="14"/>
      <c r="Z509" s="15"/>
      <c r="AA509" s="12"/>
      <c r="AB509" s="12"/>
      <c r="AC509" s="12"/>
      <c r="AD509" s="12"/>
      <c r="AE509" s="12"/>
      <c r="AF509" s="12"/>
      <c r="AG509" s="12"/>
      <c r="AH509" s="12"/>
    </row>
    <row r="510" spans="1:34" ht="12.75">
      <c r="A510" s="12"/>
      <c r="B510" s="12"/>
      <c r="C510" s="12"/>
      <c r="D510" s="12"/>
      <c r="E510" s="12"/>
      <c r="F510" s="17"/>
      <c r="G510" s="12"/>
      <c r="H510" s="12"/>
      <c r="I510" s="12"/>
      <c r="J510" s="12"/>
      <c r="K510" s="12"/>
      <c r="L510" s="12"/>
      <c r="M510" s="12"/>
      <c r="N510" s="12"/>
      <c r="O510" s="12"/>
      <c r="P510" s="12"/>
      <c r="Q510" s="12"/>
      <c r="R510" s="12"/>
      <c r="S510" s="12"/>
      <c r="T510" s="12"/>
      <c r="U510" s="12"/>
      <c r="V510" s="14"/>
      <c r="W510" s="14"/>
      <c r="X510" s="14"/>
      <c r="Y510" s="14"/>
      <c r="Z510" s="15"/>
      <c r="AA510" s="12"/>
      <c r="AB510" s="12"/>
      <c r="AC510" s="12"/>
      <c r="AD510" s="12"/>
      <c r="AE510" s="12"/>
      <c r="AF510" s="12"/>
      <c r="AG510" s="12"/>
      <c r="AH510" s="12"/>
    </row>
    <row r="511" spans="1:34" ht="12.75">
      <c r="A511" s="12"/>
      <c r="B511" s="12"/>
      <c r="C511" s="12"/>
      <c r="D511" s="12"/>
      <c r="E511" s="12"/>
      <c r="F511" s="17"/>
      <c r="G511" s="12"/>
      <c r="H511" s="12"/>
      <c r="I511" s="12"/>
      <c r="J511" s="12"/>
      <c r="K511" s="12"/>
      <c r="L511" s="12"/>
      <c r="M511" s="12"/>
      <c r="N511" s="12"/>
      <c r="O511" s="12"/>
      <c r="P511" s="12"/>
      <c r="Q511" s="12"/>
      <c r="R511" s="12"/>
      <c r="S511" s="12"/>
      <c r="T511" s="12"/>
      <c r="U511" s="12"/>
      <c r="V511" s="14"/>
      <c r="W511" s="14"/>
      <c r="X511" s="14"/>
      <c r="Y511" s="14"/>
      <c r="Z511" s="15"/>
      <c r="AA511" s="12"/>
      <c r="AB511" s="12"/>
      <c r="AC511" s="12"/>
      <c r="AD511" s="12"/>
      <c r="AE511" s="12"/>
      <c r="AF511" s="12"/>
      <c r="AG511" s="12"/>
      <c r="AH511" s="12"/>
    </row>
    <row r="512" spans="1:34" ht="12.75">
      <c r="A512" s="12"/>
      <c r="B512" s="12"/>
      <c r="C512" s="12"/>
      <c r="D512" s="12"/>
      <c r="E512" s="12"/>
      <c r="F512" s="17"/>
      <c r="G512" s="12"/>
      <c r="H512" s="12"/>
      <c r="I512" s="12"/>
      <c r="J512" s="12"/>
      <c r="K512" s="12"/>
      <c r="L512" s="12"/>
      <c r="M512" s="12"/>
      <c r="N512" s="12"/>
      <c r="O512" s="12"/>
      <c r="P512" s="12"/>
      <c r="Q512" s="12"/>
      <c r="R512" s="12"/>
      <c r="S512" s="12"/>
      <c r="T512" s="12"/>
      <c r="U512" s="12"/>
      <c r="V512" s="14"/>
      <c r="W512" s="14"/>
      <c r="X512" s="14"/>
      <c r="Y512" s="14"/>
      <c r="Z512" s="15"/>
      <c r="AA512" s="12"/>
      <c r="AB512" s="12"/>
      <c r="AC512" s="12"/>
      <c r="AD512" s="12"/>
      <c r="AE512" s="12"/>
      <c r="AF512" s="12"/>
      <c r="AG512" s="12"/>
      <c r="AH512" s="12"/>
    </row>
    <row r="513" spans="1:34" ht="12.75">
      <c r="A513" s="12"/>
      <c r="B513" s="12"/>
      <c r="C513" s="12"/>
      <c r="D513" s="12"/>
      <c r="E513" s="12"/>
      <c r="F513" s="17"/>
      <c r="G513" s="12"/>
      <c r="H513" s="12"/>
      <c r="I513" s="12"/>
      <c r="J513" s="12"/>
      <c r="K513" s="12"/>
      <c r="L513" s="12"/>
      <c r="M513" s="12"/>
      <c r="N513" s="12"/>
      <c r="O513" s="12"/>
      <c r="P513" s="12"/>
      <c r="Q513" s="12"/>
      <c r="R513" s="12"/>
      <c r="S513" s="12"/>
      <c r="T513" s="12"/>
      <c r="U513" s="12"/>
      <c r="V513" s="14"/>
      <c r="W513" s="14"/>
      <c r="X513" s="14"/>
      <c r="Y513" s="14"/>
      <c r="Z513" s="15"/>
      <c r="AA513" s="12"/>
      <c r="AB513" s="12"/>
      <c r="AC513" s="12"/>
      <c r="AD513" s="12"/>
      <c r="AE513" s="12"/>
      <c r="AF513" s="12"/>
      <c r="AG513" s="12"/>
      <c r="AH513" s="12"/>
    </row>
    <row r="514" spans="1:34" ht="12.75">
      <c r="A514" s="12"/>
      <c r="B514" s="12"/>
      <c r="C514" s="12"/>
      <c r="D514" s="12"/>
      <c r="E514" s="12"/>
      <c r="F514" s="17"/>
      <c r="G514" s="12"/>
      <c r="H514" s="12"/>
      <c r="I514" s="12"/>
      <c r="J514" s="12"/>
      <c r="K514" s="12"/>
      <c r="L514" s="12"/>
      <c r="M514" s="12"/>
      <c r="N514" s="12"/>
      <c r="O514" s="12"/>
      <c r="P514" s="12"/>
      <c r="Q514" s="12"/>
      <c r="R514" s="12"/>
      <c r="S514" s="12"/>
      <c r="T514" s="12"/>
      <c r="U514" s="12"/>
      <c r="V514" s="14"/>
      <c r="W514" s="14"/>
      <c r="X514" s="14"/>
      <c r="Y514" s="14"/>
      <c r="Z514" s="15"/>
      <c r="AA514" s="12"/>
      <c r="AB514" s="12"/>
      <c r="AC514" s="12"/>
      <c r="AD514" s="12"/>
      <c r="AE514" s="12"/>
      <c r="AF514" s="12"/>
      <c r="AG514" s="12"/>
      <c r="AH514" s="12"/>
    </row>
    <row r="515" spans="1:34" ht="12.75">
      <c r="A515" s="12"/>
      <c r="B515" s="12"/>
      <c r="C515" s="12"/>
      <c r="D515" s="12"/>
      <c r="E515" s="12"/>
      <c r="F515" s="17"/>
      <c r="G515" s="12"/>
      <c r="H515" s="12"/>
      <c r="I515" s="12"/>
      <c r="J515" s="12"/>
      <c r="K515" s="12"/>
      <c r="L515" s="12"/>
      <c r="M515" s="12"/>
      <c r="N515" s="12"/>
      <c r="O515" s="12"/>
      <c r="P515" s="12"/>
      <c r="Q515" s="12"/>
      <c r="R515" s="12"/>
      <c r="S515" s="12"/>
      <c r="T515" s="12"/>
      <c r="U515" s="12"/>
      <c r="V515" s="14"/>
      <c r="W515" s="14"/>
      <c r="X515" s="14"/>
      <c r="Y515" s="14"/>
      <c r="Z515" s="15"/>
      <c r="AA515" s="12"/>
      <c r="AB515" s="12"/>
      <c r="AC515" s="12"/>
      <c r="AD515" s="12"/>
      <c r="AE515" s="12"/>
      <c r="AF515" s="12"/>
      <c r="AG515" s="12"/>
      <c r="AH515" s="12"/>
    </row>
    <row r="516" spans="1:34" ht="12.75">
      <c r="A516" s="12"/>
      <c r="B516" s="12"/>
      <c r="C516" s="12"/>
      <c r="D516" s="12"/>
      <c r="E516" s="12"/>
      <c r="F516" s="17"/>
      <c r="G516" s="12"/>
      <c r="H516" s="12"/>
      <c r="I516" s="12"/>
      <c r="J516" s="12"/>
      <c r="K516" s="12"/>
      <c r="L516" s="12"/>
      <c r="M516" s="12"/>
      <c r="N516" s="12"/>
      <c r="O516" s="12"/>
      <c r="P516" s="12"/>
      <c r="Q516" s="12"/>
      <c r="R516" s="12"/>
      <c r="S516" s="12"/>
      <c r="T516" s="12"/>
      <c r="U516" s="12"/>
      <c r="V516" s="14"/>
      <c r="W516" s="14"/>
      <c r="X516" s="14"/>
      <c r="Y516" s="14"/>
      <c r="Z516" s="15"/>
      <c r="AA516" s="12"/>
      <c r="AB516" s="12"/>
      <c r="AC516" s="12"/>
      <c r="AD516" s="12"/>
      <c r="AE516" s="12"/>
      <c r="AF516" s="12"/>
      <c r="AG516" s="12"/>
      <c r="AH516" s="12"/>
    </row>
    <row r="517" spans="1:34" ht="12.75">
      <c r="A517" s="12"/>
      <c r="B517" s="12"/>
      <c r="C517" s="12"/>
      <c r="D517" s="12"/>
      <c r="E517" s="12"/>
      <c r="F517" s="17"/>
      <c r="G517" s="12"/>
      <c r="H517" s="12"/>
      <c r="I517" s="12"/>
      <c r="J517" s="12"/>
      <c r="K517" s="12"/>
      <c r="L517" s="12"/>
      <c r="M517" s="12"/>
      <c r="N517" s="12"/>
      <c r="O517" s="12"/>
      <c r="P517" s="12"/>
      <c r="Q517" s="12"/>
      <c r="R517" s="12"/>
      <c r="S517" s="12"/>
      <c r="T517" s="12"/>
      <c r="U517" s="12"/>
      <c r="V517" s="14"/>
      <c r="W517" s="14"/>
      <c r="X517" s="14"/>
      <c r="Y517" s="14"/>
      <c r="Z517" s="15"/>
      <c r="AA517" s="12"/>
      <c r="AB517" s="12"/>
      <c r="AC517" s="12"/>
      <c r="AD517" s="12"/>
      <c r="AE517" s="12"/>
      <c r="AF517" s="12"/>
      <c r="AG517" s="12"/>
      <c r="AH517" s="12"/>
    </row>
    <row r="518" spans="1:34" ht="12.75">
      <c r="A518" s="12"/>
      <c r="B518" s="12"/>
      <c r="C518" s="12"/>
      <c r="D518" s="12"/>
      <c r="E518" s="12"/>
      <c r="F518" s="17"/>
      <c r="G518" s="12"/>
      <c r="H518" s="12"/>
      <c r="I518" s="12"/>
      <c r="J518" s="12"/>
      <c r="K518" s="12"/>
      <c r="L518" s="12"/>
      <c r="M518" s="12"/>
      <c r="N518" s="12"/>
      <c r="O518" s="12"/>
      <c r="P518" s="12"/>
      <c r="Q518" s="12"/>
      <c r="R518" s="12"/>
      <c r="S518" s="12"/>
      <c r="T518" s="12"/>
      <c r="U518" s="12"/>
      <c r="V518" s="14"/>
      <c r="W518" s="14"/>
      <c r="X518" s="14"/>
      <c r="Y518" s="14"/>
      <c r="Z518" s="15"/>
      <c r="AA518" s="12"/>
      <c r="AB518" s="12"/>
      <c r="AC518" s="12"/>
      <c r="AD518" s="12"/>
      <c r="AE518" s="12"/>
      <c r="AF518" s="12"/>
      <c r="AG518" s="12"/>
      <c r="AH518" s="12"/>
    </row>
    <row r="519" spans="1:34" ht="12.75">
      <c r="A519" s="12"/>
      <c r="B519" s="12"/>
      <c r="C519" s="12"/>
      <c r="D519" s="12"/>
      <c r="E519" s="12"/>
      <c r="F519" s="17"/>
      <c r="G519" s="12"/>
      <c r="H519" s="12"/>
      <c r="I519" s="12"/>
      <c r="J519" s="12"/>
      <c r="K519" s="12"/>
      <c r="L519" s="12"/>
      <c r="M519" s="12"/>
      <c r="N519" s="12"/>
      <c r="O519" s="12"/>
      <c r="P519" s="12"/>
      <c r="Q519" s="12"/>
      <c r="R519" s="12"/>
      <c r="S519" s="12"/>
      <c r="T519" s="12"/>
      <c r="U519" s="12"/>
      <c r="V519" s="14"/>
      <c r="W519" s="14"/>
      <c r="X519" s="14"/>
      <c r="Y519" s="14"/>
      <c r="Z519" s="15"/>
      <c r="AA519" s="12"/>
      <c r="AB519" s="12"/>
      <c r="AC519" s="12"/>
      <c r="AD519" s="12"/>
      <c r="AE519" s="12"/>
      <c r="AF519" s="12"/>
      <c r="AG519" s="12"/>
      <c r="AH519" s="12"/>
    </row>
    <row r="520" spans="1:34" ht="12.75">
      <c r="A520" s="12"/>
      <c r="B520" s="12"/>
      <c r="C520" s="12"/>
      <c r="D520" s="12"/>
      <c r="E520" s="12"/>
      <c r="F520" s="17"/>
      <c r="G520" s="12"/>
      <c r="H520" s="12"/>
      <c r="I520" s="12"/>
      <c r="J520" s="12"/>
      <c r="K520" s="12"/>
      <c r="L520" s="12"/>
      <c r="M520" s="12"/>
      <c r="N520" s="12"/>
      <c r="O520" s="12"/>
      <c r="P520" s="12"/>
      <c r="Q520" s="12"/>
      <c r="R520" s="12"/>
      <c r="S520" s="12"/>
      <c r="T520" s="12"/>
      <c r="U520" s="12"/>
      <c r="V520" s="14"/>
      <c r="W520" s="14"/>
      <c r="X520" s="14"/>
      <c r="Y520" s="14"/>
      <c r="Z520" s="15"/>
      <c r="AA520" s="12"/>
      <c r="AB520" s="12"/>
      <c r="AC520" s="12"/>
      <c r="AD520" s="12"/>
      <c r="AE520" s="12"/>
      <c r="AF520" s="12"/>
      <c r="AG520" s="12"/>
      <c r="AH520" s="12"/>
    </row>
    <row r="521" spans="1:34" ht="12.75">
      <c r="A521" s="12"/>
      <c r="B521" s="12"/>
      <c r="C521" s="12"/>
      <c r="D521" s="12"/>
      <c r="E521" s="12"/>
      <c r="F521" s="17"/>
      <c r="G521" s="12"/>
      <c r="H521" s="12"/>
      <c r="I521" s="12"/>
      <c r="J521" s="12"/>
      <c r="K521" s="12"/>
      <c r="L521" s="12"/>
      <c r="M521" s="12"/>
      <c r="N521" s="12"/>
      <c r="O521" s="12"/>
      <c r="P521" s="12"/>
      <c r="Q521" s="12"/>
      <c r="R521" s="12"/>
      <c r="S521" s="12"/>
      <c r="T521" s="12"/>
      <c r="U521" s="12"/>
      <c r="V521" s="14"/>
      <c r="W521" s="14"/>
      <c r="X521" s="14"/>
      <c r="Y521" s="14"/>
      <c r="Z521" s="15"/>
      <c r="AA521" s="12"/>
      <c r="AB521" s="12"/>
      <c r="AC521" s="12"/>
      <c r="AD521" s="12"/>
      <c r="AE521" s="12"/>
      <c r="AF521" s="12"/>
      <c r="AG521" s="12"/>
      <c r="AH521" s="12"/>
    </row>
    <row r="522" spans="1:34" ht="12.75">
      <c r="A522" s="12"/>
      <c r="B522" s="12"/>
      <c r="C522" s="12"/>
      <c r="D522" s="12"/>
      <c r="E522" s="12"/>
      <c r="F522" s="17"/>
      <c r="G522" s="12"/>
      <c r="H522" s="12"/>
      <c r="I522" s="12"/>
      <c r="J522" s="12"/>
      <c r="K522" s="12"/>
      <c r="L522" s="12"/>
      <c r="M522" s="12"/>
      <c r="N522" s="12"/>
      <c r="O522" s="12"/>
      <c r="P522" s="12"/>
      <c r="Q522" s="12"/>
      <c r="R522" s="12"/>
      <c r="S522" s="12"/>
      <c r="T522" s="12"/>
      <c r="U522" s="12"/>
      <c r="V522" s="14"/>
      <c r="W522" s="14"/>
      <c r="X522" s="14"/>
      <c r="Y522" s="14"/>
      <c r="Z522" s="15"/>
      <c r="AA522" s="12"/>
      <c r="AB522" s="12"/>
      <c r="AC522" s="12"/>
      <c r="AD522" s="12"/>
      <c r="AE522" s="12"/>
      <c r="AF522" s="12"/>
      <c r="AG522" s="12"/>
      <c r="AH522" s="12"/>
    </row>
    <row r="523" spans="1:34" ht="12.75">
      <c r="A523" s="12"/>
      <c r="B523" s="12"/>
      <c r="C523" s="12"/>
      <c r="D523" s="12"/>
      <c r="E523" s="12"/>
      <c r="F523" s="17"/>
      <c r="G523" s="12"/>
      <c r="H523" s="12"/>
      <c r="I523" s="12"/>
      <c r="J523" s="12"/>
      <c r="K523" s="12"/>
      <c r="L523" s="12"/>
      <c r="M523" s="12"/>
      <c r="N523" s="12"/>
      <c r="O523" s="12"/>
      <c r="P523" s="12"/>
      <c r="Q523" s="12"/>
      <c r="R523" s="12"/>
      <c r="S523" s="12"/>
      <c r="T523" s="12"/>
      <c r="U523" s="12"/>
      <c r="V523" s="14"/>
      <c r="W523" s="14"/>
      <c r="X523" s="14"/>
      <c r="Y523" s="14"/>
      <c r="Z523" s="15"/>
      <c r="AA523" s="12"/>
      <c r="AB523" s="12"/>
      <c r="AC523" s="12"/>
      <c r="AD523" s="12"/>
      <c r="AE523" s="12"/>
      <c r="AF523" s="12"/>
      <c r="AG523" s="12"/>
      <c r="AH523" s="12"/>
    </row>
    <row r="524" spans="1:34" ht="12.75">
      <c r="A524" s="12"/>
      <c r="B524" s="12"/>
      <c r="C524" s="12"/>
      <c r="D524" s="12"/>
      <c r="E524" s="12"/>
      <c r="F524" s="17"/>
      <c r="G524" s="12"/>
      <c r="H524" s="12"/>
      <c r="I524" s="12"/>
      <c r="J524" s="12"/>
      <c r="K524" s="12"/>
      <c r="L524" s="12"/>
      <c r="M524" s="12"/>
      <c r="N524" s="12"/>
      <c r="O524" s="12"/>
      <c r="P524" s="12"/>
      <c r="Q524" s="12"/>
      <c r="R524" s="12"/>
      <c r="S524" s="12"/>
      <c r="T524" s="12"/>
      <c r="U524" s="12"/>
      <c r="V524" s="14"/>
      <c r="W524" s="14"/>
      <c r="X524" s="14"/>
      <c r="Y524" s="14"/>
      <c r="Z524" s="15"/>
      <c r="AA524" s="12"/>
      <c r="AB524" s="12"/>
      <c r="AC524" s="12"/>
      <c r="AD524" s="12"/>
      <c r="AE524" s="12"/>
      <c r="AF524" s="12"/>
      <c r="AG524" s="12"/>
      <c r="AH524" s="12"/>
    </row>
    <row r="525" spans="1:34" ht="12.75">
      <c r="A525" s="12"/>
      <c r="B525" s="12"/>
      <c r="C525" s="12"/>
      <c r="D525" s="12"/>
      <c r="E525" s="12"/>
      <c r="F525" s="17"/>
      <c r="G525" s="12"/>
      <c r="H525" s="12"/>
      <c r="I525" s="12"/>
      <c r="J525" s="12"/>
      <c r="K525" s="12"/>
      <c r="L525" s="12"/>
      <c r="M525" s="12"/>
      <c r="N525" s="12"/>
      <c r="O525" s="12"/>
      <c r="P525" s="12"/>
      <c r="Q525" s="12"/>
      <c r="R525" s="12"/>
      <c r="S525" s="12"/>
      <c r="T525" s="12"/>
      <c r="U525" s="12"/>
      <c r="V525" s="14"/>
      <c r="W525" s="14"/>
      <c r="X525" s="14"/>
      <c r="Y525" s="14"/>
      <c r="Z525" s="15"/>
      <c r="AA525" s="12"/>
      <c r="AB525" s="12"/>
      <c r="AC525" s="12"/>
      <c r="AD525" s="12"/>
      <c r="AE525" s="12"/>
      <c r="AF525" s="12"/>
      <c r="AG525" s="12"/>
      <c r="AH525" s="12"/>
    </row>
    <row r="526" spans="1:34" ht="12.75">
      <c r="A526" s="12"/>
      <c r="B526" s="12"/>
      <c r="C526" s="12"/>
      <c r="D526" s="12"/>
      <c r="E526" s="12"/>
      <c r="F526" s="17"/>
      <c r="G526" s="12"/>
      <c r="H526" s="12"/>
      <c r="I526" s="12"/>
      <c r="J526" s="12"/>
      <c r="K526" s="12"/>
      <c r="L526" s="12"/>
      <c r="M526" s="12"/>
      <c r="N526" s="12"/>
      <c r="O526" s="12"/>
      <c r="P526" s="12"/>
      <c r="Q526" s="12"/>
      <c r="R526" s="12"/>
      <c r="S526" s="12"/>
      <c r="T526" s="12"/>
      <c r="U526" s="12"/>
      <c r="V526" s="14"/>
      <c r="W526" s="14"/>
      <c r="X526" s="14"/>
      <c r="Y526" s="14"/>
      <c r="Z526" s="15"/>
      <c r="AA526" s="12"/>
      <c r="AB526" s="12"/>
      <c r="AC526" s="12"/>
      <c r="AD526" s="12"/>
      <c r="AE526" s="12"/>
      <c r="AF526" s="12"/>
      <c r="AG526" s="12"/>
      <c r="AH526" s="12"/>
    </row>
    <row r="527" spans="1:34" ht="12.75">
      <c r="A527" s="12"/>
      <c r="B527" s="12"/>
      <c r="C527" s="12"/>
      <c r="D527" s="12"/>
      <c r="E527" s="12"/>
      <c r="F527" s="17"/>
      <c r="G527" s="12"/>
      <c r="H527" s="12"/>
      <c r="I527" s="12"/>
      <c r="J527" s="12"/>
      <c r="K527" s="12"/>
      <c r="L527" s="12"/>
      <c r="M527" s="12"/>
      <c r="N527" s="12"/>
      <c r="O527" s="12"/>
      <c r="P527" s="12"/>
      <c r="Q527" s="12"/>
      <c r="R527" s="12"/>
      <c r="S527" s="12"/>
      <c r="T527" s="12"/>
      <c r="U527" s="12"/>
      <c r="V527" s="14"/>
      <c r="W527" s="14"/>
      <c r="X527" s="14"/>
      <c r="Y527" s="14"/>
      <c r="Z527" s="15"/>
      <c r="AA527" s="12"/>
      <c r="AB527" s="12"/>
      <c r="AC527" s="12"/>
      <c r="AD527" s="12"/>
      <c r="AE527" s="12"/>
      <c r="AF527" s="12"/>
      <c r="AG527" s="12"/>
      <c r="AH527" s="12"/>
    </row>
    <row r="528" spans="1:34" ht="12.75">
      <c r="A528" s="12"/>
      <c r="B528" s="12"/>
      <c r="C528" s="12"/>
      <c r="D528" s="12"/>
      <c r="E528" s="12"/>
      <c r="F528" s="17"/>
      <c r="G528" s="12"/>
      <c r="H528" s="12"/>
      <c r="I528" s="12"/>
      <c r="J528" s="12"/>
      <c r="K528" s="12"/>
      <c r="L528" s="12"/>
      <c r="M528" s="12"/>
      <c r="N528" s="12"/>
      <c r="O528" s="12"/>
      <c r="P528" s="12"/>
      <c r="Q528" s="12"/>
      <c r="R528" s="12"/>
      <c r="S528" s="12"/>
      <c r="T528" s="12"/>
      <c r="U528" s="12"/>
      <c r="V528" s="14"/>
      <c r="W528" s="14"/>
      <c r="X528" s="14"/>
      <c r="Y528" s="14"/>
      <c r="Z528" s="15"/>
      <c r="AA528" s="12"/>
      <c r="AB528" s="12"/>
      <c r="AC528" s="12"/>
      <c r="AD528" s="12"/>
      <c r="AE528" s="12"/>
      <c r="AF528" s="12"/>
      <c r="AG528" s="12"/>
      <c r="AH528" s="12"/>
    </row>
    <row r="529" spans="1:34" ht="12.75">
      <c r="A529" s="12"/>
      <c r="B529" s="12"/>
      <c r="C529" s="12"/>
      <c r="D529" s="12"/>
      <c r="E529" s="12"/>
      <c r="F529" s="17"/>
      <c r="G529" s="12"/>
      <c r="H529" s="12"/>
      <c r="I529" s="12"/>
      <c r="J529" s="12"/>
      <c r="K529" s="12"/>
      <c r="L529" s="12"/>
      <c r="M529" s="12"/>
      <c r="N529" s="12"/>
      <c r="O529" s="12"/>
      <c r="P529" s="12"/>
      <c r="Q529" s="12"/>
      <c r="R529" s="12"/>
      <c r="S529" s="12"/>
      <c r="T529" s="12"/>
      <c r="U529" s="12"/>
      <c r="V529" s="14"/>
      <c r="W529" s="14"/>
      <c r="X529" s="14"/>
      <c r="Y529" s="14"/>
      <c r="Z529" s="15"/>
      <c r="AA529" s="12"/>
      <c r="AB529" s="12"/>
      <c r="AC529" s="12"/>
      <c r="AD529" s="12"/>
      <c r="AE529" s="12"/>
      <c r="AF529" s="12"/>
      <c r="AG529" s="12"/>
      <c r="AH529" s="12"/>
    </row>
    <row r="530" spans="1:34" ht="12.75">
      <c r="A530" s="12"/>
      <c r="B530" s="12"/>
      <c r="C530" s="12"/>
      <c r="D530" s="12"/>
      <c r="E530" s="12"/>
      <c r="F530" s="17"/>
      <c r="G530" s="12"/>
      <c r="H530" s="12"/>
      <c r="I530" s="12"/>
      <c r="J530" s="12"/>
      <c r="K530" s="12"/>
      <c r="L530" s="12"/>
      <c r="M530" s="12"/>
      <c r="N530" s="12"/>
      <c r="O530" s="12"/>
      <c r="P530" s="12"/>
      <c r="Q530" s="12"/>
      <c r="R530" s="12"/>
      <c r="S530" s="12"/>
      <c r="T530" s="12"/>
      <c r="U530" s="12"/>
      <c r="V530" s="14"/>
      <c r="W530" s="14"/>
      <c r="X530" s="14"/>
      <c r="Y530" s="14"/>
      <c r="Z530" s="15"/>
      <c r="AA530" s="12"/>
      <c r="AB530" s="12"/>
      <c r="AC530" s="12"/>
      <c r="AD530" s="12"/>
      <c r="AE530" s="12"/>
      <c r="AF530" s="12"/>
      <c r="AG530" s="12"/>
      <c r="AH530" s="12"/>
    </row>
    <row r="531" spans="1:34" ht="12.75">
      <c r="A531" s="12"/>
      <c r="B531" s="12"/>
      <c r="C531" s="12"/>
      <c r="D531" s="12"/>
      <c r="E531" s="12"/>
      <c r="F531" s="17"/>
      <c r="G531" s="12"/>
      <c r="H531" s="12"/>
      <c r="I531" s="12"/>
      <c r="J531" s="12"/>
      <c r="K531" s="12"/>
      <c r="L531" s="12"/>
      <c r="M531" s="12"/>
      <c r="N531" s="12"/>
      <c r="O531" s="12"/>
      <c r="P531" s="12"/>
      <c r="Q531" s="12"/>
      <c r="R531" s="12"/>
      <c r="S531" s="12"/>
      <c r="T531" s="12"/>
      <c r="U531" s="12"/>
      <c r="V531" s="14"/>
      <c r="W531" s="14"/>
      <c r="X531" s="14"/>
      <c r="Y531" s="14"/>
      <c r="Z531" s="15"/>
      <c r="AA531" s="12"/>
      <c r="AB531" s="12"/>
      <c r="AC531" s="12"/>
      <c r="AD531" s="12"/>
      <c r="AE531" s="12"/>
      <c r="AF531" s="12"/>
      <c r="AG531" s="12"/>
      <c r="AH531" s="12"/>
    </row>
    <row r="532" spans="1:34" ht="12.75">
      <c r="A532" s="12"/>
      <c r="B532" s="12"/>
      <c r="C532" s="12"/>
      <c r="D532" s="12"/>
      <c r="E532" s="12"/>
      <c r="F532" s="17"/>
      <c r="G532" s="12"/>
      <c r="H532" s="12"/>
      <c r="I532" s="12"/>
      <c r="J532" s="12"/>
      <c r="K532" s="12"/>
      <c r="L532" s="12"/>
      <c r="M532" s="12"/>
      <c r="N532" s="12"/>
      <c r="O532" s="12"/>
      <c r="P532" s="12"/>
      <c r="Q532" s="12"/>
      <c r="R532" s="12"/>
      <c r="S532" s="12"/>
      <c r="T532" s="12"/>
      <c r="U532" s="12"/>
      <c r="V532" s="14"/>
      <c r="W532" s="14"/>
      <c r="X532" s="14"/>
      <c r="Y532" s="14"/>
      <c r="Z532" s="15"/>
      <c r="AA532" s="12"/>
      <c r="AB532" s="12"/>
      <c r="AC532" s="12"/>
      <c r="AD532" s="12"/>
      <c r="AE532" s="12"/>
      <c r="AF532" s="12"/>
      <c r="AG532" s="12"/>
      <c r="AH532" s="12"/>
    </row>
    <row r="533" spans="1:34" ht="12.75">
      <c r="A533" s="12"/>
      <c r="B533" s="12"/>
      <c r="C533" s="12"/>
      <c r="D533" s="12"/>
      <c r="E533" s="12"/>
      <c r="F533" s="17"/>
      <c r="G533" s="12"/>
      <c r="H533" s="12"/>
      <c r="I533" s="12"/>
      <c r="J533" s="12"/>
      <c r="K533" s="12"/>
      <c r="L533" s="12"/>
      <c r="M533" s="12"/>
      <c r="N533" s="12"/>
      <c r="O533" s="12"/>
      <c r="P533" s="12"/>
      <c r="Q533" s="12"/>
      <c r="R533" s="12"/>
      <c r="S533" s="12"/>
      <c r="T533" s="12"/>
      <c r="U533" s="12"/>
      <c r="V533" s="14"/>
      <c r="W533" s="14"/>
      <c r="X533" s="14"/>
      <c r="Y533" s="14"/>
      <c r="Z533" s="15"/>
      <c r="AA533" s="12"/>
      <c r="AB533" s="12"/>
      <c r="AC533" s="12"/>
      <c r="AD533" s="12"/>
      <c r="AE533" s="12"/>
      <c r="AF533" s="12"/>
      <c r="AG533" s="12"/>
      <c r="AH533" s="12"/>
    </row>
    <row r="534" spans="1:34" ht="12.75">
      <c r="A534" s="12"/>
      <c r="B534" s="12"/>
      <c r="C534" s="12"/>
      <c r="D534" s="12"/>
      <c r="E534" s="12"/>
      <c r="F534" s="17"/>
      <c r="G534" s="12"/>
      <c r="H534" s="12"/>
      <c r="I534" s="12"/>
      <c r="J534" s="12"/>
      <c r="K534" s="12"/>
      <c r="L534" s="12"/>
      <c r="M534" s="12"/>
      <c r="N534" s="12"/>
      <c r="O534" s="12"/>
      <c r="P534" s="12"/>
      <c r="Q534" s="12"/>
      <c r="R534" s="12"/>
      <c r="S534" s="12"/>
      <c r="T534" s="12"/>
      <c r="U534" s="12"/>
      <c r="V534" s="14"/>
      <c r="W534" s="14"/>
      <c r="X534" s="14"/>
      <c r="Y534" s="14"/>
      <c r="Z534" s="15"/>
      <c r="AA534" s="12"/>
      <c r="AB534" s="12"/>
      <c r="AC534" s="12"/>
      <c r="AD534" s="12"/>
      <c r="AE534" s="12"/>
      <c r="AF534" s="12"/>
      <c r="AG534" s="12"/>
      <c r="AH534" s="12"/>
    </row>
    <row r="535" spans="1:34" ht="12.75">
      <c r="A535" s="12"/>
      <c r="B535" s="12"/>
      <c r="C535" s="12"/>
      <c r="D535" s="12"/>
      <c r="E535" s="12"/>
      <c r="F535" s="17"/>
      <c r="G535" s="12"/>
      <c r="H535" s="12"/>
      <c r="I535" s="12"/>
      <c r="J535" s="12"/>
      <c r="K535" s="12"/>
      <c r="L535" s="12"/>
      <c r="M535" s="12"/>
      <c r="N535" s="12"/>
      <c r="O535" s="12"/>
      <c r="P535" s="12"/>
      <c r="Q535" s="12"/>
      <c r="R535" s="12"/>
      <c r="S535" s="12"/>
      <c r="T535" s="12"/>
      <c r="U535" s="12"/>
      <c r="V535" s="14"/>
      <c r="W535" s="14"/>
      <c r="X535" s="14"/>
      <c r="Y535" s="14"/>
      <c r="Z535" s="15"/>
      <c r="AA535" s="12"/>
      <c r="AB535" s="12"/>
      <c r="AC535" s="12"/>
      <c r="AD535" s="12"/>
      <c r="AE535" s="12"/>
      <c r="AF535" s="12"/>
      <c r="AG535" s="12"/>
      <c r="AH535" s="12"/>
    </row>
    <row r="536" spans="1:34" ht="12.75">
      <c r="A536" s="12"/>
      <c r="B536" s="12"/>
      <c r="C536" s="12"/>
      <c r="D536" s="12"/>
      <c r="E536" s="12"/>
      <c r="F536" s="17"/>
      <c r="G536" s="12"/>
      <c r="H536" s="12"/>
      <c r="I536" s="12"/>
      <c r="J536" s="12"/>
      <c r="K536" s="12"/>
      <c r="L536" s="12"/>
      <c r="M536" s="12"/>
      <c r="N536" s="12"/>
      <c r="O536" s="12"/>
      <c r="P536" s="12"/>
      <c r="Q536" s="12"/>
      <c r="R536" s="12"/>
      <c r="S536" s="12"/>
      <c r="T536" s="12"/>
      <c r="U536" s="12"/>
      <c r="V536" s="14"/>
      <c r="W536" s="14"/>
      <c r="X536" s="14"/>
      <c r="Y536" s="14"/>
      <c r="Z536" s="15"/>
      <c r="AA536" s="12"/>
      <c r="AB536" s="12"/>
      <c r="AC536" s="12"/>
      <c r="AD536" s="12"/>
      <c r="AE536" s="12"/>
      <c r="AF536" s="12"/>
      <c r="AG536" s="12"/>
      <c r="AH536" s="12"/>
    </row>
    <row r="537" spans="1:34" ht="12.75">
      <c r="A537" s="12"/>
      <c r="B537" s="12"/>
      <c r="C537" s="12"/>
      <c r="D537" s="12"/>
      <c r="E537" s="12"/>
      <c r="F537" s="17"/>
      <c r="G537" s="12"/>
      <c r="H537" s="12"/>
      <c r="I537" s="12"/>
      <c r="J537" s="12"/>
      <c r="K537" s="12"/>
      <c r="L537" s="12"/>
      <c r="M537" s="12"/>
      <c r="N537" s="12"/>
      <c r="O537" s="12"/>
      <c r="P537" s="12"/>
      <c r="Q537" s="12"/>
      <c r="R537" s="12"/>
      <c r="S537" s="12"/>
      <c r="T537" s="12"/>
      <c r="U537" s="12"/>
      <c r="V537" s="14"/>
      <c r="W537" s="14"/>
      <c r="X537" s="14"/>
      <c r="Y537" s="14"/>
      <c r="Z537" s="15"/>
      <c r="AA537" s="12"/>
      <c r="AB537" s="12"/>
      <c r="AC537" s="12"/>
      <c r="AD537" s="12"/>
      <c r="AE537" s="12"/>
      <c r="AF537" s="12"/>
      <c r="AG537" s="12"/>
      <c r="AH537" s="12"/>
    </row>
    <row r="538" spans="1:34" ht="12.75">
      <c r="A538" s="12"/>
      <c r="B538" s="12"/>
      <c r="C538" s="12"/>
      <c r="D538" s="12"/>
      <c r="E538" s="12"/>
      <c r="F538" s="17"/>
      <c r="G538" s="12"/>
      <c r="H538" s="12"/>
      <c r="I538" s="12"/>
      <c r="J538" s="12"/>
      <c r="K538" s="12"/>
      <c r="L538" s="12"/>
      <c r="M538" s="12"/>
      <c r="N538" s="12"/>
      <c r="O538" s="12"/>
      <c r="P538" s="12"/>
      <c r="Q538" s="12"/>
      <c r="R538" s="12"/>
      <c r="S538" s="12"/>
      <c r="T538" s="12"/>
      <c r="U538" s="12"/>
      <c r="V538" s="14"/>
      <c r="W538" s="14"/>
      <c r="X538" s="14"/>
      <c r="Y538" s="14"/>
      <c r="Z538" s="15"/>
      <c r="AA538" s="12"/>
      <c r="AB538" s="12"/>
      <c r="AC538" s="12"/>
      <c r="AD538" s="12"/>
      <c r="AE538" s="12"/>
      <c r="AF538" s="12"/>
      <c r="AG538" s="12"/>
      <c r="AH538" s="12"/>
    </row>
    <row r="539" spans="1:34" ht="12.75">
      <c r="A539" s="12"/>
      <c r="B539" s="12"/>
      <c r="C539" s="12"/>
      <c r="D539" s="12"/>
      <c r="E539" s="12"/>
      <c r="F539" s="17"/>
      <c r="G539" s="12"/>
      <c r="H539" s="12"/>
      <c r="I539" s="12"/>
      <c r="J539" s="12"/>
      <c r="K539" s="12"/>
      <c r="L539" s="12"/>
      <c r="M539" s="12"/>
      <c r="N539" s="12"/>
      <c r="O539" s="12"/>
      <c r="P539" s="12"/>
      <c r="Q539" s="12"/>
      <c r="R539" s="12"/>
      <c r="S539" s="12"/>
      <c r="T539" s="12"/>
      <c r="U539" s="12"/>
      <c r="V539" s="14"/>
      <c r="W539" s="14"/>
      <c r="X539" s="14"/>
      <c r="Y539" s="14"/>
      <c r="Z539" s="15"/>
      <c r="AA539" s="12"/>
      <c r="AB539" s="12"/>
      <c r="AC539" s="12"/>
      <c r="AD539" s="12"/>
      <c r="AE539" s="12"/>
      <c r="AF539" s="12"/>
      <c r="AG539" s="12"/>
      <c r="AH539" s="12"/>
    </row>
    <row r="540" spans="1:34" ht="12.75">
      <c r="A540" s="12"/>
      <c r="B540" s="12"/>
      <c r="C540" s="12"/>
      <c r="D540" s="12"/>
      <c r="E540" s="12"/>
      <c r="F540" s="17"/>
      <c r="G540" s="12"/>
      <c r="H540" s="12"/>
      <c r="I540" s="12"/>
      <c r="J540" s="12"/>
      <c r="K540" s="12"/>
      <c r="L540" s="12"/>
      <c r="M540" s="12"/>
      <c r="N540" s="12"/>
      <c r="O540" s="12"/>
      <c r="P540" s="12"/>
      <c r="Q540" s="12"/>
      <c r="R540" s="12"/>
      <c r="S540" s="12"/>
      <c r="T540" s="12"/>
      <c r="U540" s="12"/>
      <c r="V540" s="14"/>
      <c r="W540" s="14"/>
      <c r="X540" s="14"/>
      <c r="Y540" s="14"/>
      <c r="Z540" s="15"/>
      <c r="AA540" s="12"/>
      <c r="AB540" s="12"/>
      <c r="AC540" s="12"/>
      <c r="AD540" s="12"/>
      <c r="AE540" s="12"/>
      <c r="AF540" s="12"/>
      <c r="AG540" s="12"/>
      <c r="AH540" s="12"/>
    </row>
    <row r="541" spans="1:34" ht="12.75">
      <c r="A541" s="12"/>
      <c r="B541" s="12"/>
      <c r="C541" s="12"/>
      <c r="D541" s="12"/>
      <c r="E541" s="12"/>
      <c r="F541" s="17"/>
      <c r="G541" s="12"/>
      <c r="H541" s="12"/>
      <c r="I541" s="12"/>
      <c r="J541" s="12"/>
      <c r="K541" s="12"/>
      <c r="L541" s="12"/>
      <c r="M541" s="12"/>
      <c r="N541" s="12"/>
      <c r="O541" s="12"/>
      <c r="P541" s="12"/>
      <c r="Q541" s="12"/>
      <c r="R541" s="12"/>
      <c r="S541" s="12"/>
      <c r="T541" s="12"/>
      <c r="U541" s="12"/>
      <c r="V541" s="14"/>
      <c r="W541" s="14"/>
      <c r="X541" s="14"/>
      <c r="Y541" s="14"/>
      <c r="Z541" s="15"/>
      <c r="AA541" s="12"/>
      <c r="AB541" s="12"/>
      <c r="AC541" s="12"/>
      <c r="AD541" s="12"/>
      <c r="AE541" s="12"/>
      <c r="AF541" s="12"/>
      <c r="AG541" s="12"/>
      <c r="AH541" s="12"/>
    </row>
    <row r="542" spans="1:34" ht="12.75">
      <c r="A542" s="12"/>
      <c r="B542" s="12"/>
      <c r="C542" s="12"/>
      <c r="D542" s="12"/>
      <c r="E542" s="12"/>
      <c r="F542" s="17"/>
      <c r="G542" s="12"/>
      <c r="H542" s="12"/>
      <c r="I542" s="12"/>
      <c r="J542" s="12"/>
      <c r="K542" s="12"/>
      <c r="L542" s="12"/>
      <c r="M542" s="12"/>
      <c r="N542" s="12"/>
      <c r="O542" s="12"/>
      <c r="P542" s="12"/>
      <c r="Q542" s="12"/>
      <c r="R542" s="12"/>
      <c r="S542" s="12"/>
      <c r="T542" s="12"/>
      <c r="U542" s="12"/>
      <c r="V542" s="14"/>
      <c r="W542" s="14"/>
      <c r="X542" s="14"/>
      <c r="Y542" s="14"/>
      <c r="Z542" s="15"/>
      <c r="AA542" s="12"/>
      <c r="AB542" s="12"/>
      <c r="AC542" s="12"/>
      <c r="AD542" s="12"/>
      <c r="AE542" s="12"/>
      <c r="AF542" s="12"/>
      <c r="AG542" s="12"/>
      <c r="AH542" s="12"/>
    </row>
    <row r="543" spans="1:34" ht="12.75">
      <c r="A543" s="12"/>
      <c r="B543" s="12"/>
      <c r="C543" s="12"/>
      <c r="D543" s="12"/>
      <c r="E543" s="12"/>
      <c r="F543" s="17"/>
      <c r="G543" s="12"/>
      <c r="H543" s="12"/>
      <c r="I543" s="12"/>
      <c r="J543" s="12"/>
      <c r="K543" s="12"/>
      <c r="L543" s="12"/>
      <c r="M543" s="12"/>
      <c r="N543" s="12"/>
      <c r="O543" s="12"/>
      <c r="P543" s="12"/>
      <c r="Q543" s="12"/>
      <c r="R543" s="12"/>
      <c r="S543" s="12"/>
      <c r="T543" s="12"/>
      <c r="U543" s="12"/>
      <c r="V543" s="14"/>
      <c r="W543" s="14"/>
      <c r="X543" s="14"/>
      <c r="Y543" s="14"/>
      <c r="Z543" s="15"/>
      <c r="AA543" s="12"/>
      <c r="AB543" s="12"/>
      <c r="AC543" s="12"/>
      <c r="AD543" s="12"/>
      <c r="AE543" s="12"/>
      <c r="AF543" s="12"/>
      <c r="AG543" s="12"/>
      <c r="AH543" s="12"/>
    </row>
    <row r="544" spans="1:34" ht="12.75">
      <c r="A544" s="12"/>
      <c r="B544" s="12"/>
      <c r="C544" s="12"/>
      <c r="D544" s="12"/>
      <c r="E544" s="12"/>
      <c r="F544" s="17"/>
      <c r="G544" s="12"/>
      <c r="H544" s="12"/>
      <c r="I544" s="12"/>
      <c r="J544" s="12"/>
      <c r="K544" s="12"/>
      <c r="L544" s="12"/>
      <c r="M544" s="12"/>
      <c r="N544" s="12"/>
      <c r="O544" s="12"/>
      <c r="P544" s="12"/>
      <c r="Q544" s="12"/>
      <c r="R544" s="12"/>
      <c r="S544" s="12"/>
      <c r="T544" s="12"/>
      <c r="U544" s="12"/>
      <c r="V544" s="14"/>
      <c r="W544" s="14"/>
      <c r="X544" s="14"/>
      <c r="Y544" s="14"/>
      <c r="Z544" s="15"/>
      <c r="AA544" s="12"/>
      <c r="AB544" s="12"/>
      <c r="AC544" s="12"/>
      <c r="AD544" s="12"/>
      <c r="AE544" s="12"/>
      <c r="AF544" s="12"/>
      <c r="AG544" s="12"/>
      <c r="AH544" s="12"/>
    </row>
    <row r="545" spans="1:34" ht="12.75">
      <c r="A545" s="12"/>
      <c r="B545" s="12"/>
      <c r="C545" s="12"/>
      <c r="D545" s="12"/>
      <c r="E545" s="12"/>
      <c r="F545" s="17"/>
      <c r="G545" s="12"/>
      <c r="H545" s="12"/>
      <c r="I545" s="12"/>
      <c r="J545" s="12"/>
      <c r="K545" s="12"/>
      <c r="L545" s="12"/>
      <c r="M545" s="12"/>
      <c r="N545" s="12"/>
      <c r="O545" s="12"/>
      <c r="P545" s="12"/>
      <c r="Q545" s="12"/>
      <c r="R545" s="12"/>
      <c r="S545" s="12"/>
      <c r="T545" s="12"/>
      <c r="U545" s="12"/>
      <c r="V545" s="14"/>
      <c r="W545" s="14"/>
      <c r="X545" s="14"/>
      <c r="Y545" s="14"/>
      <c r="Z545" s="15"/>
      <c r="AA545" s="12"/>
      <c r="AB545" s="12"/>
      <c r="AC545" s="12"/>
      <c r="AD545" s="12"/>
      <c r="AE545" s="12"/>
      <c r="AF545" s="12"/>
      <c r="AG545" s="12"/>
      <c r="AH545" s="12"/>
    </row>
    <row r="546" spans="1:34" ht="12.75">
      <c r="A546" s="12"/>
      <c r="B546" s="12"/>
      <c r="C546" s="12"/>
      <c r="D546" s="12"/>
      <c r="E546" s="12"/>
      <c r="F546" s="17"/>
      <c r="G546" s="12"/>
      <c r="H546" s="12"/>
      <c r="I546" s="12"/>
      <c r="J546" s="12"/>
      <c r="K546" s="12"/>
      <c r="L546" s="12"/>
      <c r="M546" s="12"/>
      <c r="N546" s="12"/>
      <c r="O546" s="12"/>
      <c r="P546" s="12"/>
      <c r="Q546" s="12"/>
      <c r="R546" s="12"/>
      <c r="S546" s="12"/>
      <c r="T546" s="12"/>
      <c r="U546" s="12"/>
      <c r="V546" s="14"/>
      <c r="W546" s="14"/>
      <c r="X546" s="14"/>
      <c r="Y546" s="14"/>
      <c r="Z546" s="15"/>
      <c r="AA546" s="12"/>
      <c r="AB546" s="12"/>
      <c r="AC546" s="12"/>
      <c r="AD546" s="12"/>
      <c r="AE546" s="12"/>
      <c r="AF546" s="12"/>
      <c r="AG546" s="12"/>
      <c r="AH546" s="12"/>
    </row>
    <row r="547" spans="1:34" ht="12.75">
      <c r="A547" s="12"/>
      <c r="B547" s="12"/>
      <c r="C547" s="12"/>
      <c r="D547" s="12"/>
      <c r="E547" s="12"/>
      <c r="F547" s="17"/>
      <c r="G547" s="12"/>
      <c r="H547" s="12"/>
      <c r="I547" s="12"/>
      <c r="J547" s="12"/>
      <c r="K547" s="12"/>
      <c r="L547" s="12"/>
      <c r="M547" s="12"/>
      <c r="N547" s="12"/>
      <c r="O547" s="12"/>
      <c r="P547" s="12"/>
      <c r="Q547" s="12"/>
      <c r="R547" s="12"/>
      <c r="S547" s="12"/>
      <c r="T547" s="12"/>
      <c r="U547" s="12"/>
      <c r="V547" s="14"/>
      <c r="W547" s="14"/>
      <c r="X547" s="14"/>
      <c r="Y547" s="14"/>
      <c r="Z547" s="15"/>
      <c r="AA547" s="12"/>
      <c r="AB547" s="12"/>
      <c r="AC547" s="12"/>
      <c r="AD547" s="12"/>
      <c r="AE547" s="12"/>
      <c r="AF547" s="12"/>
      <c r="AG547" s="12"/>
      <c r="AH547" s="12"/>
    </row>
    <row r="548" spans="1:34" ht="12.75">
      <c r="A548" s="12"/>
      <c r="B548" s="12"/>
      <c r="C548" s="12"/>
      <c r="D548" s="12"/>
      <c r="E548" s="12"/>
      <c r="F548" s="17"/>
      <c r="G548" s="12"/>
      <c r="H548" s="12"/>
      <c r="I548" s="12"/>
      <c r="J548" s="12"/>
      <c r="K548" s="12"/>
      <c r="L548" s="12"/>
      <c r="M548" s="12"/>
      <c r="N548" s="12"/>
      <c r="O548" s="12"/>
      <c r="P548" s="12"/>
      <c r="Q548" s="12"/>
      <c r="R548" s="12"/>
      <c r="S548" s="12"/>
      <c r="T548" s="12"/>
      <c r="U548" s="12"/>
      <c r="V548" s="14"/>
      <c r="W548" s="14"/>
      <c r="X548" s="14"/>
      <c r="Y548" s="14"/>
      <c r="Z548" s="15"/>
      <c r="AA548" s="12"/>
      <c r="AB548" s="12"/>
      <c r="AC548" s="12"/>
      <c r="AD548" s="12"/>
      <c r="AE548" s="12"/>
      <c r="AF548" s="12"/>
      <c r="AG548" s="12"/>
      <c r="AH548" s="12"/>
    </row>
    <row r="549" spans="1:34" ht="12.75">
      <c r="A549" s="12"/>
      <c r="B549" s="12"/>
      <c r="C549" s="12"/>
      <c r="D549" s="12"/>
      <c r="E549" s="12"/>
      <c r="F549" s="17"/>
      <c r="G549" s="12"/>
      <c r="H549" s="12"/>
      <c r="I549" s="12"/>
      <c r="J549" s="12"/>
      <c r="K549" s="12"/>
      <c r="L549" s="12"/>
      <c r="M549" s="12"/>
      <c r="N549" s="12"/>
      <c r="O549" s="12"/>
      <c r="P549" s="12"/>
      <c r="Q549" s="12"/>
      <c r="R549" s="12"/>
      <c r="S549" s="12"/>
      <c r="T549" s="12"/>
      <c r="U549" s="12"/>
      <c r="V549" s="14"/>
      <c r="W549" s="14"/>
      <c r="X549" s="14"/>
      <c r="Y549" s="14"/>
      <c r="Z549" s="15"/>
      <c r="AA549" s="12"/>
      <c r="AB549" s="12"/>
      <c r="AC549" s="12"/>
      <c r="AD549" s="12"/>
      <c r="AE549" s="12"/>
      <c r="AF549" s="12"/>
      <c r="AG549" s="12"/>
      <c r="AH549" s="12"/>
    </row>
    <row r="550" spans="1:34" ht="12.75">
      <c r="A550" s="12"/>
      <c r="B550" s="12"/>
      <c r="C550" s="12"/>
      <c r="D550" s="12"/>
      <c r="E550" s="12"/>
      <c r="F550" s="17"/>
      <c r="G550" s="12"/>
      <c r="H550" s="12"/>
      <c r="I550" s="12"/>
      <c r="J550" s="12"/>
      <c r="K550" s="12"/>
      <c r="L550" s="12"/>
      <c r="M550" s="12"/>
      <c r="N550" s="12"/>
      <c r="O550" s="12"/>
      <c r="P550" s="12"/>
      <c r="Q550" s="12"/>
      <c r="R550" s="12"/>
      <c r="S550" s="12"/>
      <c r="T550" s="12"/>
      <c r="U550" s="12"/>
      <c r="V550" s="14"/>
      <c r="W550" s="14"/>
      <c r="X550" s="14"/>
      <c r="Y550" s="14"/>
      <c r="Z550" s="15"/>
      <c r="AA550" s="12"/>
      <c r="AB550" s="12"/>
      <c r="AC550" s="12"/>
      <c r="AD550" s="12"/>
      <c r="AE550" s="12"/>
      <c r="AF550" s="12"/>
      <c r="AG550" s="12"/>
      <c r="AH550" s="12"/>
    </row>
    <row r="551" spans="1:34" ht="12.75">
      <c r="A551" s="12"/>
      <c r="B551" s="12"/>
      <c r="C551" s="12"/>
      <c r="D551" s="12"/>
      <c r="E551" s="12"/>
      <c r="F551" s="17"/>
      <c r="G551" s="12"/>
      <c r="H551" s="12"/>
      <c r="I551" s="12"/>
      <c r="J551" s="12"/>
      <c r="K551" s="12"/>
      <c r="L551" s="12"/>
      <c r="M551" s="12"/>
      <c r="N551" s="12"/>
      <c r="O551" s="12"/>
      <c r="P551" s="12"/>
      <c r="Q551" s="12"/>
      <c r="R551" s="12"/>
      <c r="S551" s="12"/>
      <c r="T551" s="12"/>
      <c r="U551" s="12"/>
      <c r="V551" s="14"/>
      <c r="W551" s="14"/>
      <c r="X551" s="14"/>
      <c r="Y551" s="14"/>
      <c r="Z551" s="15"/>
      <c r="AA551" s="12"/>
      <c r="AB551" s="12"/>
      <c r="AC551" s="12"/>
      <c r="AD551" s="12"/>
      <c r="AE551" s="12"/>
      <c r="AF551" s="12"/>
      <c r="AG551" s="12"/>
      <c r="AH551" s="12"/>
    </row>
    <row r="552" spans="1:34" ht="12.75">
      <c r="A552" s="12"/>
      <c r="B552" s="12"/>
      <c r="C552" s="12"/>
      <c r="D552" s="12"/>
      <c r="E552" s="12"/>
      <c r="F552" s="17"/>
      <c r="G552" s="12"/>
      <c r="H552" s="12"/>
      <c r="I552" s="12"/>
      <c r="J552" s="12"/>
      <c r="K552" s="12"/>
      <c r="L552" s="12"/>
      <c r="M552" s="12"/>
      <c r="N552" s="12"/>
      <c r="O552" s="12"/>
      <c r="P552" s="12"/>
      <c r="Q552" s="12"/>
      <c r="R552" s="12"/>
      <c r="S552" s="12"/>
      <c r="T552" s="12"/>
      <c r="U552" s="12"/>
      <c r="V552" s="14"/>
      <c r="W552" s="14"/>
      <c r="X552" s="14"/>
      <c r="Y552" s="14"/>
      <c r="Z552" s="15"/>
      <c r="AA552" s="12"/>
      <c r="AB552" s="12"/>
      <c r="AC552" s="12"/>
      <c r="AD552" s="12"/>
      <c r="AE552" s="12"/>
      <c r="AF552" s="12"/>
      <c r="AG552" s="12"/>
      <c r="AH552" s="12"/>
    </row>
    <row r="553" spans="1:34" ht="12.75">
      <c r="A553" s="12"/>
      <c r="B553" s="12"/>
      <c r="C553" s="12"/>
      <c r="D553" s="12"/>
      <c r="E553" s="12"/>
      <c r="F553" s="17"/>
      <c r="G553" s="12"/>
      <c r="H553" s="12"/>
      <c r="I553" s="12"/>
      <c r="J553" s="12"/>
      <c r="K553" s="12"/>
      <c r="L553" s="12"/>
      <c r="M553" s="12"/>
      <c r="N553" s="12"/>
      <c r="O553" s="12"/>
      <c r="P553" s="12"/>
      <c r="Q553" s="12"/>
      <c r="R553" s="12"/>
      <c r="S553" s="12"/>
      <c r="T553" s="12"/>
      <c r="U553" s="12"/>
      <c r="V553" s="14"/>
      <c r="W553" s="14"/>
      <c r="X553" s="14"/>
      <c r="Y553" s="14"/>
      <c r="Z553" s="15"/>
      <c r="AA553" s="12"/>
      <c r="AB553" s="12"/>
      <c r="AC553" s="12"/>
      <c r="AD553" s="12"/>
      <c r="AE553" s="12"/>
      <c r="AF553" s="12"/>
      <c r="AG553" s="12"/>
      <c r="AH553" s="12"/>
    </row>
    <row r="554" spans="1:34" ht="12.75">
      <c r="A554" s="12"/>
      <c r="B554" s="12"/>
      <c r="C554" s="12"/>
      <c r="D554" s="12"/>
      <c r="E554" s="12"/>
      <c r="F554" s="17"/>
      <c r="G554" s="12"/>
      <c r="H554" s="12"/>
      <c r="I554" s="12"/>
      <c r="J554" s="12"/>
      <c r="K554" s="12"/>
      <c r="L554" s="12"/>
      <c r="M554" s="12"/>
      <c r="N554" s="12"/>
      <c r="O554" s="12"/>
      <c r="P554" s="12"/>
      <c r="Q554" s="12"/>
      <c r="R554" s="12"/>
      <c r="S554" s="12"/>
      <c r="T554" s="12"/>
      <c r="U554" s="12"/>
      <c r="V554" s="14"/>
      <c r="W554" s="14"/>
      <c r="X554" s="14"/>
      <c r="Y554" s="14"/>
      <c r="Z554" s="15"/>
      <c r="AA554" s="12"/>
      <c r="AB554" s="12"/>
      <c r="AC554" s="12"/>
      <c r="AD554" s="12"/>
      <c r="AE554" s="12"/>
      <c r="AF554" s="12"/>
      <c r="AG554" s="12"/>
      <c r="AH554" s="12"/>
    </row>
    <row r="555" spans="1:34" ht="12.75">
      <c r="A555" s="12"/>
      <c r="B555" s="12"/>
      <c r="C555" s="12"/>
      <c r="D555" s="12"/>
      <c r="E555" s="12"/>
      <c r="F555" s="17"/>
      <c r="G555" s="12"/>
      <c r="H555" s="12"/>
      <c r="I555" s="12"/>
      <c r="J555" s="12"/>
      <c r="K555" s="12"/>
      <c r="L555" s="12"/>
      <c r="M555" s="12"/>
      <c r="N555" s="12"/>
      <c r="O555" s="12"/>
      <c r="P555" s="12"/>
      <c r="Q555" s="12"/>
      <c r="R555" s="12"/>
      <c r="S555" s="12"/>
      <c r="T555" s="12"/>
      <c r="U555" s="12"/>
      <c r="V555" s="14"/>
      <c r="W555" s="14"/>
      <c r="X555" s="14"/>
      <c r="Y555" s="14"/>
      <c r="Z555" s="15"/>
      <c r="AA555" s="12"/>
      <c r="AB555" s="12"/>
      <c r="AC555" s="12"/>
      <c r="AD555" s="12"/>
      <c r="AE555" s="12"/>
      <c r="AF555" s="12"/>
      <c r="AG555" s="12"/>
      <c r="AH555" s="12"/>
    </row>
    <row r="556" spans="1:34" ht="12.75">
      <c r="A556" s="12"/>
      <c r="B556" s="12"/>
      <c r="C556" s="12"/>
      <c r="D556" s="12"/>
      <c r="E556" s="12"/>
      <c r="F556" s="17"/>
      <c r="G556" s="12"/>
      <c r="H556" s="12"/>
      <c r="I556" s="12"/>
      <c r="J556" s="12"/>
      <c r="K556" s="12"/>
      <c r="L556" s="12"/>
      <c r="M556" s="12"/>
      <c r="N556" s="12"/>
      <c r="O556" s="12"/>
      <c r="P556" s="12"/>
      <c r="Q556" s="12"/>
      <c r="R556" s="12"/>
      <c r="S556" s="12"/>
      <c r="T556" s="12"/>
      <c r="U556" s="12"/>
      <c r="V556" s="14"/>
      <c r="W556" s="14"/>
      <c r="X556" s="14"/>
      <c r="Y556" s="14"/>
      <c r="Z556" s="15"/>
      <c r="AA556" s="12"/>
      <c r="AB556" s="12"/>
      <c r="AC556" s="12"/>
      <c r="AD556" s="12"/>
      <c r="AE556" s="12"/>
      <c r="AF556" s="12"/>
      <c r="AG556" s="12"/>
      <c r="AH556" s="12"/>
    </row>
    <row r="557" spans="1:34" ht="12.75">
      <c r="A557" s="12"/>
      <c r="B557" s="12"/>
      <c r="C557" s="12"/>
      <c r="D557" s="12"/>
      <c r="E557" s="12"/>
      <c r="F557" s="17"/>
      <c r="G557" s="12"/>
      <c r="H557" s="12"/>
      <c r="I557" s="12"/>
      <c r="J557" s="12"/>
      <c r="K557" s="12"/>
      <c r="L557" s="12"/>
      <c r="M557" s="12"/>
      <c r="N557" s="12"/>
      <c r="O557" s="12"/>
      <c r="P557" s="12"/>
      <c r="Q557" s="12"/>
      <c r="R557" s="12"/>
      <c r="S557" s="12"/>
      <c r="T557" s="12"/>
      <c r="U557" s="12"/>
      <c r="V557" s="14"/>
      <c r="W557" s="14"/>
      <c r="X557" s="14"/>
      <c r="Y557" s="14"/>
      <c r="Z557" s="15"/>
      <c r="AA557" s="12"/>
      <c r="AB557" s="12"/>
      <c r="AC557" s="12"/>
      <c r="AD557" s="12"/>
      <c r="AE557" s="12"/>
      <c r="AF557" s="12"/>
      <c r="AG557" s="12"/>
      <c r="AH557" s="12"/>
    </row>
    <row r="558" spans="1:34" ht="12.75">
      <c r="A558" s="12"/>
      <c r="B558" s="12"/>
      <c r="C558" s="12"/>
      <c r="D558" s="12"/>
      <c r="E558" s="12"/>
      <c r="F558" s="17"/>
      <c r="G558" s="12"/>
      <c r="H558" s="12"/>
      <c r="I558" s="12"/>
      <c r="J558" s="12"/>
      <c r="K558" s="12"/>
      <c r="L558" s="12"/>
      <c r="M558" s="12"/>
      <c r="N558" s="12"/>
      <c r="O558" s="12"/>
      <c r="P558" s="12"/>
      <c r="Q558" s="12"/>
      <c r="R558" s="12"/>
      <c r="S558" s="12"/>
      <c r="T558" s="12"/>
      <c r="U558" s="12"/>
      <c r="V558" s="14"/>
      <c r="W558" s="14"/>
      <c r="X558" s="14"/>
      <c r="Y558" s="14"/>
      <c r="Z558" s="15"/>
      <c r="AA558" s="12"/>
      <c r="AB558" s="12"/>
      <c r="AC558" s="12"/>
      <c r="AD558" s="12"/>
      <c r="AE558" s="12"/>
      <c r="AF558" s="12"/>
      <c r="AG558" s="12"/>
      <c r="AH558" s="12"/>
    </row>
    <row r="559" spans="1:34" ht="12.75">
      <c r="A559" s="12"/>
      <c r="B559" s="12"/>
      <c r="C559" s="12"/>
      <c r="D559" s="12"/>
      <c r="E559" s="12"/>
      <c r="F559" s="17"/>
      <c r="G559" s="12"/>
      <c r="H559" s="12"/>
      <c r="I559" s="12"/>
      <c r="J559" s="12"/>
      <c r="K559" s="12"/>
      <c r="L559" s="12"/>
      <c r="M559" s="12"/>
      <c r="N559" s="12"/>
      <c r="O559" s="12"/>
      <c r="P559" s="12"/>
      <c r="Q559" s="12"/>
      <c r="R559" s="12"/>
      <c r="S559" s="12"/>
      <c r="T559" s="12"/>
      <c r="U559" s="12"/>
      <c r="V559" s="14"/>
      <c r="W559" s="14"/>
      <c r="X559" s="14"/>
      <c r="Y559" s="14"/>
      <c r="Z559" s="15"/>
      <c r="AA559" s="12"/>
      <c r="AB559" s="12"/>
      <c r="AC559" s="12"/>
      <c r="AD559" s="12"/>
      <c r="AE559" s="12"/>
      <c r="AF559" s="12"/>
      <c r="AG559" s="12"/>
      <c r="AH559" s="12"/>
    </row>
    <row r="560" spans="1:34" ht="12.75">
      <c r="A560" s="12"/>
      <c r="B560" s="12"/>
      <c r="C560" s="12"/>
      <c r="D560" s="12"/>
      <c r="E560" s="12"/>
      <c r="F560" s="17"/>
      <c r="G560" s="12"/>
      <c r="H560" s="12"/>
      <c r="I560" s="12"/>
      <c r="J560" s="12"/>
      <c r="K560" s="12"/>
      <c r="L560" s="12"/>
      <c r="M560" s="12"/>
      <c r="N560" s="12"/>
      <c r="O560" s="12"/>
      <c r="P560" s="12"/>
      <c r="Q560" s="12"/>
      <c r="R560" s="12"/>
      <c r="S560" s="12"/>
      <c r="T560" s="12"/>
      <c r="U560" s="12"/>
      <c r="V560" s="14"/>
      <c r="W560" s="14"/>
      <c r="X560" s="14"/>
      <c r="Y560" s="14"/>
      <c r="Z560" s="15"/>
      <c r="AA560" s="12"/>
      <c r="AB560" s="12"/>
      <c r="AC560" s="12"/>
      <c r="AD560" s="12"/>
      <c r="AE560" s="12"/>
      <c r="AF560" s="12"/>
      <c r="AG560" s="12"/>
      <c r="AH560" s="12"/>
    </row>
    <row r="561" spans="1:34" ht="12.75">
      <c r="A561" s="12"/>
      <c r="B561" s="12"/>
      <c r="C561" s="12"/>
      <c r="D561" s="12"/>
      <c r="E561" s="12"/>
      <c r="F561" s="17"/>
      <c r="G561" s="12"/>
      <c r="H561" s="12"/>
      <c r="I561" s="12"/>
      <c r="J561" s="12"/>
      <c r="K561" s="12"/>
      <c r="L561" s="12"/>
      <c r="M561" s="12"/>
      <c r="N561" s="12"/>
      <c r="O561" s="12"/>
      <c r="P561" s="12"/>
      <c r="Q561" s="12"/>
      <c r="R561" s="12"/>
      <c r="S561" s="12"/>
      <c r="T561" s="12"/>
      <c r="U561" s="12"/>
      <c r="V561" s="14"/>
      <c r="W561" s="14"/>
      <c r="X561" s="14"/>
      <c r="Y561" s="14"/>
      <c r="Z561" s="15"/>
      <c r="AA561" s="12"/>
      <c r="AB561" s="12"/>
      <c r="AC561" s="12"/>
      <c r="AD561" s="12"/>
      <c r="AE561" s="12"/>
      <c r="AF561" s="12"/>
      <c r="AG561" s="12"/>
      <c r="AH561" s="12"/>
    </row>
    <row r="562" spans="1:34" ht="12.75">
      <c r="A562" s="12"/>
      <c r="B562" s="12"/>
      <c r="C562" s="12"/>
      <c r="D562" s="12"/>
      <c r="E562" s="12"/>
      <c r="F562" s="17"/>
      <c r="G562" s="12"/>
      <c r="H562" s="12"/>
      <c r="I562" s="12"/>
      <c r="J562" s="12"/>
      <c r="K562" s="12"/>
      <c r="L562" s="12"/>
      <c r="M562" s="12"/>
      <c r="N562" s="12"/>
      <c r="O562" s="12"/>
      <c r="P562" s="12"/>
      <c r="Q562" s="12"/>
      <c r="R562" s="12"/>
      <c r="S562" s="12"/>
      <c r="T562" s="12"/>
      <c r="U562" s="12"/>
      <c r="V562" s="14"/>
      <c r="W562" s="14"/>
      <c r="X562" s="14"/>
      <c r="Y562" s="14"/>
      <c r="Z562" s="15"/>
      <c r="AA562" s="12"/>
      <c r="AB562" s="12"/>
      <c r="AC562" s="12"/>
      <c r="AD562" s="12"/>
      <c r="AE562" s="12"/>
      <c r="AF562" s="12"/>
      <c r="AG562" s="12"/>
      <c r="AH562" s="12"/>
    </row>
    <row r="563" spans="1:34" ht="12.75">
      <c r="A563" s="12"/>
      <c r="B563" s="12"/>
      <c r="C563" s="12"/>
      <c r="D563" s="12"/>
      <c r="E563" s="12"/>
      <c r="F563" s="17"/>
      <c r="G563" s="12"/>
      <c r="H563" s="12"/>
      <c r="I563" s="12"/>
      <c r="J563" s="12"/>
      <c r="K563" s="12"/>
      <c r="L563" s="12"/>
      <c r="M563" s="12"/>
      <c r="N563" s="12"/>
      <c r="O563" s="12"/>
      <c r="P563" s="12"/>
      <c r="Q563" s="12"/>
      <c r="R563" s="12"/>
      <c r="S563" s="12"/>
      <c r="T563" s="12"/>
      <c r="U563" s="12"/>
      <c r="V563" s="14"/>
      <c r="W563" s="14"/>
      <c r="X563" s="14"/>
      <c r="Y563" s="14"/>
      <c r="Z563" s="15"/>
      <c r="AA563" s="12"/>
      <c r="AB563" s="12"/>
      <c r="AC563" s="12"/>
      <c r="AD563" s="12"/>
      <c r="AE563" s="12"/>
      <c r="AF563" s="12"/>
      <c r="AG563" s="12"/>
      <c r="AH563" s="12"/>
    </row>
    <row r="564" spans="1:34" ht="12.75">
      <c r="A564" s="12"/>
      <c r="B564" s="12"/>
      <c r="C564" s="12"/>
      <c r="D564" s="12"/>
      <c r="E564" s="12"/>
      <c r="F564" s="17"/>
      <c r="G564" s="12"/>
      <c r="H564" s="12"/>
      <c r="I564" s="12"/>
      <c r="J564" s="12"/>
      <c r="K564" s="12"/>
      <c r="L564" s="12"/>
      <c r="M564" s="12"/>
      <c r="N564" s="12"/>
      <c r="O564" s="12"/>
      <c r="P564" s="12"/>
      <c r="Q564" s="12"/>
      <c r="R564" s="12"/>
      <c r="S564" s="12"/>
      <c r="T564" s="12"/>
      <c r="U564" s="12"/>
      <c r="V564" s="14"/>
      <c r="W564" s="14"/>
      <c r="X564" s="14"/>
      <c r="Y564" s="14"/>
      <c r="Z564" s="15"/>
      <c r="AA564" s="12"/>
      <c r="AB564" s="12"/>
      <c r="AC564" s="12"/>
      <c r="AD564" s="12"/>
      <c r="AE564" s="12"/>
      <c r="AF564" s="12"/>
      <c r="AG564" s="12"/>
      <c r="AH564" s="12"/>
    </row>
    <row r="565" spans="1:34" ht="12.75">
      <c r="A565" s="12"/>
      <c r="B565" s="12"/>
      <c r="C565" s="12"/>
      <c r="D565" s="12"/>
      <c r="E565" s="12"/>
      <c r="F565" s="17"/>
      <c r="G565" s="12"/>
      <c r="H565" s="12"/>
      <c r="I565" s="12"/>
      <c r="J565" s="12"/>
      <c r="K565" s="12"/>
      <c r="L565" s="12"/>
      <c r="M565" s="12"/>
      <c r="N565" s="12"/>
      <c r="O565" s="12"/>
      <c r="P565" s="12"/>
      <c r="Q565" s="12"/>
      <c r="R565" s="12"/>
      <c r="S565" s="12"/>
      <c r="T565" s="12"/>
      <c r="U565" s="12"/>
      <c r="V565" s="14"/>
      <c r="W565" s="14"/>
      <c r="X565" s="14"/>
      <c r="Y565" s="14"/>
      <c r="Z565" s="15"/>
      <c r="AA565" s="12"/>
      <c r="AB565" s="12"/>
      <c r="AC565" s="12"/>
      <c r="AD565" s="12"/>
      <c r="AE565" s="12"/>
      <c r="AF565" s="12"/>
      <c r="AG565" s="12"/>
      <c r="AH565" s="12"/>
    </row>
    <row r="566" spans="1:34" ht="12.75">
      <c r="A566" s="12"/>
      <c r="B566" s="12"/>
      <c r="C566" s="12"/>
      <c r="D566" s="12"/>
      <c r="E566" s="12"/>
      <c r="F566" s="17"/>
      <c r="G566" s="12"/>
      <c r="H566" s="12"/>
      <c r="I566" s="12"/>
      <c r="J566" s="12"/>
      <c r="K566" s="12"/>
      <c r="L566" s="12"/>
      <c r="M566" s="12"/>
      <c r="N566" s="12"/>
      <c r="O566" s="12"/>
      <c r="P566" s="12"/>
      <c r="Q566" s="12"/>
      <c r="R566" s="12"/>
      <c r="S566" s="12"/>
      <c r="T566" s="12"/>
      <c r="U566" s="12"/>
      <c r="V566" s="14"/>
      <c r="W566" s="14"/>
      <c r="X566" s="14"/>
      <c r="Y566" s="14"/>
      <c r="Z566" s="15"/>
      <c r="AA566" s="12"/>
      <c r="AB566" s="12"/>
      <c r="AC566" s="12"/>
      <c r="AD566" s="12"/>
      <c r="AE566" s="12"/>
      <c r="AF566" s="12"/>
      <c r="AG566" s="12"/>
      <c r="AH566" s="12"/>
    </row>
    <row r="567" spans="1:34" ht="12.75">
      <c r="A567" s="12"/>
      <c r="B567" s="12"/>
      <c r="C567" s="12"/>
      <c r="D567" s="12"/>
      <c r="E567" s="12"/>
      <c r="F567" s="17"/>
      <c r="G567" s="12"/>
      <c r="H567" s="12"/>
      <c r="I567" s="12"/>
      <c r="J567" s="12"/>
      <c r="K567" s="12"/>
      <c r="L567" s="12"/>
      <c r="M567" s="12"/>
      <c r="N567" s="12"/>
      <c r="O567" s="12"/>
      <c r="P567" s="12"/>
      <c r="Q567" s="12"/>
      <c r="R567" s="12"/>
      <c r="S567" s="12"/>
      <c r="T567" s="12"/>
      <c r="U567" s="12"/>
      <c r="V567" s="14"/>
      <c r="W567" s="14"/>
      <c r="X567" s="14"/>
      <c r="Y567" s="14"/>
      <c r="Z567" s="15"/>
      <c r="AA567" s="12"/>
      <c r="AB567" s="12"/>
      <c r="AC567" s="12"/>
      <c r="AD567" s="12"/>
      <c r="AE567" s="12"/>
      <c r="AF567" s="12"/>
      <c r="AG567" s="12"/>
      <c r="AH567" s="12"/>
    </row>
    <row r="568" spans="1:34" ht="12.75">
      <c r="A568" s="12"/>
      <c r="B568" s="12"/>
      <c r="C568" s="12"/>
      <c r="D568" s="12"/>
      <c r="E568" s="12"/>
      <c r="F568" s="17"/>
      <c r="G568" s="12"/>
      <c r="H568" s="12"/>
      <c r="I568" s="12"/>
      <c r="J568" s="12"/>
      <c r="K568" s="12"/>
      <c r="L568" s="12"/>
      <c r="M568" s="12"/>
      <c r="N568" s="12"/>
      <c r="O568" s="12"/>
      <c r="P568" s="12"/>
      <c r="Q568" s="12"/>
      <c r="R568" s="12"/>
      <c r="S568" s="12"/>
      <c r="T568" s="12"/>
      <c r="U568" s="12"/>
      <c r="V568" s="14"/>
      <c r="W568" s="14"/>
      <c r="X568" s="14"/>
      <c r="Y568" s="14"/>
      <c r="Z568" s="15"/>
      <c r="AA568" s="12"/>
      <c r="AB568" s="12"/>
      <c r="AC568" s="12"/>
      <c r="AD568" s="12"/>
      <c r="AE568" s="12"/>
      <c r="AF568" s="12"/>
      <c r="AG568" s="12"/>
      <c r="AH568" s="12"/>
    </row>
    <row r="569" spans="1:34" ht="12.75">
      <c r="A569" s="12"/>
      <c r="B569" s="12"/>
      <c r="C569" s="12"/>
      <c r="D569" s="12"/>
      <c r="E569" s="12"/>
      <c r="F569" s="17"/>
      <c r="G569" s="12"/>
      <c r="H569" s="12"/>
      <c r="I569" s="12"/>
      <c r="J569" s="12"/>
      <c r="K569" s="12"/>
      <c r="L569" s="12"/>
      <c r="M569" s="12"/>
      <c r="N569" s="12"/>
      <c r="O569" s="12"/>
      <c r="P569" s="12"/>
      <c r="Q569" s="12"/>
      <c r="R569" s="12"/>
      <c r="S569" s="12"/>
      <c r="T569" s="12"/>
      <c r="U569" s="12"/>
      <c r="V569" s="14"/>
      <c r="W569" s="14"/>
      <c r="X569" s="14"/>
      <c r="Y569" s="14"/>
      <c r="Z569" s="15"/>
      <c r="AA569" s="12"/>
      <c r="AB569" s="12"/>
      <c r="AC569" s="12"/>
      <c r="AD569" s="12"/>
      <c r="AE569" s="12"/>
      <c r="AF569" s="12"/>
      <c r="AG569" s="12"/>
      <c r="AH569" s="12"/>
    </row>
    <row r="570" spans="1:34" ht="12.75">
      <c r="A570" s="12"/>
      <c r="B570" s="12"/>
      <c r="C570" s="12"/>
      <c r="D570" s="12"/>
      <c r="E570" s="12"/>
      <c r="F570" s="17"/>
      <c r="G570" s="12"/>
      <c r="H570" s="12"/>
      <c r="I570" s="12"/>
      <c r="J570" s="12"/>
      <c r="K570" s="12"/>
      <c r="L570" s="12"/>
      <c r="M570" s="12"/>
      <c r="N570" s="12"/>
      <c r="O570" s="12"/>
      <c r="P570" s="12"/>
      <c r="Q570" s="12"/>
      <c r="R570" s="12"/>
      <c r="S570" s="12"/>
      <c r="T570" s="12"/>
      <c r="U570" s="12"/>
      <c r="V570" s="14"/>
      <c r="W570" s="14"/>
      <c r="X570" s="14"/>
      <c r="Y570" s="14"/>
      <c r="Z570" s="15"/>
      <c r="AA570" s="12"/>
      <c r="AB570" s="12"/>
      <c r="AC570" s="12"/>
      <c r="AD570" s="12"/>
      <c r="AE570" s="12"/>
      <c r="AF570" s="12"/>
      <c r="AG570" s="12"/>
      <c r="AH570" s="12"/>
    </row>
    <row r="571" spans="1:34" ht="12.75">
      <c r="A571" s="12"/>
      <c r="B571" s="12"/>
      <c r="C571" s="12"/>
      <c r="D571" s="12"/>
      <c r="E571" s="12"/>
      <c r="F571" s="17"/>
      <c r="G571" s="12"/>
      <c r="H571" s="12"/>
      <c r="I571" s="12"/>
      <c r="J571" s="12"/>
      <c r="K571" s="12"/>
      <c r="L571" s="12"/>
      <c r="M571" s="12"/>
      <c r="N571" s="12"/>
      <c r="O571" s="12"/>
      <c r="P571" s="12"/>
      <c r="Q571" s="12"/>
      <c r="R571" s="12"/>
      <c r="S571" s="12"/>
      <c r="T571" s="12"/>
      <c r="U571" s="12"/>
      <c r="V571" s="14"/>
      <c r="W571" s="14"/>
      <c r="X571" s="14"/>
      <c r="Y571" s="14"/>
      <c r="Z571" s="15"/>
      <c r="AA571" s="12"/>
      <c r="AB571" s="12"/>
      <c r="AC571" s="12"/>
      <c r="AD571" s="12"/>
      <c r="AE571" s="12"/>
      <c r="AF571" s="12"/>
      <c r="AG571" s="12"/>
      <c r="AH571" s="12"/>
    </row>
    <row r="572" spans="1:34" ht="12.75">
      <c r="A572" s="12"/>
      <c r="B572" s="12"/>
      <c r="C572" s="12"/>
      <c r="D572" s="12"/>
      <c r="E572" s="12"/>
      <c r="F572" s="17"/>
      <c r="G572" s="12"/>
      <c r="H572" s="12"/>
      <c r="I572" s="12"/>
      <c r="J572" s="12"/>
      <c r="K572" s="12"/>
      <c r="L572" s="12"/>
      <c r="M572" s="12"/>
      <c r="N572" s="12"/>
      <c r="O572" s="12"/>
      <c r="P572" s="12"/>
      <c r="Q572" s="12"/>
      <c r="R572" s="12"/>
      <c r="S572" s="12"/>
      <c r="T572" s="12"/>
      <c r="U572" s="12"/>
      <c r="V572" s="14"/>
      <c r="W572" s="14"/>
      <c r="X572" s="14"/>
      <c r="Y572" s="14"/>
      <c r="Z572" s="15"/>
      <c r="AA572" s="12"/>
      <c r="AB572" s="12"/>
      <c r="AC572" s="12"/>
      <c r="AD572" s="12"/>
      <c r="AE572" s="12"/>
      <c r="AF572" s="12"/>
      <c r="AG572" s="12"/>
      <c r="AH572" s="12"/>
    </row>
    <row r="573" spans="1:34" ht="12.75">
      <c r="A573" s="12"/>
      <c r="B573" s="12"/>
      <c r="C573" s="12"/>
      <c r="D573" s="12"/>
      <c r="E573" s="12"/>
      <c r="F573" s="17"/>
      <c r="G573" s="12"/>
      <c r="H573" s="12"/>
      <c r="I573" s="12"/>
      <c r="J573" s="12"/>
      <c r="K573" s="12"/>
      <c r="L573" s="12"/>
      <c r="M573" s="12"/>
      <c r="N573" s="12"/>
      <c r="O573" s="12"/>
      <c r="P573" s="12"/>
      <c r="Q573" s="12"/>
      <c r="R573" s="12"/>
      <c r="S573" s="12"/>
      <c r="T573" s="12"/>
      <c r="U573" s="12"/>
      <c r="V573" s="14"/>
      <c r="W573" s="14"/>
      <c r="X573" s="14"/>
      <c r="Y573" s="14"/>
      <c r="Z573" s="15"/>
      <c r="AA573" s="12"/>
      <c r="AB573" s="12"/>
      <c r="AC573" s="12"/>
      <c r="AD573" s="12"/>
      <c r="AE573" s="12"/>
      <c r="AF573" s="12"/>
      <c r="AG573" s="12"/>
      <c r="AH573" s="12"/>
    </row>
    <row r="574" spans="1:34" ht="12.75">
      <c r="A574" s="12"/>
      <c r="B574" s="12"/>
      <c r="C574" s="12"/>
      <c r="D574" s="12"/>
      <c r="E574" s="12"/>
      <c r="F574" s="17"/>
      <c r="G574" s="12"/>
      <c r="H574" s="12"/>
      <c r="I574" s="12"/>
      <c r="J574" s="12"/>
      <c r="K574" s="12"/>
      <c r="L574" s="12"/>
      <c r="M574" s="12"/>
      <c r="N574" s="12"/>
      <c r="O574" s="12"/>
      <c r="P574" s="12"/>
      <c r="Q574" s="12"/>
      <c r="R574" s="12"/>
      <c r="S574" s="12"/>
      <c r="T574" s="12"/>
      <c r="U574" s="12"/>
      <c r="V574" s="14"/>
      <c r="W574" s="14"/>
      <c r="X574" s="14"/>
      <c r="Y574" s="14"/>
      <c r="Z574" s="15"/>
      <c r="AA574" s="12"/>
      <c r="AB574" s="12"/>
      <c r="AC574" s="12"/>
      <c r="AD574" s="12"/>
      <c r="AE574" s="12"/>
      <c r="AF574" s="12"/>
      <c r="AG574" s="12"/>
      <c r="AH574" s="12"/>
    </row>
    <row r="575" spans="1:34" ht="12.75">
      <c r="A575" s="12"/>
      <c r="B575" s="12"/>
      <c r="C575" s="12"/>
      <c r="D575" s="12"/>
      <c r="E575" s="12"/>
      <c r="F575" s="17"/>
      <c r="G575" s="12"/>
      <c r="H575" s="12"/>
      <c r="I575" s="12"/>
      <c r="J575" s="12"/>
      <c r="K575" s="12"/>
      <c r="L575" s="12"/>
      <c r="M575" s="12"/>
      <c r="N575" s="12"/>
      <c r="O575" s="12"/>
      <c r="P575" s="12"/>
      <c r="Q575" s="12"/>
      <c r="R575" s="12"/>
      <c r="S575" s="12"/>
      <c r="T575" s="12"/>
      <c r="U575" s="12"/>
      <c r="V575" s="14"/>
      <c r="W575" s="14"/>
      <c r="X575" s="14"/>
      <c r="Y575" s="14"/>
      <c r="Z575" s="15"/>
      <c r="AA575" s="12"/>
      <c r="AB575" s="12"/>
      <c r="AC575" s="12"/>
      <c r="AD575" s="12"/>
      <c r="AE575" s="12"/>
      <c r="AF575" s="12"/>
      <c r="AG575" s="12"/>
      <c r="AH575" s="12"/>
    </row>
    <row r="576" spans="1:34" ht="12.75">
      <c r="A576" s="12"/>
      <c r="B576" s="12"/>
      <c r="C576" s="12"/>
      <c r="D576" s="12"/>
      <c r="E576" s="12"/>
      <c r="F576" s="17"/>
      <c r="G576" s="12"/>
      <c r="H576" s="12"/>
      <c r="I576" s="12"/>
      <c r="J576" s="12"/>
      <c r="K576" s="12"/>
      <c r="L576" s="12"/>
      <c r="M576" s="12"/>
      <c r="N576" s="12"/>
      <c r="O576" s="12"/>
      <c r="P576" s="12"/>
      <c r="Q576" s="12"/>
      <c r="R576" s="12"/>
      <c r="S576" s="12"/>
      <c r="T576" s="12"/>
      <c r="U576" s="12"/>
      <c r="V576" s="14"/>
      <c r="W576" s="14"/>
      <c r="X576" s="14"/>
      <c r="Y576" s="14"/>
      <c r="Z576" s="15"/>
      <c r="AA576" s="12"/>
      <c r="AB576" s="12"/>
      <c r="AC576" s="12"/>
      <c r="AD576" s="12"/>
      <c r="AE576" s="12"/>
      <c r="AF576" s="12"/>
      <c r="AG576" s="12"/>
      <c r="AH576" s="12"/>
    </row>
    <row r="577" spans="1:34" ht="12.75">
      <c r="A577" s="12"/>
      <c r="B577" s="12"/>
      <c r="C577" s="12"/>
      <c r="D577" s="12"/>
      <c r="E577" s="12"/>
      <c r="F577" s="17"/>
      <c r="G577" s="12"/>
      <c r="H577" s="12"/>
      <c r="I577" s="12"/>
      <c r="J577" s="12"/>
      <c r="K577" s="12"/>
      <c r="L577" s="12"/>
      <c r="M577" s="12"/>
      <c r="N577" s="12"/>
      <c r="O577" s="12"/>
      <c r="P577" s="12"/>
      <c r="Q577" s="12"/>
      <c r="R577" s="12"/>
      <c r="S577" s="12"/>
      <c r="T577" s="12"/>
      <c r="U577" s="12"/>
      <c r="V577" s="14"/>
      <c r="W577" s="14"/>
      <c r="X577" s="14"/>
      <c r="Y577" s="14"/>
      <c r="Z577" s="15"/>
      <c r="AA577" s="12"/>
      <c r="AB577" s="12"/>
      <c r="AC577" s="12"/>
      <c r="AD577" s="12"/>
      <c r="AE577" s="12"/>
      <c r="AF577" s="12"/>
      <c r="AG577" s="12"/>
      <c r="AH577" s="12"/>
    </row>
    <row r="578" spans="1:34" ht="12.75">
      <c r="A578" s="12"/>
      <c r="B578" s="12"/>
      <c r="C578" s="12"/>
      <c r="D578" s="12"/>
      <c r="E578" s="12"/>
      <c r="F578" s="17"/>
      <c r="G578" s="12"/>
      <c r="H578" s="12"/>
      <c r="I578" s="12"/>
      <c r="J578" s="12"/>
      <c r="K578" s="12"/>
      <c r="L578" s="12"/>
      <c r="M578" s="12"/>
      <c r="N578" s="12"/>
      <c r="O578" s="12"/>
      <c r="P578" s="12"/>
      <c r="Q578" s="12"/>
      <c r="R578" s="12"/>
      <c r="S578" s="12"/>
      <c r="T578" s="12"/>
      <c r="U578" s="12"/>
      <c r="V578" s="14"/>
      <c r="W578" s="14"/>
      <c r="X578" s="14"/>
      <c r="Y578" s="14"/>
      <c r="Z578" s="15"/>
      <c r="AA578" s="12"/>
      <c r="AB578" s="12"/>
      <c r="AC578" s="12"/>
      <c r="AD578" s="12"/>
      <c r="AE578" s="12"/>
      <c r="AF578" s="12"/>
      <c r="AG578" s="12"/>
      <c r="AH578" s="12"/>
    </row>
    <row r="579" spans="1:34" ht="12.75">
      <c r="A579" s="12"/>
      <c r="B579" s="12"/>
      <c r="C579" s="12"/>
      <c r="D579" s="12"/>
      <c r="E579" s="12"/>
      <c r="F579" s="17"/>
      <c r="G579" s="12"/>
      <c r="H579" s="12"/>
      <c r="I579" s="12"/>
      <c r="J579" s="12"/>
      <c r="K579" s="12"/>
      <c r="L579" s="12"/>
      <c r="M579" s="12"/>
      <c r="N579" s="12"/>
      <c r="O579" s="12"/>
      <c r="P579" s="12"/>
      <c r="Q579" s="12"/>
      <c r="R579" s="12"/>
      <c r="S579" s="12"/>
      <c r="T579" s="12"/>
      <c r="U579" s="12"/>
      <c r="V579" s="14"/>
      <c r="W579" s="14"/>
      <c r="X579" s="14"/>
      <c r="Y579" s="14"/>
      <c r="Z579" s="15"/>
      <c r="AA579" s="12"/>
      <c r="AB579" s="12"/>
      <c r="AC579" s="12"/>
      <c r="AD579" s="12"/>
      <c r="AE579" s="12"/>
      <c r="AF579" s="12"/>
      <c r="AG579" s="12"/>
      <c r="AH579" s="12"/>
    </row>
    <row r="580" spans="1:34" ht="12.75">
      <c r="A580" s="12"/>
      <c r="B580" s="12"/>
      <c r="C580" s="12"/>
      <c r="D580" s="12"/>
      <c r="E580" s="12"/>
      <c r="F580" s="17"/>
      <c r="G580" s="12"/>
      <c r="H580" s="12"/>
      <c r="I580" s="12"/>
      <c r="J580" s="12"/>
      <c r="K580" s="12"/>
      <c r="L580" s="12"/>
      <c r="M580" s="12"/>
      <c r="N580" s="12"/>
      <c r="O580" s="12"/>
      <c r="P580" s="12"/>
      <c r="Q580" s="12"/>
      <c r="R580" s="12"/>
      <c r="S580" s="12"/>
      <c r="T580" s="12"/>
      <c r="U580" s="12"/>
      <c r="V580" s="14"/>
      <c r="W580" s="14"/>
      <c r="X580" s="14"/>
      <c r="Y580" s="14"/>
      <c r="Z580" s="15"/>
      <c r="AA580" s="12"/>
      <c r="AB580" s="12"/>
      <c r="AC580" s="12"/>
      <c r="AD580" s="12"/>
      <c r="AE580" s="12"/>
      <c r="AF580" s="12"/>
      <c r="AG580" s="12"/>
      <c r="AH580" s="12"/>
    </row>
    <row r="581" spans="1:34" ht="12.75">
      <c r="A581" s="12"/>
      <c r="B581" s="12"/>
      <c r="C581" s="12"/>
      <c r="D581" s="12"/>
      <c r="E581" s="12"/>
      <c r="F581" s="17"/>
      <c r="G581" s="12"/>
      <c r="H581" s="12"/>
      <c r="I581" s="12"/>
      <c r="J581" s="12"/>
      <c r="K581" s="12"/>
      <c r="L581" s="12"/>
      <c r="M581" s="12"/>
      <c r="N581" s="12"/>
      <c r="O581" s="12"/>
      <c r="P581" s="12"/>
      <c r="Q581" s="12"/>
      <c r="R581" s="12"/>
      <c r="S581" s="12"/>
      <c r="T581" s="12"/>
      <c r="U581" s="12"/>
      <c r="V581" s="14"/>
      <c r="W581" s="14"/>
      <c r="X581" s="14"/>
      <c r="Y581" s="14"/>
      <c r="Z581" s="15"/>
      <c r="AA581" s="12"/>
      <c r="AB581" s="12"/>
      <c r="AC581" s="12"/>
      <c r="AD581" s="12"/>
      <c r="AE581" s="12"/>
      <c r="AF581" s="12"/>
      <c r="AG581" s="12"/>
      <c r="AH581" s="12"/>
    </row>
    <row r="582" spans="1:34" ht="12.75">
      <c r="A582" s="12"/>
      <c r="B582" s="12"/>
      <c r="C582" s="12"/>
      <c r="D582" s="12"/>
      <c r="E582" s="12"/>
      <c r="F582" s="17"/>
      <c r="G582" s="12"/>
      <c r="H582" s="12"/>
      <c r="I582" s="12"/>
      <c r="J582" s="12"/>
      <c r="K582" s="12"/>
      <c r="L582" s="12"/>
      <c r="M582" s="12"/>
      <c r="N582" s="12"/>
      <c r="O582" s="12"/>
      <c r="P582" s="12"/>
      <c r="Q582" s="12"/>
      <c r="R582" s="12"/>
      <c r="S582" s="12"/>
      <c r="T582" s="12"/>
      <c r="U582" s="12"/>
      <c r="V582" s="14"/>
      <c r="W582" s="14"/>
      <c r="X582" s="14"/>
      <c r="Y582" s="14"/>
      <c r="Z582" s="15"/>
      <c r="AA582" s="12"/>
      <c r="AB582" s="12"/>
      <c r="AC582" s="12"/>
      <c r="AD582" s="12"/>
      <c r="AE582" s="12"/>
      <c r="AF582" s="12"/>
      <c r="AG582" s="12"/>
      <c r="AH582" s="12"/>
    </row>
    <row r="583" spans="1:34" ht="12.75">
      <c r="A583" s="12"/>
      <c r="B583" s="12"/>
      <c r="C583" s="12"/>
      <c r="D583" s="12"/>
      <c r="E583" s="12"/>
      <c r="F583" s="17"/>
      <c r="G583" s="12"/>
      <c r="H583" s="12"/>
      <c r="I583" s="12"/>
      <c r="J583" s="12"/>
      <c r="K583" s="12"/>
      <c r="L583" s="12"/>
      <c r="M583" s="12"/>
      <c r="N583" s="12"/>
      <c r="O583" s="12"/>
      <c r="P583" s="12"/>
      <c r="Q583" s="12"/>
      <c r="R583" s="12"/>
      <c r="S583" s="12"/>
      <c r="T583" s="12"/>
      <c r="U583" s="12"/>
      <c r="V583" s="14"/>
      <c r="W583" s="14"/>
      <c r="X583" s="14"/>
      <c r="Y583" s="14"/>
      <c r="Z583" s="15"/>
      <c r="AA583" s="12"/>
      <c r="AB583" s="12"/>
      <c r="AC583" s="12"/>
      <c r="AD583" s="12"/>
      <c r="AE583" s="12"/>
      <c r="AF583" s="12"/>
      <c r="AG583" s="12"/>
      <c r="AH583" s="12"/>
    </row>
    <row r="584" spans="1:34" ht="12.75">
      <c r="A584" s="12"/>
      <c r="B584" s="12"/>
      <c r="C584" s="12"/>
      <c r="D584" s="12"/>
      <c r="E584" s="12"/>
      <c r="F584" s="17"/>
      <c r="G584" s="12"/>
      <c r="H584" s="12"/>
      <c r="I584" s="12"/>
      <c r="J584" s="12"/>
      <c r="K584" s="12"/>
      <c r="L584" s="12"/>
      <c r="M584" s="12"/>
      <c r="N584" s="12"/>
      <c r="O584" s="12"/>
      <c r="P584" s="12"/>
      <c r="Q584" s="12"/>
      <c r="R584" s="12"/>
      <c r="S584" s="12"/>
      <c r="T584" s="12"/>
      <c r="U584" s="12"/>
      <c r="V584" s="14"/>
      <c r="W584" s="14"/>
      <c r="X584" s="14"/>
      <c r="Y584" s="14"/>
      <c r="Z584" s="15"/>
      <c r="AA584" s="12"/>
      <c r="AB584" s="12"/>
      <c r="AC584" s="12"/>
      <c r="AD584" s="12"/>
      <c r="AE584" s="12"/>
      <c r="AF584" s="12"/>
      <c r="AG584" s="12"/>
      <c r="AH584" s="12"/>
    </row>
    <row r="585" spans="1:34" ht="12.75">
      <c r="A585" s="12"/>
      <c r="B585" s="12"/>
      <c r="C585" s="12"/>
      <c r="D585" s="12"/>
      <c r="E585" s="12"/>
      <c r="F585" s="17"/>
      <c r="G585" s="12"/>
      <c r="H585" s="12"/>
      <c r="I585" s="12"/>
      <c r="J585" s="12"/>
      <c r="K585" s="12"/>
      <c r="L585" s="12"/>
      <c r="M585" s="12"/>
      <c r="N585" s="12"/>
      <c r="O585" s="12"/>
      <c r="P585" s="12"/>
      <c r="Q585" s="12"/>
      <c r="R585" s="12"/>
      <c r="S585" s="12"/>
      <c r="T585" s="12"/>
      <c r="U585" s="12"/>
      <c r="V585" s="14"/>
      <c r="W585" s="14"/>
      <c r="X585" s="14"/>
      <c r="Y585" s="14"/>
      <c r="Z585" s="15"/>
      <c r="AA585" s="12"/>
      <c r="AB585" s="12"/>
      <c r="AC585" s="12"/>
      <c r="AD585" s="12"/>
      <c r="AE585" s="12"/>
      <c r="AF585" s="12"/>
      <c r="AG585" s="12"/>
      <c r="AH585" s="12"/>
    </row>
    <row r="586" spans="1:34" ht="12.75">
      <c r="A586" s="12"/>
      <c r="B586" s="12"/>
      <c r="C586" s="12"/>
      <c r="D586" s="12"/>
      <c r="E586" s="12"/>
      <c r="F586" s="17"/>
      <c r="G586" s="12"/>
      <c r="H586" s="12"/>
      <c r="I586" s="12"/>
      <c r="J586" s="12"/>
      <c r="K586" s="12"/>
      <c r="L586" s="12"/>
      <c r="M586" s="12"/>
      <c r="N586" s="12"/>
      <c r="O586" s="12"/>
      <c r="P586" s="12"/>
      <c r="Q586" s="12"/>
      <c r="R586" s="12"/>
      <c r="S586" s="12"/>
      <c r="T586" s="12"/>
      <c r="U586" s="12"/>
      <c r="V586" s="14"/>
      <c r="W586" s="14"/>
      <c r="X586" s="14"/>
      <c r="Y586" s="14"/>
      <c r="Z586" s="15"/>
      <c r="AA586" s="12"/>
      <c r="AB586" s="12"/>
      <c r="AC586" s="12"/>
      <c r="AD586" s="12"/>
      <c r="AE586" s="12"/>
      <c r="AF586" s="12"/>
      <c r="AG586" s="12"/>
      <c r="AH586" s="12"/>
    </row>
    <row r="587" spans="1:34" ht="12.75">
      <c r="A587" s="12"/>
      <c r="B587" s="12"/>
      <c r="C587" s="12"/>
      <c r="D587" s="12"/>
      <c r="E587" s="12"/>
      <c r="F587" s="17"/>
      <c r="G587" s="12"/>
      <c r="H587" s="12"/>
      <c r="I587" s="12"/>
      <c r="J587" s="12"/>
      <c r="K587" s="12"/>
      <c r="L587" s="12"/>
      <c r="M587" s="12"/>
      <c r="N587" s="12"/>
      <c r="O587" s="12"/>
      <c r="P587" s="12"/>
      <c r="Q587" s="12"/>
      <c r="R587" s="12"/>
      <c r="S587" s="12"/>
      <c r="T587" s="12"/>
      <c r="U587" s="12"/>
      <c r="V587" s="14"/>
      <c r="W587" s="14"/>
      <c r="X587" s="14"/>
      <c r="Y587" s="14"/>
      <c r="Z587" s="15"/>
      <c r="AA587" s="12"/>
      <c r="AB587" s="12"/>
      <c r="AC587" s="12"/>
      <c r="AD587" s="12"/>
      <c r="AE587" s="12"/>
      <c r="AF587" s="12"/>
      <c r="AG587" s="12"/>
      <c r="AH587" s="12"/>
    </row>
    <row r="588" spans="1:34" ht="12.75">
      <c r="A588" s="12"/>
      <c r="B588" s="12"/>
      <c r="C588" s="12"/>
      <c r="D588" s="12"/>
      <c r="E588" s="12"/>
      <c r="F588" s="17"/>
      <c r="G588" s="12"/>
      <c r="H588" s="12"/>
      <c r="I588" s="12"/>
      <c r="J588" s="12"/>
      <c r="K588" s="12"/>
      <c r="L588" s="12"/>
      <c r="M588" s="12"/>
      <c r="N588" s="12"/>
      <c r="O588" s="12"/>
      <c r="P588" s="12"/>
      <c r="Q588" s="12"/>
      <c r="R588" s="12"/>
      <c r="S588" s="12"/>
      <c r="T588" s="12"/>
      <c r="U588" s="12"/>
      <c r="V588" s="14"/>
      <c r="W588" s="14"/>
      <c r="X588" s="14"/>
      <c r="Y588" s="14"/>
      <c r="Z588" s="15"/>
      <c r="AA588" s="12"/>
      <c r="AB588" s="12"/>
      <c r="AC588" s="12"/>
      <c r="AD588" s="12"/>
      <c r="AE588" s="12"/>
      <c r="AF588" s="12"/>
      <c r="AG588" s="12"/>
      <c r="AH588" s="12"/>
    </row>
    <row r="589" spans="1:34" ht="12.75">
      <c r="A589" s="12"/>
      <c r="B589" s="12"/>
      <c r="C589" s="12"/>
      <c r="D589" s="12"/>
      <c r="E589" s="12"/>
      <c r="F589" s="17"/>
      <c r="G589" s="12"/>
      <c r="H589" s="12"/>
      <c r="I589" s="12"/>
      <c r="J589" s="12"/>
      <c r="K589" s="12"/>
      <c r="L589" s="12"/>
      <c r="M589" s="12"/>
      <c r="N589" s="12"/>
      <c r="O589" s="12"/>
      <c r="P589" s="12"/>
      <c r="Q589" s="12"/>
      <c r="R589" s="12"/>
      <c r="S589" s="12"/>
      <c r="T589" s="12"/>
      <c r="U589" s="12"/>
      <c r="V589" s="14"/>
      <c r="W589" s="14"/>
      <c r="X589" s="14"/>
      <c r="Y589" s="14"/>
      <c r="Z589" s="15"/>
      <c r="AA589" s="12"/>
      <c r="AB589" s="12"/>
      <c r="AC589" s="12"/>
      <c r="AD589" s="12"/>
      <c r="AE589" s="12"/>
      <c r="AF589" s="12"/>
      <c r="AG589" s="12"/>
      <c r="AH589" s="12"/>
    </row>
    <row r="590" spans="1:34" ht="12.75">
      <c r="A590" s="12"/>
      <c r="B590" s="12"/>
      <c r="C590" s="12"/>
      <c r="D590" s="12"/>
      <c r="E590" s="12"/>
      <c r="F590" s="17"/>
      <c r="G590" s="12"/>
      <c r="H590" s="12"/>
      <c r="I590" s="12"/>
      <c r="J590" s="12"/>
      <c r="K590" s="12"/>
      <c r="L590" s="12"/>
      <c r="M590" s="12"/>
      <c r="N590" s="12"/>
      <c r="O590" s="12"/>
      <c r="P590" s="12"/>
      <c r="Q590" s="12"/>
      <c r="R590" s="12"/>
      <c r="S590" s="12"/>
      <c r="T590" s="12"/>
      <c r="U590" s="12"/>
      <c r="V590" s="14"/>
      <c r="W590" s="14"/>
      <c r="X590" s="14"/>
      <c r="Y590" s="14"/>
      <c r="Z590" s="15"/>
      <c r="AA590" s="12"/>
      <c r="AB590" s="12"/>
      <c r="AC590" s="12"/>
      <c r="AD590" s="12"/>
      <c r="AE590" s="12"/>
      <c r="AF590" s="12"/>
      <c r="AG590" s="12"/>
      <c r="AH590" s="12"/>
    </row>
    <row r="591" spans="1:34" ht="12.75">
      <c r="A591" s="12"/>
      <c r="B591" s="12"/>
      <c r="C591" s="12"/>
      <c r="D591" s="12"/>
      <c r="E591" s="12"/>
      <c r="F591" s="17"/>
      <c r="G591" s="12"/>
      <c r="H591" s="12"/>
      <c r="I591" s="12"/>
      <c r="J591" s="12"/>
      <c r="K591" s="12"/>
      <c r="L591" s="12"/>
      <c r="M591" s="12"/>
      <c r="N591" s="12"/>
      <c r="O591" s="12"/>
      <c r="P591" s="12"/>
      <c r="Q591" s="12"/>
      <c r="R591" s="12"/>
      <c r="S591" s="12"/>
      <c r="T591" s="12"/>
      <c r="U591" s="12"/>
      <c r="V591" s="14"/>
      <c r="W591" s="14"/>
      <c r="X591" s="14"/>
      <c r="Y591" s="14"/>
      <c r="Z591" s="15"/>
      <c r="AA591" s="12"/>
      <c r="AB591" s="12"/>
      <c r="AC591" s="12"/>
      <c r="AD591" s="12"/>
      <c r="AE591" s="12"/>
      <c r="AF591" s="12"/>
      <c r="AG591" s="12"/>
      <c r="AH591" s="12"/>
    </row>
    <row r="592" spans="1:34" ht="12.75">
      <c r="A592" s="12"/>
      <c r="B592" s="12"/>
      <c r="C592" s="12"/>
      <c r="D592" s="12"/>
      <c r="E592" s="12"/>
      <c r="F592" s="17"/>
      <c r="G592" s="12"/>
      <c r="H592" s="12"/>
      <c r="I592" s="12"/>
      <c r="J592" s="12"/>
      <c r="K592" s="12"/>
      <c r="L592" s="12"/>
      <c r="M592" s="12"/>
      <c r="N592" s="12"/>
      <c r="O592" s="12"/>
      <c r="P592" s="12"/>
      <c r="Q592" s="12"/>
      <c r="R592" s="12"/>
      <c r="S592" s="12"/>
      <c r="T592" s="12"/>
      <c r="U592" s="12"/>
      <c r="V592" s="14"/>
      <c r="W592" s="14"/>
      <c r="X592" s="14"/>
      <c r="Y592" s="14"/>
      <c r="Z592" s="15"/>
      <c r="AA592" s="12"/>
      <c r="AB592" s="12"/>
      <c r="AC592" s="12"/>
      <c r="AD592" s="12"/>
      <c r="AE592" s="12"/>
      <c r="AF592" s="12"/>
      <c r="AG592" s="12"/>
      <c r="AH592" s="12"/>
    </row>
    <row r="593" spans="1:34" ht="12.75">
      <c r="A593" s="12"/>
      <c r="B593" s="12"/>
      <c r="C593" s="12"/>
      <c r="D593" s="12"/>
      <c r="E593" s="12"/>
      <c r="F593" s="17"/>
      <c r="G593" s="12"/>
      <c r="H593" s="12"/>
      <c r="I593" s="12"/>
      <c r="J593" s="12"/>
      <c r="K593" s="12"/>
      <c r="L593" s="12"/>
      <c r="M593" s="12"/>
      <c r="N593" s="12"/>
      <c r="O593" s="12"/>
      <c r="P593" s="12"/>
      <c r="Q593" s="12"/>
      <c r="R593" s="12"/>
      <c r="S593" s="12"/>
      <c r="T593" s="12"/>
      <c r="U593" s="12"/>
      <c r="V593" s="14"/>
      <c r="W593" s="14"/>
      <c r="X593" s="14"/>
      <c r="Y593" s="14"/>
      <c r="Z593" s="15"/>
      <c r="AA593" s="12"/>
      <c r="AB593" s="12"/>
      <c r="AC593" s="12"/>
      <c r="AD593" s="12"/>
      <c r="AE593" s="12"/>
      <c r="AF593" s="12"/>
      <c r="AG593" s="12"/>
      <c r="AH593" s="12"/>
    </row>
    <row r="594" spans="1:34" ht="12.75">
      <c r="A594" s="12"/>
      <c r="B594" s="12"/>
      <c r="C594" s="12"/>
      <c r="D594" s="12"/>
      <c r="E594" s="12"/>
      <c r="F594" s="17"/>
      <c r="G594" s="12"/>
      <c r="H594" s="12"/>
      <c r="I594" s="12"/>
      <c r="J594" s="12"/>
      <c r="K594" s="12"/>
      <c r="L594" s="12"/>
      <c r="M594" s="12"/>
      <c r="N594" s="12"/>
      <c r="O594" s="12"/>
      <c r="P594" s="12"/>
      <c r="Q594" s="12"/>
      <c r="R594" s="12"/>
      <c r="S594" s="12"/>
      <c r="T594" s="12"/>
      <c r="U594" s="12"/>
      <c r="V594" s="14"/>
      <c r="W594" s="14"/>
      <c r="X594" s="14"/>
      <c r="Y594" s="14"/>
      <c r="Z594" s="15"/>
      <c r="AA594" s="12"/>
      <c r="AB594" s="12"/>
      <c r="AC594" s="12"/>
      <c r="AD594" s="12"/>
      <c r="AE594" s="12"/>
      <c r="AF594" s="12"/>
      <c r="AG594" s="12"/>
      <c r="AH594" s="12"/>
    </row>
    <row r="595" spans="1:34" ht="12.75">
      <c r="A595" s="12"/>
      <c r="B595" s="12"/>
      <c r="C595" s="12"/>
      <c r="D595" s="12"/>
      <c r="E595" s="12"/>
      <c r="F595" s="17"/>
      <c r="G595" s="12"/>
      <c r="H595" s="12"/>
      <c r="I595" s="12"/>
      <c r="J595" s="12"/>
      <c r="K595" s="12"/>
      <c r="L595" s="12"/>
      <c r="M595" s="12"/>
      <c r="N595" s="12"/>
      <c r="O595" s="12"/>
      <c r="P595" s="12"/>
      <c r="Q595" s="12"/>
      <c r="R595" s="12"/>
      <c r="S595" s="12"/>
      <c r="T595" s="12"/>
      <c r="U595" s="12"/>
      <c r="V595" s="14"/>
      <c r="W595" s="14"/>
      <c r="X595" s="14"/>
      <c r="Y595" s="14"/>
      <c r="Z595" s="15"/>
      <c r="AA595" s="12"/>
      <c r="AB595" s="12"/>
      <c r="AC595" s="12"/>
      <c r="AD595" s="12"/>
      <c r="AE595" s="12"/>
      <c r="AF595" s="12"/>
      <c r="AG595" s="12"/>
      <c r="AH595" s="12"/>
    </row>
    <row r="596" spans="1:34" ht="12.75">
      <c r="A596" s="12"/>
      <c r="B596" s="12"/>
      <c r="C596" s="12"/>
      <c r="D596" s="12"/>
      <c r="E596" s="12"/>
      <c r="F596" s="17"/>
      <c r="G596" s="12"/>
      <c r="H596" s="12"/>
      <c r="I596" s="12"/>
      <c r="J596" s="12"/>
      <c r="K596" s="12"/>
      <c r="L596" s="12"/>
      <c r="M596" s="12"/>
      <c r="N596" s="12"/>
      <c r="O596" s="12"/>
      <c r="P596" s="12"/>
      <c r="Q596" s="12"/>
      <c r="R596" s="12"/>
      <c r="S596" s="12"/>
      <c r="T596" s="12"/>
      <c r="U596" s="12"/>
      <c r="V596" s="14"/>
      <c r="W596" s="14"/>
      <c r="X596" s="14"/>
      <c r="Y596" s="14"/>
      <c r="Z596" s="15"/>
      <c r="AA596" s="12"/>
      <c r="AB596" s="12"/>
      <c r="AC596" s="12"/>
      <c r="AD596" s="12"/>
      <c r="AE596" s="12"/>
      <c r="AF596" s="12"/>
      <c r="AG596" s="12"/>
      <c r="AH596" s="12"/>
    </row>
    <row r="597" spans="1:34" ht="12.75">
      <c r="A597" s="12"/>
      <c r="B597" s="12"/>
      <c r="C597" s="12"/>
      <c r="D597" s="12"/>
      <c r="E597" s="12"/>
      <c r="F597" s="17"/>
      <c r="G597" s="12"/>
      <c r="H597" s="12"/>
      <c r="I597" s="12"/>
      <c r="J597" s="12"/>
      <c r="K597" s="12"/>
      <c r="L597" s="12"/>
      <c r="M597" s="12"/>
      <c r="N597" s="12"/>
      <c r="O597" s="12"/>
      <c r="P597" s="12"/>
      <c r="Q597" s="12"/>
      <c r="R597" s="12"/>
      <c r="S597" s="12"/>
      <c r="T597" s="12"/>
      <c r="U597" s="12"/>
      <c r="V597" s="14"/>
      <c r="W597" s="14"/>
      <c r="X597" s="14"/>
      <c r="Y597" s="14"/>
      <c r="Z597" s="15"/>
      <c r="AA597" s="12"/>
      <c r="AB597" s="12"/>
      <c r="AC597" s="12"/>
      <c r="AD597" s="12"/>
      <c r="AE597" s="12"/>
      <c r="AF597" s="12"/>
      <c r="AG597" s="12"/>
      <c r="AH597" s="12"/>
    </row>
    <row r="598" spans="1:34" ht="12.75">
      <c r="A598" s="12"/>
      <c r="B598" s="12"/>
      <c r="C598" s="12"/>
      <c r="D598" s="12"/>
      <c r="E598" s="12"/>
      <c r="F598" s="17"/>
      <c r="G598" s="12"/>
      <c r="H598" s="12"/>
      <c r="I598" s="12"/>
      <c r="J598" s="12"/>
      <c r="K598" s="12"/>
      <c r="L598" s="12"/>
      <c r="M598" s="12"/>
      <c r="N598" s="12"/>
      <c r="O598" s="12"/>
      <c r="P598" s="12"/>
      <c r="Q598" s="12"/>
      <c r="R598" s="12"/>
      <c r="S598" s="12"/>
      <c r="T598" s="12"/>
      <c r="U598" s="12"/>
      <c r="V598" s="14"/>
      <c r="W598" s="14"/>
      <c r="X598" s="14"/>
      <c r="Y598" s="14"/>
      <c r="Z598" s="15"/>
      <c r="AA598" s="12"/>
      <c r="AB598" s="12"/>
      <c r="AC598" s="12"/>
      <c r="AD598" s="12"/>
      <c r="AE598" s="12"/>
      <c r="AF598" s="12"/>
      <c r="AG598" s="12"/>
      <c r="AH598" s="12"/>
    </row>
    <row r="599" spans="1:34" ht="12.75">
      <c r="A599" s="12"/>
      <c r="B599" s="12"/>
      <c r="C599" s="12"/>
      <c r="D599" s="12"/>
      <c r="E599" s="12"/>
      <c r="F599" s="17"/>
      <c r="G599" s="12"/>
      <c r="H599" s="12"/>
      <c r="I599" s="12"/>
      <c r="J599" s="12"/>
      <c r="K599" s="12"/>
      <c r="L599" s="12"/>
      <c r="M599" s="12"/>
      <c r="N599" s="12"/>
      <c r="O599" s="12"/>
      <c r="P599" s="12"/>
      <c r="Q599" s="12"/>
      <c r="R599" s="12"/>
      <c r="S599" s="12"/>
      <c r="T599" s="12"/>
      <c r="U599" s="12"/>
      <c r="V599" s="14"/>
      <c r="W599" s="14"/>
      <c r="X599" s="14"/>
      <c r="Y599" s="14"/>
      <c r="Z599" s="15"/>
      <c r="AA599" s="12"/>
      <c r="AB599" s="12"/>
      <c r="AC599" s="12"/>
      <c r="AD599" s="12"/>
      <c r="AE599" s="12"/>
      <c r="AF599" s="12"/>
      <c r="AG599" s="12"/>
      <c r="AH599" s="12"/>
    </row>
    <row r="600" spans="1:34" ht="12.75">
      <c r="A600" s="12"/>
      <c r="B600" s="12"/>
      <c r="C600" s="12"/>
      <c r="D600" s="12"/>
      <c r="E600" s="12"/>
      <c r="F600" s="17"/>
      <c r="G600" s="12"/>
      <c r="H600" s="12"/>
      <c r="I600" s="12"/>
      <c r="J600" s="12"/>
      <c r="K600" s="12"/>
      <c r="L600" s="12"/>
      <c r="M600" s="12"/>
      <c r="N600" s="12"/>
      <c r="O600" s="12"/>
      <c r="P600" s="12"/>
      <c r="Q600" s="12"/>
      <c r="R600" s="12"/>
      <c r="S600" s="12"/>
      <c r="T600" s="12"/>
      <c r="U600" s="12"/>
      <c r="V600" s="14"/>
      <c r="W600" s="14"/>
      <c r="X600" s="14"/>
      <c r="Y600" s="14"/>
      <c r="Z600" s="15"/>
      <c r="AA600" s="12"/>
      <c r="AB600" s="12"/>
      <c r="AC600" s="12"/>
      <c r="AD600" s="12"/>
      <c r="AE600" s="12"/>
      <c r="AF600" s="12"/>
      <c r="AG600" s="12"/>
      <c r="AH600" s="12"/>
    </row>
    <row r="601" spans="1:34" ht="12.75">
      <c r="A601" s="12"/>
      <c r="B601" s="12"/>
      <c r="C601" s="12"/>
      <c r="D601" s="12"/>
      <c r="E601" s="12"/>
      <c r="F601" s="17"/>
      <c r="G601" s="12"/>
      <c r="H601" s="12"/>
      <c r="I601" s="12"/>
      <c r="J601" s="12"/>
      <c r="K601" s="12"/>
      <c r="L601" s="12"/>
      <c r="M601" s="12"/>
      <c r="N601" s="12"/>
      <c r="O601" s="12"/>
      <c r="P601" s="12"/>
      <c r="Q601" s="12"/>
      <c r="R601" s="12"/>
      <c r="S601" s="12"/>
      <c r="T601" s="12"/>
      <c r="U601" s="12"/>
      <c r="V601" s="14"/>
      <c r="W601" s="14"/>
      <c r="X601" s="14"/>
      <c r="Y601" s="14"/>
      <c r="Z601" s="15"/>
      <c r="AA601" s="12"/>
      <c r="AB601" s="12"/>
      <c r="AC601" s="12"/>
      <c r="AD601" s="12"/>
      <c r="AE601" s="12"/>
      <c r="AF601" s="12"/>
      <c r="AG601" s="12"/>
      <c r="AH601" s="12"/>
    </row>
    <row r="602" spans="1:34" ht="12.75">
      <c r="A602" s="12"/>
      <c r="B602" s="12"/>
      <c r="C602" s="12"/>
      <c r="D602" s="12"/>
      <c r="E602" s="12"/>
      <c r="F602" s="17"/>
      <c r="G602" s="12"/>
      <c r="H602" s="12"/>
      <c r="I602" s="12"/>
      <c r="J602" s="12"/>
      <c r="K602" s="12"/>
      <c r="L602" s="12"/>
      <c r="M602" s="12"/>
      <c r="N602" s="12"/>
      <c r="O602" s="12"/>
      <c r="P602" s="12"/>
      <c r="Q602" s="12"/>
      <c r="R602" s="12"/>
      <c r="S602" s="12"/>
      <c r="T602" s="12"/>
      <c r="U602" s="12"/>
      <c r="V602" s="14"/>
      <c r="W602" s="14"/>
      <c r="X602" s="14"/>
      <c r="Y602" s="14"/>
      <c r="Z602" s="15"/>
      <c r="AA602" s="12"/>
      <c r="AB602" s="12"/>
      <c r="AC602" s="12"/>
      <c r="AD602" s="12"/>
      <c r="AE602" s="12"/>
      <c r="AF602" s="12"/>
      <c r="AG602" s="12"/>
      <c r="AH602" s="12"/>
    </row>
    <row r="603" spans="1:34" ht="12.75">
      <c r="A603" s="12"/>
      <c r="B603" s="12"/>
      <c r="C603" s="12"/>
      <c r="D603" s="12"/>
      <c r="E603" s="12"/>
      <c r="F603" s="17"/>
      <c r="G603" s="12"/>
      <c r="H603" s="12"/>
      <c r="I603" s="12"/>
      <c r="J603" s="12"/>
      <c r="K603" s="12"/>
      <c r="L603" s="12"/>
      <c r="M603" s="12"/>
      <c r="N603" s="12"/>
      <c r="O603" s="12"/>
      <c r="P603" s="12"/>
      <c r="Q603" s="12"/>
      <c r="R603" s="12"/>
      <c r="S603" s="12"/>
      <c r="T603" s="12"/>
      <c r="U603" s="12"/>
      <c r="V603" s="14"/>
      <c r="W603" s="14"/>
      <c r="X603" s="14"/>
      <c r="Y603" s="14"/>
      <c r="Z603" s="15"/>
      <c r="AA603" s="12"/>
      <c r="AB603" s="12"/>
      <c r="AC603" s="12"/>
      <c r="AD603" s="12"/>
      <c r="AE603" s="12"/>
      <c r="AF603" s="12"/>
      <c r="AG603" s="12"/>
      <c r="AH603" s="12"/>
    </row>
    <row r="604" spans="1:34" ht="12.75">
      <c r="A604" s="12"/>
      <c r="B604" s="12"/>
      <c r="C604" s="12"/>
      <c r="D604" s="12"/>
      <c r="E604" s="12"/>
      <c r="F604" s="17"/>
      <c r="G604" s="12"/>
      <c r="H604" s="12"/>
      <c r="I604" s="12"/>
      <c r="J604" s="12"/>
      <c r="K604" s="12"/>
      <c r="L604" s="12"/>
      <c r="M604" s="12"/>
      <c r="N604" s="12"/>
      <c r="O604" s="12"/>
      <c r="P604" s="12"/>
      <c r="Q604" s="12"/>
      <c r="R604" s="12"/>
      <c r="S604" s="12"/>
      <c r="T604" s="12"/>
      <c r="U604" s="12"/>
      <c r="V604" s="14"/>
      <c r="W604" s="14"/>
      <c r="X604" s="14"/>
      <c r="Y604" s="14"/>
      <c r="Z604" s="15"/>
      <c r="AA604" s="12"/>
      <c r="AB604" s="12"/>
      <c r="AC604" s="12"/>
      <c r="AD604" s="12"/>
      <c r="AE604" s="12"/>
      <c r="AF604" s="12"/>
      <c r="AG604" s="12"/>
      <c r="AH604" s="12"/>
    </row>
    <row r="605" spans="1:34" ht="12.75">
      <c r="A605" s="12"/>
      <c r="B605" s="12"/>
      <c r="C605" s="12"/>
      <c r="D605" s="12"/>
      <c r="E605" s="12"/>
      <c r="F605" s="17"/>
      <c r="G605" s="12"/>
      <c r="H605" s="12"/>
      <c r="I605" s="12"/>
      <c r="J605" s="12"/>
      <c r="K605" s="12"/>
      <c r="L605" s="12"/>
      <c r="M605" s="12"/>
      <c r="N605" s="12"/>
      <c r="O605" s="12"/>
      <c r="P605" s="12"/>
      <c r="Q605" s="12"/>
      <c r="R605" s="12"/>
      <c r="S605" s="12"/>
      <c r="T605" s="12"/>
      <c r="U605" s="12"/>
      <c r="V605" s="14"/>
      <c r="W605" s="14"/>
      <c r="X605" s="14"/>
      <c r="Y605" s="14"/>
      <c r="Z605" s="15"/>
      <c r="AA605" s="12"/>
      <c r="AB605" s="12"/>
      <c r="AC605" s="12"/>
      <c r="AD605" s="12"/>
      <c r="AE605" s="12"/>
      <c r="AF605" s="12"/>
      <c r="AG605" s="12"/>
      <c r="AH605" s="12"/>
    </row>
    <row r="606" spans="1:34" ht="12.75">
      <c r="A606" s="12"/>
      <c r="B606" s="12"/>
      <c r="C606" s="12"/>
      <c r="D606" s="12"/>
      <c r="E606" s="12"/>
      <c r="F606" s="17"/>
      <c r="G606" s="12"/>
      <c r="H606" s="12"/>
      <c r="I606" s="12"/>
      <c r="J606" s="12"/>
      <c r="K606" s="12"/>
      <c r="L606" s="12"/>
      <c r="M606" s="12"/>
      <c r="N606" s="12"/>
      <c r="O606" s="12"/>
      <c r="P606" s="12"/>
      <c r="Q606" s="12"/>
      <c r="R606" s="12"/>
      <c r="S606" s="12"/>
      <c r="T606" s="12"/>
      <c r="U606" s="12"/>
      <c r="V606" s="14"/>
      <c r="W606" s="14"/>
      <c r="X606" s="14"/>
      <c r="Y606" s="14"/>
      <c r="Z606" s="15"/>
      <c r="AA606" s="12"/>
      <c r="AB606" s="12"/>
      <c r="AC606" s="12"/>
      <c r="AD606" s="12"/>
      <c r="AE606" s="12"/>
      <c r="AF606" s="12"/>
      <c r="AG606" s="12"/>
      <c r="AH606" s="12"/>
    </row>
    <row r="607" spans="1:34" ht="12.75">
      <c r="A607" s="12"/>
      <c r="B607" s="12"/>
      <c r="C607" s="12"/>
      <c r="D607" s="12"/>
      <c r="E607" s="12"/>
      <c r="F607" s="17"/>
      <c r="G607" s="12"/>
      <c r="H607" s="12"/>
      <c r="I607" s="12"/>
      <c r="J607" s="12"/>
      <c r="K607" s="12"/>
      <c r="L607" s="12"/>
      <c r="M607" s="12"/>
      <c r="N607" s="12"/>
      <c r="O607" s="12"/>
      <c r="P607" s="12"/>
      <c r="Q607" s="12"/>
      <c r="R607" s="12"/>
      <c r="S607" s="12"/>
      <c r="T607" s="12"/>
      <c r="U607" s="12"/>
      <c r="V607" s="14"/>
      <c r="W607" s="14"/>
      <c r="X607" s="14"/>
      <c r="Y607" s="14"/>
      <c r="Z607" s="15"/>
      <c r="AA607" s="12"/>
      <c r="AB607" s="12"/>
      <c r="AC607" s="12"/>
      <c r="AD607" s="12"/>
      <c r="AE607" s="12"/>
      <c r="AF607" s="12"/>
      <c r="AG607" s="12"/>
      <c r="AH607" s="12"/>
    </row>
    <row r="608" spans="1:34" ht="12.75">
      <c r="A608" s="12"/>
      <c r="B608" s="12"/>
      <c r="C608" s="12"/>
      <c r="D608" s="12"/>
      <c r="E608" s="12"/>
      <c r="F608" s="17"/>
      <c r="G608" s="12"/>
      <c r="H608" s="12"/>
      <c r="I608" s="12"/>
      <c r="J608" s="12"/>
      <c r="K608" s="12"/>
      <c r="L608" s="12"/>
      <c r="M608" s="12"/>
      <c r="N608" s="12"/>
      <c r="O608" s="12"/>
      <c r="P608" s="12"/>
      <c r="Q608" s="12"/>
      <c r="R608" s="12"/>
      <c r="S608" s="12"/>
      <c r="T608" s="12"/>
      <c r="U608" s="12"/>
      <c r="V608" s="14"/>
      <c r="W608" s="14"/>
      <c r="X608" s="14"/>
      <c r="Y608" s="14"/>
      <c r="Z608" s="15"/>
      <c r="AA608" s="12"/>
      <c r="AB608" s="12"/>
      <c r="AC608" s="12"/>
      <c r="AD608" s="12"/>
      <c r="AE608" s="12"/>
      <c r="AF608" s="12"/>
      <c r="AG608" s="12"/>
      <c r="AH608" s="12"/>
    </row>
    <row r="609" spans="1:34" ht="12.75">
      <c r="A609" s="12"/>
      <c r="B609" s="12"/>
      <c r="C609" s="12"/>
      <c r="D609" s="12"/>
      <c r="E609" s="12"/>
      <c r="F609" s="17"/>
      <c r="G609" s="12"/>
      <c r="H609" s="12"/>
      <c r="I609" s="12"/>
      <c r="J609" s="12"/>
      <c r="K609" s="12"/>
      <c r="L609" s="12"/>
      <c r="M609" s="12"/>
      <c r="N609" s="12"/>
      <c r="O609" s="12"/>
      <c r="P609" s="12"/>
      <c r="Q609" s="12"/>
      <c r="R609" s="12"/>
      <c r="S609" s="12"/>
      <c r="T609" s="12"/>
      <c r="U609" s="12"/>
      <c r="V609" s="14"/>
      <c r="W609" s="14"/>
      <c r="X609" s="14"/>
      <c r="Y609" s="14"/>
      <c r="Z609" s="15"/>
      <c r="AA609" s="12"/>
      <c r="AB609" s="12"/>
      <c r="AC609" s="12"/>
      <c r="AD609" s="12"/>
      <c r="AE609" s="12"/>
      <c r="AF609" s="12"/>
      <c r="AG609" s="12"/>
      <c r="AH609" s="12"/>
    </row>
    <row r="610" spans="1:34" ht="12.75">
      <c r="A610" s="12"/>
      <c r="B610" s="12"/>
      <c r="C610" s="12"/>
      <c r="D610" s="12"/>
      <c r="E610" s="12"/>
      <c r="F610" s="17"/>
      <c r="G610" s="12"/>
      <c r="H610" s="12"/>
      <c r="I610" s="12"/>
      <c r="J610" s="12"/>
      <c r="K610" s="12"/>
      <c r="L610" s="12"/>
      <c r="M610" s="12"/>
      <c r="N610" s="12"/>
      <c r="O610" s="12"/>
      <c r="P610" s="12"/>
      <c r="Q610" s="12"/>
      <c r="R610" s="12"/>
      <c r="S610" s="12"/>
      <c r="T610" s="12"/>
      <c r="U610" s="12"/>
      <c r="V610" s="14"/>
      <c r="W610" s="14"/>
      <c r="X610" s="14"/>
      <c r="Y610" s="14"/>
      <c r="Z610" s="15"/>
      <c r="AA610" s="12"/>
      <c r="AB610" s="12"/>
      <c r="AC610" s="12"/>
      <c r="AD610" s="12"/>
      <c r="AE610" s="12"/>
      <c r="AF610" s="12"/>
      <c r="AG610" s="12"/>
      <c r="AH610" s="12"/>
    </row>
    <row r="611" spans="1:34" ht="12.75">
      <c r="A611" s="12"/>
      <c r="B611" s="12"/>
      <c r="C611" s="12"/>
      <c r="D611" s="12"/>
      <c r="E611" s="12"/>
      <c r="F611" s="17"/>
      <c r="G611" s="12"/>
      <c r="H611" s="12"/>
      <c r="I611" s="12"/>
      <c r="J611" s="12"/>
      <c r="K611" s="12"/>
      <c r="L611" s="12"/>
      <c r="M611" s="12"/>
      <c r="N611" s="12"/>
      <c r="O611" s="12"/>
      <c r="P611" s="12"/>
      <c r="Q611" s="12"/>
      <c r="R611" s="12"/>
      <c r="S611" s="12"/>
      <c r="T611" s="12"/>
      <c r="U611" s="12"/>
      <c r="V611" s="14"/>
      <c r="W611" s="14"/>
      <c r="X611" s="14"/>
      <c r="Y611" s="14"/>
      <c r="Z611" s="15"/>
      <c r="AA611" s="12"/>
      <c r="AB611" s="12"/>
      <c r="AC611" s="12"/>
      <c r="AD611" s="12"/>
      <c r="AE611" s="12"/>
      <c r="AF611" s="12"/>
      <c r="AG611" s="12"/>
      <c r="AH611" s="12"/>
    </row>
    <row r="612" spans="1:34" ht="12.75">
      <c r="A612" s="12"/>
      <c r="B612" s="12"/>
      <c r="C612" s="12"/>
      <c r="D612" s="12"/>
      <c r="E612" s="12"/>
      <c r="F612" s="17"/>
      <c r="G612" s="12"/>
      <c r="H612" s="12"/>
      <c r="I612" s="12"/>
      <c r="J612" s="12"/>
      <c r="K612" s="12"/>
      <c r="L612" s="12"/>
      <c r="M612" s="12"/>
      <c r="N612" s="12"/>
      <c r="O612" s="12"/>
      <c r="P612" s="12"/>
      <c r="Q612" s="12"/>
      <c r="R612" s="12"/>
      <c r="S612" s="12"/>
      <c r="T612" s="12"/>
      <c r="U612" s="12"/>
      <c r="V612" s="14"/>
      <c r="W612" s="14"/>
      <c r="X612" s="14"/>
      <c r="Y612" s="14"/>
      <c r="Z612" s="15"/>
      <c r="AA612" s="12"/>
      <c r="AB612" s="12"/>
      <c r="AC612" s="12"/>
      <c r="AD612" s="12"/>
      <c r="AE612" s="12"/>
      <c r="AF612" s="12"/>
      <c r="AG612" s="12"/>
      <c r="AH612" s="12"/>
    </row>
    <row r="613" spans="1:34" ht="12.75">
      <c r="A613" s="12"/>
      <c r="B613" s="12"/>
      <c r="C613" s="12"/>
      <c r="D613" s="12"/>
      <c r="E613" s="12"/>
      <c r="F613" s="17"/>
      <c r="G613" s="12"/>
      <c r="H613" s="12"/>
      <c r="I613" s="12"/>
      <c r="J613" s="12"/>
      <c r="K613" s="12"/>
      <c r="L613" s="12"/>
      <c r="M613" s="12"/>
      <c r="N613" s="12"/>
      <c r="O613" s="12"/>
      <c r="P613" s="12"/>
      <c r="Q613" s="12"/>
      <c r="R613" s="12"/>
      <c r="S613" s="12"/>
      <c r="T613" s="12"/>
      <c r="U613" s="12"/>
      <c r="V613" s="14"/>
      <c r="W613" s="14"/>
      <c r="X613" s="14"/>
      <c r="Y613" s="14"/>
      <c r="Z613" s="15"/>
      <c r="AA613" s="12"/>
      <c r="AB613" s="12"/>
      <c r="AC613" s="12"/>
      <c r="AD613" s="12"/>
      <c r="AE613" s="12"/>
      <c r="AF613" s="12"/>
      <c r="AG613" s="12"/>
      <c r="AH613" s="12"/>
    </row>
    <row r="614" spans="1:34" ht="12.75">
      <c r="A614" s="12"/>
      <c r="B614" s="12"/>
      <c r="C614" s="12"/>
      <c r="D614" s="12"/>
      <c r="E614" s="12"/>
      <c r="F614" s="17"/>
      <c r="G614" s="12"/>
      <c r="H614" s="12"/>
      <c r="I614" s="12"/>
      <c r="J614" s="12"/>
      <c r="K614" s="12"/>
      <c r="L614" s="12"/>
      <c r="M614" s="12"/>
      <c r="N614" s="12"/>
      <c r="O614" s="12"/>
      <c r="P614" s="12"/>
      <c r="Q614" s="12"/>
      <c r="R614" s="12"/>
      <c r="S614" s="12"/>
      <c r="T614" s="12"/>
      <c r="U614" s="12"/>
      <c r="V614" s="14"/>
      <c r="W614" s="14"/>
      <c r="X614" s="14"/>
      <c r="Y614" s="14"/>
      <c r="Z614" s="15"/>
      <c r="AA614" s="12"/>
      <c r="AB614" s="12"/>
      <c r="AC614" s="12"/>
      <c r="AD614" s="12"/>
      <c r="AE614" s="12"/>
      <c r="AF614" s="12"/>
      <c r="AG614" s="12"/>
      <c r="AH614" s="12"/>
    </row>
    <row r="615" spans="1:34" ht="12.75">
      <c r="A615" s="12"/>
      <c r="B615" s="12"/>
      <c r="C615" s="12"/>
      <c r="D615" s="12"/>
      <c r="E615" s="12"/>
      <c r="F615" s="17"/>
      <c r="G615" s="12"/>
      <c r="H615" s="12"/>
      <c r="I615" s="12"/>
      <c r="J615" s="12"/>
      <c r="K615" s="12"/>
      <c r="L615" s="12"/>
      <c r="M615" s="12"/>
      <c r="N615" s="12"/>
      <c r="O615" s="12"/>
      <c r="P615" s="12"/>
      <c r="Q615" s="12"/>
      <c r="R615" s="12"/>
      <c r="S615" s="12"/>
      <c r="T615" s="12"/>
      <c r="U615" s="12"/>
      <c r="V615" s="14"/>
      <c r="W615" s="14"/>
      <c r="X615" s="14"/>
      <c r="Y615" s="14"/>
      <c r="Z615" s="15"/>
      <c r="AA615" s="12"/>
      <c r="AB615" s="12"/>
      <c r="AC615" s="12"/>
      <c r="AD615" s="12"/>
      <c r="AE615" s="12"/>
      <c r="AF615" s="12"/>
      <c r="AG615" s="12"/>
      <c r="AH615" s="12"/>
    </row>
    <row r="616" spans="1:34" ht="12.75">
      <c r="A616" s="12"/>
      <c r="B616" s="12"/>
      <c r="C616" s="12"/>
      <c r="D616" s="12"/>
      <c r="E616" s="12"/>
      <c r="F616" s="17"/>
      <c r="G616" s="12"/>
      <c r="H616" s="12"/>
      <c r="I616" s="12"/>
      <c r="J616" s="12"/>
      <c r="K616" s="12"/>
      <c r="L616" s="12"/>
      <c r="M616" s="12"/>
      <c r="N616" s="12"/>
      <c r="O616" s="12"/>
      <c r="P616" s="12"/>
      <c r="Q616" s="12"/>
      <c r="R616" s="12"/>
      <c r="S616" s="12"/>
      <c r="T616" s="12"/>
      <c r="U616" s="12"/>
      <c r="V616" s="14"/>
      <c r="W616" s="14"/>
      <c r="X616" s="14"/>
      <c r="Y616" s="14"/>
      <c r="Z616" s="15"/>
      <c r="AA616" s="12"/>
      <c r="AB616" s="12"/>
      <c r="AC616" s="12"/>
      <c r="AD616" s="12"/>
      <c r="AE616" s="12"/>
      <c r="AF616" s="12"/>
      <c r="AG616" s="12"/>
      <c r="AH616" s="12"/>
    </row>
    <row r="617" spans="1:34" ht="12.75">
      <c r="A617" s="12"/>
      <c r="B617" s="12"/>
      <c r="C617" s="12"/>
      <c r="D617" s="12"/>
      <c r="E617" s="12"/>
      <c r="F617" s="17"/>
      <c r="G617" s="12"/>
      <c r="H617" s="12"/>
      <c r="I617" s="12"/>
      <c r="J617" s="12"/>
      <c r="K617" s="12"/>
      <c r="L617" s="12"/>
      <c r="M617" s="12"/>
      <c r="N617" s="12"/>
      <c r="O617" s="12"/>
      <c r="P617" s="12"/>
      <c r="Q617" s="12"/>
      <c r="R617" s="12"/>
      <c r="S617" s="12"/>
      <c r="T617" s="12"/>
      <c r="U617" s="12"/>
      <c r="V617" s="14"/>
      <c r="W617" s="14"/>
      <c r="X617" s="14"/>
      <c r="Y617" s="14"/>
      <c r="Z617" s="15"/>
      <c r="AA617" s="12"/>
      <c r="AB617" s="12"/>
      <c r="AC617" s="12"/>
      <c r="AD617" s="12"/>
      <c r="AE617" s="12"/>
      <c r="AF617" s="12"/>
      <c r="AG617" s="12"/>
      <c r="AH617" s="12"/>
    </row>
    <row r="618" spans="1:34" ht="12.75">
      <c r="A618" s="12"/>
      <c r="B618" s="12"/>
      <c r="C618" s="12"/>
      <c r="D618" s="12"/>
      <c r="E618" s="12"/>
      <c r="F618" s="17"/>
      <c r="G618" s="12"/>
      <c r="H618" s="12"/>
      <c r="I618" s="12"/>
      <c r="J618" s="12"/>
      <c r="K618" s="12"/>
      <c r="L618" s="12"/>
      <c r="M618" s="12"/>
      <c r="N618" s="12"/>
      <c r="O618" s="12"/>
      <c r="P618" s="12"/>
      <c r="Q618" s="12"/>
      <c r="R618" s="12"/>
      <c r="S618" s="12"/>
      <c r="T618" s="12"/>
      <c r="U618" s="12"/>
      <c r="V618" s="14"/>
      <c r="W618" s="14"/>
      <c r="X618" s="14"/>
      <c r="Y618" s="14"/>
      <c r="Z618" s="15"/>
      <c r="AA618" s="12"/>
      <c r="AB618" s="12"/>
      <c r="AC618" s="12"/>
      <c r="AD618" s="12"/>
      <c r="AE618" s="12"/>
      <c r="AF618" s="12"/>
      <c r="AG618" s="12"/>
      <c r="AH618" s="12"/>
    </row>
    <row r="619" spans="1:34" ht="12.75">
      <c r="A619" s="12"/>
      <c r="B619" s="12"/>
      <c r="C619" s="12"/>
      <c r="D619" s="12"/>
      <c r="E619" s="12"/>
      <c r="F619" s="17"/>
      <c r="G619" s="12"/>
      <c r="H619" s="12"/>
      <c r="I619" s="12"/>
      <c r="J619" s="12"/>
      <c r="K619" s="12"/>
      <c r="L619" s="12"/>
      <c r="M619" s="12"/>
      <c r="N619" s="12"/>
      <c r="O619" s="12"/>
      <c r="P619" s="12"/>
      <c r="Q619" s="12"/>
      <c r="R619" s="12"/>
      <c r="S619" s="12"/>
      <c r="T619" s="12"/>
      <c r="U619" s="12"/>
      <c r="V619" s="14"/>
      <c r="W619" s="14"/>
      <c r="X619" s="14"/>
      <c r="Y619" s="14"/>
      <c r="Z619" s="15"/>
      <c r="AA619" s="12"/>
      <c r="AB619" s="12"/>
      <c r="AC619" s="12"/>
      <c r="AD619" s="12"/>
      <c r="AE619" s="12"/>
      <c r="AF619" s="12"/>
      <c r="AG619" s="12"/>
      <c r="AH619" s="12"/>
    </row>
    <row r="620" spans="1:34" ht="12.75">
      <c r="A620" s="12"/>
      <c r="B620" s="12"/>
      <c r="C620" s="12"/>
      <c r="D620" s="12"/>
      <c r="E620" s="12"/>
      <c r="F620" s="17"/>
      <c r="G620" s="12"/>
      <c r="H620" s="12"/>
      <c r="I620" s="12"/>
      <c r="J620" s="12"/>
      <c r="K620" s="12"/>
      <c r="L620" s="12"/>
      <c r="M620" s="12"/>
      <c r="N620" s="12"/>
      <c r="O620" s="12"/>
      <c r="P620" s="12"/>
      <c r="Q620" s="12"/>
      <c r="R620" s="12"/>
      <c r="S620" s="12"/>
      <c r="T620" s="12"/>
      <c r="U620" s="12"/>
      <c r="V620" s="14"/>
      <c r="W620" s="14"/>
      <c r="X620" s="14"/>
      <c r="Y620" s="14"/>
      <c r="Z620" s="15"/>
      <c r="AA620" s="12"/>
      <c r="AB620" s="12"/>
      <c r="AC620" s="12"/>
      <c r="AD620" s="12"/>
      <c r="AE620" s="12"/>
      <c r="AF620" s="12"/>
      <c r="AG620" s="12"/>
      <c r="AH620" s="12"/>
    </row>
    <row r="621" spans="1:34" ht="12.75">
      <c r="A621" s="12"/>
      <c r="B621" s="12"/>
      <c r="C621" s="12"/>
      <c r="D621" s="12"/>
      <c r="E621" s="12"/>
      <c r="F621" s="17"/>
      <c r="G621" s="12"/>
      <c r="H621" s="12"/>
      <c r="I621" s="12"/>
      <c r="J621" s="12"/>
      <c r="K621" s="12"/>
      <c r="L621" s="12"/>
      <c r="M621" s="12"/>
      <c r="N621" s="12"/>
      <c r="O621" s="12"/>
      <c r="P621" s="12"/>
      <c r="Q621" s="12"/>
      <c r="R621" s="12"/>
      <c r="S621" s="12"/>
      <c r="T621" s="12"/>
      <c r="U621" s="12"/>
      <c r="V621" s="14"/>
      <c r="W621" s="14"/>
      <c r="X621" s="14"/>
      <c r="Y621" s="14"/>
      <c r="Z621" s="15"/>
      <c r="AA621" s="12"/>
      <c r="AB621" s="12"/>
      <c r="AC621" s="12"/>
      <c r="AD621" s="12"/>
      <c r="AE621" s="12"/>
      <c r="AF621" s="12"/>
      <c r="AG621" s="12"/>
      <c r="AH621" s="12"/>
    </row>
    <row r="622" spans="1:34" ht="12.75">
      <c r="A622" s="12"/>
      <c r="B622" s="12"/>
      <c r="C622" s="12"/>
      <c r="D622" s="12"/>
      <c r="E622" s="12"/>
      <c r="F622" s="17"/>
      <c r="G622" s="12"/>
      <c r="H622" s="12"/>
      <c r="I622" s="12"/>
      <c r="J622" s="12"/>
      <c r="K622" s="12"/>
      <c r="L622" s="12"/>
      <c r="M622" s="12"/>
      <c r="N622" s="12"/>
      <c r="O622" s="12"/>
      <c r="P622" s="12"/>
      <c r="Q622" s="12"/>
      <c r="R622" s="12"/>
      <c r="S622" s="12"/>
      <c r="T622" s="12"/>
      <c r="U622" s="12"/>
      <c r="V622" s="14"/>
      <c r="W622" s="14"/>
      <c r="X622" s="14"/>
      <c r="Y622" s="14"/>
      <c r="Z622" s="15"/>
      <c r="AA622" s="12"/>
      <c r="AB622" s="12"/>
      <c r="AC622" s="12"/>
      <c r="AD622" s="12"/>
      <c r="AE622" s="12"/>
      <c r="AF622" s="12"/>
      <c r="AG622" s="12"/>
      <c r="AH622" s="12"/>
    </row>
    <row r="623" spans="1:34" ht="12.75">
      <c r="A623" s="12"/>
      <c r="B623" s="12"/>
      <c r="C623" s="12"/>
      <c r="D623" s="12"/>
      <c r="E623" s="12"/>
      <c r="F623" s="17"/>
      <c r="G623" s="12"/>
      <c r="H623" s="12"/>
      <c r="I623" s="12"/>
      <c r="J623" s="12"/>
      <c r="K623" s="12"/>
      <c r="L623" s="12"/>
      <c r="M623" s="12"/>
      <c r="N623" s="12"/>
      <c r="O623" s="12"/>
      <c r="P623" s="12"/>
      <c r="Q623" s="12"/>
      <c r="R623" s="12"/>
      <c r="S623" s="12"/>
      <c r="T623" s="12"/>
      <c r="U623" s="12"/>
      <c r="V623" s="14"/>
      <c r="W623" s="14"/>
      <c r="X623" s="14"/>
      <c r="Y623" s="14"/>
      <c r="Z623" s="15"/>
      <c r="AA623" s="12"/>
      <c r="AB623" s="12"/>
      <c r="AC623" s="12"/>
      <c r="AD623" s="12"/>
      <c r="AE623" s="12"/>
      <c r="AF623" s="12"/>
      <c r="AG623" s="12"/>
      <c r="AH623" s="12"/>
    </row>
    <row r="624" spans="1:34" ht="12.75">
      <c r="A624" s="12"/>
      <c r="B624" s="12"/>
      <c r="C624" s="12"/>
      <c r="D624" s="12"/>
      <c r="E624" s="12"/>
      <c r="F624" s="17"/>
      <c r="G624" s="12"/>
      <c r="H624" s="12"/>
      <c r="I624" s="12"/>
      <c r="J624" s="12"/>
      <c r="K624" s="12"/>
      <c r="L624" s="12"/>
      <c r="M624" s="12"/>
      <c r="N624" s="12"/>
      <c r="O624" s="12"/>
      <c r="P624" s="12"/>
      <c r="Q624" s="12"/>
      <c r="R624" s="12"/>
      <c r="S624" s="12"/>
      <c r="T624" s="12"/>
      <c r="U624" s="12"/>
      <c r="V624" s="14"/>
      <c r="W624" s="14"/>
      <c r="X624" s="14"/>
      <c r="Y624" s="14"/>
      <c r="Z624" s="15"/>
      <c r="AA624" s="12"/>
      <c r="AB624" s="12"/>
      <c r="AC624" s="12"/>
      <c r="AD624" s="12"/>
      <c r="AE624" s="12"/>
      <c r="AF624" s="12"/>
      <c r="AG624" s="12"/>
      <c r="AH624" s="12"/>
    </row>
    <row r="625" spans="1:34" ht="12.75">
      <c r="A625" s="12"/>
      <c r="B625" s="12"/>
      <c r="C625" s="12"/>
      <c r="D625" s="12"/>
      <c r="E625" s="12"/>
      <c r="F625" s="17"/>
      <c r="G625" s="12"/>
      <c r="H625" s="12"/>
      <c r="I625" s="12"/>
      <c r="J625" s="12"/>
      <c r="K625" s="12"/>
      <c r="L625" s="12"/>
      <c r="M625" s="12"/>
      <c r="N625" s="12"/>
      <c r="O625" s="12"/>
      <c r="P625" s="12"/>
      <c r="Q625" s="12"/>
      <c r="R625" s="12"/>
      <c r="S625" s="12"/>
      <c r="T625" s="12"/>
      <c r="U625" s="12"/>
      <c r="V625" s="14"/>
      <c r="W625" s="14"/>
      <c r="X625" s="14"/>
      <c r="Y625" s="14"/>
      <c r="Z625" s="15"/>
      <c r="AA625" s="12"/>
      <c r="AB625" s="12"/>
      <c r="AC625" s="12"/>
      <c r="AD625" s="12"/>
      <c r="AE625" s="12"/>
      <c r="AF625" s="12"/>
      <c r="AG625" s="12"/>
      <c r="AH625" s="12"/>
    </row>
    <row r="626" spans="1:34" ht="12.75">
      <c r="A626" s="12"/>
      <c r="B626" s="12"/>
      <c r="C626" s="12"/>
      <c r="D626" s="12"/>
      <c r="E626" s="12"/>
      <c r="F626" s="17"/>
      <c r="G626" s="12"/>
      <c r="H626" s="12"/>
      <c r="I626" s="12"/>
      <c r="J626" s="12"/>
      <c r="K626" s="12"/>
      <c r="L626" s="12"/>
      <c r="M626" s="12"/>
      <c r="N626" s="12"/>
      <c r="O626" s="12"/>
      <c r="P626" s="12"/>
      <c r="Q626" s="12"/>
      <c r="R626" s="12"/>
      <c r="S626" s="12"/>
      <c r="T626" s="12"/>
      <c r="U626" s="12"/>
      <c r="V626" s="14"/>
      <c r="W626" s="14"/>
      <c r="X626" s="14"/>
      <c r="Y626" s="14"/>
      <c r="Z626" s="15"/>
      <c r="AA626" s="12"/>
      <c r="AB626" s="12"/>
      <c r="AC626" s="12"/>
      <c r="AD626" s="12"/>
      <c r="AE626" s="12"/>
      <c r="AF626" s="12"/>
      <c r="AG626" s="12"/>
      <c r="AH626" s="12"/>
    </row>
    <row r="627" spans="1:34" ht="12.75">
      <c r="A627" s="12"/>
      <c r="B627" s="12"/>
      <c r="C627" s="12"/>
      <c r="D627" s="12"/>
      <c r="E627" s="12"/>
      <c r="F627" s="17"/>
      <c r="G627" s="12"/>
      <c r="H627" s="12"/>
      <c r="I627" s="12"/>
      <c r="J627" s="12"/>
      <c r="K627" s="12"/>
      <c r="L627" s="12"/>
      <c r="M627" s="12"/>
      <c r="N627" s="12"/>
      <c r="O627" s="12"/>
      <c r="P627" s="12"/>
      <c r="Q627" s="12"/>
      <c r="R627" s="12"/>
      <c r="S627" s="12"/>
      <c r="T627" s="12"/>
      <c r="U627" s="12"/>
      <c r="V627" s="14"/>
      <c r="W627" s="14"/>
      <c r="X627" s="14"/>
      <c r="Y627" s="14"/>
      <c r="Z627" s="15"/>
      <c r="AA627" s="12"/>
      <c r="AB627" s="12"/>
      <c r="AC627" s="12"/>
      <c r="AD627" s="12"/>
      <c r="AE627" s="12"/>
      <c r="AF627" s="12"/>
      <c r="AG627" s="12"/>
      <c r="AH627" s="12"/>
    </row>
    <row r="628" spans="1:34" ht="12.75">
      <c r="A628" s="12"/>
      <c r="B628" s="12"/>
      <c r="C628" s="12"/>
      <c r="D628" s="12"/>
      <c r="E628" s="12"/>
      <c r="F628" s="17"/>
      <c r="G628" s="12"/>
      <c r="H628" s="12"/>
      <c r="I628" s="12"/>
      <c r="J628" s="12"/>
      <c r="K628" s="12"/>
      <c r="L628" s="12"/>
      <c r="M628" s="12"/>
      <c r="N628" s="12"/>
      <c r="O628" s="12"/>
      <c r="P628" s="12"/>
      <c r="Q628" s="12"/>
      <c r="R628" s="12"/>
      <c r="S628" s="12"/>
      <c r="T628" s="12"/>
      <c r="U628" s="12"/>
      <c r="V628" s="14"/>
      <c r="W628" s="14"/>
      <c r="X628" s="14"/>
      <c r="Y628" s="14"/>
      <c r="Z628" s="15"/>
      <c r="AA628" s="12"/>
      <c r="AB628" s="12"/>
      <c r="AC628" s="12"/>
      <c r="AD628" s="12"/>
      <c r="AE628" s="12"/>
      <c r="AF628" s="12"/>
      <c r="AG628" s="12"/>
      <c r="AH628" s="12"/>
    </row>
    <row r="629" spans="1:34" ht="12.75">
      <c r="A629" s="12"/>
      <c r="B629" s="12"/>
      <c r="C629" s="12"/>
      <c r="D629" s="12"/>
      <c r="E629" s="12"/>
      <c r="F629" s="17"/>
      <c r="G629" s="12"/>
      <c r="H629" s="12"/>
      <c r="I629" s="12"/>
      <c r="J629" s="12"/>
      <c r="K629" s="12"/>
      <c r="L629" s="12"/>
      <c r="M629" s="12"/>
      <c r="N629" s="12"/>
      <c r="O629" s="12"/>
      <c r="P629" s="12"/>
      <c r="Q629" s="12"/>
      <c r="R629" s="12"/>
      <c r="S629" s="12"/>
      <c r="T629" s="12"/>
      <c r="U629" s="12"/>
      <c r="V629" s="14"/>
      <c r="W629" s="14"/>
      <c r="X629" s="14"/>
      <c r="Y629" s="14"/>
      <c r="Z629" s="15"/>
      <c r="AA629" s="12"/>
      <c r="AB629" s="12"/>
      <c r="AC629" s="12"/>
      <c r="AD629" s="12"/>
      <c r="AE629" s="12"/>
      <c r="AF629" s="12"/>
      <c r="AG629" s="12"/>
      <c r="AH629" s="12"/>
    </row>
    <row r="630" spans="1:34" ht="12.75">
      <c r="A630" s="12"/>
      <c r="B630" s="12"/>
      <c r="C630" s="12"/>
      <c r="D630" s="12"/>
      <c r="E630" s="12"/>
      <c r="F630" s="17"/>
      <c r="G630" s="12"/>
      <c r="H630" s="12"/>
      <c r="I630" s="12"/>
      <c r="J630" s="12"/>
      <c r="K630" s="12"/>
      <c r="L630" s="12"/>
      <c r="M630" s="12"/>
      <c r="N630" s="12"/>
      <c r="O630" s="12"/>
      <c r="P630" s="12"/>
      <c r="Q630" s="12"/>
      <c r="R630" s="12"/>
      <c r="S630" s="12"/>
      <c r="T630" s="12"/>
      <c r="U630" s="12"/>
      <c r="V630" s="14"/>
      <c r="W630" s="14"/>
      <c r="X630" s="14"/>
      <c r="Y630" s="14"/>
      <c r="Z630" s="15"/>
      <c r="AA630" s="12"/>
      <c r="AB630" s="12"/>
      <c r="AC630" s="12"/>
      <c r="AD630" s="12"/>
      <c r="AE630" s="12"/>
      <c r="AF630" s="12"/>
      <c r="AG630" s="12"/>
      <c r="AH630" s="12"/>
    </row>
    <row r="631" spans="1:34" ht="12.75">
      <c r="A631" s="12"/>
      <c r="B631" s="12"/>
      <c r="C631" s="12"/>
      <c r="D631" s="12"/>
      <c r="E631" s="12"/>
      <c r="F631" s="17"/>
      <c r="G631" s="12"/>
      <c r="H631" s="12"/>
      <c r="I631" s="12"/>
      <c r="J631" s="12"/>
      <c r="K631" s="12"/>
      <c r="L631" s="12"/>
      <c r="M631" s="12"/>
      <c r="N631" s="12"/>
      <c r="O631" s="12"/>
      <c r="P631" s="12"/>
      <c r="Q631" s="12"/>
      <c r="R631" s="12"/>
      <c r="S631" s="12"/>
      <c r="T631" s="12"/>
      <c r="U631" s="12"/>
      <c r="V631" s="14"/>
      <c r="W631" s="14"/>
      <c r="X631" s="14"/>
      <c r="Y631" s="14"/>
      <c r="Z631" s="15"/>
      <c r="AA631" s="12"/>
      <c r="AB631" s="12"/>
      <c r="AC631" s="12"/>
      <c r="AD631" s="12"/>
      <c r="AE631" s="12"/>
      <c r="AF631" s="12"/>
      <c r="AG631" s="12"/>
      <c r="AH631" s="12"/>
    </row>
    <row r="632" spans="1:34" ht="12.75">
      <c r="A632" s="12"/>
      <c r="B632" s="12"/>
      <c r="C632" s="12"/>
      <c r="D632" s="12"/>
      <c r="E632" s="12"/>
      <c r="F632" s="17"/>
      <c r="G632" s="12"/>
      <c r="H632" s="12"/>
      <c r="I632" s="12"/>
      <c r="J632" s="12"/>
      <c r="K632" s="12"/>
      <c r="L632" s="12"/>
      <c r="M632" s="12"/>
      <c r="N632" s="12"/>
      <c r="O632" s="12"/>
      <c r="P632" s="12"/>
      <c r="Q632" s="12"/>
      <c r="R632" s="12"/>
      <c r="S632" s="12"/>
      <c r="T632" s="12"/>
      <c r="U632" s="12"/>
      <c r="V632" s="14"/>
      <c r="W632" s="14"/>
      <c r="X632" s="14"/>
      <c r="Y632" s="14"/>
      <c r="Z632" s="15"/>
      <c r="AA632" s="12"/>
      <c r="AB632" s="12"/>
      <c r="AC632" s="12"/>
      <c r="AD632" s="12"/>
      <c r="AE632" s="12"/>
      <c r="AF632" s="12"/>
      <c r="AG632" s="12"/>
      <c r="AH632" s="12"/>
    </row>
    <row r="633" spans="1:34" ht="12.75">
      <c r="A633" s="12"/>
      <c r="B633" s="12"/>
      <c r="C633" s="12"/>
      <c r="D633" s="12"/>
      <c r="E633" s="12"/>
      <c r="F633" s="17"/>
      <c r="G633" s="12"/>
      <c r="H633" s="12"/>
      <c r="I633" s="12"/>
      <c r="J633" s="12"/>
      <c r="K633" s="12"/>
      <c r="L633" s="12"/>
      <c r="M633" s="12"/>
      <c r="N633" s="12"/>
      <c r="O633" s="12"/>
      <c r="P633" s="12"/>
      <c r="Q633" s="12"/>
      <c r="R633" s="12"/>
      <c r="S633" s="12"/>
      <c r="T633" s="12"/>
      <c r="U633" s="12"/>
      <c r="V633" s="14"/>
      <c r="W633" s="14"/>
      <c r="X633" s="14"/>
      <c r="Y633" s="14"/>
      <c r="Z633" s="15"/>
      <c r="AA633" s="12"/>
      <c r="AB633" s="12"/>
      <c r="AC633" s="12"/>
      <c r="AD633" s="12"/>
      <c r="AE633" s="12"/>
      <c r="AF633" s="12"/>
      <c r="AG633" s="12"/>
      <c r="AH633" s="12"/>
    </row>
    <row r="634" spans="1:34" ht="12.75">
      <c r="A634" s="12"/>
      <c r="B634" s="12"/>
      <c r="C634" s="12"/>
      <c r="D634" s="12"/>
      <c r="E634" s="12"/>
      <c r="F634" s="17"/>
      <c r="G634" s="12"/>
      <c r="H634" s="12"/>
      <c r="I634" s="12"/>
      <c r="J634" s="12"/>
      <c r="K634" s="12"/>
      <c r="L634" s="12"/>
      <c r="M634" s="12"/>
      <c r="N634" s="12"/>
      <c r="O634" s="12"/>
      <c r="P634" s="12"/>
      <c r="Q634" s="12"/>
      <c r="R634" s="12"/>
      <c r="S634" s="12"/>
      <c r="T634" s="12"/>
      <c r="U634" s="12"/>
      <c r="V634" s="14"/>
      <c r="W634" s="14"/>
      <c r="X634" s="14"/>
      <c r="Y634" s="14"/>
      <c r="Z634" s="15"/>
      <c r="AA634" s="12"/>
      <c r="AB634" s="12"/>
      <c r="AC634" s="12"/>
      <c r="AD634" s="12"/>
      <c r="AE634" s="12"/>
      <c r="AF634" s="12"/>
      <c r="AG634" s="12"/>
      <c r="AH634" s="12"/>
    </row>
    <row r="635" spans="1:34" ht="12.75">
      <c r="A635" s="12"/>
      <c r="B635" s="12"/>
      <c r="C635" s="12"/>
      <c r="D635" s="12"/>
      <c r="E635" s="12"/>
      <c r="F635" s="17"/>
      <c r="G635" s="12"/>
      <c r="H635" s="12"/>
      <c r="I635" s="12"/>
      <c r="J635" s="12"/>
      <c r="K635" s="12"/>
      <c r="L635" s="12"/>
      <c r="M635" s="12"/>
      <c r="N635" s="12"/>
      <c r="O635" s="12"/>
      <c r="P635" s="12"/>
      <c r="Q635" s="12"/>
      <c r="R635" s="12"/>
      <c r="S635" s="12"/>
      <c r="T635" s="12"/>
      <c r="U635" s="12"/>
      <c r="V635" s="14"/>
      <c r="W635" s="14"/>
      <c r="X635" s="14"/>
      <c r="Y635" s="14"/>
      <c r="Z635" s="15"/>
      <c r="AA635" s="12"/>
      <c r="AB635" s="12"/>
      <c r="AC635" s="12"/>
      <c r="AD635" s="12"/>
      <c r="AE635" s="12"/>
      <c r="AF635" s="12"/>
      <c r="AG635" s="12"/>
      <c r="AH635" s="12"/>
    </row>
    <row r="636" spans="1:34" ht="12.75">
      <c r="A636" s="12"/>
      <c r="B636" s="12"/>
      <c r="C636" s="12"/>
      <c r="D636" s="12"/>
      <c r="E636" s="12"/>
      <c r="F636" s="17"/>
      <c r="G636" s="12"/>
      <c r="H636" s="12"/>
      <c r="I636" s="12"/>
      <c r="J636" s="12"/>
      <c r="K636" s="12"/>
      <c r="L636" s="12"/>
      <c r="M636" s="12"/>
      <c r="N636" s="12"/>
      <c r="O636" s="12"/>
      <c r="P636" s="12"/>
      <c r="Q636" s="12"/>
      <c r="R636" s="12"/>
      <c r="S636" s="12"/>
      <c r="T636" s="12"/>
      <c r="U636" s="12"/>
      <c r="V636" s="14"/>
      <c r="W636" s="14"/>
      <c r="X636" s="14"/>
      <c r="Y636" s="14"/>
      <c r="Z636" s="15"/>
      <c r="AA636" s="12"/>
      <c r="AB636" s="12"/>
      <c r="AC636" s="12"/>
      <c r="AD636" s="12"/>
      <c r="AE636" s="12"/>
      <c r="AF636" s="12"/>
      <c r="AG636" s="12"/>
      <c r="AH636" s="12"/>
    </row>
    <row r="637" spans="1:34" ht="12.75">
      <c r="A637" s="12"/>
      <c r="B637" s="12"/>
      <c r="C637" s="12"/>
      <c r="D637" s="12"/>
      <c r="E637" s="12"/>
      <c r="F637" s="17"/>
      <c r="G637" s="12"/>
      <c r="H637" s="12"/>
      <c r="I637" s="12"/>
      <c r="J637" s="12"/>
      <c r="K637" s="12"/>
      <c r="L637" s="12"/>
      <c r="M637" s="12"/>
      <c r="N637" s="12"/>
      <c r="O637" s="12"/>
      <c r="P637" s="12"/>
      <c r="Q637" s="12"/>
      <c r="R637" s="12"/>
      <c r="S637" s="12"/>
      <c r="T637" s="12"/>
      <c r="U637" s="12"/>
      <c r="V637" s="14"/>
      <c r="W637" s="14"/>
      <c r="X637" s="14"/>
      <c r="Y637" s="14"/>
      <c r="Z637" s="15"/>
      <c r="AA637" s="12"/>
      <c r="AB637" s="12"/>
      <c r="AC637" s="12"/>
      <c r="AD637" s="12"/>
      <c r="AE637" s="12"/>
      <c r="AF637" s="12"/>
      <c r="AG637" s="12"/>
      <c r="AH637" s="12"/>
    </row>
    <row r="638" spans="1:34" ht="12.75">
      <c r="A638" s="12"/>
      <c r="B638" s="12"/>
      <c r="C638" s="12"/>
      <c r="D638" s="12"/>
      <c r="E638" s="12"/>
      <c r="F638" s="17"/>
      <c r="G638" s="12"/>
      <c r="H638" s="12"/>
      <c r="I638" s="12"/>
      <c r="J638" s="12"/>
      <c r="K638" s="12"/>
      <c r="L638" s="12"/>
      <c r="M638" s="12"/>
      <c r="N638" s="12"/>
      <c r="O638" s="12"/>
      <c r="P638" s="12"/>
      <c r="Q638" s="12"/>
      <c r="R638" s="12"/>
      <c r="S638" s="12"/>
      <c r="T638" s="12"/>
      <c r="U638" s="12"/>
      <c r="V638" s="14"/>
      <c r="W638" s="14"/>
      <c r="X638" s="14"/>
      <c r="Y638" s="14"/>
      <c r="Z638" s="15"/>
      <c r="AA638" s="12"/>
      <c r="AB638" s="12"/>
      <c r="AC638" s="12"/>
      <c r="AD638" s="12"/>
      <c r="AE638" s="12"/>
      <c r="AF638" s="12"/>
      <c r="AG638" s="12"/>
      <c r="AH638" s="12"/>
    </row>
    <row r="639" spans="1:34" ht="12.75">
      <c r="A639" s="12"/>
      <c r="B639" s="12"/>
      <c r="C639" s="12"/>
      <c r="D639" s="12"/>
      <c r="E639" s="12"/>
      <c r="F639" s="17"/>
      <c r="G639" s="12"/>
      <c r="H639" s="12"/>
      <c r="I639" s="12"/>
      <c r="J639" s="12"/>
      <c r="K639" s="12"/>
      <c r="L639" s="12"/>
      <c r="M639" s="12"/>
      <c r="N639" s="12"/>
      <c r="O639" s="12"/>
      <c r="P639" s="12"/>
      <c r="Q639" s="12"/>
      <c r="R639" s="12"/>
      <c r="S639" s="12"/>
      <c r="T639" s="12"/>
      <c r="U639" s="12"/>
      <c r="V639" s="14"/>
      <c r="W639" s="14"/>
      <c r="X639" s="14"/>
      <c r="Y639" s="14"/>
      <c r="Z639" s="15"/>
      <c r="AA639" s="12"/>
      <c r="AB639" s="12"/>
      <c r="AC639" s="12"/>
      <c r="AD639" s="12"/>
      <c r="AE639" s="12"/>
      <c r="AF639" s="12"/>
      <c r="AG639" s="12"/>
      <c r="AH639" s="12"/>
    </row>
    <row r="640" spans="1:34" ht="12.75">
      <c r="A640" s="12"/>
      <c r="B640" s="12"/>
      <c r="C640" s="12"/>
      <c r="D640" s="12"/>
      <c r="E640" s="12"/>
      <c r="F640" s="17"/>
      <c r="G640" s="12"/>
      <c r="H640" s="12"/>
      <c r="I640" s="12"/>
      <c r="J640" s="12"/>
      <c r="K640" s="12"/>
      <c r="L640" s="12"/>
      <c r="M640" s="12"/>
      <c r="N640" s="12"/>
      <c r="O640" s="12"/>
      <c r="P640" s="12"/>
      <c r="Q640" s="12"/>
      <c r="R640" s="12"/>
      <c r="S640" s="12"/>
      <c r="T640" s="12"/>
      <c r="U640" s="12"/>
      <c r="V640" s="14"/>
      <c r="W640" s="14"/>
      <c r="X640" s="14"/>
      <c r="Y640" s="14"/>
      <c r="Z640" s="15"/>
      <c r="AA640" s="12"/>
      <c r="AB640" s="12"/>
      <c r="AC640" s="12"/>
      <c r="AD640" s="12"/>
      <c r="AE640" s="12"/>
      <c r="AF640" s="12"/>
      <c r="AG640" s="12"/>
      <c r="AH640" s="12"/>
    </row>
    <row r="641" spans="1:34" ht="12.75">
      <c r="A641" s="12"/>
      <c r="B641" s="12"/>
      <c r="C641" s="12"/>
      <c r="D641" s="12"/>
      <c r="E641" s="12"/>
      <c r="F641" s="17"/>
      <c r="G641" s="12"/>
      <c r="H641" s="12"/>
      <c r="I641" s="12"/>
      <c r="J641" s="12"/>
      <c r="K641" s="12"/>
      <c r="L641" s="12"/>
      <c r="M641" s="12"/>
      <c r="N641" s="12"/>
      <c r="O641" s="12"/>
      <c r="P641" s="12"/>
      <c r="Q641" s="12"/>
      <c r="R641" s="12"/>
      <c r="S641" s="12"/>
      <c r="T641" s="12"/>
      <c r="U641" s="12"/>
      <c r="V641" s="14"/>
      <c r="W641" s="14"/>
      <c r="X641" s="14"/>
      <c r="Y641" s="14"/>
      <c r="Z641" s="15"/>
      <c r="AA641" s="12"/>
      <c r="AB641" s="12"/>
      <c r="AC641" s="12"/>
      <c r="AD641" s="12"/>
      <c r="AE641" s="12"/>
      <c r="AF641" s="12"/>
      <c r="AG641" s="12"/>
      <c r="AH641" s="12"/>
    </row>
    <row r="642" spans="1:34" ht="12.75">
      <c r="A642" s="12"/>
      <c r="B642" s="12"/>
      <c r="C642" s="12"/>
      <c r="D642" s="12"/>
      <c r="E642" s="12"/>
      <c r="F642" s="17"/>
      <c r="G642" s="12"/>
      <c r="H642" s="12"/>
      <c r="I642" s="12"/>
      <c r="J642" s="12"/>
      <c r="K642" s="12"/>
      <c r="L642" s="12"/>
      <c r="M642" s="12"/>
      <c r="N642" s="12"/>
      <c r="O642" s="12"/>
      <c r="P642" s="12"/>
      <c r="Q642" s="12"/>
      <c r="R642" s="12"/>
      <c r="S642" s="12"/>
      <c r="T642" s="12"/>
      <c r="U642" s="12"/>
      <c r="V642" s="14"/>
      <c r="W642" s="14"/>
      <c r="X642" s="14"/>
      <c r="Y642" s="14"/>
      <c r="Z642" s="15"/>
      <c r="AA642" s="12"/>
      <c r="AB642" s="12"/>
      <c r="AC642" s="12"/>
      <c r="AD642" s="12"/>
      <c r="AE642" s="12"/>
      <c r="AF642" s="12"/>
      <c r="AG642" s="12"/>
      <c r="AH642" s="12"/>
    </row>
    <row r="643" spans="1:34" ht="12.75">
      <c r="A643" s="12"/>
      <c r="B643" s="12"/>
      <c r="C643" s="12"/>
      <c r="D643" s="12"/>
      <c r="E643" s="12"/>
      <c r="F643" s="17"/>
      <c r="G643" s="12"/>
      <c r="H643" s="12"/>
      <c r="I643" s="12"/>
      <c r="J643" s="12"/>
      <c r="K643" s="12"/>
      <c r="L643" s="12"/>
      <c r="M643" s="12"/>
      <c r="N643" s="12"/>
      <c r="O643" s="12"/>
      <c r="P643" s="12"/>
      <c r="Q643" s="12"/>
      <c r="R643" s="12"/>
      <c r="S643" s="12"/>
      <c r="T643" s="12"/>
      <c r="U643" s="12"/>
      <c r="V643" s="14"/>
      <c r="W643" s="14"/>
      <c r="X643" s="14"/>
      <c r="Y643" s="14"/>
      <c r="Z643" s="15"/>
      <c r="AA643" s="12"/>
      <c r="AB643" s="12"/>
      <c r="AC643" s="12"/>
      <c r="AD643" s="12"/>
      <c r="AE643" s="12"/>
      <c r="AF643" s="12"/>
      <c r="AG643" s="12"/>
      <c r="AH643" s="12"/>
    </row>
    <row r="644" spans="1:34" ht="12.75">
      <c r="A644" s="12"/>
      <c r="B644" s="12"/>
      <c r="C644" s="12"/>
      <c r="D644" s="12"/>
      <c r="E644" s="12"/>
      <c r="F644" s="17"/>
      <c r="G644" s="12"/>
      <c r="H644" s="12"/>
      <c r="I644" s="12"/>
      <c r="J644" s="12"/>
      <c r="K644" s="12"/>
      <c r="L644" s="12"/>
      <c r="M644" s="12"/>
      <c r="N644" s="12"/>
      <c r="O644" s="12"/>
      <c r="P644" s="12"/>
      <c r="Q644" s="12"/>
      <c r="R644" s="12"/>
      <c r="S644" s="12"/>
      <c r="T644" s="12"/>
      <c r="U644" s="12"/>
      <c r="V644" s="14"/>
      <c r="W644" s="14"/>
      <c r="X644" s="14"/>
      <c r="Y644" s="14"/>
      <c r="Z644" s="15"/>
      <c r="AA644" s="12"/>
      <c r="AB644" s="12"/>
      <c r="AC644" s="12"/>
      <c r="AD644" s="12"/>
      <c r="AE644" s="12"/>
      <c r="AF644" s="12"/>
      <c r="AG644" s="12"/>
      <c r="AH644" s="12"/>
    </row>
    <row r="645" spans="1:34" ht="12.75">
      <c r="A645" s="12"/>
      <c r="B645" s="12"/>
      <c r="C645" s="12"/>
      <c r="D645" s="12"/>
      <c r="E645" s="12"/>
      <c r="F645" s="17"/>
      <c r="G645" s="12"/>
      <c r="H645" s="12"/>
      <c r="I645" s="12"/>
      <c r="J645" s="12"/>
      <c r="K645" s="12"/>
      <c r="L645" s="12"/>
      <c r="M645" s="12"/>
      <c r="N645" s="12"/>
      <c r="O645" s="12"/>
      <c r="P645" s="12"/>
      <c r="Q645" s="12"/>
      <c r="R645" s="12"/>
      <c r="S645" s="12"/>
      <c r="T645" s="12"/>
      <c r="U645" s="12"/>
      <c r="V645" s="14"/>
      <c r="W645" s="14"/>
      <c r="X645" s="14"/>
      <c r="Y645" s="14"/>
      <c r="Z645" s="15"/>
      <c r="AA645" s="12"/>
      <c r="AB645" s="12"/>
      <c r="AC645" s="12"/>
      <c r="AD645" s="12"/>
      <c r="AE645" s="12"/>
      <c r="AF645" s="12"/>
      <c r="AG645" s="12"/>
      <c r="AH645" s="12"/>
    </row>
    <row r="646" spans="1:34" ht="12.75">
      <c r="A646" s="12"/>
      <c r="B646" s="12"/>
      <c r="C646" s="12"/>
      <c r="D646" s="12"/>
      <c r="E646" s="12"/>
      <c r="F646" s="17"/>
      <c r="G646" s="12"/>
      <c r="H646" s="12"/>
      <c r="I646" s="12"/>
      <c r="J646" s="12"/>
      <c r="K646" s="12"/>
      <c r="L646" s="12"/>
      <c r="M646" s="12"/>
      <c r="N646" s="12"/>
      <c r="O646" s="12"/>
      <c r="P646" s="12"/>
      <c r="Q646" s="12"/>
      <c r="R646" s="12"/>
      <c r="S646" s="12"/>
      <c r="T646" s="12"/>
      <c r="U646" s="12"/>
      <c r="V646" s="14"/>
      <c r="W646" s="14"/>
      <c r="X646" s="14"/>
      <c r="Y646" s="14"/>
      <c r="Z646" s="15"/>
      <c r="AA646" s="12"/>
      <c r="AB646" s="12"/>
      <c r="AC646" s="12"/>
      <c r="AD646" s="12"/>
      <c r="AE646" s="12"/>
      <c r="AF646" s="12"/>
      <c r="AG646" s="12"/>
      <c r="AH646" s="12"/>
    </row>
    <row r="647" spans="1:34" ht="12.75">
      <c r="A647" s="12"/>
      <c r="B647" s="12"/>
      <c r="C647" s="12"/>
      <c r="D647" s="12"/>
      <c r="E647" s="12"/>
      <c r="F647" s="17"/>
      <c r="G647" s="12"/>
      <c r="H647" s="12"/>
      <c r="I647" s="12"/>
      <c r="J647" s="12"/>
      <c r="K647" s="12"/>
      <c r="L647" s="12"/>
      <c r="M647" s="12"/>
      <c r="N647" s="12"/>
      <c r="O647" s="12"/>
      <c r="P647" s="12"/>
      <c r="Q647" s="12"/>
      <c r="R647" s="12"/>
      <c r="S647" s="12"/>
      <c r="T647" s="12"/>
      <c r="U647" s="12"/>
      <c r="V647" s="14"/>
      <c r="W647" s="14"/>
      <c r="X647" s="14"/>
      <c r="Y647" s="14"/>
      <c r="Z647" s="15"/>
      <c r="AA647" s="12"/>
      <c r="AB647" s="12"/>
      <c r="AC647" s="12"/>
      <c r="AD647" s="12"/>
      <c r="AE647" s="12"/>
      <c r="AF647" s="12"/>
      <c r="AG647" s="12"/>
      <c r="AH647" s="12"/>
    </row>
    <row r="648" spans="1:34" ht="12.75">
      <c r="A648" s="12"/>
      <c r="B648" s="12"/>
      <c r="C648" s="12"/>
      <c r="D648" s="12"/>
      <c r="E648" s="12"/>
      <c r="F648" s="17"/>
      <c r="G648" s="12"/>
      <c r="H648" s="12"/>
      <c r="I648" s="12"/>
      <c r="J648" s="12"/>
      <c r="K648" s="12"/>
      <c r="L648" s="12"/>
      <c r="M648" s="12"/>
      <c r="N648" s="12"/>
      <c r="O648" s="12"/>
      <c r="P648" s="12"/>
      <c r="Q648" s="12"/>
      <c r="R648" s="12"/>
      <c r="S648" s="12"/>
      <c r="T648" s="12"/>
      <c r="U648" s="12"/>
      <c r="V648" s="14"/>
      <c r="W648" s="14"/>
      <c r="X648" s="14"/>
      <c r="Y648" s="14"/>
      <c r="Z648" s="15"/>
      <c r="AA648" s="12"/>
      <c r="AB648" s="12"/>
      <c r="AC648" s="12"/>
      <c r="AD648" s="12"/>
      <c r="AE648" s="12"/>
      <c r="AF648" s="12"/>
      <c r="AG648" s="12"/>
      <c r="AH648" s="12"/>
    </row>
    <row r="649" spans="1:34" ht="12.75">
      <c r="A649" s="12"/>
      <c r="B649" s="12"/>
      <c r="C649" s="12"/>
      <c r="D649" s="12"/>
      <c r="E649" s="12"/>
      <c r="F649" s="17"/>
      <c r="G649" s="12"/>
      <c r="H649" s="12"/>
      <c r="I649" s="12"/>
      <c r="J649" s="12"/>
      <c r="K649" s="12"/>
      <c r="L649" s="12"/>
      <c r="M649" s="12"/>
      <c r="N649" s="12"/>
      <c r="O649" s="12"/>
      <c r="P649" s="12"/>
      <c r="Q649" s="12"/>
      <c r="R649" s="12"/>
      <c r="S649" s="12"/>
      <c r="T649" s="12"/>
      <c r="U649" s="12"/>
      <c r="V649" s="14"/>
      <c r="W649" s="14"/>
      <c r="X649" s="14"/>
      <c r="Y649" s="14"/>
      <c r="Z649" s="15"/>
      <c r="AA649" s="12"/>
      <c r="AB649" s="12"/>
      <c r="AC649" s="12"/>
      <c r="AD649" s="12"/>
      <c r="AE649" s="12"/>
      <c r="AF649" s="12"/>
      <c r="AG649" s="12"/>
      <c r="AH649" s="12"/>
    </row>
    <row r="650" spans="1:34" ht="12.75">
      <c r="A650" s="12"/>
      <c r="B650" s="12"/>
      <c r="C650" s="12"/>
      <c r="D650" s="12"/>
      <c r="E650" s="12"/>
      <c r="F650" s="17"/>
      <c r="G650" s="12"/>
      <c r="H650" s="12"/>
      <c r="I650" s="12"/>
      <c r="J650" s="12"/>
      <c r="K650" s="12"/>
      <c r="L650" s="12"/>
      <c r="M650" s="12"/>
      <c r="N650" s="12"/>
      <c r="O650" s="12"/>
      <c r="P650" s="12"/>
      <c r="Q650" s="12"/>
      <c r="R650" s="12"/>
      <c r="S650" s="12"/>
      <c r="T650" s="12"/>
      <c r="U650" s="12"/>
      <c r="V650" s="14"/>
      <c r="W650" s="14"/>
      <c r="X650" s="14"/>
      <c r="Y650" s="14"/>
      <c r="Z650" s="15"/>
      <c r="AA650" s="12"/>
      <c r="AB650" s="12"/>
      <c r="AC650" s="12"/>
      <c r="AD650" s="12"/>
      <c r="AE650" s="12"/>
      <c r="AF650" s="12"/>
      <c r="AG650" s="12"/>
      <c r="AH650" s="12"/>
    </row>
    <row r="651" spans="1:34" ht="12.75">
      <c r="A651" s="12"/>
      <c r="B651" s="12"/>
      <c r="C651" s="12"/>
      <c r="D651" s="12"/>
      <c r="E651" s="12"/>
      <c r="F651" s="17"/>
      <c r="G651" s="12"/>
      <c r="H651" s="12"/>
      <c r="I651" s="12"/>
      <c r="J651" s="12"/>
      <c r="K651" s="12"/>
      <c r="L651" s="12"/>
      <c r="M651" s="12"/>
      <c r="N651" s="12"/>
      <c r="O651" s="12"/>
      <c r="P651" s="12"/>
      <c r="Q651" s="12"/>
      <c r="R651" s="12"/>
      <c r="S651" s="12"/>
      <c r="T651" s="12"/>
      <c r="U651" s="12"/>
      <c r="V651" s="14"/>
      <c r="W651" s="14"/>
      <c r="X651" s="14"/>
      <c r="Y651" s="14"/>
      <c r="Z651" s="15"/>
      <c r="AA651" s="12"/>
      <c r="AB651" s="12"/>
      <c r="AC651" s="12"/>
      <c r="AD651" s="12"/>
      <c r="AE651" s="12"/>
      <c r="AF651" s="12"/>
      <c r="AG651" s="12"/>
      <c r="AH651" s="12"/>
    </row>
    <row r="652" spans="1:34" ht="12.75">
      <c r="A652" s="12"/>
      <c r="B652" s="12"/>
      <c r="C652" s="12"/>
      <c r="D652" s="12"/>
      <c r="E652" s="12"/>
      <c r="F652" s="17"/>
      <c r="G652" s="12"/>
      <c r="H652" s="12"/>
      <c r="I652" s="12"/>
      <c r="J652" s="12"/>
      <c r="K652" s="12"/>
      <c r="L652" s="12"/>
      <c r="M652" s="12"/>
      <c r="N652" s="12"/>
      <c r="O652" s="12"/>
      <c r="P652" s="12"/>
      <c r="Q652" s="12"/>
      <c r="R652" s="12"/>
      <c r="S652" s="12"/>
      <c r="T652" s="12"/>
      <c r="U652" s="12"/>
      <c r="V652" s="14"/>
      <c r="W652" s="14"/>
      <c r="X652" s="14"/>
      <c r="Y652" s="14"/>
      <c r="Z652" s="15"/>
      <c r="AA652" s="12"/>
      <c r="AB652" s="12"/>
      <c r="AC652" s="12"/>
      <c r="AD652" s="12"/>
      <c r="AE652" s="12"/>
      <c r="AF652" s="12"/>
      <c r="AG652" s="12"/>
      <c r="AH652" s="12"/>
    </row>
    <row r="653" spans="1:34" ht="12.75">
      <c r="A653" s="12"/>
      <c r="B653" s="12"/>
      <c r="C653" s="12"/>
      <c r="D653" s="12"/>
      <c r="E653" s="12"/>
      <c r="F653" s="17"/>
      <c r="G653" s="12"/>
      <c r="H653" s="12"/>
      <c r="I653" s="12"/>
      <c r="J653" s="12"/>
      <c r="K653" s="12"/>
      <c r="L653" s="12"/>
      <c r="M653" s="12"/>
      <c r="N653" s="12"/>
      <c r="O653" s="12"/>
      <c r="P653" s="12"/>
      <c r="Q653" s="12"/>
      <c r="R653" s="12"/>
      <c r="S653" s="12"/>
      <c r="T653" s="12"/>
      <c r="U653" s="12"/>
      <c r="V653" s="14"/>
      <c r="W653" s="14"/>
      <c r="X653" s="14"/>
      <c r="Y653" s="14"/>
      <c r="Z653" s="15"/>
      <c r="AA653" s="12"/>
      <c r="AB653" s="12"/>
      <c r="AC653" s="12"/>
      <c r="AD653" s="12"/>
      <c r="AE653" s="12"/>
      <c r="AF653" s="12"/>
      <c r="AG653" s="12"/>
      <c r="AH653" s="12"/>
    </row>
    <row r="654" spans="1:34" ht="12.75">
      <c r="A654" s="12"/>
      <c r="B654" s="12"/>
      <c r="C654" s="12"/>
      <c r="D654" s="12"/>
      <c r="E654" s="12"/>
      <c r="F654" s="17"/>
      <c r="G654" s="12"/>
      <c r="H654" s="12"/>
      <c r="I654" s="12"/>
      <c r="J654" s="12"/>
      <c r="K654" s="12"/>
      <c r="L654" s="12"/>
      <c r="M654" s="12"/>
      <c r="N654" s="12"/>
      <c r="O654" s="12"/>
      <c r="P654" s="12"/>
      <c r="Q654" s="12"/>
      <c r="R654" s="12"/>
      <c r="S654" s="12"/>
      <c r="T654" s="12"/>
      <c r="U654" s="12"/>
      <c r="V654" s="14"/>
      <c r="W654" s="14"/>
      <c r="X654" s="14"/>
      <c r="Y654" s="14"/>
      <c r="Z654" s="15"/>
      <c r="AA654" s="12"/>
      <c r="AB654" s="12"/>
      <c r="AC654" s="12"/>
      <c r="AD654" s="12"/>
      <c r="AE654" s="12"/>
      <c r="AF654" s="12"/>
      <c r="AG654" s="12"/>
      <c r="AH654" s="12"/>
    </row>
    <row r="655" spans="1:34" ht="12.75">
      <c r="A655" s="12"/>
      <c r="B655" s="12"/>
      <c r="C655" s="12"/>
      <c r="D655" s="12"/>
      <c r="E655" s="12"/>
      <c r="F655" s="17"/>
      <c r="G655" s="12"/>
      <c r="H655" s="12"/>
      <c r="I655" s="12"/>
      <c r="J655" s="12"/>
      <c r="K655" s="12"/>
      <c r="L655" s="12"/>
      <c r="M655" s="12"/>
      <c r="N655" s="12"/>
      <c r="O655" s="12"/>
      <c r="P655" s="12"/>
      <c r="Q655" s="12"/>
      <c r="R655" s="12"/>
      <c r="S655" s="12"/>
      <c r="T655" s="12"/>
      <c r="U655" s="12"/>
      <c r="V655" s="14"/>
      <c r="W655" s="14"/>
      <c r="X655" s="14"/>
      <c r="Y655" s="14"/>
      <c r="Z655" s="15"/>
      <c r="AA655" s="12"/>
      <c r="AB655" s="12"/>
      <c r="AC655" s="12"/>
      <c r="AD655" s="12"/>
      <c r="AE655" s="12"/>
      <c r="AF655" s="12"/>
      <c r="AG655" s="12"/>
      <c r="AH655" s="12"/>
    </row>
    <row r="656" spans="1:34" ht="12.75">
      <c r="A656" s="12"/>
      <c r="B656" s="12"/>
      <c r="C656" s="12"/>
      <c r="D656" s="12"/>
      <c r="E656" s="12"/>
      <c r="F656" s="17"/>
      <c r="G656" s="12"/>
      <c r="H656" s="12"/>
      <c r="I656" s="12"/>
      <c r="J656" s="12"/>
      <c r="K656" s="12"/>
      <c r="L656" s="12"/>
      <c r="M656" s="12"/>
      <c r="N656" s="12"/>
      <c r="O656" s="12"/>
      <c r="P656" s="12"/>
      <c r="Q656" s="12"/>
      <c r="R656" s="12"/>
      <c r="S656" s="12"/>
      <c r="T656" s="12"/>
      <c r="U656" s="12"/>
      <c r="V656" s="14"/>
      <c r="W656" s="14"/>
      <c r="X656" s="14"/>
      <c r="Y656" s="14"/>
      <c r="Z656" s="15"/>
      <c r="AA656" s="12"/>
      <c r="AB656" s="12"/>
      <c r="AC656" s="12"/>
      <c r="AD656" s="12"/>
      <c r="AE656" s="12"/>
      <c r="AF656" s="12"/>
      <c r="AG656" s="12"/>
      <c r="AH656" s="12"/>
    </row>
    <row r="657" spans="1:34" ht="12.75">
      <c r="A657" s="12"/>
      <c r="B657" s="12"/>
      <c r="C657" s="12"/>
      <c r="D657" s="12"/>
      <c r="E657" s="12"/>
      <c r="F657" s="17"/>
      <c r="G657" s="12"/>
      <c r="H657" s="12"/>
      <c r="I657" s="12"/>
      <c r="J657" s="12"/>
      <c r="K657" s="12"/>
      <c r="L657" s="12"/>
      <c r="M657" s="12"/>
      <c r="N657" s="12"/>
      <c r="O657" s="12"/>
      <c r="P657" s="12"/>
      <c r="Q657" s="12"/>
      <c r="R657" s="12"/>
      <c r="S657" s="12"/>
      <c r="T657" s="12"/>
      <c r="U657" s="12"/>
      <c r="V657" s="14"/>
      <c r="W657" s="14"/>
      <c r="X657" s="14"/>
      <c r="Y657" s="14"/>
      <c r="Z657" s="15"/>
      <c r="AA657" s="12"/>
      <c r="AB657" s="12"/>
      <c r="AC657" s="12"/>
      <c r="AD657" s="12"/>
      <c r="AE657" s="12"/>
      <c r="AF657" s="12"/>
      <c r="AG657" s="12"/>
      <c r="AH657" s="12"/>
    </row>
    <row r="658" spans="1:34" ht="12.75">
      <c r="A658" s="12"/>
      <c r="B658" s="12"/>
      <c r="C658" s="12"/>
      <c r="D658" s="12"/>
      <c r="E658" s="12"/>
      <c r="F658" s="17"/>
      <c r="G658" s="12"/>
      <c r="H658" s="12"/>
      <c r="I658" s="12"/>
      <c r="J658" s="12"/>
      <c r="K658" s="12"/>
      <c r="L658" s="12"/>
      <c r="M658" s="12"/>
      <c r="N658" s="12"/>
      <c r="O658" s="12"/>
      <c r="P658" s="12"/>
      <c r="Q658" s="12"/>
      <c r="R658" s="12"/>
      <c r="S658" s="12"/>
      <c r="T658" s="12"/>
      <c r="U658" s="12"/>
      <c r="V658" s="14"/>
      <c r="W658" s="14"/>
      <c r="X658" s="14"/>
      <c r="Y658" s="14"/>
      <c r="Z658" s="15"/>
      <c r="AA658" s="12"/>
      <c r="AB658" s="12"/>
      <c r="AC658" s="12"/>
      <c r="AD658" s="12"/>
      <c r="AE658" s="12"/>
      <c r="AF658" s="12"/>
      <c r="AG658" s="12"/>
      <c r="AH658" s="12"/>
    </row>
    <row r="659" spans="1:34" ht="12.75">
      <c r="A659" s="12"/>
      <c r="B659" s="12"/>
      <c r="C659" s="12"/>
      <c r="D659" s="12"/>
      <c r="E659" s="12"/>
      <c r="F659" s="17"/>
      <c r="G659" s="12"/>
      <c r="H659" s="12"/>
      <c r="I659" s="12"/>
      <c r="J659" s="12"/>
      <c r="K659" s="12"/>
      <c r="L659" s="12"/>
      <c r="M659" s="12"/>
      <c r="N659" s="12"/>
      <c r="O659" s="12"/>
      <c r="P659" s="12"/>
      <c r="Q659" s="12"/>
      <c r="R659" s="12"/>
      <c r="S659" s="12"/>
      <c r="T659" s="12"/>
      <c r="U659" s="12"/>
      <c r="V659" s="14"/>
      <c r="W659" s="14"/>
      <c r="X659" s="14"/>
      <c r="Y659" s="14"/>
      <c r="Z659" s="15"/>
      <c r="AA659" s="12"/>
      <c r="AB659" s="12"/>
      <c r="AC659" s="12"/>
      <c r="AD659" s="12"/>
      <c r="AE659" s="12"/>
      <c r="AF659" s="12"/>
      <c r="AG659" s="12"/>
      <c r="AH659" s="12"/>
    </row>
    <row r="660" spans="1:34" ht="12.75">
      <c r="A660" s="12"/>
      <c r="B660" s="12"/>
      <c r="C660" s="12"/>
      <c r="D660" s="12"/>
      <c r="E660" s="12"/>
      <c r="F660" s="17"/>
      <c r="G660" s="12"/>
      <c r="H660" s="12"/>
      <c r="I660" s="12"/>
      <c r="J660" s="12"/>
      <c r="K660" s="12"/>
      <c r="L660" s="12"/>
      <c r="M660" s="12"/>
      <c r="N660" s="12"/>
      <c r="O660" s="12"/>
      <c r="P660" s="12"/>
      <c r="Q660" s="12"/>
      <c r="R660" s="12"/>
      <c r="S660" s="12"/>
      <c r="T660" s="12"/>
      <c r="U660" s="12"/>
      <c r="V660" s="14"/>
      <c r="W660" s="14"/>
      <c r="X660" s="14"/>
      <c r="Y660" s="14"/>
      <c r="Z660" s="15"/>
      <c r="AA660" s="12"/>
      <c r="AB660" s="12"/>
      <c r="AC660" s="12"/>
      <c r="AD660" s="12"/>
      <c r="AE660" s="12"/>
      <c r="AF660" s="12"/>
      <c r="AG660" s="12"/>
      <c r="AH660" s="12"/>
    </row>
    <row r="661" spans="1:34" ht="12.75">
      <c r="A661" s="12"/>
      <c r="B661" s="12"/>
      <c r="C661" s="12"/>
      <c r="D661" s="12"/>
      <c r="E661" s="12"/>
      <c r="F661" s="17"/>
      <c r="G661" s="12"/>
      <c r="H661" s="12"/>
      <c r="I661" s="12"/>
      <c r="J661" s="12"/>
      <c r="K661" s="12"/>
      <c r="L661" s="12"/>
      <c r="M661" s="12"/>
      <c r="N661" s="12"/>
      <c r="O661" s="12"/>
      <c r="P661" s="12"/>
      <c r="Q661" s="12"/>
      <c r="R661" s="12"/>
      <c r="S661" s="12"/>
      <c r="T661" s="12"/>
      <c r="U661" s="12"/>
      <c r="V661" s="14"/>
      <c r="W661" s="14"/>
      <c r="X661" s="14"/>
      <c r="Y661" s="14"/>
      <c r="Z661" s="15"/>
      <c r="AA661" s="12"/>
      <c r="AB661" s="12"/>
      <c r="AC661" s="12"/>
      <c r="AD661" s="12"/>
      <c r="AE661" s="12"/>
      <c r="AF661" s="12"/>
      <c r="AG661" s="12"/>
      <c r="AH661" s="12"/>
    </row>
    <row r="662" spans="1:34" ht="12.75">
      <c r="A662" s="12"/>
      <c r="B662" s="12"/>
      <c r="C662" s="12"/>
      <c r="D662" s="12"/>
      <c r="E662" s="12"/>
      <c r="F662" s="17"/>
      <c r="G662" s="12"/>
      <c r="H662" s="12"/>
      <c r="I662" s="12"/>
      <c r="J662" s="12"/>
      <c r="K662" s="12"/>
      <c r="L662" s="12"/>
      <c r="M662" s="12"/>
      <c r="N662" s="12"/>
      <c r="O662" s="12"/>
      <c r="P662" s="12"/>
      <c r="Q662" s="12"/>
      <c r="R662" s="12"/>
      <c r="S662" s="12"/>
      <c r="T662" s="12"/>
      <c r="U662" s="12"/>
      <c r="V662" s="14"/>
      <c r="W662" s="14"/>
      <c r="X662" s="14"/>
      <c r="Y662" s="14"/>
      <c r="Z662" s="15"/>
      <c r="AA662" s="12"/>
      <c r="AB662" s="12"/>
      <c r="AC662" s="12"/>
      <c r="AD662" s="12"/>
      <c r="AE662" s="12"/>
      <c r="AF662" s="12"/>
      <c r="AG662" s="12"/>
      <c r="AH662" s="12"/>
    </row>
    <row r="663" spans="1:34" ht="12.75">
      <c r="A663" s="12"/>
      <c r="B663" s="12"/>
      <c r="C663" s="12"/>
      <c r="D663" s="12"/>
      <c r="E663" s="12"/>
      <c r="F663" s="17"/>
      <c r="G663" s="12"/>
      <c r="H663" s="12"/>
      <c r="I663" s="12"/>
      <c r="J663" s="12"/>
      <c r="K663" s="12"/>
      <c r="L663" s="12"/>
      <c r="M663" s="12"/>
      <c r="N663" s="12"/>
      <c r="O663" s="12"/>
      <c r="P663" s="12"/>
      <c r="Q663" s="12"/>
      <c r="R663" s="12"/>
      <c r="S663" s="12"/>
      <c r="T663" s="12"/>
      <c r="U663" s="12"/>
      <c r="V663" s="14"/>
      <c r="W663" s="14"/>
      <c r="X663" s="14"/>
      <c r="Y663" s="14"/>
      <c r="Z663" s="15"/>
      <c r="AA663" s="12"/>
      <c r="AB663" s="12"/>
      <c r="AC663" s="12"/>
      <c r="AD663" s="12"/>
      <c r="AE663" s="12"/>
      <c r="AF663" s="12"/>
      <c r="AG663" s="12"/>
      <c r="AH663" s="12"/>
    </row>
    <row r="664" spans="1:34" ht="12.75">
      <c r="A664" s="12"/>
      <c r="B664" s="12"/>
      <c r="C664" s="12"/>
      <c r="D664" s="12"/>
      <c r="E664" s="12"/>
      <c r="F664" s="17"/>
      <c r="G664" s="12"/>
      <c r="H664" s="12"/>
      <c r="I664" s="12"/>
      <c r="J664" s="12"/>
      <c r="K664" s="12"/>
      <c r="L664" s="12"/>
      <c r="M664" s="12"/>
      <c r="N664" s="12"/>
      <c r="O664" s="12"/>
      <c r="P664" s="12"/>
      <c r="Q664" s="12"/>
      <c r="R664" s="12"/>
      <c r="S664" s="12"/>
      <c r="T664" s="12"/>
      <c r="U664" s="12"/>
      <c r="V664" s="14"/>
      <c r="W664" s="14"/>
      <c r="X664" s="14"/>
      <c r="Y664" s="14"/>
      <c r="Z664" s="15"/>
      <c r="AA664" s="12"/>
      <c r="AB664" s="12"/>
      <c r="AC664" s="12"/>
      <c r="AD664" s="12"/>
      <c r="AE664" s="12"/>
      <c r="AF664" s="12"/>
      <c r="AG664" s="12"/>
      <c r="AH664" s="12"/>
    </row>
    <row r="665" spans="1:34" ht="12.75">
      <c r="A665" s="12"/>
      <c r="B665" s="12"/>
      <c r="C665" s="12"/>
      <c r="D665" s="12"/>
      <c r="E665" s="12"/>
      <c r="F665" s="17"/>
      <c r="G665" s="12"/>
      <c r="H665" s="12"/>
      <c r="I665" s="12"/>
      <c r="J665" s="12"/>
      <c r="K665" s="12"/>
      <c r="L665" s="12"/>
      <c r="M665" s="12"/>
      <c r="N665" s="12"/>
      <c r="O665" s="12"/>
      <c r="P665" s="12"/>
      <c r="Q665" s="12"/>
      <c r="R665" s="12"/>
      <c r="S665" s="12"/>
      <c r="T665" s="12"/>
      <c r="U665" s="12"/>
      <c r="V665" s="14"/>
      <c r="W665" s="14"/>
      <c r="X665" s="14"/>
      <c r="Y665" s="14"/>
      <c r="Z665" s="15"/>
      <c r="AA665" s="12"/>
      <c r="AB665" s="12"/>
      <c r="AC665" s="12"/>
      <c r="AD665" s="12"/>
      <c r="AE665" s="12"/>
      <c r="AF665" s="12"/>
      <c r="AG665" s="12"/>
      <c r="AH665" s="12"/>
    </row>
    <row r="666" spans="1:34" ht="12.75">
      <c r="A666" s="12"/>
      <c r="B666" s="12"/>
      <c r="C666" s="12"/>
      <c r="D666" s="12"/>
      <c r="E666" s="12"/>
      <c r="F666" s="17"/>
      <c r="G666" s="12"/>
      <c r="H666" s="12"/>
      <c r="I666" s="12"/>
      <c r="J666" s="12"/>
      <c r="K666" s="12"/>
      <c r="L666" s="12"/>
      <c r="M666" s="12"/>
      <c r="N666" s="12"/>
      <c r="O666" s="12"/>
      <c r="P666" s="12"/>
      <c r="Q666" s="12"/>
      <c r="R666" s="12"/>
      <c r="S666" s="12"/>
      <c r="T666" s="12"/>
      <c r="U666" s="12"/>
      <c r="V666" s="14"/>
      <c r="W666" s="14"/>
      <c r="X666" s="14"/>
      <c r="Y666" s="14"/>
      <c r="Z666" s="15"/>
      <c r="AA666" s="12"/>
      <c r="AB666" s="12"/>
      <c r="AC666" s="12"/>
      <c r="AD666" s="12"/>
      <c r="AE666" s="12"/>
      <c r="AF666" s="12"/>
      <c r="AG666" s="12"/>
      <c r="AH666" s="12"/>
    </row>
    <row r="667" spans="1:34" ht="12.75">
      <c r="A667" s="12"/>
      <c r="B667" s="12"/>
      <c r="C667" s="12"/>
      <c r="D667" s="12"/>
      <c r="E667" s="12"/>
      <c r="F667" s="17"/>
      <c r="G667" s="12"/>
      <c r="H667" s="12"/>
      <c r="I667" s="12"/>
      <c r="J667" s="12"/>
      <c r="K667" s="12"/>
      <c r="L667" s="12"/>
      <c r="M667" s="12"/>
      <c r="N667" s="12"/>
      <c r="O667" s="12"/>
      <c r="P667" s="12"/>
      <c r="Q667" s="12"/>
      <c r="R667" s="12"/>
      <c r="S667" s="12"/>
      <c r="T667" s="12"/>
      <c r="U667" s="12"/>
      <c r="V667" s="14"/>
      <c r="W667" s="14"/>
      <c r="X667" s="14"/>
      <c r="Y667" s="14"/>
      <c r="Z667" s="15"/>
      <c r="AA667" s="12"/>
      <c r="AB667" s="12"/>
      <c r="AC667" s="12"/>
      <c r="AD667" s="12"/>
      <c r="AE667" s="12"/>
      <c r="AF667" s="12"/>
      <c r="AG667" s="12"/>
      <c r="AH667" s="12"/>
    </row>
    <row r="668" spans="1:34" ht="12.75">
      <c r="A668" s="12"/>
      <c r="B668" s="12"/>
      <c r="C668" s="12"/>
      <c r="D668" s="12"/>
      <c r="E668" s="12"/>
      <c r="F668" s="17"/>
      <c r="G668" s="12"/>
      <c r="H668" s="12"/>
      <c r="I668" s="12"/>
      <c r="J668" s="12"/>
      <c r="K668" s="12"/>
      <c r="L668" s="12"/>
      <c r="M668" s="12"/>
      <c r="N668" s="12"/>
      <c r="O668" s="12"/>
      <c r="P668" s="12"/>
      <c r="Q668" s="12"/>
      <c r="R668" s="12"/>
      <c r="S668" s="12"/>
      <c r="T668" s="12"/>
      <c r="U668" s="12"/>
      <c r="V668" s="14"/>
      <c r="W668" s="14"/>
      <c r="X668" s="14"/>
      <c r="Y668" s="14"/>
      <c r="Z668" s="15"/>
      <c r="AA668" s="12"/>
      <c r="AB668" s="12"/>
      <c r="AC668" s="12"/>
      <c r="AD668" s="12"/>
      <c r="AE668" s="12"/>
      <c r="AF668" s="12"/>
      <c r="AG668" s="12"/>
      <c r="AH668" s="12"/>
    </row>
    <row r="669" spans="1:34" ht="12.75">
      <c r="A669" s="12"/>
      <c r="B669" s="12"/>
      <c r="C669" s="12"/>
      <c r="D669" s="12"/>
      <c r="E669" s="12"/>
      <c r="F669" s="17"/>
      <c r="G669" s="12"/>
      <c r="H669" s="12"/>
      <c r="I669" s="12"/>
      <c r="J669" s="12"/>
      <c r="K669" s="12"/>
      <c r="L669" s="12"/>
      <c r="M669" s="12"/>
      <c r="N669" s="12"/>
      <c r="O669" s="12"/>
      <c r="P669" s="12"/>
      <c r="Q669" s="12"/>
      <c r="R669" s="12"/>
      <c r="S669" s="12"/>
      <c r="T669" s="12"/>
      <c r="U669" s="12"/>
      <c r="V669" s="14"/>
      <c r="W669" s="14"/>
      <c r="X669" s="14"/>
      <c r="Y669" s="14"/>
      <c r="Z669" s="15"/>
      <c r="AA669" s="12"/>
      <c r="AB669" s="12"/>
      <c r="AC669" s="12"/>
      <c r="AD669" s="12"/>
      <c r="AE669" s="12"/>
      <c r="AF669" s="12"/>
      <c r="AG669" s="12"/>
      <c r="AH669" s="12"/>
    </row>
    <row r="670" spans="1:34" ht="12.75">
      <c r="A670" s="12"/>
      <c r="B670" s="12"/>
      <c r="C670" s="12"/>
      <c r="D670" s="12"/>
      <c r="E670" s="12"/>
      <c r="F670" s="17"/>
      <c r="G670" s="12"/>
      <c r="H670" s="12"/>
      <c r="I670" s="12"/>
      <c r="J670" s="12"/>
      <c r="K670" s="12"/>
      <c r="L670" s="12"/>
      <c r="M670" s="12"/>
      <c r="N670" s="12"/>
      <c r="O670" s="12"/>
      <c r="P670" s="12"/>
      <c r="Q670" s="12"/>
      <c r="R670" s="12"/>
      <c r="S670" s="12"/>
      <c r="T670" s="12"/>
      <c r="U670" s="12"/>
      <c r="V670" s="14"/>
      <c r="W670" s="14"/>
      <c r="X670" s="14"/>
      <c r="Y670" s="14"/>
      <c r="Z670" s="15"/>
      <c r="AA670" s="12"/>
      <c r="AB670" s="12"/>
      <c r="AC670" s="12"/>
      <c r="AD670" s="12"/>
      <c r="AE670" s="12"/>
      <c r="AF670" s="12"/>
      <c r="AG670" s="12"/>
      <c r="AH670" s="12"/>
    </row>
    <row r="671" spans="1:34" ht="12.75">
      <c r="A671" s="12"/>
      <c r="B671" s="12"/>
      <c r="C671" s="12"/>
      <c r="D671" s="12"/>
      <c r="E671" s="12"/>
      <c r="F671" s="17"/>
      <c r="G671" s="12"/>
      <c r="H671" s="12"/>
      <c r="I671" s="12"/>
      <c r="J671" s="12"/>
      <c r="K671" s="12"/>
      <c r="L671" s="12"/>
      <c r="M671" s="12"/>
      <c r="N671" s="12"/>
      <c r="O671" s="12"/>
      <c r="P671" s="12"/>
      <c r="Q671" s="12"/>
      <c r="R671" s="12"/>
      <c r="S671" s="12"/>
      <c r="T671" s="12"/>
      <c r="U671" s="12"/>
      <c r="V671" s="14"/>
      <c r="W671" s="14"/>
      <c r="X671" s="14"/>
      <c r="Y671" s="14"/>
      <c r="Z671" s="15"/>
      <c r="AA671" s="12"/>
      <c r="AB671" s="12"/>
      <c r="AC671" s="12"/>
      <c r="AD671" s="12"/>
      <c r="AE671" s="12"/>
      <c r="AF671" s="12"/>
      <c r="AG671" s="12"/>
      <c r="AH671" s="12"/>
    </row>
    <row r="672" spans="1:34" ht="12.75">
      <c r="A672" s="12"/>
      <c r="B672" s="12"/>
      <c r="C672" s="12"/>
      <c r="D672" s="12"/>
      <c r="E672" s="12"/>
      <c r="F672" s="17"/>
      <c r="G672" s="12"/>
      <c r="H672" s="12"/>
      <c r="I672" s="12"/>
      <c r="J672" s="12"/>
      <c r="K672" s="12"/>
      <c r="L672" s="12"/>
      <c r="M672" s="12"/>
      <c r="N672" s="12"/>
      <c r="O672" s="12"/>
      <c r="P672" s="12"/>
      <c r="Q672" s="12"/>
      <c r="R672" s="12"/>
      <c r="S672" s="12"/>
      <c r="T672" s="12"/>
      <c r="U672" s="12"/>
      <c r="V672" s="14"/>
      <c r="W672" s="14"/>
      <c r="X672" s="14"/>
      <c r="Y672" s="14"/>
      <c r="Z672" s="15"/>
      <c r="AA672" s="12"/>
      <c r="AB672" s="12"/>
      <c r="AC672" s="12"/>
      <c r="AD672" s="12"/>
      <c r="AE672" s="12"/>
      <c r="AF672" s="12"/>
      <c r="AG672" s="12"/>
      <c r="AH672" s="12"/>
    </row>
    <row r="673" spans="1:34" ht="12.75">
      <c r="A673" s="12"/>
      <c r="B673" s="12"/>
      <c r="C673" s="12"/>
      <c r="D673" s="12"/>
      <c r="E673" s="12"/>
      <c r="F673" s="17"/>
      <c r="G673" s="12"/>
      <c r="H673" s="12"/>
      <c r="I673" s="12"/>
      <c r="J673" s="12"/>
      <c r="K673" s="12"/>
      <c r="L673" s="12"/>
      <c r="M673" s="12"/>
      <c r="N673" s="12"/>
      <c r="O673" s="12"/>
      <c r="P673" s="12"/>
      <c r="Q673" s="12"/>
      <c r="R673" s="12"/>
      <c r="S673" s="12"/>
      <c r="T673" s="12"/>
      <c r="U673" s="12"/>
      <c r="V673" s="14"/>
      <c r="W673" s="14"/>
      <c r="X673" s="14"/>
      <c r="Y673" s="14"/>
      <c r="Z673" s="15"/>
      <c r="AA673" s="12"/>
      <c r="AB673" s="12"/>
      <c r="AC673" s="12"/>
      <c r="AD673" s="12"/>
      <c r="AE673" s="12"/>
      <c r="AF673" s="12"/>
      <c r="AG673" s="12"/>
      <c r="AH673" s="12"/>
    </row>
    <row r="674" spans="1:34" ht="12.75">
      <c r="A674" s="12"/>
      <c r="B674" s="12"/>
      <c r="C674" s="12"/>
      <c r="D674" s="12"/>
      <c r="E674" s="12"/>
      <c r="F674" s="17"/>
      <c r="G674" s="12"/>
      <c r="H674" s="12"/>
      <c r="I674" s="12"/>
      <c r="J674" s="12"/>
      <c r="K674" s="12"/>
      <c r="L674" s="12"/>
      <c r="M674" s="12"/>
      <c r="N674" s="12"/>
      <c r="O674" s="12"/>
      <c r="P674" s="12"/>
      <c r="Q674" s="12"/>
      <c r="R674" s="12"/>
      <c r="S674" s="12"/>
      <c r="T674" s="12"/>
      <c r="U674" s="12"/>
      <c r="V674" s="14"/>
      <c r="W674" s="14"/>
      <c r="X674" s="14"/>
      <c r="Y674" s="14"/>
      <c r="Z674" s="15"/>
      <c r="AA674" s="12"/>
      <c r="AB674" s="12"/>
      <c r="AC674" s="12"/>
      <c r="AD674" s="12"/>
      <c r="AE674" s="12"/>
      <c r="AF674" s="12"/>
      <c r="AG674" s="12"/>
      <c r="AH674" s="12"/>
    </row>
    <row r="675" spans="1:34" ht="12.75">
      <c r="A675" s="12"/>
      <c r="B675" s="12"/>
      <c r="C675" s="12"/>
      <c r="D675" s="12"/>
      <c r="E675" s="12"/>
      <c r="F675" s="17"/>
      <c r="G675" s="12"/>
      <c r="H675" s="12"/>
      <c r="I675" s="12"/>
      <c r="J675" s="12"/>
      <c r="K675" s="12"/>
      <c r="L675" s="12"/>
      <c r="M675" s="12"/>
      <c r="N675" s="12"/>
      <c r="O675" s="12"/>
      <c r="P675" s="12"/>
      <c r="Q675" s="12"/>
      <c r="R675" s="12"/>
      <c r="S675" s="12"/>
      <c r="T675" s="12"/>
      <c r="U675" s="12"/>
      <c r="V675" s="14"/>
      <c r="W675" s="14"/>
      <c r="X675" s="14"/>
      <c r="Y675" s="14"/>
      <c r="Z675" s="15"/>
      <c r="AA675" s="12"/>
      <c r="AB675" s="12"/>
      <c r="AC675" s="12"/>
      <c r="AD675" s="12"/>
      <c r="AE675" s="12"/>
      <c r="AF675" s="12"/>
      <c r="AG675" s="12"/>
      <c r="AH675" s="12"/>
    </row>
    <row r="676" spans="1:34" ht="12.75">
      <c r="A676" s="12"/>
      <c r="B676" s="12"/>
      <c r="C676" s="12"/>
      <c r="D676" s="12"/>
      <c r="E676" s="12"/>
      <c r="F676" s="17"/>
      <c r="G676" s="12"/>
      <c r="H676" s="12"/>
      <c r="I676" s="12"/>
      <c r="J676" s="12"/>
      <c r="K676" s="12"/>
      <c r="L676" s="12"/>
      <c r="M676" s="12"/>
      <c r="N676" s="12"/>
      <c r="O676" s="12"/>
      <c r="P676" s="12"/>
      <c r="Q676" s="12"/>
      <c r="R676" s="12"/>
      <c r="S676" s="12"/>
      <c r="T676" s="12"/>
      <c r="U676" s="12"/>
      <c r="V676" s="14"/>
      <c r="W676" s="14"/>
      <c r="X676" s="14"/>
      <c r="Y676" s="14"/>
      <c r="Z676" s="15"/>
      <c r="AA676" s="12"/>
      <c r="AB676" s="12"/>
      <c r="AC676" s="12"/>
      <c r="AD676" s="12"/>
      <c r="AE676" s="12"/>
      <c r="AF676" s="12"/>
      <c r="AG676" s="12"/>
      <c r="AH676" s="12"/>
    </row>
    <row r="677" spans="1:34" ht="12.75">
      <c r="A677" s="12"/>
      <c r="B677" s="12"/>
      <c r="C677" s="12"/>
      <c r="D677" s="12"/>
      <c r="E677" s="12"/>
      <c r="F677" s="17"/>
      <c r="G677" s="12"/>
      <c r="H677" s="12"/>
      <c r="I677" s="12"/>
      <c r="J677" s="12"/>
      <c r="K677" s="12"/>
      <c r="L677" s="12"/>
      <c r="M677" s="12"/>
      <c r="N677" s="12"/>
      <c r="O677" s="12"/>
      <c r="P677" s="12"/>
      <c r="Q677" s="12"/>
      <c r="R677" s="12"/>
      <c r="S677" s="12"/>
      <c r="T677" s="12"/>
      <c r="U677" s="12"/>
      <c r="V677" s="14"/>
      <c r="W677" s="14"/>
      <c r="X677" s="14"/>
      <c r="Y677" s="14"/>
      <c r="Z677" s="15"/>
      <c r="AA677" s="12"/>
      <c r="AB677" s="12"/>
      <c r="AC677" s="12"/>
      <c r="AD677" s="12"/>
      <c r="AE677" s="12"/>
      <c r="AF677" s="12"/>
      <c r="AG677" s="12"/>
      <c r="AH677" s="12"/>
    </row>
    <row r="678" spans="1:34" ht="12.75">
      <c r="A678" s="12"/>
      <c r="B678" s="12"/>
      <c r="C678" s="12"/>
      <c r="D678" s="12"/>
      <c r="E678" s="12"/>
      <c r="F678" s="17"/>
      <c r="G678" s="12"/>
      <c r="H678" s="12"/>
      <c r="I678" s="12"/>
      <c r="J678" s="12"/>
      <c r="K678" s="12"/>
      <c r="L678" s="12"/>
      <c r="M678" s="12"/>
      <c r="N678" s="12"/>
      <c r="O678" s="12"/>
      <c r="P678" s="12"/>
      <c r="Q678" s="12"/>
      <c r="R678" s="12"/>
      <c r="S678" s="12"/>
      <c r="T678" s="12"/>
      <c r="U678" s="12"/>
      <c r="V678" s="14"/>
      <c r="W678" s="14"/>
      <c r="X678" s="14"/>
      <c r="Y678" s="14"/>
      <c r="Z678" s="15"/>
      <c r="AA678" s="12"/>
      <c r="AB678" s="12"/>
      <c r="AC678" s="12"/>
      <c r="AD678" s="12"/>
      <c r="AE678" s="12"/>
      <c r="AF678" s="12"/>
      <c r="AG678" s="12"/>
      <c r="AH678" s="12"/>
    </row>
    <row r="679" spans="1:34" ht="12.75">
      <c r="A679" s="12"/>
      <c r="B679" s="12"/>
      <c r="C679" s="12"/>
      <c r="D679" s="12"/>
      <c r="E679" s="12"/>
      <c r="F679" s="17"/>
      <c r="G679" s="12"/>
      <c r="H679" s="12"/>
      <c r="I679" s="12"/>
      <c r="J679" s="12"/>
      <c r="K679" s="12"/>
      <c r="L679" s="12"/>
      <c r="M679" s="12"/>
      <c r="N679" s="12"/>
      <c r="O679" s="12"/>
      <c r="P679" s="12"/>
      <c r="Q679" s="12"/>
      <c r="R679" s="12"/>
      <c r="S679" s="12"/>
      <c r="T679" s="12"/>
      <c r="U679" s="12"/>
      <c r="V679" s="14"/>
      <c r="W679" s="14"/>
      <c r="X679" s="14"/>
      <c r="Y679" s="14"/>
      <c r="Z679" s="15"/>
      <c r="AA679" s="12"/>
      <c r="AB679" s="12"/>
      <c r="AC679" s="12"/>
      <c r="AD679" s="12"/>
      <c r="AE679" s="12"/>
      <c r="AF679" s="12"/>
      <c r="AG679" s="12"/>
      <c r="AH679" s="12"/>
    </row>
    <row r="680" spans="1:34" ht="12.75">
      <c r="A680" s="12"/>
      <c r="B680" s="12"/>
      <c r="C680" s="12"/>
      <c r="D680" s="12"/>
      <c r="E680" s="12"/>
      <c r="F680" s="17"/>
      <c r="G680" s="12"/>
      <c r="H680" s="12"/>
      <c r="I680" s="12"/>
      <c r="J680" s="12"/>
      <c r="K680" s="12"/>
      <c r="L680" s="12"/>
      <c r="M680" s="12"/>
      <c r="N680" s="12"/>
      <c r="O680" s="12"/>
      <c r="P680" s="12"/>
      <c r="Q680" s="12"/>
      <c r="R680" s="12"/>
      <c r="S680" s="12"/>
      <c r="T680" s="12"/>
      <c r="U680" s="12"/>
      <c r="V680" s="14"/>
      <c r="W680" s="14"/>
      <c r="X680" s="14"/>
      <c r="Y680" s="14"/>
      <c r="Z680" s="15"/>
      <c r="AA680" s="12"/>
      <c r="AB680" s="12"/>
      <c r="AC680" s="12"/>
      <c r="AD680" s="12"/>
      <c r="AE680" s="12"/>
      <c r="AF680" s="12"/>
      <c r="AG680" s="12"/>
      <c r="AH680" s="12"/>
    </row>
    <row r="681" spans="1:34" ht="12.75">
      <c r="A681" s="12"/>
      <c r="B681" s="12"/>
      <c r="C681" s="12"/>
      <c r="D681" s="12"/>
      <c r="E681" s="12"/>
      <c r="F681" s="17"/>
      <c r="G681" s="12"/>
      <c r="H681" s="12"/>
      <c r="I681" s="12"/>
      <c r="J681" s="12"/>
      <c r="K681" s="12"/>
      <c r="L681" s="12"/>
      <c r="M681" s="12"/>
      <c r="N681" s="12"/>
      <c r="O681" s="12"/>
      <c r="P681" s="12"/>
      <c r="Q681" s="12"/>
      <c r="R681" s="12"/>
      <c r="S681" s="12"/>
      <c r="T681" s="12"/>
      <c r="U681" s="12"/>
      <c r="V681" s="14"/>
      <c r="W681" s="14"/>
      <c r="X681" s="14"/>
      <c r="Y681" s="14"/>
      <c r="Z681" s="15"/>
      <c r="AA681" s="12"/>
      <c r="AB681" s="12"/>
      <c r="AC681" s="12"/>
      <c r="AD681" s="12"/>
      <c r="AE681" s="12"/>
      <c r="AF681" s="12"/>
      <c r="AG681" s="12"/>
      <c r="AH681" s="12"/>
    </row>
    <row r="682" spans="1:34" ht="12.75">
      <c r="A682" s="12"/>
      <c r="B682" s="12"/>
      <c r="C682" s="12"/>
      <c r="D682" s="12"/>
      <c r="E682" s="12"/>
      <c r="F682" s="17"/>
      <c r="G682" s="12"/>
      <c r="H682" s="12"/>
      <c r="I682" s="12"/>
      <c r="J682" s="12"/>
      <c r="K682" s="12"/>
      <c r="L682" s="12"/>
      <c r="M682" s="12"/>
      <c r="N682" s="12"/>
      <c r="O682" s="12"/>
      <c r="P682" s="12"/>
      <c r="Q682" s="12"/>
      <c r="R682" s="12"/>
      <c r="S682" s="12"/>
      <c r="T682" s="12"/>
      <c r="U682" s="12"/>
      <c r="V682" s="14"/>
      <c r="W682" s="14"/>
      <c r="X682" s="14"/>
      <c r="Y682" s="14"/>
      <c r="Z682" s="15"/>
      <c r="AA682" s="12"/>
      <c r="AB682" s="12"/>
      <c r="AC682" s="12"/>
      <c r="AD682" s="12"/>
      <c r="AE682" s="12"/>
      <c r="AF682" s="12"/>
      <c r="AG682" s="12"/>
      <c r="AH682" s="12"/>
    </row>
    <row r="683" spans="1:34" ht="12.75">
      <c r="A683" s="12"/>
      <c r="B683" s="12"/>
      <c r="C683" s="12"/>
      <c r="D683" s="12"/>
      <c r="E683" s="12"/>
      <c r="F683" s="17"/>
      <c r="G683" s="12"/>
      <c r="H683" s="12"/>
      <c r="I683" s="12"/>
      <c r="J683" s="12"/>
      <c r="K683" s="12"/>
      <c r="L683" s="12"/>
      <c r="M683" s="12"/>
      <c r="N683" s="12"/>
      <c r="O683" s="12"/>
      <c r="P683" s="12"/>
      <c r="Q683" s="12"/>
      <c r="R683" s="12"/>
      <c r="S683" s="12"/>
      <c r="T683" s="12"/>
      <c r="U683" s="12"/>
      <c r="V683" s="14"/>
      <c r="W683" s="14"/>
      <c r="X683" s="14"/>
      <c r="Y683" s="14"/>
      <c r="Z683" s="15"/>
      <c r="AA683" s="12"/>
      <c r="AB683" s="12"/>
      <c r="AC683" s="12"/>
      <c r="AD683" s="12"/>
      <c r="AE683" s="12"/>
      <c r="AF683" s="12"/>
      <c r="AG683" s="12"/>
      <c r="AH683" s="12"/>
    </row>
    <row r="684" spans="1:34" ht="12.75">
      <c r="A684" s="12"/>
      <c r="B684" s="12"/>
      <c r="C684" s="12"/>
      <c r="D684" s="12"/>
      <c r="E684" s="12"/>
      <c r="F684" s="17"/>
      <c r="G684" s="12"/>
      <c r="H684" s="12"/>
      <c r="I684" s="12"/>
      <c r="J684" s="12"/>
      <c r="K684" s="12"/>
      <c r="L684" s="12"/>
      <c r="M684" s="12"/>
      <c r="N684" s="12"/>
      <c r="O684" s="12"/>
      <c r="P684" s="12"/>
      <c r="Q684" s="12"/>
      <c r="R684" s="12"/>
      <c r="S684" s="12"/>
      <c r="T684" s="12"/>
      <c r="U684" s="12"/>
      <c r="V684" s="14"/>
      <c r="W684" s="14"/>
      <c r="X684" s="14"/>
      <c r="Y684" s="14"/>
      <c r="Z684" s="15"/>
      <c r="AA684" s="12"/>
      <c r="AB684" s="12"/>
      <c r="AC684" s="12"/>
      <c r="AD684" s="12"/>
      <c r="AE684" s="12"/>
      <c r="AF684" s="12"/>
      <c r="AG684" s="12"/>
      <c r="AH684" s="12"/>
    </row>
    <row r="685" spans="1:34" ht="12.75">
      <c r="A685" s="12"/>
      <c r="B685" s="12"/>
      <c r="C685" s="12"/>
      <c r="D685" s="12"/>
      <c r="E685" s="12"/>
      <c r="F685" s="17"/>
      <c r="G685" s="12"/>
      <c r="H685" s="12"/>
      <c r="I685" s="12"/>
      <c r="J685" s="12"/>
      <c r="K685" s="12"/>
      <c r="L685" s="12"/>
      <c r="M685" s="12"/>
      <c r="N685" s="12"/>
      <c r="O685" s="12"/>
      <c r="P685" s="12"/>
      <c r="Q685" s="12"/>
      <c r="R685" s="12"/>
      <c r="S685" s="12"/>
      <c r="T685" s="12"/>
      <c r="U685" s="12"/>
      <c r="V685" s="14"/>
      <c r="W685" s="14"/>
      <c r="X685" s="14"/>
      <c r="Y685" s="14"/>
      <c r="Z685" s="15"/>
      <c r="AA685" s="12"/>
      <c r="AB685" s="12"/>
      <c r="AC685" s="12"/>
      <c r="AD685" s="12"/>
      <c r="AE685" s="12"/>
      <c r="AF685" s="12"/>
      <c r="AG685" s="12"/>
      <c r="AH685" s="12"/>
    </row>
    <row r="686" spans="1:34" ht="12.75">
      <c r="A686" s="12"/>
      <c r="B686" s="12"/>
      <c r="C686" s="12"/>
      <c r="D686" s="12"/>
      <c r="E686" s="12"/>
      <c r="F686" s="17"/>
      <c r="G686" s="12"/>
      <c r="H686" s="12"/>
      <c r="I686" s="12"/>
      <c r="J686" s="12"/>
      <c r="K686" s="12"/>
      <c r="L686" s="12"/>
      <c r="M686" s="12"/>
      <c r="N686" s="12"/>
      <c r="O686" s="12"/>
      <c r="P686" s="12"/>
      <c r="Q686" s="12"/>
      <c r="R686" s="12"/>
      <c r="S686" s="12"/>
      <c r="T686" s="12"/>
      <c r="U686" s="12"/>
      <c r="V686" s="14"/>
      <c r="W686" s="14"/>
      <c r="X686" s="14"/>
      <c r="Y686" s="14"/>
      <c r="Z686" s="15"/>
      <c r="AA686" s="12"/>
      <c r="AB686" s="12"/>
      <c r="AC686" s="12"/>
      <c r="AD686" s="12"/>
      <c r="AE686" s="12"/>
      <c r="AF686" s="12"/>
      <c r="AG686" s="12"/>
      <c r="AH686" s="12"/>
    </row>
    <row r="687" spans="1:34" ht="12.75">
      <c r="A687" s="12"/>
      <c r="B687" s="12"/>
      <c r="C687" s="12"/>
      <c r="D687" s="12"/>
      <c r="E687" s="12"/>
      <c r="F687" s="17"/>
      <c r="G687" s="12"/>
      <c r="H687" s="12"/>
      <c r="I687" s="12"/>
      <c r="J687" s="12"/>
      <c r="K687" s="12"/>
      <c r="L687" s="12"/>
      <c r="M687" s="12"/>
      <c r="N687" s="12"/>
      <c r="O687" s="12"/>
      <c r="P687" s="12"/>
      <c r="Q687" s="12"/>
      <c r="R687" s="12"/>
      <c r="S687" s="12"/>
      <c r="T687" s="12"/>
      <c r="U687" s="12"/>
      <c r="V687" s="14"/>
      <c r="W687" s="14"/>
      <c r="X687" s="14"/>
      <c r="Y687" s="14"/>
      <c r="Z687" s="15"/>
      <c r="AA687" s="12"/>
      <c r="AB687" s="12"/>
      <c r="AC687" s="12"/>
      <c r="AD687" s="12"/>
      <c r="AE687" s="12"/>
      <c r="AF687" s="12"/>
      <c r="AG687" s="12"/>
      <c r="AH687" s="12"/>
    </row>
    <row r="688" spans="1:34" ht="12.75">
      <c r="A688" s="12"/>
      <c r="B688" s="12"/>
      <c r="C688" s="12"/>
      <c r="D688" s="12"/>
      <c r="E688" s="12"/>
      <c r="F688" s="17"/>
      <c r="G688" s="12"/>
      <c r="H688" s="12"/>
      <c r="I688" s="12"/>
      <c r="J688" s="12"/>
      <c r="K688" s="12"/>
      <c r="L688" s="12"/>
      <c r="M688" s="12"/>
      <c r="N688" s="12"/>
      <c r="O688" s="12"/>
      <c r="P688" s="12"/>
      <c r="Q688" s="12"/>
      <c r="R688" s="12"/>
      <c r="S688" s="12"/>
      <c r="T688" s="12"/>
      <c r="U688" s="12"/>
      <c r="V688" s="14"/>
      <c r="W688" s="14"/>
      <c r="X688" s="14"/>
      <c r="Y688" s="14"/>
      <c r="Z688" s="15"/>
      <c r="AA688" s="12"/>
      <c r="AB688" s="12"/>
      <c r="AC688" s="12"/>
      <c r="AD688" s="12"/>
      <c r="AE688" s="12"/>
      <c r="AF688" s="12"/>
      <c r="AG688" s="12"/>
      <c r="AH688" s="12"/>
    </row>
    <row r="689" spans="1:34" ht="12.75">
      <c r="A689" s="12"/>
      <c r="B689" s="12"/>
      <c r="C689" s="12"/>
      <c r="D689" s="12"/>
      <c r="E689" s="12"/>
      <c r="F689" s="17"/>
      <c r="G689" s="12"/>
      <c r="H689" s="12"/>
      <c r="I689" s="12"/>
      <c r="J689" s="12"/>
      <c r="K689" s="12"/>
      <c r="L689" s="12"/>
      <c r="M689" s="12"/>
      <c r="N689" s="12"/>
      <c r="O689" s="12"/>
      <c r="P689" s="12"/>
      <c r="Q689" s="12"/>
      <c r="R689" s="12"/>
      <c r="S689" s="12"/>
      <c r="T689" s="12"/>
      <c r="U689" s="12"/>
      <c r="V689" s="14"/>
      <c r="W689" s="14"/>
      <c r="X689" s="14"/>
      <c r="Y689" s="14"/>
      <c r="Z689" s="15"/>
      <c r="AA689" s="12"/>
      <c r="AB689" s="12"/>
      <c r="AC689" s="12"/>
      <c r="AD689" s="12"/>
      <c r="AE689" s="12"/>
      <c r="AF689" s="12"/>
      <c r="AG689" s="12"/>
      <c r="AH689" s="12"/>
    </row>
    <row r="690" spans="1:34" ht="12.75">
      <c r="A690" s="12"/>
      <c r="B690" s="12"/>
      <c r="C690" s="12"/>
      <c r="D690" s="12"/>
      <c r="E690" s="12"/>
      <c r="F690" s="17"/>
      <c r="G690" s="12"/>
      <c r="H690" s="12"/>
      <c r="I690" s="12"/>
      <c r="J690" s="12"/>
      <c r="K690" s="12"/>
      <c r="L690" s="12"/>
      <c r="M690" s="12"/>
      <c r="N690" s="12"/>
      <c r="O690" s="12"/>
      <c r="P690" s="12"/>
      <c r="Q690" s="12"/>
      <c r="R690" s="12"/>
      <c r="S690" s="12"/>
      <c r="T690" s="12"/>
      <c r="U690" s="12"/>
      <c r="V690" s="14"/>
      <c r="W690" s="14"/>
      <c r="X690" s="14"/>
      <c r="Y690" s="14"/>
      <c r="Z690" s="15"/>
      <c r="AA690" s="12"/>
      <c r="AB690" s="12"/>
      <c r="AC690" s="12"/>
      <c r="AD690" s="12"/>
      <c r="AE690" s="12"/>
      <c r="AF690" s="12"/>
      <c r="AG690" s="12"/>
      <c r="AH690" s="12"/>
    </row>
    <row r="691" spans="1:34" ht="12.75">
      <c r="A691" s="12"/>
      <c r="B691" s="12"/>
      <c r="C691" s="12"/>
      <c r="D691" s="12"/>
      <c r="E691" s="12"/>
      <c r="F691" s="17"/>
      <c r="G691" s="12"/>
      <c r="H691" s="12"/>
      <c r="I691" s="12"/>
      <c r="J691" s="12"/>
      <c r="K691" s="12"/>
      <c r="L691" s="12"/>
      <c r="M691" s="12"/>
      <c r="N691" s="12"/>
      <c r="O691" s="12"/>
      <c r="P691" s="12"/>
      <c r="Q691" s="12"/>
      <c r="R691" s="12"/>
      <c r="S691" s="12"/>
      <c r="T691" s="12"/>
      <c r="U691" s="12"/>
      <c r="V691" s="14"/>
      <c r="W691" s="14"/>
      <c r="X691" s="14"/>
      <c r="Y691" s="14"/>
      <c r="Z691" s="15"/>
      <c r="AA691" s="12"/>
      <c r="AB691" s="12"/>
      <c r="AC691" s="12"/>
      <c r="AD691" s="12"/>
      <c r="AE691" s="12"/>
      <c r="AF691" s="12"/>
      <c r="AG691" s="12"/>
      <c r="AH691" s="12"/>
    </row>
    <row r="692" spans="1:34" ht="12.75">
      <c r="A692" s="12"/>
      <c r="B692" s="12"/>
      <c r="C692" s="12"/>
      <c r="D692" s="12"/>
      <c r="E692" s="12"/>
      <c r="F692" s="17"/>
      <c r="G692" s="12"/>
      <c r="H692" s="12"/>
      <c r="I692" s="12"/>
      <c r="J692" s="12"/>
      <c r="K692" s="12"/>
      <c r="L692" s="12"/>
      <c r="M692" s="12"/>
      <c r="N692" s="12"/>
      <c r="O692" s="12"/>
      <c r="P692" s="12"/>
      <c r="Q692" s="12"/>
      <c r="R692" s="12"/>
      <c r="S692" s="12"/>
      <c r="T692" s="12"/>
      <c r="U692" s="12"/>
      <c r="V692" s="14"/>
      <c r="W692" s="14"/>
      <c r="X692" s="14"/>
      <c r="Y692" s="14"/>
      <c r="Z692" s="15"/>
      <c r="AA692" s="12"/>
      <c r="AB692" s="12"/>
      <c r="AC692" s="12"/>
      <c r="AD692" s="12"/>
      <c r="AE692" s="12"/>
      <c r="AF692" s="12"/>
      <c r="AG692" s="12"/>
      <c r="AH692" s="12"/>
    </row>
    <row r="693" spans="1:34" ht="12.75">
      <c r="A693" s="12"/>
      <c r="B693" s="12"/>
      <c r="C693" s="12"/>
      <c r="D693" s="12"/>
      <c r="E693" s="12"/>
      <c r="F693" s="17"/>
      <c r="G693" s="12"/>
      <c r="H693" s="12"/>
      <c r="I693" s="12"/>
      <c r="J693" s="12"/>
      <c r="K693" s="12"/>
      <c r="L693" s="12"/>
      <c r="M693" s="12"/>
      <c r="N693" s="12"/>
      <c r="O693" s="12"/>
      <c r="P693" s="12"/>
      <c r="Q693" s="12"/>
      <c r="R693" s="12"/>
      <c r="S693" s="12"/>
      <c r="T693" s="12"/>
      <c r="U693" s="12"/>
      <c r="V693" s="14"/>
      <c r="W693" s="14"/>
      <c r="X693" s="14"/>
      <c r="Y693" s="14"/>
      <c r="Z693" s="15"/>
      <c r="AA693" s="12"/>
      <c r="AB693" s="12"/>
      <c r="AC693" s="12"/>
      <c r="AD693" s="12"/>
      <c r="AE693" s="12"/>
      <c r="AF693" s="12"/>
      <c r="AG693" s="12"/>
      <c r="AH693" s="12"/>
    </row>
    <row r="694" spans="1:34" ht="12.75">
      <c r="A694" s="12"/>
      <c r="B694" s="12"/>
      <c r="C694" s="12"/>
      <c r="D694" s="12"/>
      <c r="E694" s="12"/>
      <c r="F694" s="17"/>
      <c r="G694" s="12"/>
      <c r="H694" s="12"/>
      <c r="I694" s="12"/>
      <c r="J694" s="12"/>
      <c r="K694" s="12"/>
      <c r="L694" s="12"/>
      <c r="M694" s="12"/>
      <c r="N694" s="12"/>
      <c r="O694" s="12"/>
      <c r="P694" s="12"/>
      <c r="Q694" s="12"/>
      <c r="R694" s="12"/>
      <c r="S694" s="12"/>
      <c r="T694" s="12"/>
      <c r="U694" s="12"/>
      <c r="V694" s="14"/>
      <c r="W694" s="14"/>
      <c r="X694" s="14"/>
      <c r="Y694" s="14"/>
      <c r="Z694" s="15"/>
      <c r="AA694" s="12"/>
      <c r="AB694" s="12"/>
      <c r="AC694" s="12"/>
      <c r="AD694" s="12"/>
      <c r="AE694" s="12"/>
      <c r="AF694" s="12"/>
      <c r="AG694" s="12"/>
      <c r="AH694" s="12"/>
    </row>
    <row r="695" spans="1:34" ht="12.75">
      <c r="A695" s="12"/>
      <c r="B695" s="12"/>
      <c r="C695" s="12"/>
      <c r="D695" s="12"/>
      <c r="E695" s="12"/>
      <c r="F695" s="17"/>
      <c r="G695" s="12"/>
      <c r="H695" s="12"/>
      <c r="I695" s="12"/>
      <c r="J695" s="12"/>
      <c r="K695" s="12"/>
      <c r="L695" s="12"/>
      <c r="M695" s="12"/>
      <c r="N695" s="12"/>
      <c r="O695" s="12"/>
      <c r="P695" s="12"/>
      <c r="Q695" s="12"/>
      <c r="R695" s="12"/>
      <c r="S695" s="12"/>
      <c r="T695" s="12"/>
      <c r="U695" s="12"/>
      <c r="V695" s="14"/>
      <c r="W695" s="14"/>
      <c r="X695" s="14"/>
      <c r="Y695" s="14"/>
      <c r="Z695" s="15"/>
      <c r="AA695" s="12"/>
      <c r="AB695" s="12"/>
      <c r="AC695" s="12"/>
      <c r="AD695" s="12"/>
      <c r="AE695" s="12"/>
      <c r="AF695" s="12"/>
      <c r="AG695" s="12"/>
      <c r="AH695" s="12"/>
    </row>
    <row r="696" spans="1:34" ht="12.75">
      <c r="A696" s="12"/>
      <c r="B696" s="12"/>
      <c r="C696" s="12"/>
      <c r="D696" s="12"/>
      <c r="E696" s="12"/>
      <c r="F696" s="17"/>
      <c r="G696" s="12"/>
      <c r="H696" s="12"/>
      <c r="I696" s="12"/>
      <c r="J696" s="12"/>
      <c r="K696" s="12"/>
      <c r="L696" s="12"/>
      <c r="M696" s="12"/>
      <c r="N696" s="12"/>
      <c r="O696" s="12"/>
      <c r="P696" s="12"/>
      <c r="Q696" s="12"/>
      <c r="R696" s="12"/>
      <c r="S696" s="12"/>
      <c r="T696" s="12"/>
      <c r="U696" s="12"/>
      <c r="V696" s="14"/>
      <c r="W696" s="14"/>
      <c r="X696" s="14"/>
      <c r="Y696" s="14"/>
      <c r="Z696" s="15"/>
      <c r="AA696" s="12"/>
      <c r="AB696" s="12"/>
      <c r="AC696" s="12"/>
      <c r="AD696" s="12"/>
      <c r="AE696" s="12"/>
      <c r="AF696" s="12"/>
      <c r="AG696" s="12"/>
      <c r="AH696" s="12"/>
    </row>
    <row r="697" spans="1:34" ht="12.75">
      <c r="A697" s="12"/>
      <c r="B697" s="12"/>
      <c r="C697" s="12"/>
      <c r="D697" s="12"/>
      <c r="E697" s="12"/>
      <c r="F697" s="17"/>
      <c r="G697" s="12"/>
      <c r="H697" s="12"/>
      <c r="I697" s="12"/>
      <c r="J697" s="12"/>
      <c r="K697" s="12"/>
      <c r="L697" s="12"/>
      <c r="M697" s="12"/>
      <c r="N697" s="12"/>
      <c r="O697" s="12"/>
      <c r="P697" s="12"/>
      <c r="Q697" s="12"/>
      <c r="R697" s="12"/>
      <c r="S697" s="12"/>
      <c r="T697" s="12"/>
      <c r="U697" s="12"/>
      <c r="V697" s="14"/>
      <c r="W697" s="14"/>
      <c r="X697" s="14"/>
      <c r="Y697" s="14"/>
      <c r="Z697" s="15"/>
      <c r="AA697" s="12"/>
      <c r="AB697" s="12"/>
      <c r="AC697" s="12"/>
      <c r="AD697" s="12"/>
      <c r="AE697" s="12"/>
      <c r="AF697" s="12"/>
      <c r="AG697" s="12"/>
      <c r="AH697" s="12"/>
    </row>
    <row r="698" spans="1:34" ht="12.75">
      <c r="A698" s="12"/>
      <c r="B698" s="12"/>
      <c r="C698" s="12"/>
      <c r="D698" s="12"/>
      <c r="E698" s="12"/>
      <c r="F698" s="17"/>
      <c r="G698" s="12"/>
      <c r="H698" s="12"/>
      <c r="I698" s="12"/>
      <c r="J698" s="12"/>
      <c r="K698" s="12"/>
      <c r="L698" s="12"/>
      <c r="M698" s="12"/>
      <c r="N698" s="12"/>
      <c r="O698" s="12"/>
      <c r="P698" s="12"/>
      <c r="Q698" s="12"/>
      <c r="R698" s="12"/>
      <c r="S698" s="12"/>
      <c r="T698" s="12"/>
      <c r="U698" s="12"/>
      <c r="V698" s="14"/>
      <c r="W698" s="14"/>
      <c r="X698" s="14"/>
      <c r="Y698" s="14"/>
      <c r="Z698" s="15"/>
      <c r="AA698" s="12"/>
      <c r="AB698" s="12"/>
      <c r="AC698" s="12"/>
      <c r="AD698" s="12"/>
      <c r="AE698" s="12"/>
      <c r="AF698" s="12"/>
      <c r="AG698" s="12"/>
      <c r="AH698" s="12"/>
    </row>
    <row r="699" spans="1:34" ht="12.75">
      <c r="A699" s="12"/>
      <c r="B699" s="12"/>
      <c r="C699" s="12"/>
      <c r="D699" s="12"/>
      <c r="E699" s="12"/>
      <c r="F699" s="17"/>
      <c r="G699" s="12"/>
      <c r="H699" s="12"/>
      <c r="I699" s="12"/>
      <c r="J699" s="12"/>
      <c r="K699" s="12"/>
      <c r="L699" s="12"/>
      <c r="M699" s="12"/>
      <c r="N699" s="12"/>
      <c r="O699" s="12"/>
      <c r="P699" s="12"/>
      <c r="Q699" s="12"/>
      <c r="R699" s="12"/>
      <c r="S699" s="12"/>
      <c r="T699" s="12"/>
      <c r="U699" s="12"/>
      <c r="V699" s="14"/>
      <c r="W699" s="14"/>
      <c r="X699" s="14"/>
      <c r="Y699" s="14"/>
      <c r="Z699" s="15"/>
      <c r="AA699" s="12"/>
      <c r="AB699" s="12"/>
      <c r="AC699" s="12"/>
      <c r="AD699" s="12"/>
      <c r="AE699" s="12"/>
      <c r="AF699" s="12"/>
      <c r="AG699" s="12"/>
      <c r="AH699" s="12"/>
    </row>
    <row r="700" spans="1:34" ht="12.75">
      <c r="A700" s="12"/>
      <c r="B700" s="12"/>
      <c r="C700" s="12"/>
      <c r="D700" s="12"/>
      <c r="E700" s="12"/>
      <c r="F700" s="17"/>
      <c r="G700" s="12"/>
      <c r="H700" s="12"/>
      <c r="I700" s="12"/>
      <c r="J700" s="12"/>
      <c r="K700" s="12"/>
      <c r="L700" s="12"/>
      <c r="M700" s="12"/>
      <c r="N700" s="12"/>
      <c r="O700" s="12"/>
      <c r="P700" s="12"/>
      <c r="Q700" s="12"/>
      <c r="R700" s="12"/>
      <c r="S700" s="12"/>
      <c r="T700" s="12"/>
      <c r="U700" s="12"/>
      <c r="V700" s="14"/>
      <c r="W700" s="14"/>
      <c r="X700" s="14"/>
      <c r="Y700" s="14"/>
      <c r="Z700" s="15"/>
      <c r="AA700" s="12"/>
      <c r="AB700" s="12"/>
      <c r="AC700" s="12"/>
      <c r="AD700" s="12"/>
      <c r="AE700" s="12"/>
      <c r="AF700" s="12"/>
      <c r="AG700" s="12"/>
      <c r="AH700" s="12"/>
    </row>
    <row r="701" spans="1:34" ht="12.75">
      <c r="A701" s="12"/>
      <c r="B701" s="12"/>
      <c r="C701" s="12"/>
      <c r="D701" s="12"/>
      <c r="E701" s="12"/>
      <c r="F701" s="17"/>
      <c r="G701" s="12"/>
      <c r="H701" s="12"/>
      <c r="I701" s="12"/>
      <c r="J701" s="12"/>
      <c r="K701" s="12"/>
      <c r="L701" s="12"/>
      <c r="M701" s="12"/>
      <c r="N701" s="12"/>
      <c r="O701" s="12"/>
      <c r="P701" s="12"/>
      <c r="Q701" s="12"/>
      <c r="R701" s="12"/>
      <c r="S701" s="12"/>
      <c r="T701" s="12"/>
      <c r="U701" s="12"/>
      <c r="V701" s="14"/>
      <c r="W701" s="14"/>
      <c r="X701" s="14"/>
      <c r="Y701" s="14"/>
      <c r="Z701" s="15"/>
      <c r="AA701" s="12"/>
      <c r="AB701" s="12"/>
      <c r="AC701" s="12"/>
      <c r="AD701" s="12"/>
      <c r="AE701" s="12"/>
      <c r="AF701" s="12"/>
      <c r="AG701" s="12"/>
      <c r="AH701" s="12"/>
    </row>
    <row r="702" spans="1:34" ht="12.75">
      <c r="A702" s="12"/>
      <c r="B702" s="12"/>
      <c r="C702" s="12"/>
      <c r="D702" s="12"/>
      <c r="E702" s="12"/>
      <c r="F702" s="17"/>
      <c r="G702" s="12"/>
      <c r="H702" s="12"/>
      <c r="I702" s="12"/>
      <c r="J702" s="12"/>
      <c r="K702" s="12"/>
      <c r="L702" s="12"/>
      <c r="M702" s="12"/>
      <c r="N702" s="12"/>
      <c r="O702" s="12"/>
      <c r="P702" s="12"/>
      <c r="Q702" s="12"/>
      <c r="R702" s="12"/>
      <c r="S702" s="12"/>
      <c r="T702" s="12"/>
      <c r="U702" s="12"/>
      <c r="V702" s="14"/>
      <c r="W702" s="14"/>
      <c r="X702" s="14"/>
      <c r="Y702" s="14"/>
      <c r="Z702" s="15"/>
      <c r="AA702" s="12"/>
      <c r="AB702" s="12"/>
      <c r="AC702" s="12"/>
      <c r="AD702" s="12"/>
      <c r="AE702" s="12"/>
      <c r="AF702" s="12"/>
      <c r="AG702" s="12"/>
      <c r="AH702" s="12"/>
    </row>
    <row r="703" spans="1:34" ht="12.75">
      <c r="A703" s="12"/>
      <c r="B703" s="12"/>
      <c r="C703" s="12"/>
      <c r="D703" s="12"/>
      <c r="E703" s="12"/>
      <c r="F703" s="17"/>
      <c r="G703" s="12"/>
      <c r="H703" s="12"/>
      <c r="I703" s="12"/>
      <c r="J703" s="12"/>
      <c r="K703" s="12"/>
      <c r="L703" s="12"/>
      <c r="M703" s="12"/>
      <c r="N703" s="12"/>
      <c r="O703" s="12"/>
      <c r="P703" s="12"/>
      <c r="Q703" s="12"/>
      <c r="R703" s="12"/>
      <c r="S703" s="12"/>
      <c r="T703" s="12"/>
      <c r="U703" s="12"/>
      <c r="V703" s="14"/>
      <c r="W703" s="14"/>
      <c r="X703" s="14"/>
      <c r="Y703" s="14"/>
      <c r="Z703" s="15"/>
      <c r="AA703" s="12"/>
      <c r="AB703" s="12"/>
      <c r="AC703" s="12"/>
      <c r="AD703" s="12"/>
      <c r="AE703" s="12"/>
      <c r="AF703" s="12"/>
      <c r="AG703" s="12"/>
      <c r="AH703" s="12"/>
    </row>
    <row r="704" spans="1:34" ht="12.75">
      <c r="A704" s="12"/>
      <c r="B704" s="12"/>
      <c r="C704" s="12"/>
      <c r="D704" s="12"/>
      <c r="E704" s="12"/>
      <c r="F704" s="17"/>
      <c r="G704" s="12"/>
      <c r="H704" s="12"/>
      <c r="I704" s="12"/>
      <c r="J704" s="12"/>
      <c r="K704" s="12"/>
      <c r="L704" s="12"/>
      <c r="M704" s="12"/>
      <c r="N704" s="12"/>
      <c r="O704" s="12"/>
      <c r="P704" s="12"/>
      <c r="Q704" s="12"/>
      <c r="R704" s="12"/>
      <c r="S704" s="12"/>
      <c r="T704" s="12"/>
      <c r="U704" s="12"/>
      <c r="V704" s="14"/>
      <c r="W704" s="14"/>
      <c r="X704" s="14"/>
      <c r="Y704" s="14"/>
      <c r="Z704" s="15"/>
      <c r="AA704" s="12"/>
      <c r="AB704" s="12"/>
      <c r="AC704" s="12"/>
      <c r="AD704" s="12"/>
      <c r="AE704" s="12"/>
      <c r="AF704" s="12"/>
      <c r="AG704" s="12"/>
      <c r="AH704" s="12"/>
    </row>
    <row r="705" spans="1:34" ht="12.75">
      <c r="A705" s="12"/>
      <c r="B705" s="12"/>
      <c r="C705" s="12"/>
      <c r="D705" s="12"/>
      <c r="E705" s="12"/>
      <c r="F705" s="17"/>
      <c r="G705" s="12"/>
      <c r="H705" s="12"/>
      <c r="I705" s="12"/>
      <c r="J705" s="12"/>
      <c r="K705" s="12"/>
      <c r="L705" s="12"/>
      <c r="M705" s="12"/>
      <c r="N705" s="12"/>
      <c r="O705" s="12"/>
      <c r="P705" s="12"/>
      <c r="Q705" s="12"/>
      <c r="R705" s="12"/>
      <c r="S705" s="12"/>
      <c r="T705" s="12"/>
      <c r="U705" s="12"/>
      <c r="V705" s="14"/>
      <c r="W705" s="14"/>
      <c r="X705" s="14"/>
      <c r="Y705" s="14"/>
      <c r="Z705" s="15"/>
      <c r="AA705" s="12"/>
      <c r="AB705" s="12"/>
      <c r="AC705" s="12"/>
      <c r="AD705" s="12"/>
      <c r="AE705" s="12"/>
      <c r="AF705" s="12"/>
      <c r="AG705" s="12"/>
      <c r="AH705" s="12"/>
    </row>
    <row r="706" spans="1:34" ht="12.75">
      <c r="A706" s="12"/>
      <c r="B706" s="12"/>
      <c r="C706" s="12"/>
      <c r="D706" s="12"/>
      <c r="E706" s="12"/>
      <c r="F706" s="17"/>
      <c r="G706" s="12"/>
      <c r="H706" s="12"/>
      <c r="I706" s="12"/>
      <c r="J706" s="12"/>
      <c r="K706" s="12"/>
      <c r="L706" s="12"/>
      <c r="M706" s="12"/>
      <c r="N706" s="12"/>
      <c r="O706" s="12"/>
      <c r="P706" s="12"/>
      <c r="Q706" s="12"/>
      <c r="R706" s="12"/>
      <c r="S706" s="12"/>
      <c r="T706" s="12"/>
      <c r="U706" s="12"/>
      <c r="V706" s="14"/>
      <c r="W706" s="14"/>
      <c r="X706" s="14"/>
      <c r="Y706" s="14"/>
      <c r="Z706" s="15"/>
      <c r="AA706" s="12"/>
      <c r="AB706" s="12"/>
      <c r="AC706" s="12"/>
      <c r="AD706" s="12"/>
      <c r="AE706" s="12"/>
      <c r="AF706" s="12"/>
      <c r="AG706" s="12"/>
      <c r="AH706" s="12"/>
    </row>
    <row r="707" spans="1:34" ht="12.75">
      <c r="A707" s="12"/>
      <c r="B707" s="12"/>
      <c r="C707" s="12"/>
      <c r="D707" s="12"/>
      <c r="E707" s="12"/>
      <c r="F707" s="17"/>
      <c r="G707" s="12"/>
      <c r="H707" s="12"/>
      <c r="I707" s="12"/>
      <c r="J707" s="12"/>
      <c r="K707" s="12"/>
      <c r="L707" s="12"/>
      <c r="M707" s="12"/>
      <c r="N707" s="12"/>
      <c r="O707" s="12"/>
      <c r="P707" s="12"/>
      <c r="Q707" s="12"/>
      <c r="R707" s="12"/>
      <c r="S707" s="12"/>
      <c r="T707" s="12"/>
      <c r="U707" s="12"/>
      <c r="V707" s="14"/>
      <c r="W707" s="14"/>
      <c r="X707" s="14"/>
      <c r="Y707" s="14"/>
      <c r="Z707" s="15"/>
      <c r="AA707" s="12"/>
      <c r="AB707" s="12"/>
      <c r="AC707" s="12"/>
      <c r="AD707" s="12"/>
      <c r="AE707" s="12"/>
      <c r="AF707" s="12"/>
      <c r="AG707" s="12"/>
      <c r="AH707" s="12"/>
    </row>
    <row r="708" spans="1:34" ht="12.75">
      <c r="A708" s="12"/>
      <c r="B708" s="12"/>
      <c r="C708" s="12"/>
      <c r="D708" s="12"/>
      <c r="E708" s="12"/>
      <c r="F708" s="17"/>
      <c r="G708" s="12"/>
      <c r="H708" s="12"/>
      <c r="I708" s="12"/>
      <c r="J708" s="12"/>
      <c r="K708" s="12"/>
      <c r="L708" s="12"/>
      <c r="M708" s="12"/>
      <c r="N708" s="12"/>
      <c r="O708" s="12"/>
      <c r="P708" s="12"/>
      <c r="Q708" s="12"/>
      <c r="R708" s="12"/>
      <c r="S708" s="12"/>
      <c r="T708" s="12"/>
      <c r="U708" s="12"/>
      <c r="V708" s="14"/>
      <c r="W708" s="14"/>
      <c r="X708" s="14"/>
      <c r="Y708" s="14"/>
      <c r="Z708" s="15"/>
      <c r="AA708" s="12"/>
      <c r="AB708" s="12"/>
      <c r="AC708" s="12"/>
      <c r="AD708" s="12"/>
      <c r="AE708" s="12"/>
      <c r="AF708" s="12"/>
      <c r="AG708" s="12"/>
      <c r="AH708" s="12"/>
    </row>
    <row r="709" spans="1:34" ht="12.75">
      <c r="A709" s="12"/>
      <c r="B709" s="12"/>
      <c r="C709" s="12"/>
      <c r="D709" s="12"/>
      <c r="E709" s="12"/>
      <c r="F709" s="17"/>
      <c r="G709" s="12"/>
      <c r="H709" s="12"/>
      <c r="I709" s="12"/>
      <c r="J709" s="12"/>
      <c r="K709" s="12"/>
      <c r="L709" s="12"/>
      <c r="M709" s="12"/>
      <c r="N709" s="12"/>
      <c r="O709" s="12"/>
      <c r="P709" s="12"/>
      <c r="Q709" s="12"/>
      <c r="R709" s="12"/>
      <c r="S709" s="12"/>
      <c r="T709" s="12"/>
      <c r="U709" s="12"/>
      <c r="V709" s="14"/>
      <c r="W709" s="14"/>
      <c r="X709" s="14"/>
      <c r="Y709" s="14"/>
      <c r="Z709" s="15"/>
      <c r="AA709" s="12"/>
      <c r="AB709" s="12"/>
      <c r="AC709" s="12"/>
      <c r="AD709" s="12"/>
      <c r="AE709" s="12"/>
      <c r="AF709" s="12"/>
      <c r="AG709" s="12"/>
      <c r="AH709" s="12"/>
    </row>
    <row r="710" spans="1:34" ht="12.75">
      <c r="A710" s="12"/>
      <c r="B710" s="12"/>
      <c r="C710" s="12"/>
      <c r="D710" s="12"/>
      <c r="E710" s="12"/>
      <c r="F710" s="17"/>
      <c r="G710" s="12"/>
      <c r="H710" s="12"/>
      <c r="I710" s="12"/>
      <c r="J710" s="12"/>
      <c r="K710" s="12"/>
      <c r="L710" s="12"/>
      <c r="M710" s="12"/>
      <c r="N710" s="12"/>
      <c r="O710" s="12"/>
      <c r="P710" s="12"/>
      <c r="Q710" s="12"/>
      <c r="R710" s="12"/>
      <c r="S710" s="12"/>
      <c r="T710" s="12"/>
      <c r="U710" s="12"/>
      <c r="V710" s="14"/>
      <c r="W710" s="14"/>
      <c r="X710" s="14"/>
      <c r="Y710" s="14"/>
      <c r="Z710" s="15"/>
      <c r="AA710" s="12"/>
      <c r="AB710" s="12"/>
      <c r="AC710" s="12"/>
      <c r="AD710" s="12"/>
      <c r="AE710" s="12"/>
      <c r="AF710" s="12"/>
      <c r="AG710" s="12"/>
      <c r="AH710" s="12"/>
    </row>
    <row r="711" spans="1:34" ht="12.75">
      <c r="A711" s="12"/>
      <c r="B711" s="12"/>
      <c r="C711" s="12"/>
      <c r="D711" s="12"/>
      <c r="E711" s="12"/>
      <c r="F711" s="17"/>
      <c r="G711" s="12"/>
      <c r="H711" s="12"/>
      <c r="I711" s="12"/>
      <c r="J711" s="12"/>
      <c r="K711" s="12"/>
      <c r="L711" s="12"/>
      <c r="M711" s="12"/>
      <c r="N711" s="12"/>
      <c r="O711" s="12"/>
      <c r="P711" s="12"/>
      <c r="Q711" s="12"/>
      <c r="R711" s="12"/>
      <c r="S711" s="12"/>
      <c r="T711" s="12"/>
      <c r="U711" s="12"/>
      <c r="V711" s="14"/>
      <c r="W711" s="14"/>
      <c r="X711" s="14"/>
      <c r="Y711" s="14"/>
      <c r="Z711" s="15"/>
      <c r="AA711" s="12"/>
      <c r="AB711" s="12"/>
      <c r="AC711" s="12"/>
      <c r="AD711" s="12"/>
      <c r="AE711" s="12"/>
      <c r="AF711" s="12"/>
      <c r="AG711" s="12"/>
      <c r="AH711" s="12"/>
    </row>
    <row r="712" spans="1:34" ht="12.75">
      <c r="A712" s="12"/>
      <c r="B712" s="12"/>
      <c r="C712" s="12"/>
      <c r="D712" s="12"/>
      <c r="E712" s="12"/>
      <c r="F712" s="17"/>
      <c r="G712" s="12"/>
      <c r="H712" s="12"/>
      <c r="I712" s="12"/>
      <c r="J712" s="12"/>
      <c r="K712" s="12"/>
      <c r="L712" s="12"/>
      <c r="M712" s="12"/>
      <c r="N712" s="12"/>
      <c r="O712" s="12"/>
      <c r="P712" s="12"/>
      <c r="Q712" s="12"/>
      <c r="R712" s="12"/>
      <c r="S712" s="12"/>
      <c r="T712" s="12"/>
      <c r="U712" s="12"/>
      <c r="V712" s="14"/>
      <c r="W712" s="14"/>
      <c r="X712" s="14"/>
      <c r="Y712" s="14"/>
      <c r="Z712" s="15"/>
      <c r="AA712" s="12"/>
      <c r="AB712" s="12"/>
      <c r="AC712" s="12"/>
      <c r="AD712" s="12"/>
      <c r="AE712" s="12"/>
      <c r="AF712" s="12"/>
      <c r="AG712" s="12"/>
      <c r="AH712" s="12"/>
    </row>
    <row r="713" spans="1:34" ht="12.75">
      <c r="A713" s="12"/>
      <c r="B713" s="12"/>
      <c r="C713" s="12"/>
      <c r="D713" s="12"/>
      <c r="E713" s="12"/>
      <c r="F713" s="17"/>
      <c r="G713" s="12"/>
      <c r="H713" s="12"/>
      <c r="I713" s="12"/>
      <c r="J713" s="12"/>
      <c r="K713" s="12"/>
      <c r="L713" s="12"/>
      <c r="M713" s="12"/>
      <c r="N713" s="12"/>
      <c r="O713" s="12"/>
      <c r="P713" s="12"/>
      <c r="Q713" s="12"/>
      <c r="R713" s="12"/>
      <c r="S713" s="12"/>
      <c r="T713" s="12"/>
      <c r="U713" s="12"/>
      <c r="V713" s="14"/>
      <c r="W713" s="14"/>
      <c r="X713" s="14"/>
      <c r="Y713" s="14"/>
      <c r="Z713" s="15"/>
      <c r="AA713" s="12"/>
      <c r="AB713" s="12"/>
      <c r="AC713" s="12"/>
      <c r="AD713" s="12"/>
      <c r="AE713" s="12"/>
      <c r="AF713" s="12"/>
      <c r="AG713" s="12"/>
      <c r="AH713" s="12"/>
    </row>
    <row r="714" spans="1:34" ht="12.75">
      <c r="A714" s="12"/>
      <c r="B714" s="12"/>
      <c r="C714" s="12"/>
      <c r="D714" s="12"/>
      <c r="E714" s="12"/>
      <c r="F714" s="17"/>
      <c r="G714" s="12"/>
      <c r="H714" s="12"/>
      <c r="I714" s="12"/>
      <c r="J714" s="12"/>
      <c r="K714" s="12"/>
      <c r="L714" s="12"/>
      <c r="M714" s="12"/>
      <c r="N714" s="12"/>
      <c r="O714" s="12"/>
      <c r="P714" s="12"/>
      <c r="Q714" s="12"/>
      <c r="R714" s="12"/>
      <c r="S714" s="12"/>
      <c r="T714" s="12"/>
      <c r="U714" s="12"/>
      <c r="V714" s="14"/>
      <c r="W714" s="14"/>
      <c r="X714" s="14"/>
      <c r="Y714" s="14"/>
      <c r="Z714" s="15"/>
      <c r="AA714" s="12"/>
      <c r="AB714" s="12"/>
      <c r="AC714" s="12"/>
      <c r="AD714" s="12"/>
      <c r="AE714" s="12"/>
      <c r="AF714" s="12"/>
      <c r="AG714" s="12"/>
      <c r="AH714" s="12"/>
    </row>
    <row r="715" spans="1:34" ht="12.75">
      <c r="A715" s="12"/>
      <c r="B715" s="12"/>
      <c r="C715" s="12"/>
      <c r="D715" s="12"/>
      <c r="E715" s="12"/>
      <c r="F715" s="17"/>
      <c r="G715" s="12"/>
      <c r="H715" s="12"/>
      <c r="I715" s="12"/>
      <c r="J715" s="12"/>
      <c r="K715" s="12"/>
      <c r="L715" s="12"/>
      <c r="M715" s="12"/>
      <c r="N715" s="12"/>
      <c r="O715" s="12"/>
      <c r="P715" s="12"/>
      <c r="Q715" s="12"/>
      <c r="R715" s="12"/>
      <c r="S715" s="12"/>
      <c r="T715" s="12"/>
      <c r="U715" s="12"/>
      <c r="V715" s="14"/>
      <c r="W715" s="14"/>
      <c r="X715" s="14"/>
      <c r="Y715" s="14"/>
      <c r="Z715" s="15"/>
      <c r="AA715" s="12"/>
      <c r="AB715" s="12"/>
      <c r="AC715" s="12"/>
      <c r="AD715" s="12"/>
      <c r="AE715" s="12"/>
      <c r="AF715" s="12"/>
      <c r="AG715" s="12"/>
      <c r="AH715" s="12"/>
    </row>
    <row r="716" spans="1:34" ht="12.75">
      <c r="A716" s="12"/>
      <c r="B716" s="12"/>
      <c r="C716" s="12"/>
      <c r="D716" s="12"/>
      <c r="E716" s="12"/>
      <c r="F716" s="17"/>
      <c r="G716" s="12"/>
      <c r="H716" s="12"/>
      <c r="I716" s="12"/>
      <c r="J716" s="12"/>
      <c r="K716" s="12"/>
      <c r="L716" s="12"/>
      <c r="M716" s="12"/>
      <c r="N716" s="12"/>
      <c r="O716" s="12"/>
      <c r="P716" s="12"/>
      <c r="Q716" s="12"/>
      <c r="R716" s="12"/>
      <c r="S716" s="12"/>
      <c r="T716" s="12"/>
      <c r="U716" s="12"/>
      <c r="V716" s="14"/>
      <c r="W716" s="14"/>
      <c r="X716" s="14"/>
      <c r="Y716" s="14"/>
      <c r="Z716" s="15"/>
      <c r="AA716" s="12"/>
      <c r="AB716" s="12"/>
      <c r="AC716" s="12"/>
      <c r="AD716" s="12"/>
      <c r="AE716" s="12"/>
      <c r="AF716" s="12"/>
      <c r="AG716" s="12"/>
      <c r="AH716" s="12"/>
    </row>
    <row r="717" spans="1:34" ht="12.75">
      <c r="A717" s="12"/>
      <c r="B717" s="12"/>
      <c r="C717" s="12"/>
      <c r="D717" s="12"/>
      <c r="E717" s="12"/>
      <c r="F717" s="17"/>
      <c r="G717" s="12"/>
      <c r="H717" s="12"/>
      <c r="I717" s="12"/>
      <c r="J717" s="12"/>
      <c r="K717" s="12"/>
      <c r="L717" s="12"/>
      <c r="M717" s="12"/>
      <c r="N717" s="12"/>
      <c r="O717" s="12"/>
      <c r="P717" s="12"/>
      <c r="Q717" s="12"/>
      <c r="R717" s="12"/>
      <c r="S717" s="12"/>
      <c r="T717" s="12"/>
      <c r="U717" s="12"/>
      <c r="V717" s="14"/>
      <c r="W717" s="14"/>
      <c r="X717" s="14"/>
      <c r="Y717" s="14"/>
      <c r="Z717" s="15"/>
      <c r="AA717" s="12"/>
      <c r="AB717" s="12"/>
      <c r="AC717" s="12"/>
      <c r="AD717" s="12"/>
      <c r="AE717" s="12"/>
      <c r="AF717" s="12"/>
      <c r="AG717" s="12"/>
      <c r="AH717" s="12"/>
    </row>
    <row r="718" spans="1:34" ht="12.75">
      <c r="A718" s="12"/>
      <c r="B718" s="12"/>
      <c r="C718" s="12"/>
      <c r="D718" s="12"/>
      <c r="E718" s="12"/>
      <c r="F718" s="17"/>
      <c r="G718" s="12"/>
      <c r="H718" s="12"/>
      <c r="I718" s="12"/>
      <c r="J718" s="12"/>
      <c r="K718" s="12"/>
      <c r="L718" s="12"/>
      <c r="M718" s="12"/>
      <c r="N718" s="12"/>
      <c r="O718" s="12"/>
      <c r="P718" s="12"/>
      <c r="Q718" s="12"/>
      <c r="R718" s="12"/>
      <c r="S718" s="12"/>
      <c r="T718" s="12"/>
      <c r="U718" s="12"/>
      <c r="V718" s="14"/>
      <c r="W718" s="14"/>
      <c r="X718" s="14"/>
      <c r="Y718" s="14"/>
      <c r="Z718" s="15"/>
      <c r="AA718" s="12"/>
      <c r="AB718" s="12"/>
      <c r="AC718" s="12"/>
      <c r="AD718" s="12"/>
      <c r="AE718" s="12"/>
      <c r="AF718" s="12"/>
      <c r="AG718" s="12"/>
      <c r="AH718" s="12"/>
    </row>
    <row r="719" spans="1:34" ht="12.75">
      <c r="A719" s="12"/>
      <c r="B719" s="12"/>
      <c r="C719" s="12"/>
      <c r="D719" s="12"/>
      <c r="E719" s="12"/>
      <c r="F719" s="17"/>
      <c r="G719" s="12"/>
      <c r="H719" s="12"/>
      <c r="I719" s="12"/>
      <c r="J719" s="12"/>
      <c r="K719" s="12"/>
      <c r="L719" s="12"/>
      <c r="M719" s="12"/>
      <c r="N719" s="12"/>
      <c r="O719" s="12"/>
      <c r="P719" s="12"/>
      <c r="Q719" s="12"/>
      <c r="R719" s="12"/>
      <c r="S719" s="12"/>
      <c r="T719" s="12"/>
      <c r="U719" s="12"/>
      <c r="V719" s="14"/>
      <c r="W719" s="14"/>
      <c r="X719" s="14"/>
      <c r="Y719" s="14"/>
      <c r="Z719" s="15"/>
      <c r="AA719" s="12"/>
      <c r="AB719" s="12"/>
      <c r="AC719" s="12"/>
      <c r="AD719" s="12"/>
      <c r="AE719" s="12"/>
      <c r="AF719" s="12"/>
      <c r="AG719" s="12"/>
      <c r="AH719" s="12"/>
    </row>
    <row r="720" spans="1:34" ht="12.75">
      <c r="A720" s="12"/>
      <c r="B720" s="12"/>
      <c r="C720" s="12"/>
      <c r="D720" s="12"/>
      <c r="E720" s="12"/>
      <c r="F720" s="17"/>
      <c r="G720" s="12"/>
      <c r="H720" s="12"/>
      <c r="I720" s="12"/>
      <c r="J720" s="12"/>
      <c r="K720" s="12"/>
      <c r="L720" s="12"/>
      <c r="M720" s="12"/>
      <c r="N720" s="12"/>
      <c r="O720" s="12"/>
      <c r="P720" s="12"/>
      <c r="Q720" s="12"/>
      <c r="R720" s="12"/>
      <c r="S720" s="12"/>
      <c r="T720" s="12"/>
      <c r="U720" s="12"/>
      <c r="V720" s="14"/>
      <c r="W720" s="14"/>
      <c r="X720" s="14"/>
      <c r="Y720" s="14"/>
      <c r="Z720" s="15"/>
      <c r="AA720" s="12"/>
      <c r="AB720" s="12"/>
      <c r="AC720" s="12"/>
      <c r="AD720" s="12"/>
      <c r="AE720" s="12"/>
      <c r="AF720" s="12"/>
      <c r="AG720" s="12"/>
      <c r="AH720" s="12"/>
    </row>
    <row r="721" spans="1:34" ht="12.75">
      <c r="A721" s="12"/>
      <c r="B721" s="12"/>
      <c r="C721" s="12"/>
      <c r="D721" s="12"/>
      <c r="E721" s="12"/>
      <c r="F721" s="17"/>
      <c r="G721" s="12"/>
      <c r="H721" s="12"/>
      <c r="I721" s="12"/>
      <c r="J721" s="12"/>
      <c r="K721" s="12"/>
      <c r="L721" s="12"/>
      <c r="M721" s="12"/>
      <c r="N721" s="12"/>
      <c r="O721" s="12"/>
      <c r="P721" s="12"/>
      <c r="Q721" s="12"/>
      <c r="R721" s="12"/>
      <c r="S721" s="12"/>
      <c r="T721" s="12"/>
      <c r="U721" s="12"/>
      <c r="V721" s="14"/>
      <c r="W721" s="14"/>
      <c r="X721" s="14"/>
      <c r="Y721" s="14"/>
      <c r="Z721" s="15"/>
      <c r="AA721" s="12"/>
      <c r="AB721" s="12"/>
      <c r="AC721" s="12"/>
      <c r="AD721" s="12"/>
      <c r="AE721" s="12"/>
      <c r="AF721" s="12"/>
      <c r="AG721" s="12"/>
      <c r="AH721" s="12"/>
    </row>
    <row r="722" spans="1:34" ht="12.75">
      <c r="A722" s="12"/>
      <c r="B722" s="12"/>
      <c r="C722" s="12"/>
      <c r="D722" s="12"/>
      <c r="E722" s="12"/>
      <c r="F722" s="17"/>
      <c r="G722" s="12"/>
      <c r="H722" s="12"/>
      <c r="I722" s="12"/>
      <c r="J722" s="12"/>
      <c r="K722" s="12"/>
      <c r="L722" s="12"/>
      <c r="M722" s="12"/>
      <c r="N722" s="12"/>
      <c r="O722" s="12"/>
      <c r="P722" s="12"/>
      <c r="Q722" s="12"/>
      <c r="R722" s="12"/>
      <c r="S722" s="12"/>
      <c r="T722" s="12"/>
      <c r="U722" s="12"/>
      <c r="V722" s="14"/>
      <c r="W722" s="14"/>
      <c r="X722" s="14"/>
      <c r="Y722" s="14"/>
      <c r="Z722" s="15"/>
      <c r="AA722" s="12"/>
      <c r="AB722" s="12"/>
      <c r="AC722" s="12"/>
      <c r="AD722" s="12"/>
      <c r="AE722" s="12"/>
      <c r="AF722" s="12"/>
      <c r="AG722" s="12"/>
      <c r="AH722" s="12"/>
    </row>
    <row r="723" spans="1:34" ht="12.75">
      <c r="A723" s="12"/>
      <c r="B723" s="12"/>
      <c r="C723" s="12"/>
      <c r="D723" s="12"/>
      <c r="E723" s="12"/>
      <c r="F723" s="17"/>
      <c r="G723" s="12"/>
      <c r="H723" s="12"/>
      <c r="I723" s="12"/>
      <c r="J723" s="12"/>
      <c r="K723" s="12"/>
      <c r="L723" s="12"/>
      <c r="M723" s="12"/>
      <c r="N723" s="12"/>
      <c r="O723" s="12"/>
      <c r="P723" s="12"/>
      <c r="Q723" s="12"/>
      <c r="R723" s="12"/>
      <c r="S723" s="12"/>
      <c r="T723" s="12"/>
      <c r="U723" s="12"/>
      <c r="V723" s="14"/>
      <c r="W723" s="14"/>
      <c r="X723" s="14"/>
      <c r="Y723" s="14"/>
      <c r="Z723" s="15"/>
      <c r="AA723" s="12"/>
      <c r="AB723" s="12"/>
      <c r="AC723" s="12"/>
      <c r="AD723" s="12"/>
      <c r="AE723" s="12"/>
      <c r="AF723" s="12"/>
      <c r="AG723" s="12"/>
      <c r="AH723" s="12"/>
    </row>
    <row r="724" spans="1:34" ht="12.75">
      <c r="A724" s="12"/>
      <c r="B724" s="12"/>
      <c r="C724" s="12"/>
      <c r="D724" s="12"/>
      <c r="E724" s="12"/>
      <c r="F724" s="17"/>
      <c r="G724" s="12"/>
      <c r="H724" s="12"/>
      <c r="I724" s="12"/>
      <c r="J724" s="12"/>
      <c r="K724" s="12"/>
      <c r="L724" s="12"/>
      <c r="M724" s="12"/>
      <c r="N724" s="12"/>
      <c r="O724" s="12"/>
      <c r="P724" s="12"/>
      <c r="Q724" s="12"/>
      <c r="R724" s="12"/>
      <c r="S724" s="12"/>
      <c r="T724" s="12"/>
      <c r="U724" s="12"/>
      <c r="V724" s="14"/>
      <c r="W724" s="14"/>
      <c r="X724" s="14"/>
      <c r="Y724" s="14"/>
      <c r="Z724" s="15"/>
      <c r="AA724" s="12"/>
      <c r="AB724" s="12"/>
      <c r="AC724" s="12"/>
      <c r="AD724" s="12"/>
      <c r="AE724" s="12"/>
      <c r="AF724" s="12"/>
      <c r="AG724" s="12"/>
      <c r="AH724" s="12"/>
    </row>
    <row r="725" spans="1:34" ht="12.75">
      <c r="A725" s="12"/>
      <c r="B725" s="12"/>
      <c r="C725" s="12"/>
      <c r="D725" s="12"/>
      <c r="E725" s="12"/>
      <c r="F725" s="17"/>
      <c r="G725" s="12"/>
      <c r="H725" s="12"/>
      <c r="I725" s="12"/>
      <c r="J725" s="12"/>
      <c r="K725" s="12"/>
      <c r="L725" s="12"/>
      <c r="M725" s="12"/>
      <c r="N725" s="12"/>
      <c r="O725" s="12"/>
      <c r="P725" s="12"/>
      <c r="Q725" s="12"/>
      <c r="R725" s="12"/>
      <c r="S725" s="12"/>
      <c r="T725" s="12"/>
      <c r="U725" s="12"/>
      <c r="V725" s="14"/>
      <c r="W725" s="14"/>
      <c r="X725" s="14"/>
      <c r="Y725" s="14"/>
      <c r="Z725" s="15"/>
      <c r="AA725" s="12"/>
      <c r="AB725" s="12"/>
      <c r="AC725" s="12"/>
      <c r="AD725" s="12"/>
      <c r="AE725" s="12"/>
      <c r="AF725" s="12"/>
      <c r="AG725" s="12"/>
      <c r="AH725" s="12"/>
    </row>
    <row r="726" spans="1:34" ht="12.75">
      <c r="A726" s="12"/>
      <c r="B726" s="12"/>
      <c r="C726" s="12"/>
      <c r="D726" s="12"/>
      <c r="E726" s="12"/>
      <c r="F726" s="17"/>
      <c r="G726" s="12"/>
      <c r="H726" s="12"/>
      <c r="I726" s="12"/>
      <c r="J726" s="12"/>
      <c r="K726" s="12"/>
      <c r="L726" s="12"/>
      <c r="M726" s="12"/>
      <c r="N726" s="12"/>
      <c r="O726" s="12"/>
      <c r="P726" s="12"/>
      <c r="Q726" s="12"/>
      <c r="R726" s="12"/>
      <c r="S726" s="12"/>
      <c r="T726" s="12"/>
      <c r="U726" s="12"/>
      <c r="V726" s="14"/>
      <c r="W726" s="14"/>
      <c r="X726" s="14"/>
      <c r="Y726" s="14"/>
      <c r="Z726" s="15"/>
      <c r="AA726" s="12"/>
      <c r="AB726" s="12"/>
      <c r="AC726" s="12"/>
      <c r="AD726" s="12"/>
      <c r="AE726" s="12"/>
      <c r="AF726" s="12"/>
      <c r="AG726" s="12"/>
      <c r="AH726" s="12"/>
    </row>
    <row r="727" spans="1:34" ht="12.75">
      <c r="A727" s="12"/>
      <c r="B727" s="12"/>
      <c r="C727" s="12"/>
      <c r="D727" s="12"/>
      <c r="E727" s="12"/>
      <c r="F727" s="17"/>
      <c r="G727" s="12"/>
      <c r="H727" s="12"/>
      <c r="I727" s="12"/>
      <c r="J727" s="12"/>
      <c r="K727" s="12"/>
      <c r="L727" s="12"/>
      <c r="M727" s="12"/>
      <c r="N727" s="12"/>
      <c r="O727" s="12"/>
      <c r="P727" s="12"/>
      <c r="Q727" s="12"/>
      <c r="R727" s="12"/>
      <c r="S727" s="12"/>
      <c r="T727" s="12"/>
      <c r="U727" s="12"/>
      <c r="V727" s="14"/>
      <c r="W727" s="14"/>
      <c r="X727" s="14"/>
      <c r="Y727" s="14"/>
      <c r="Z727" s="15"/>
      <c r="AA727" s="12"/>
      <c r="AB727" s="12"/>
      <c r="AC727" s="12"/>
      <c r="AD727" s="12"/>
      <c r="AE727" s="12"/>
      <c r="AF727" s="12"/>
      <c r="AG727" s="12"/>
      <c r="AH727" s="12"/>
    </row>
    <row r="728" spans="1:34" ht="12.75">
      <c r="A728" s="12"/>
      <c r="B728" s="12"/>
      <c r="C728" s="12"/>
      <c r="D728" s="12"/>
      <c r="E728" s="12"/>
      <c r="F728" s="17"/>
      <c r="G728" s="12"/>
      <c r="H728" s="12"/>
      <c r="I728" s="12"/>
      <c r="J728" s="12"/>
      <c r="K728" s="12"/>
      <c r="L728" s="12"/>
      <c r="M728" s="12"/>
      <c r="N728" s="12"/>
      <c r="O728" s="12"/>
      <c r="P728" s="12"/>
      <c r="Q728" s="12"/>
      <c r="R728" s="12"/>
      <c r="S728" s="12"/>
      <c r="T728" s="12"/>
      <c r="U728" s="12"/>
      <c r="V728" s="14"/>
      <c r="W728" s="14"/>
      <c r="X728" s="14"/>
      <c r="Y728" s="14"/>
      <c r="Z728" s="15"/>
      <c r="AA728" s="12"/>
      <c r="AB728" s="12"/>
      <c r="AC728" s="12"/>
      <c r="AD728" s="12"/>
      <c r="AE728" s="12"/>
      <c r="AF728" s="12"/>
      <c r="AG728" s="12"/>
      <c r="AH728" s="12"/>
    </row>
    <row r="729" spans="1:34" ht="12.75">
      <c r="A729" s="12"/>
      <c r="B729" s="12"/>
      <c r="C729" s="12"/>
      <c r="D729" s="12"/>
      <c r="E729" s="12"/>
      <c r="F729" s="17"/>
      <c r="G729" s="12"/>
      <c r="H729" s="12"/>
      <c r="I729" s="12"/>
      <c r="J729" s="12"/>
      <c r="K729" s="12"/>
      <c r="L729" s="12"/>
      <c r="M729" s="12"/>
      <c r="N729" s="12"/>
      <c r="O729" s="12"/>
      <c r="P729" s="12"/>
      <c r="Q729" s="12"/>
      <c r="R729" s="12"/>
      <c r="S729" s="12"/>
      <c r="T729" s="12"/>
      <c r="U729" s="12"/>
      <c r="V729" s="14"/>
      <c r="W729" s="14"/>
      <c r="X729" s="14"/>
      <c r="Y729" s="14"/>
      <c r="Z729" s="15"/>
      <c r="AA729" s="12"/>
      <c r="AB729" s="12"/>
      <c r="AC729" s="12"/>
      <c r="AD729" s="12"/>
      <c r="AE729" s="12"/>
      <c r="AF729" s="12"/>
      <c r="AG729" s="12"/>
      <c r="AH729" s="12"/>
    </row>
    <row r="730" spans="1:34" ht="12.75">
      <c r="A730" s="12"/>
      <c r="B730" s="12"/>
      <c r="C730" s="12"/>
      <c r="D730" s="12"/>
      <c r="E730" s="12"/>
      <c r="F730" s="17"/>
      <c r="G730" s="12"/>
      <c r="H730" s="12"/>
      <c r="I730" s="12"/>
      <c r="J730" s="12"/>
      <c r="K730" s="12"/>
      <c r="L730" s="12"/>
      <c r="M730" s="12"/>
      <c r="N730" s="12"/>
      <c r="O730" s="12"/>
      <c r="P730" s="12"/>
      <c r="Q730" s="12"/>
      <c r="R730" s="12"/>
      <c r="S730" s="12"/>
      <c r="T730" s="12"/>
      <c r="U730" s="12"/>
      <c r="V730" s="14"/>
      <c r="W730" s="14"/>
      <c r="X730" s="14"/>
      <c r="Y730" s="14"/>
      <c r="Z730" s="15"/>
      <c r="AA730" s="12"/>
      <c r="AB730" s="12"/>
      <c r="AC730" s="12"/>
      <c r="AD730" s="12"/>
      <c r="AE730" s="12"/>
      <c r="AF730" s="12"/>
      <c r="AG730" s="12"/>
      <c r="AH730" s="12"/>
    </row>
    <row r="731" spans="1:34" ht="12.75">
      <c r="A731" s="12"/>
      <c r="B731" s="12"/>
      <c r="C731" s="12"/>
      <c r="D731" s="12"/>
      <c r="E731" s="12"/>
      <c r="F731" s="17"/>
      <c r="G731" s="12"/>
      <c r="H731" s="12"/>
      <c r="I731" s="12"/>
      <c r="J731" s="12"/>
      <c r="K731" s="12"/>
      <c r="L731" s="12"/>
      <c r="M731" s="12"/>
      <c r="N731" s="12"/>
      <c r="O731" s="12"/>
      <c r="P731" s="12"/>
      <c r="Q731" s="12"/>
      <c r="R731" s="12"/>
      <c r="S731" s="12"/>
      <c r="T731" s="12"/>
      <c r="U731" s="12"/>
      <c r="V731" s="14"/>
      <c r="W731" s="14"/>
      <c r="X731" s="14"/>
      <c r="Y731" s="14"/>
      <c r="Z731" s="15"/>
      <c r="AA731" s="12"/>
      <c r="AB731" s="12"/>
      <c r="AC731" s="12"/>
      <c r="AD731" s="12"/>
      <c r="AE731" s="12"/>
      <c r="AF731" s="12"/>
      <c r="AG731" s="12"/>
      <c r="AH731" s="12"/>
    </row>
    <row r="732" spans="1:34" ht="12.75">
      <c r="A732" s="12"/>
      <c r="B732" s="12"/>
      <c r="C732" s="12"/>
      <c r="D732" s="12"/>
      <c r="E732" s="12"/>
      <c r="F732" s="17"/>
      <c r="G732" s="12"/>
      <c r="H732" s="12"/>
      <c r="I732" s="12"/>
      <c r="J732" s="12"/>
      <c r="K732" s="12"/>
      <c r="L732" s="12"/>
      <c r="M732" s="12"/>
      <c r="N732" s="12"/>
      <c r="O732" s="12"/>
      <c r="P732" s="12"/>
      <c r="Q732" s="12"/>
      <c r="R732" s="12"/>
      <c r="S732" s="12"/>
      <c r="T732" s="12"/>
      <c r="U732" s="12"/>
      <c r="V732" s="14"/>
      <c r="W732" s="14"/>
      <c r="X732" s="14"/>
      <c r="Y732" s="14"/>
      <c r="Z732" s="15"/>
      <c r="AA732" s="12"/>
      <c r="AB732" s="12"/>
      <c r="AC732" s="12"/>
      <c r="AD732" s="12"/>
      <c r="AE732" s="12"/>
      <c r="AF732" s="12"/>
      <c r="AG732" s="12"/>
      <c r="AH732" s="12"/>
    </row>
    <row r="733" spans="1:34" ht="12.75">
      <c r="A733" s="12"/>
      <c r="B733" s="12"/>
      <c r="C733" s="12"/>
      <c r="D733" s="12"/>
      <c r="E733" s="12"/>
      <c r="F733" s="17"/>
      <c r="G733" s="12"/>
      <c r="H733" s="12"/>
      <c r="I733" s="12"/>
      <c r="J733" s="12"/>
      <c r="K733" s="12"/>
      <c r="L733" s="12"/>
      <c r="M733" s="12"/>
      <c r="N733" s="12"/>
      <c r="O733" s="12"/>
      <c r="P733" s="12"/>
      <c r="Q733" s="12"/>
      <c r="R733" s="12"/>
      <c r="S733" s="12"/>
      <c r="T733" s="12"/>
      <c r="U733" s="12"/>
      <c r="V733" s="14"/>
      <c r="W733" s="14"/>
      <c r="X733" s="14"/>
      <c r="Y733" s="14"/>
      <c r="Z733" s="15"/>
      <c r="AA733" s="12"/>
      <c r="AB733" s="12"/>
      <c r="AC733" s="12"/>
      <c r="AD733" s="12"/>
      <c r="AE733" s="12"/>
      <c r="AF733" s="12"/>
      <c r="AG733" s="12"/>
      <c r="AH733" s="12"/>
    </row>
    <row r="734" spans="1:34" ht="12.75">
      <c r="A734" s="12"/>
      <c r="B734" s="12"/>
      <c r="C734" s="12"/>
      <c r="D734" s="12"/>
      <c r="E734" s="12"/>
      <c r="F734" s="17"/>
      <c r="G734" s="12"/>
      <c r="H734" s="12"/>
      <c r="I734" s="12"/>
      <c r="J734" s="12"/>
      <c r="K734" s="12"/>
      <c r="L734" s="12"/>
      <c r="M734" s="12"/>
      <c r="N734" s="12"/>
      <c r="O734" s="12"/>
      <c r="P734" s="12"/>
      <c r="Q734" s="12"/>
      <c r="R734" s="12"/>
      <c r="S734" s="12"/>
      <c r="T734" s="12"/>
      <c r="U734" s="12"/>
      <c r="V734" s="14"/>
      <c r="W734" s="14"/>
      <c r="X734" s="14"/>
      <c r="Y734" s="14"/>
      <c r="Z734" s="15"/>
      <c r="AA734" s="12"/>
      <c r="AB734" s="12"/>
      <c r="AC734" s="12"/>
      <c r="AD734" s="12"/>
      <c r="AE734" s="12"/>
      <c r="AF734" s="12"/>
      <c r="AG734" s="12"/>
      <c r="AH734" s="12"/>
    </row>
    <row r="735" spans="1:34" ht="12.75">
      <c r="A735" s="12"/>
      <c r="B735" s="12"/>
      <c r="C735" s="12"/>
      <c r="D735" s="12"/>
      <c r="E735" s="12"/>
      <c r="F735" s="17"/>
      <c r="G735" s="12"/>
      <c r="H735" s="12"/>
      <c r="I735" s="12"/>
      <c r="J735" s="12"/>
      <c r="K735" s="12"/>
      <c r="L735" s="12"/>
      <c r="M735" s="12"/>
      <c r="N735" s="12"/>
      <c r="O735" s="12"/>
      <c r="P735" s="12"/>
      <c r="Q735" s="12"/>
      <c r="R735" s="12"/>
      <c r="S735" s="12"/>
      <c r="T735" s="12"/>
      <c r="U735" s="12"/>
      <c r="V735" s="14"/>
      <c r="W735" s="14"/>
      <c r="X735" s="14"/>
      <c r="Y735" s="14"/>
      <c r="Z735" s="15"/>
      <c r="AA735" s="12"/>
      <c r="AB735" s="12"/>
      <c r="AC735" s="12"/>
      <c r="AD735" s="12"/>
      <c r="AE735" s="12"/>
      <c r="AF735" s="12"/>
      <c r="AG735" s="12"/>
      <c r="AH735" s="12"/>
    </row>
    <row r="736" spans="1:34" ht="12.75">
      <c r="A736" s="12"/>
      <c r="B736" s="12"/>
      <c r="C736" s="12"/>
      <c r="D736" s="12"/>
      <c r="E736" s="12"/>
      <c r="F736" s="17"/>
      <c r="G736" s="12"/>
      <c r="H736" s="12"/>
      <c r="I736" s="12"/>
      <c r="J736" s="12"/>
      <c r="K736" s="12"/>
      <c r="L736" s="12"/>
      <c r="M736" s="12"/>
      <c r="N736" s="12"/>
      <c r="O736" s="12"/>
      <c r="P736" s="12"/>
      <c r="Q736" s="12"/>
      <c r="R736" s="12"/>
      <c r="S736" s="12"/>
      <c r="T736" s="12"/>
      <c r="U736" s="12"/>
      <c r="V736" s="14"/>
      <c r="W736" s="14"/>
      <c r="X736" s="14"/>
      <c r="Y736" s="14"/>
      <c r="Z736" s="15"/>
      <c r="AA736" s="12"/>
      <c r="AB736" s="12"/>
      <c r="AC736" s="12"/>
      <c r="AD736" s="12"/>
      <c r="AE736" s="12"/>
      <c r="AF736" s="12"/>
      <c r="AG736" s="12"/>
      <c r="AH736" s="12"/>
    </row>
    <row r="737" spans="1:34" ht="12.75">
      <c r="A737" s="12"/>
      <c r="B737" s="12"/>
      <c r="C737" s="12"/>
      <c r="D737" s="12"/>
      <c r="E737" s="12"/>
      <c r="F737" s="17"/>
      <c r="G737" s="12"/>
      <c r="H737" s="12"/>
      <c r="I737" s="12"/>
      <c r="J737" s="12"/>
      <c r="K737" s="12"/>
      <c r="L737" s="12"/>
      <c r="M737" s="12"/>
      <c r="N737" s="12"/>
      <c r="O737" s="12"/>
      <c r="P737" s="12"/>
      <c r="Q737" s="12"/>
      <c r="R737" s="12"/>
      <c r="S737" s="12"/>
      <c r="T737" s="12"/>
      <c r="U737" s="12"/>
      <c r="V737" s="14"/>
      <c r="W737" s="14"/>
      <c r="X737" s="14"/>
      <c r="Y737" s="14"/>
      <c r="Z737" s="15"/>
      <c r="AA737" s="12"/>
      <c r="AB737" s="12"/>
      <c r="AC737" s="12"/>
      <c r="AD737" s="12"/>
      <c r="AE737" s="12"/>
      <c r="AF737" s="12"/>
      <c r="AG737" s="12"/>
      <c r="AH737" s="12"/>
    </row>
    <row r="738" spans="1:34" ht="12.75">
      <c r="A738" s="12"/>
      <c r="B738" s="12"/>
      <c r="C738" s="12"/>
      <c r="D738" s="12"/>
      <c r="E738" s="12"/>
      <c r="F738" s="17"/>
      <c r="G738" s="12"/>
      <c r="H738" s="12"/>
      <c r="I738" s="12"/>
      <c r="J738" s="12"/>
      <c r="K738" s="12"/>
      <c r="L738" s="12"/>
      <c r="M738" s="12"/>
      <c r="N738" s="12"/>
      <c r="O738" s="12"/>
      <c r="P738" s="12"/>
      <c r="Q738" s="12"/>
      <c r="R738" s="12"/>
      <c r="S738" s="12"/>
      <c r="T738" s="12"/>
      <c r="U738" s="12"/>
      <c r="V738" s="14"/>
      <c r="W738" s="14"/>
      <c r="X738" s="14"/>
      <c r="Y738" s="14"/>
      <c r="Z738" s="15"/>
      <c r="AA738" s="12"/>
      <c r="AB738" s="12"/>
      <c r="AC738" s="12"/>
      <c r="AD738" s="12"/>
      <c r="AE738" s="12"/>
      <c r="AF738" s="12"/>
      <c r="AG738" s="12"/>
      <c r="AH738" s="12"/>
    </row>
    <row r="739" spans="1:34" ht="12.75">
      <c r="A739" s="12"/>
      <c r="B739" s="12"/>
      <c r="C739" s="12"/>
      <c r="D739" s="12"/>
      <c r="E739" s="12"/>
      <c r="F739" s="17"/>
      <c r="G739" s="12"/>
      <c r="H739" s="12"/>
      <c r="I739" s="12"/>
      <c r="J739" s="12"/>
      <c r="K739" s="12"/>
      <c r="L739" s="12"/>
      <c r="M739" s="12"/>
      <c r="N739" s="12"/>
      <c r="O739" s="12"/>
      <c r="P739" s="12"/>
      <c r="Q739" s="12"/>
      <c r="R739" s="12"/>
      <c r="S739" s="12"/>
      <c r="T739" s="12"/>
      <c r="U739" s="12"/>
      <c r="V739" s="14"/>
      <c r="W739" s="14"/>
      <c r="X739" s="14"/>
      <c r="Y739" s="14"/>
      <c r="Z739" s="15"/>
      <c r="AA739" s="12"/>
      <c r="AB739" s="12"/>
      <c r="AC739" s="12"/>
      <c r="AD739" s="12"/>
      <c r="AE739" s="12"/>
      <c r="AF739" s="12"/>
      <c r="AG739" s="12"/>
      <c r="AH739" s="12"/>
    </row>
    <row r="740" spans="1:34" ht="12.75">
      <c r="A740" s="12"/>
      <c r="B740" s="12"/>
      <c r="C740" s="12"/>
      <c r="D740" s="12"/>
      <c r="E740" s="12"/>
      <c r="F740" s="17"/>
      <c r="G740" s="12"/>
      <c r="H740" s="12"/>
      <c r="I740" s="12"/>
      <c r="J740" s="12"/>
      <c r="K740" s="12"/>
      <c r="L740" s="12"/>
      <c r="M740" s="12"/>
      <c r="N740" s="12"/>
      <c r="O740" s="12"/>
      <c r="P740" s="12"/>
      <c r="Q740" s="12"/>
      <c r="R740" s="12"/>
      <c r="S740" s="12"/>
      <c r="T740" s="12"/>
      <c r="U740" s="12"/>
      <c r="V740" s="14"/>
      <c r="W740" s="14"/>
      <c r="X740" s="14"/>
      <c r="Y740" s="14"/>
      <c r="Z740" s="15"/>
      <c r="AA740" s="12"/>
      <c r="AB740" s="12"/>
      <c r="AC740" s="12"/>
      <c r="AD740" s="12"/>
      <c r="AE740" s="12"/>
      <c r="AF740" s="12"/>
      <c r="AG740" s="12"/>
      <c r="AH740" s="12"/>
    </row>
    <row r="741" spans="1:34" ht="12.75">
      <c r="A741" s="12"/>
      <c r="B741" s="12"/>
      <c r="C741" s="12"/>
      <c r="D741" s="12"/>
      <c r="E741" s="12"/>
      <c r="F741" s="17"/>
      <c r="G741" s="12"/>
      <c r="H741" s="12"/>
      <c r="I741" s="12"/>
      <c r="J741" s="12"/>
      <c r="K741" s="12"/>
      <c r="L741" s="12"/>
      <c r="M741" s="12"/>
      <c r="N741" s="12"/>
      <c r="O741" s="12"/>
      <c r="P741" s="12"/>
      <c r="Q741" s="12"/>
      <c r="R741" s="12"/>
      <c r="S741" s="12"/>
      <c r="T741" s="12"/>
      <c r="U741" s="12"/>
      <c r="V741" s="14"/>
      <c r="W741" s="14"/>
      <c r="X741" s="14"/>
      <c r="Y741" s="14"/>
      <c r="Z741" s="15"/>
      <c r="AA741" s="12"/>
      <c r="AB741" s="12"/>
      <c r="AC741" s="12"/>
      <c r="AD741" s="12"/>
      <c r="AE741" s="12"/>
      <c r="AF741" s="12"/>
      <c r="AG741" s="12"/>
      <c r="AH741" s="12"/>
    </row>
    <row r="742" spans="1:34" ht="12.75">
      <c r="A742" s="12"/>
      <c r="B742" s="12"/>
      <c r="C742" s="12"/>
      <c r="D742" s="12"/>
      <c r="E742" s="12"/>
      <c r="F742" s="17"/>
      <c r="G742" s="12"/>
      <c r="H742" s="12"/>
      <c r="I742" s="12"/>
      <c r="J742" s="12"/>
      <c r="K742" s="12"/>
      <c r="L742" s="12"/>
      <c r="M742" s="12"/>
      <c r="N742" s="12"/>
      <c r="O742" s="12"/>
      <c r="P742" s="12"/>
      <c r="Q742" s="12"/>
      <c r="R742" s="12"/>
      <c r="S742" s="12"/>
      <c r="T742" s="12"/>
      <c r="U742" s="12"/>
      <c r="V742" s="14"/>
      <c r="W742" s="14"/>
      <c r="X742" s="14"/>
      <c r="Y742" s="14"/>
      <c r="Z742" s="15"/>
      <c r="AA742" s="12"/>
      <c r="AB742" s="12"/>
      <c r="AC742" s="12"/>
      <c r="AD742" s="12"/>
      <c r="AE742" s="12"/>
      <c r="AF742" s="12"/>
      <c r="AG742" s="12"/>
      <c r="AH742" s="12"/>
    </row>
    <row r="743" spans="1:34" ht="12.75">
      <c r="A743" s="12"/>
      <c r="B743" s="12"/>
      <c r="C743" s="12"/>
      <c r="D743" s="12"/>
      <c r="E743" s="12"/>
      <c r="F743" s="17"/>
      <c r="G743" s="12"/>
      <c r="H743" s="12"/>
      <c r="I743" s="12"/>
      <c r="J743" s="12"/>
      <c r="K743" s="12"/>
      <c r="L743" s="12"/>
      <c r="M743" s="12"/>
      <c r="N743" s="12"/>
      <c r="O743" s="12"/>
      <c r="P743" s="12"/>
      <c r="Q743" s="12"/>
      <c r="R743" s="12"/>
      <c r="S743" s="12"/>
      <c r="T743" s="12"/>
      <c r="U743" s="12"/>
      <c r="V743" s="14"/>
      <c r="W743" s="14"/>
      <c r="X743" s="14"/>
      <c r="Y743" s="14"/>
      <c r="Z743" s="15"/>
      <c r="AA743" s="12"/>
      <c r="AB743" s="12"/>
      <c r="AC743" s="12"/>
      <c r="AD743" s="12"/>
      <c r="AE743" s="12"/>
      <c r="AF743" s="12"/>
      <c r="AG743" s="12"/>
      <c r="AH743" s="12"/>
    </row>
    <row r="744" spans="1:34" ht="12.75">
      <c r="A744" s="12"/>
      <c r="B744" s="12"/>
      <c r="C744" s="12"/>
      <c r="D744" s="12"/>
      <c r="E744" s="12"/>
      <c r="F744" s="17"/>
      <c r="G744" s="12"/>
      <c r="H744" s="12"/>
      <c r="I744" s="12"/>
      <c r="J744" s="12"/>
      <c r="K744" s="12"/>
      <c r="L744" s="12"/>
      <c r="M744" s="12"/>
      <c r="N744" s="12"/>
      <c r="O744" s="12"/>
      <c r="P744" s="12"/>
      <c r="Q744" s="12"/>
      <c r="R744" s="12"/>
      <c r="S744" s="12"/>
      <c r="T744" s="12"/>
      <c r="U744" s="12"/>
      <c r="V744" s="14"/>
      <c r="W744" s="14"/>
      <c r="X744" s="14"/>
      <c r="Y744" s="14"/>
      <c r="Z744" s="15"/>
      <c r="AA744" s="12"/>
      <c r="AB744" s="12"/>
      <c r="AC744" s="12"/>
      <c r="AD744" s="12"/>
      <c r="AE744" s="12"/>
      <c r="AF744" s="12"/>
      <c r="AG744" s="12"/>
      <c r="AH744" s="12"/>
    </row>
    <row r="745" spans="1:34" ht="12.75">
      <c r="A745" s="12"/>
      <c r="B745" s="12"/>
      <c r="C745" s="12"/>
      <c r="D745" s="12"/>
      <c r="E745" s="12"/>
      <c r="F745" s="17"/>
      <c r="G745" s="12"/>
      <c r="H745" s="12"/>
      <c r="I745" s="12"/>
      <c r="J745" s="12"/>
      <c r="K745" s="12"/>
      <c r="L745" s="12"/>
      <c r="M745" s="12"/>
      <c r="N745" s="12"/>
      <c r="O745" s="12"/>
      <c r="P745" s="12"/>
      <c r="Q745" s="12"/>
      <c r="R745" s="12"/>
      <c r="S745" s="12"/>
      <c r="T745" s="12"/>
      <c r="U745" s="12"/>
      <c r="V745" s="14"/>
      <c r="W745" s="14"/>
      <c r="X745" s="14"/>
      <c r="Y745" s="14"/>
      <c r="Z745" s="15"/>
      <c r="AA745" s="12"/>
      <c r="AB745" s="12"/>
      <c r="AC745" s="12"/>
      <c r="AD745" s="12"/>
      <c r="AE745" s="12"/>
      <c r="AF745" s="12"/>
      <c r="AG745" s="12"/>
      <c r="AH745" s="12"/>
    </row>
    <row r="746" spans="1:34" ht="12.75">
      <c r="A746" s="12"/>
      <c r="B746" s="12"/>
      <c r="C746" s="12"/>
      <c r="D746" s="12"/>
      <c r="E746" s="12"/>
      <c r="F746" s="17"/>
      <c r="G746" s="12"/>
      <c r="H746" s="12"/>
      <c r="I746" s="12"/>
      <c r="J746" s="12"/>
      <c r="K746" s="12"/>
      <c r="L746" s="12"/>
      <c r="M746" s="12"/>
      <c r="N746" s="12"/>
      <c r="O746" s="12"/>
      <c r="P746" s="12"/>
      <c r="Q746" s="12"/>
      <c r="R746" s="12"/>
      <c r="S746" s="12"/>
      <c r="T746" s="12"/>
      <c r="U746" s="12"/>
      <c r="V746" s="14"/>
      <c r="W746" s="14"/>
      <c r="X746" s="14"/>
      <c r="Y746" s="14"/>
      <c r="Z746" s="15"/>
      <c r="AA746" s="12"/>
      <c r="AB746" s="12"/>
      <c r="AC746" s="12"/>
      <c r="AD746" s="12"/>
      <c r="AE746" s="12"/>
      <c r="AF746" s="12"/>
      <c r="AG746" s="12"/>
      <c r="AH746" s="12"/>
    </row>
    <row r="747" spans="1:34" ht="12.75">
      <c r="A747" s="12"/>
      <c r="B747" s="12"/>
      <c r="C747" s="12"/>
      <c r="D747" s="12"/>
      <c r="E747" s="12"/>
      <c r="F747" s="17"/>
      <c r="G747" s="12"/>
      <c r="H747" s="12"/>
      <c r="I747" s="12"/>
      <c r="J747" s="12"/>
      <c r="K747" s="12"/>
      <c r="L747" s="12"/>
      <c r="M747" s="12"/>
      <c r="N747" s="12"/>
      <c r="O747" s="12"/>
      <c r="P747" s="12"/>
      <c r="Q747" s="12"/>
      <c r="R747" s="12"/>
      <c r="S747" s="12"/>
      <c r="T747" s="12"/>
      <c r="U747" s="12"/>
      <c r="V747" s="14"/>
      <c r="W747" s="14"/>
      <c r="X747" s="14"/>
      <c r="Y747" s="14"/>
      <c r="Z747" s="15"/>
      <c r="AA747" s="12"/>
      <c r="AB747" s="12"/>
      <c r="AC747" s="12"/>
      <c r="AD747" s="12"/>
      <c r="AE747" s="12"/>
      <c r="AF747" s="12"/>
      <c r="AG747" s="12"/>
      <c r="AH747" s="12"/>
    </row>
    <row r="748" spans="1:34" ht="12.75">
      <c r="A748" s="12"/>
      <c r="B748" s="12"/>
      <c r="C748" s="12"/>
      <c r="D748" s="12"/>
      <c r="E748" s="12"/>
      <c r="F748" s="17"/>
      <c r="G748" s="12"/>
      <c r="H748" s="12"/>
      <c r="I748" s="12"/>
      <c r="J748" s="12"/>
      <c r="K748" s="12"/>
      <c r="L748" s="12"/>
      <c r="M748" s="12"/>
      <c r="N748" s="12"/>
      <c r="O748" s="12"/>
      <c r="P748" s="12"/>
      <c r="Q748" s="12"/>
      <c r="R748" s="12"/>
      <c r="S748" s="12"/>
      <c r="T748" s="12"/>
      <c r="U748" s="12"/>
      <c r="V748" s="14"/>
      <c r="W748" s="14"/>
      <c r="X748" s="14"/>
      <c r="Y748" s="14"/>
      <c r="Z748" s="15"/>
      <c r="AA748" s="12"/>
      <c r="AB748" s="12"/>
      <c r="AC748" s="12"/>
      <c r="AD748" s="12"/>
      <c r="AE748" s="12"/>
      <c r="AF748" s="12"/>
      <c r="AG748" s="12"/>
      <c r="AH748" s="12"/>
    </row>
    <row r="749" spans="1:34" ht="12.75">
      <c r="A749" s="12"/>
      <c r="B749" s="12"/>
      <c r="C749" s="12"/>
      <c r="D749" s="12"/>
      <c r="E749" s="12"/>
      <c r="F749" s="17"/>
      <c r="G749" s="12"/>
      <c r="H749" s="12"/>
      <c r="I749" s="12"/>
      <c r="J749" s="12"/>
      <c r="K749" s="12"/>
      <c r="L749" s="12"/>
      <c r="M749" s="12"/>
      <c r="N749" s="12"/>
      <c r="O749" s="12"/>
      <c r="P749" s="12"/>
      <c r="Q749" s="12"/>
      <c r="R749" s="12"/>
      <c r="S749" s="12"/>
      <c r="T749" s="12"/>
      <c r="U749" s="12"/>
      <c r="V749" s="14"/>
      <c r="W749" s="14"/>
      <c r="X749" s="14"/>
      <c r="Y749" s="14"/>
      <c r="Z749" s="15"/>
      <c r="AA749" s="12"/>
      <c r="AB749" s="12"/>
      <c r="AC749" s="12"/>
      <c r="AD749" s="12"/>
      <c r="AE749" s="12"/>
      <c r="AF749" s="12"/>
      <c r="AG749" s="12"/>
      <c r="AH749" s="12"/>
    </row>
    <row r="750" spans="1:34" ht="12.75">
      <c r="A750" s="12"/>
      <c r="B750" s="12"/>
      <c r="C750" s="12"/>
      <c r="D750" s="12"/>
      <c r="E750" s="12"/>
      <c r="F750" s="17"/>
      <c r="G750" s="12"/>
      <c r="H750" s="12"/>
      <c r="I750" s="12"/>
      <c r="J750" s="12"/>
      <c r="K750" s="12"/>
      <c r="L750" s="12"/>
      <c r="M750" s="12"/>
      <c r="N750" s="12"/>
      <c r="O750" s="12"/>
      <c r="P750" s="12"/>
      <c r="Q750" s="12"/>
      <c r="R750" s="12"/>
      <c r="S750" s="12"/>
      <c r="T750" s="12"/>
      <c r="U750" s="12"/>
      <c r="V750" s="14"/>
      <c r="W750" s="14"/>
      <c r="X750" s="14"/>
      <c r="Y750" s="14"/>
      <c r="Z750" s="15"/>
      <c r="AA750" s="12"/>
      <c r="AB750" s="12"/>
      <c r="AC750" s="12"/>
      <c r="AD750" s="12"/>
      <c r="AE750" s="12"/>
      <c r="AF750" s="12"/>
      <c r="AG750" s="12"/>
      <c r="AH750" s="12"/>
    </row>
    <row r="751" spans="1:34" ht="12.75">
      <c r="A751" s="12"/>
      <c r="B751" s="12"/>
      <c r="C751" s="12"/>
      <c r="D751" s="12"/>
      <c r="E751" s="12"/>
      <c r="F751" s="17"/>
      <c r="G751" s="12"/>
      <c r="H751" s="12"/>
      <c r="I751" s="12"/>
      <c r="J751" s="12"/>
      <c r="K751" s="12"/>
      <c r="L751" s="12"/>
      <c r="M751" s="12"/>
      <c r="N751" s="12"/>
      <c r="O751" s="12"/>
      <c r="P751" s="12"/>
      <c r="Q751" s="12"/>
      <c r="R751" s="12"/>
      <c r="S751" s="12"/>
      <c r="T751" s="12"/>
      <c r="U751" s="12"/>
      <c r="V751" s="14"/>
      <c r="W751" s="14"/>
      <c r="X751" s="14"/>
      <c r="Y751" s="14"/>
      <c r="Z751" s="15"/>
      <c r="AA751" s="12"/>
      <c r="AB751" s="12"/>
      <c r="AC751" s="12"/>
      <c r="AD751" s="12"/>
      <c r="AE751" s="12"/>
      <c r="AF751" s="12"/>
      <c r="AG751" s="12"/>
      <c r="AH751" s="12"/>
    </row>
    <row r="752" spans="1:34" ht="12.75">
      <c r="A752" s="12"/>
      <c r="B752" s="12"/>
      <c r="C752" s="12"/>
      <c r="D752" s="12"/>
      <c r="E752" s="12"/>
      <c r="F752" s="17"/>
      <c r="G752" s="12"/>
      <c r="H752" s="12"/>
      <c r="I752" s="12"/>
      <c r="J752" s="12"/>
      <c r="K752" s="12"/>
      <c r="L752" s="12"/>
      <c r="M752" s="12"/>
      <c r="N752" s="12"/>
      <c r="O752" s="12"/>
      <c r="P752" s="12"/>
      <c r="Q752" s="12"/>
      <c r="R752" s="12"/>
      <c r="S752" s="12"/>
      <c r="T752" s="12"/>
      <c r="U752" s="12"/>
      <c r="V752" s="14"/>
      <c r="W752" s="14"/>
      <c r="X752" s="14"/>
      <c r="Y752" s="14"/>
      <c r="Z752" s="15"/>
      <c r="AA752" s="12"/>
      <c r="AB752" s="12"/>
      <c r="AC752" s="12"/>
      <c r="AD752" s="12"/>
      <c r="AE752" s="12"/>
      <c r="AF752" s="12"/>
      <c r="AG752" s="12"/>
      <c r="AH752" s="12"/>
    </row>
    <row r="753" spans="1:34" ht="12.75">
      <c r="A753" s="12"/>
      <c r="B753" s="12"/>
      <c r="C753" s="12"/>
      <c r="D753" s="12"/>
      <c r="E753" s="12"/>
      <c r="F753" s="17"/>
      <c r="G753" s="12"/>
      <c r="H753" s="12"/>
      <c r="I753" s="12"/>
      <c r="J753" s="12"/>
      <c r="K753" s="12"/>
      <c r="L753" s="12"/>
      <c r="M753" s="12"/>
      <c r="N753" s="12"/>
      <c r="O753" s="12"/>
      <c r="P753" s="12"/>
      <c r="Q753" s="12"/>
      <c r="R753" s="12"/>
      <c r="S753" s="12"/>
      <c r="T753" s="12"/>
      <c r="U753" s="12"/>
      <c r="V753" s="14"/>
      <c r="W753" s="14"/>
      <c r="X753" s="14"/>
      <c r="Y753" s="14"/>
      <c r="Z753" s="15"/>
      <c r="AA753" s="12"/>
      <c r="AB753" s="12"/>
      <c r="AC753" s="12"/>
      <c r="AD753" s="12"/>
      <c r="AE753" s="12"/>
      <c r="AF753" s="12"/>
      <c r="AG753" s="12"/>
      <c r="AH753" s="12"/>
    </row>
    <row r="754" spans="1:34" ht="12.75">
      <c r="A754" s="12"/>
      <c r="B754" s="12"/>
      <c r="C754" s="12"/>
      <c r="D754" s="12"/>
      <c r="E754" s="12"/>
      <c r="F754" s="17"/>
      <c r="G754" s="12"/>
      <c r="H754" s="12"/>
      <c r="I754" s="12"/>
      <c r="J754" s="12"/>
      <c r="K754" s="12"/>
      <c r="L754" s="12"/>
      <c r="M754" s="12"/>
      <c r="N754" s="12"/>
      <c r="O754" s="12"/>
      <c r="P754" s="12"/>
      <c r="Q754" s="12"/>
      <c r="R754" s="12"/>
      <c r="S754" s="12"/>
      <c r="T754" s="12"/>
      <c r="U754" s="12"/>
      <c r="V754" s="14"/>
      <c r="W754" s="14"/>
      <c r="X754" s="14"/>
      <c r="Y754" s="14"/>
      <c r="Z754" s="15"/>
      <c r="AA754" s="12"/>
      <c r="AB754" s="12"/>
      <c r="AC754" s="12"/>
      <c r="AD754" s="12"/>
      <c r="AE754" s="12"/>
      <c r="AF754" s="12"/>
      <c r="AG754" s="12"/>
      <c r="AH754" s="12"/>
    </row>
    <row r="755" spans="1:34" ht="12.75">
      <c r="A755" s="12"/>
      <c r="B755" s="12"/>
      <c r="C755" s="12"/>
      <c r="D755" s="12"/>
      <c r="E755" s="12"/>
      <c r="F755" s="17"/>
      <c r="G755" s="12"/>
      <c r="H755" s="12"/>
      <c r="I755" s="12"/>
      <c r="J755" s="12"/>
      <c r="K755" s="12"/>
      <c r="L755" s="12"/>
      <c r="M755" s="12"/>
      <c r="N755" s="12"/>
      <c r="O755" s="12"/>
      <c r="P755" s="12"/>
      <c r="Q755" s="12"/>
      <c r="R755" s="12"/>
      <c r="S755" s="12"/>
      <c r="T755" s="12"/>
      <c r="U755" s="12"/>
      <c r="V755" s="14"/>
      <c r="W755" s="14"/>
      <c r="X755" s="14"/>
      <c r="Y755" s="14"/>
      <c r="Z755" s="15"/>
      <c r="AA755" s="12"/>
      <c r="AB755" s="12"/>
      <c r="AC755" s="12"/>
      <c r="AD755" s="12"/>
      <c r="AE755" s="12"/>
      <c r="AF755" s="12"/>
      <c r="AG755" s="12"/>
      <c r="AH755" s="12"/>
    </row>
    <row r="756" spans="1:34" ht="12.75">
      <c r="A756" s="12"/>
      <c r="B756" s="12"/>
      <c r="C756" s="12"/>
      <c r="D756" s="12"/>
      <c r="E756" s="12"/>
      <c r="F756" s="17"/>
      <c r="G756" s="12"/>
      <c r="H756" s="12"/>
      <c r="I756" s="12"/>
      <c r="J756" s="12"/>
      <c r="K756" s="12"/>
      <c r="L756" s="12"/>
      <c r="M756" s="12"/>
      <c r="N756" s="12"/>
      <c r="O756" s="12"/>
      <c r="P756" s="12"/>
      <c r="Q756" s="12"/>
      <c r="R756" s="12"/>
      <c r="S756" s="12"/>
      <c r="T756" s="12"/>
      <c r="U756" s="12"/>
      <c r="V756" s="14"/>
      <c r="W756" s="14"/>
      <c r="X756" s="14"/>
      <c r="Y756" s="14"/>
      <c r="Z756" s="15"/>
      <c r="AA756" s="12"/>
      <c r="AB756" s="12"/>
      <c r="AC756" s="12"/>
      <c r="AD756" s="12"/>
      <c r="AE756" s="12"/>
      <c r="AF756" s="12"/>
      <c r="AG756" s="12"/>
      <c r="AH756" s="12"/>
    </row>
    <row r="757" spans="1:34" ht="12.75">
      <c r="A757" s="12"/>
      <c r="B757" s="12"/>
      <c r="C757" s="12"/>
      <c r="D757" s="12"/>
      <c r="E757" s="12"/>
      <c r="F757" s="17"/>
      <c r="G757" s="12"/>
      <c r="H757" s="12"/>
      <c r="I757" s="12"/>
      <c r="J757" s="12"/>
      <c r="K757" s="12"/>
      <c r="L757" s="12"/>
      <c r="M757" s="12"/>
      <c r="N757" s="12"/>
      <c r="O757" s="12"/>
      <c r="P757" s="12"/>
      <c r="Q757" s="12"/>
      <c r="R757" s="12"/>
      <c r="S757" s="12"/>
      <c r="T757" s="12"/>
      <c r="U757" s="12"/>
      <c r="V757" s="14"/>
      <c r="W757" s="14"/>
      <c r="X757" s="14"/>
      <c r="Y757" s="14"/>
      <c r="Z757" s="15"/>
      <c r="AA757" s="12"/>
      <c r="AB757" s="12"/>
      <c r="AC757" s="12"/>
      <c r="AD757" s="12"/>
      <c r="AE757" s="12"/>
      <c r="AF757" s="12"/>
      <c r="AG757" s="12"/>
      <c r="AH757" s="12"/>
    </row>
    <row r="758" spans="1:34" ht="12.75">
      <c r="A758" s="12"/>
      <c r="B758" s="12"/>
      <c r="C758" s="12"/>
      <c r="D758" s="12"/>
      <c r="E758" s="12"/>
      <c r="F758" s="17"/>
      <c r="G758" s="12"/>
      <c r="H758" s="12"/>
      <c r="I758" s="12"/>
      <c r="J758" s="12"/>
      <c r="K758" s="12"/>
      <c r="L758" s="12"/>
      <c r="M758" s="12"/>
      <c r="N758" s="12"/>
      <c r="O758" s="12"/>
      <c r="P758" s="12"/>
      <c r="Q758" s="12"/>
      <c r="R758" s="12"/>
      <c r="S758" s="12"/>
      <c r="T758" s="12"/>
      <c r="U758" s="12"/>
      <c r="V758" s="14"/>
      <c r="W758" s="14"/>
      <c r="X758" s="14"/>
      <c r="Y758" s="14"/>
      <c r="Z758" s="15"/>
      <c r="AA758" s="12"/>
      <c r="AB758" s="12"/>
      <c r="AC758" s="12"/>
      <c r="AD758" s="12"/>
      <c r="AE758" s="12"/>
      <c r="AF758" s="12"/>
      <c r="AG758" s="12"/>
      <c r="AH758" s="12"/>
    </row>
    <row r="759" spans="1:34" ht="12.75">
      <c r="A759" s="12"/>
      <c r="B759" s="12"/>
      <c r="C759" s="12"/>
      <c r="D759" s="12"/>
      <c r="E759" s="12"/>
      <c r="F759" s="17"/>
      <c r="G759" s="12"/>
      <c r="H759" s="12"/>
      <c r="I759" s="12"/>
      <c r="J759" s="12"/>
      <c r="K759" s="12"/>
      <c r="L759" s="12"/>
      <c r="M759" s="12"/>
      <c r="N759" s="12"/>
      <c r="O759" s="12"/>
      <c r="P759" s="12"/>
      <c r="Q759" s="12"/>
      <c r="R759" s="12"/>
      <c r="S759" s="12"/>
      <c r="T759" s="12"/>
      <c r="U759" s="12"/>
      <c r="V759" s="14"/>
      <c r="W759" s="14"/>
      <c r="X759" s="14"/>
      <c r="Y759" s="14"/>
      <c r="Z759" s="15"/>
      <c r="AA759" s="12"/>
      <c r="AB759" s="12"/>
      <c r="AC759" s="12"/>
      <c r="AD759" s="12"/>
      <c r="AE759" s="12"/>
      <c r="AF759" s="12"/>
      <c r="AG759" s="12"/>
      <c r="AH759" s="12"/>
    </row>
    <row r="760" spans="1:34" ht="12.75">
      <c r="A760" s="12"/>
      <c r="B760" s="12"/>
      <c r="C760" s="12"/>
      <c r="D760" s="12"/>
      <c r="E760" s="12"/>
      <c r="F760" s="17"/>
      <c r="G760" s="12"/>
      <c r="H760" s="12"/>
      <c r="I760" s="12"/>
      <c r="J760" s="12"/>
      <c r="K760" s="12"/>
      <c r="L760" s="12"/>
      <c r="M760" s="12"/>
      <c r="N760" s="12"/>
      <c r="O760" s="12"/>
      <c r="P760" s="12"/>
      <c r="Q760" s="12"/>
      <c r="R760" s="12"/>
      <c r="S760" s="12"/>
      <c r="T760" s="12"/>
      <c r="U760" s="12"/>
      <c r="V760" s="14"/>
      <c r="W760" s="14"/>
      <c r="X760" s="14"/>
      <c r="Y760" s="14"/>
      <c r="Z760" s="15"/>
      <c r="AA760" s="12"/>
      <c r="AB760" s="12"/>
      <c r="AC760" s="12"/>
      <c r="AD760" s="12"/>
      <c r="AE760" s="12"/>
      <c r="AF760" s="12"/>
      <c r="AG760" s="12"/>
      <c r="AH760" s="12"/>
    </row>
    <row r="761" spans="1:34" ht="12.75">
      <c r="A761" s="12"/>
      <c r="B761" s="12"/>
      <c r="C761" s="12"/>
      <c r="D761" s="12"/>
      <c r="E761" s="12"/>
      <c r="F761" s="17"/>
      <c r="G761" s="12"/>
      <c r="H761" s="12"/>
      <c r="I761" s="12"/>
      <c r="J761" s="12"/>
      <c r="K761" s="12"/>
      <c r="L761" s="12"/>
      <c r="M761" s="12"/>
      <c r="N761" s="12"/>
      <c r="O761" s="12"/>
      <c r="P761" s="12"/>
      <c r="Q761" s="12"/>
      <c r="R761" s="12"/>
      <c r="S761" s="12"/>
      <c r="T761" s="12"/>
      <c r="U761" s="12"/>
      <c r="V761" s="14"/>
      <c r="W761" s="14"/>
      <c r="X761" s="14"/>
      <c r="Y761" s="14"/>
      <c r="Z761" s="15"/>
      <c r="AA761" s="12"/>
      <c r="AB761" s="12"/>
      <c r="AC761" s="12"/>
      <c r="AD761" s="12"/>
      <c r="AE761" s="12"/>
      <c r="AF761" s="12"/>
      <c r="AG761" s="12"/>
      <c r="AH761" s="12"/>
    </row>
    <row r="762" spans="1:34" ht="12.75">
      <c r="A762" s="12"/>
      <c r="B762" s="12"/>
      <c r="C762" s="12"/>
      <c r="D762" s="12"/>
      <c r="E762" s="12"/>
      <c r="F762" s="17"/>
      <c r="G762" s="12"/>
      <c r="H762" s="12"/>
      <c r="I762" s="12"/>
      <c r="J762" s="12"/>
      <c r="K762" s="12"/>
      <c r="L762" s="12"/>
      <c r="M762" s="12"/>
      <c r="N762" s="12"/>
      <c r="O762" s="12"/>
      <c r="P762" s="12"/>
      <c r="Q762" s="12"/>
      <c r="R762" s="12"/>
      <c r="S762" s="12"/>
      <c r="T762" s="12"/>
      <c r="U762" s="12"/>
      <c r="V762" s="14"/>
      <c r="W762" s="14"/>
      <c r="X762" s="14"/>
      <c r="Y762" s="14"/>
      <c r="Z762" s="15"/>
      <c r="AA762" s="12"/>
      <c r="AB762" s="12"/>
      <c r="AC762" s="12"/>
      <c r="AD762" s="12"/>
      <c r="AE762" s="12"/>
      <c r="AF762" s="12"/>
      <c r="AG762" s="12"/>
      <c r="AH762" s="12"/>
    </row>
    <row r="763" spans="1:34" ht="12.75">
      <c r="A763" s="12"/>
      <c r="B763" s="12"/>
      <c r="C763" s="12"/>
      <c r="D763" s="12"/>
      <c r="E763" s="12"/>
      <c r="F763" s="17"/>
      <c r="G763" s="12"/>
      <c r="H763" s="12"/>
      <c r="I763" s="12"/>
      <c r="J763" s="12"/>
      <c r="K763" s="12"/>
      <c r="L763" s="12"/>
      <c r="M763" s="12"/>
      <c r="N763" s="12"/>
      <c r="O763" s="12"/>
      <c r="P763" s="12"/>
      <c r="Q763" s="12"/>
      <c r="R763" s="12"/>
      <c r="S763" s="12"/>
      <c r="T763" s="12"/>
      <c r="U763" s="12"/>
      <c r="V763" s="14"/>
      <c r="W763" s="14"/>
      <c r="X763" s="14"/>
      <c r="Y763" s="14"/>
      <c r="Z763" s="15"/>
      <c r="AA763" s="12"/>
      <c r="AB763" s="12"/>
      <c r="AC763" s="12"/>
      <c r="AD763" s="12"/>
      <c r="AE763" s="12"/>
      <c r="AF763" s="12"/>
      <c r="AG763" s="12"/>
      <c r="AH763" s="12"/>
    </row>
    <row r="764" spans="1:34" ht="12.75">
      <c r="A764" s="12"/>
      <c r="B764" s="12"/>
      <c r="C764" s="12"/>
      <c r="D764" s="12"/>
      <c r="E764" s="12"/>
      <c r="F764" s="17"/>
      <c r="G764" s="12"/>
      <c r="H764" s="12"/>
      <c r="I764" s="12"/>
      <c r="J764" s="12"/>
      <c r="K764" s="12"/>
      <c r="L764" s="12"/>
      <c r="M764" s="12"/>
      <c r="N764" s="12"/>
      <c r="O764" s="12"/>
      <c r="P764" s="12"/>
      <c r="Q764" s="12"/>
      <c r="R764" s="12"/>
      <c r="S764" s="12"/>
      <c r="T764" s="12"/>
      <c r="U764" s="12"/>
      <c r="V764" s="14"/>
      <c r="W764" s="14"/>
      <c r="X764" s="14"/>
      <c r="Y764" s="14"/>
      <c r="Z764" s="15"/>
      <c r="AA764" s="12"/>
      <c r="AB764" s="12"/>
      <c r="AC764" s="12"/>
      <c r="AD764" s="12"/>
      <c r="AE764" s="12"/>
      <c r="AF764" s="12"/>
      <c r="AG764" s="12"/>
      <c r="AH764" s="12"/>
    </row>
    <row r="765" spans="1:34" ht="12.75">
      <c r="A765" s="12"/>
      <c r="B765" s="12"/>
      <c r="C765" s="12"/>
      <c r="D765" s="12"/>
      <c r="E765" s="12"/>
      <c r="F765" s="17"/>
      <c r="G765" s="12"/>
      <c r="H765" s="12"/>
      <c r="I765" s="12"/>
      <c r="J765" s="12"/>
      <c r="K765" s="12"/>
      <c r="L765" s="12"/>
      <c r="M765" s="12"/>
      <c r="N765" s="12"/>
      <c r="O765" s="12"/>
      <c r="P765" s="12"/>
      <c r="Q765" s="12"/>
      <c r="R765" s="12"/>
      <c r="S765" s="12"/>
      <c r="T765" s="12"/>
      <c r="U765" s="12"/>
      <c r="V765" s="14"/>
      <c r="W765" s="14"/>
      <c r="X765" s="14"/>
      <c r="Y765" s="14"/>
      <c r="Z765" s="15"/>
      <c r="AA765" s="12"/>
      <c r="AB765" s="12"/>
      <c r="AC765" s="12"/>
      <c r="AD765" s="12"/>
      <c r="AE765" s="12"/>
      <c r="AF765" s="12"/>
      <c r="AG765" s="12"/>
      <c r="AH765" s="12"/>
    </row>
    <row r="766" spans="1:34" ht="12.75">
      <c r="A766" s="12"/>
      <c r="B766" s="12"/>
      <c r="C766" s="12"/>
      <c r="D766" s="12"/>
      <c r="E766" s="12"/>
      <c r="F766" s="17"/>
      <c r="G766" s="12"/>
      <c r="H766" s="12"/>
      <c r="I766" s="12"/>
      <c r="J766" s="12"/>
      <c r="K766" s="12"/>
      <c r="L766" s="12"/>
      <c r="M766" s="12"/>
      <c r="N766" s="12"/>
      <c r="O766" s="12"/>
      <c r="P766" s="12"/>
      <c r="Q766" s="12"/>
      <c r="R766" s="12"/>
      <c r="S766" s="12"/>
      <c r="T766" s="12"/>
      <c r="U766" s="12"/>
      <c r="V766" s="14"/>
      <c r="W766" s="14"/>
      <c r="X766" s="14"/>
      <c r="Y766" s="14"/>
      <c r="Z766" s="15"/>
      <c r="AA766" s="12"/>
      <c r="AB766" s="12"/>
      <c r="AC766" s="12"/>
      <c r="AD766" s="12"/>
      <c r="AE766" s="12"/>
      <c r="AF766" s="12"/>
      <c r="AG766" s="12"/>
      <c r="AH766" s="12"/>
    </row>
    <row r="767" spans="1:34" ht="12.75">
      <c r="A767" s="12"/>
      <c r="B767" s="12"/>
      <c r="C767" s="12"/>
      <c r="D767" s="12"/>
      <c r="E767" s="12"/>
      <c r="F767" s="17"/>
      <c r="G767" s="12"/>
      <c r="H767" s="12"/>
      <c r="I767" s="12"/>
      <c r="J767" s="12"/>
      <c r="K767" s="12"/>
      <c r="L767" s="12"/>
      <c r="M767" s="12"/>
      <c r="N767" s="12"/>
      <c r="O767" s="12"/>
      <c r="P767" s="12"/>
      <c r="Q767" s="12"/>
      <c r="R767" s="12"/>
      <c r="S767" s="12"/>
      <c r="T767" s="12"/>
      <c r="U767" s="12"/>
      <c r="V767" s="14"/>
      <c r="W767" s="14"/>
      <c r="X767" s="14"/>
      <c r="Y767" s="14"/>
      <c r="Z767" s="15"/>
      <c r="AA767" s="12"/>
      <c r="AB767" s="12"/>
      <c r="AC767" s="12"/>
      <c r="AD767" s="12"/>
      <c r="AE767" s="12"/>
      <c r="AF767" s="12"/>
      <c r="AG767" s="12"/>
      <c r="AH767" s="12"/>
    </row>
    <row r="768" spans="1:34" ht="12.75">
      <c r="A768" s="12"/>
      <c r="B768" s="12"/>
      <c r="C768" s="12"/>
      <c r="D768" s="12"/>
      <c r="E768" s="12"/>
      <c r="F768" s="17"/>
      <c r="G768" s="12"/>
      <c r="H768" s="12"/>
      <c r="I768" s="12"/>
      <c r="J768" s="12"/>
      <c r="K768" s="12"/>
      <c r="L768" s="12"/>
      <c r="M768" s="12"/>
      <c r="N768" s="12"/>
      <c r="O768" s="12"/>
      <c r="P768" s="12"/>
      <c r="Q768" s="12"/>
      <c r="R768" s="12"/>
      <c r="S768" s="12"/>
      <c r="T768" s="12"/>
      <c r="U768" s="12"/>
      <c r="V768" s="14"/>
      <c r="W768" s="14"/>
      <c r="X768" s="14"/>
      <c r="Y768" s="14"/>
      <c r="Z768" s="15"/>
      <c r="AA768" s="12"/>
      <c r="AB768" s="12"/>
      <c r="AC768" s="12"/>
      <c r="AD768" s="12"/>
      <c r="AE768" s="12"/>
      <c r="AF768" s="12"/>
      <c r="AG768" s="12"/>
      <c r="AH768" s="12"/>
    </row>
    <row r="769" spans="1:34" ht="12.75">
      <c r="A769" s="12"/>
      <c r="B769" s="12"/>
      <c r="C769" s="12"/>
      <c r="D769" s="12"/>
      <c r="E769" s="12"/>
      <c r="F769" s="17"/>
      <c r="G769" s="12"/>
      <c r="H769" s="12"/>
      <c r="I769" s="12"/>
      <c r="J769" s="12"/>
      <c r="K769" s="12"/>
      <c r="L769" s="12"/>
      <c r="M769" s="12"/>
      <c r="N769" s="12"/>
      <c r="O769" s="12"/>
      <c r="P769" s="12"/>
      <c r="Q769" s="12"/>
      <c r="R769" s="12"/>
      <c r="S769" s="12"/>
      <c r="T769" s="12"/>
      <c r="U769" s="12"/>
      <c r="V769" s="14"/>
      <c r="W769" s="14"/>
      <c r="X769" s="14"/>
      <c r="Y769" s="14"/>
      <c r="Z769" s="15"/>
      <c r="AA769" s="12"/>
      <c r="AB769" s="12"/>
      <c r="AC769" s="12"/>
      <c r="AD769" s="12"/>
      <c r="AE769" s="12"/>
      <c r="AF769" s="12"/>
      <c r="AG769" s="12"/>
      <c r="AH769" s="12"/>
    </row>
    <row r="770" spans="1:34" ht="12.75">
      <c r="A770" s="12"/>
      <c r="B770" s="12"/>
      <c r="C770" s="12"/>
      <c r="D770" s="12"/>
      <c r="E770" s="12"/>
      <c r="F770" s="17"/>
      <c r="G770" s="12"/>
      <c r="H770" s="12"/>
      <c r="I770" s="12"/>
      <c r="J770" s="12"/>
      <c r="K770" s="12"/>
      <c r="L770" s="12"/>
      <c r="M770" s="12"/>
      <c r="N770" s="12"/>
      <c r="O770" s="12"/>
      <c r="P770" s="12"/>
      <c r="Q770" s="12"/>
      <c r="R770" s="12"/>
      <c r="S770" s="12"/>
      <c r="T770" s="12"/>
      <c r="U770" s="12"/>
      <c r="V770" s="14"/>
      <c r="W770" s="14"/>
      <c r="X770" s="14"/>
      <c r="Y770" s="14"/>
      <c r="Z770" s="15"/>
      <c r="AA770" s="12"/>
      <c r="AB770" s="12"/>
      <c r="AC770" s="12"/>
      <c r="AD770" s="12"/>
      <c r="AE770" s="12"/>
      <c r="AF770" s="12"/>
      <c r="AG770" s="12"/>
      <c r="AH770" s="12"/>
    </row>
    <row r="771" spans="1:34" ht="12.75">
      <c r="A771" s="12"/>
      <c r="B771" s="12"/>
      <c r="C771" s="12"/>
      <c r="D771" s="12"/>
      <c r="E771" s="12"/>
      <c r="F771" s="17"/>
      <c r="G771" s="12"/>
      <c r="H771" s="12"/>
      <c r="I771" s="12"/>
      <c r="J771" s="12"/>
      <c r="K771" s="12"/>
      <c r="L771" s="12"/>
      <c r="M771" s="12"/>
      <c r="N771" s="12"/>
      <c r="O771" s="12"/>
      <c r="P771" s="12"/>
      <c r="Q771" s="12"/>
      <c r="R771" s="12"/>
      <c r="S771" s="12"/>
      <c r="T771" s="12"/>
      <c r="U771" s="12"/>
      <c r="V771" s="14"/>
      <c r="W771" s="14"/>
      <c r="X771" s="14"/>
      <c r="Y771" s="14"/>
      <c r="Z771" s="15"/>
      <c r="AA771" s="12"/>
      <c r="AB771" s="12"/>
      <c r="AC771" s="12"/>
      <c r="AD771" s="12"/>
      <c r="AE771" s="12"/>
      <c r="AF771" s="12"/>
      <c r="AG771" s="12"/>
      <c r="AH771" s="12"/>
    </row>
    <row r="772" spans="1:34" ht="12.75">
      <c r="A772" s="12"/>
      <c r="B772" s="12"/>
      <c r="C772" s="12"/>
      <c r="D772" s="12"/>
      <c r="E772" s="12"/>
      <c r="F772" s="17"/>
      <c r="G772" s="12"/>
      <c r="H772" s="12"/>
      <c r="I772" s="12"/>
      <c r="J772" s="12"/>
      <c r="K772" s="12"/>
      <c r="L772" s="12"/>
      <c r="M772" s="12"/>
      <c r="N772" s="12"/>
      <c r="O772" s="12"/>
      <c r="P772" s="12"/>
      <c r="Q772" s="12"/>
      <c r="R772" s="12"/>
      <c r="S772" s="12"/>
      <c r="T772" s="12"/>
      <c r="U772" s="12"/>
      <c r="V772" s="14"/>
      <c r="W772" s="14"/>
      <c r="X772" s="14"/>
      <c r="Y772" s="14"/>
      <c r="Z772" s="15"/>
      <c r="AA772" s="12"/>
      <c r="AB772" s="12"/>
      <c r="AC772" s="12"/>
      <c r="AD772" s="12"/>
      <c r="AE772" s="12"/>
      <c r="AF772" s="12"/>
      <c r="AG772" s="12"/>
      <c r="AH772" s="12"/>
    </row>
    <row r="773" spans="1:34" ht="12.75">
      <c r="A773" s="12"/>
      <c r="B773" s="12"/>
      <c r="C773" s="12"/>
      <c r="D773" s="12"/>
      <c r="E773" s="12"/>
      <c r="F773" s="17"/>
      <c r="G773" s="12"/>
      <c r="H773" s="12"/>
      <c r="I773" s="12"/>
      <c r="J773" s="12"/>
      <c r="K773" s="12"/>
      <c r="L773" s="12"/>
      <c r="M773" s="12"/>
      <c r="N773" s="12"/>
      <c r="O773" s="12"/>
      <c r="P773" s="12"/>
      <c r="Q773" s="12"/>
      <c r="R773" s="12"/>
      <c r="S773" s="12"/>
      <c r="T773" s="12"/>
      <c r="U773" s="12"/>
      <c r="V773" s="14"/>
      <c r="W773" s="14"/>
      <c r="X773" s="14"/>
      <c r="Y773" s="14"/>
      <c r="Z773" s="15"/>
      <c r="AA773" s="12"/>
      <c r="AB773" s="12"/>
      <c r="AC773" s="12"/>
      <c r="AD773" s="12"/>
      <c r="AE773" s="12"/>
      <c r="AF773" s="12"/>
      <c r="AG773" s="12"/>
      <c r="AH773" s="12"/>
    </row>
    <row r="774" spans="1:34" ht="12.75">
      <c r="A774" s="12"/>
      <c r="B774" s="12"/>
      <c r="C774" s="12"/>
      <c r="D774" s="12"/>
      <c r="E774" s="12"/>
      <c r="F774" s="17"/>
      <c r="G774" s="12"/>
      <c r="H774" s="12"/>
      <c r="I774" s="12"/>
      <c r="J774" s="12"/>
      <c r="K774" s="12"/>
      <c r="L774" s="12"/>
      <c r="M774" s="12"/>
      <c r="N774" s="12"/>
      <c r="O774" s="12"/>
      <c r="P774" s="12"/>
      <c r="Q774" s="12"/>
      <c r="R774" s="12"/>
      <c r="S774" s="12"/>
      <c r="T774" s="12"/>
      <c r="U774" s="12"/>
      <c r="V774" s="14"/>
      <c r="W774" s="14"/>
      <c r="X774" s="14"/>
      <c r="Y774" s="14"/>
      <c r="Z774" s="15"/>
      <c r="AA774" s="12"/>
      <c r="AB774" s="12"/>
      <c r="AC774" s="12"/>
      <c r="AD774" s="12"/>
      <c r="AE774" s="12"/>
      <c r="AF774" s="12"/>
      <c r="AG774" s="12"/>
      <c r="AH774" s="12"/>
    </row>
    <row r="775" spans="1:34" ht="12.75">
      <c r="A775" s="12"/>
      <c r="B775" s="12"/>
      <c r="C775" s="12"/>
      <c r="D775" s="12"/>
      <c r="E775" s="12"/>
      <c r="F775" s="17"/>
      <c r="G775" s="12"/>
      <c r="H775" s="12"/>
      <c r="I775" s="12"/>
      <c r="J775" s="12"/>
      <c r="K775" s="12"/>
      <c r="L775" s="12"/>
      <c r="M775" s="12"/>
      <c r="N775" s="12"/>
      <c r="O775" s="12"/>
      <c r="P775" s="12"/>
      <c r="Q775" s="12"/>
      <c r="R775" s="12"/>
      <c r="S775" s="12"/>
      <c r="T775" s="12"/>
      <c r="U775" s="12"/>
      <c r="V775" s="14"/>
      <c r="W775" s="14"/>
      <c r="X775" s="14"/>
      <c r="Y775" s="14"/>
      <c r="Z775" s="15"/>
      <c r="AA775" s="12"/>
      <c r="AB775" s="12"/>
      <c r="AC775" s="12"/>
      <c r="AD775" s="12"/>
      <c r="AE775" s="12"/>
      <c r="AF775" s="12"/>
      <c r="AG775" s="12"/>
      <c r="AH775" s="12"/>
    </row>
    <row r="776" spans="1:34" ht="12.75">
      <c r="A776" s="12"/>
      <c r="B776" s="12"/>
      <c r="C776" s="12"/>
      <c r="D776" s="12"/>
      <c r="E776" s="12"/>
      <c r="F776" s="17"/>
      <c r="G776" s="12"/>
      <c r="H776" s="12"/>
      <c r="I776" s="12"/>
      <c r="J776" s="12"/>
      <c r="K776" s="12"/>
      <c r="L776" s="12"/>
      <c r="M776" s="12"/>
      <c r="N776" s="12"/>
      <c r="O776" s="12"/>
      <c r="P776" s="12"/>
      <c r="Q776" s="12"/>
      <c r="R776" s="12"/>
      <c r="S776" s="12"/>
      <c r="T776" s="12"/>
      <c r="U776" s="12"/>
      <c r="V776" s="14"/>
      <c r="W776" s="14"/>
      <c r="X776" s="14"/>
      <c r="Y776" s="14"/>
      <c r="Z776" s="15"/>
      <c r="AA776" s="12"/>
      <c r="AB776" s="12"/>
      <c r="AC776" s="12"/>
      <c r="AD776" s="12"/>
      <c r="AE776" s="12"/>
      <c r="AF776" s="12"/>
      <c r="AG776" s="12"/>
      <c r="AH776" s="12"/>
    </row>
    <row r="777" spans="1:34" ht="12.75">
      <c r="A777" s="12"/>
      <c r="B777" s="12"/>
      <c r="C777" s="12"/>
      <c r="D777" s="12"/>
      <c r="E777" s="12"/>
      <c r="F777" s="17"/>
      <c r="G777" s="12"/>
      <c r="H777" s="12"/>
      <c r="I777" s="12"/>
      <c r="J777" s="12"/>
      <c r="K777" s="12"/>
      <c r="L777" s="12"/>
      <c r="M777" s="12"/>
      <c r="N777" s="12"/>
      <c r="O777" s="12"/>
      <c r="P777" s="12"/>
      <c r="Q777" s="12"/>
      <c r="R777" s="12"/>
      <c r="S777" s="12"/>
      <c r="T777" s="12"/>
      <c r="U777" s="12"/>
      <c r="V777" s="14"/>
      <c r="W777" s="14"/>
      <c r="X777" s="14"/>
      <c r="Y777" s="14"/>
      <c r="Z777" s="15"/>
      <c r="AA777" s="12"/>
      <c r="AB777" s="12"/>
      <c r="AC777" s="12"/>
      <c r="AD777" s="12"/>
      <c r="AE777" s="12"/>
      <c r="AF777" s="12"/>
      <c r="AG777" s="12"/>
      <c r="AH777" s="12"/>
    </row>
    <row r="778" spans="1:34" ht="12.75">
      <c r="A778" s="12"/>
      <c r="B778" s="12"/>
      <c r="C778" s="12"/>
      <c r="D778" s="12"/>
      <c r="E778" s="12"/>
      <c r="F778" s="17"/>
      <c r="G778" s="12"/>
      <c r="H778" s="12"/>
      <c r="I778" s="12"/>
      <c r="J778" s="12"/>
      <c r="K778" s="12"/>
      <c r="L778" s="12"/>
      <c r="M778" s="12"/>
      <c r="N778" s="12"/>
      <c r="O778" s="12"/>
      <c r="P778" s="12"/>
      <c r="Q778" s="12"/>
      <c r="R778" s="12"/>
      <c r="S778" s="12"/>
      <c r="T778" s="12"/>
      <c r="U778" s="12"/>
      <c r="V778" s="14"/>
      <c r="W778" s="14"/>
      <c r="X778" s="14"/>
      <c r="Y778" s="14"/>
      <c r="Z778" s="15"/>
      <c r="AA778" s="12"/>
      <c r="AB778" s="12"/>
      <c r="AC778" s="12"/>
      <c r="AD778" s="12"/>
      <c r="AE778" s="12"/>
      <c r="AF778" s="12"/>
      <c r="AG778" s="12"/>
      <c r="AH778" s="12"/>
    </row>
    <row r="779" spans="1:34" ht="12.75">
      <c r="A779" s="12"/>
      <c r="B779" s="12"/>
      <c r="C779" s="12"/>
      <c r="D779" s="12"/>
      <c r="E779" s="12"/>
      <c r="F779" s="17"/>
      <c r="G779" s="12"/>
      <c r="H779" s="12"/>
      <c r="I779" s="12"/>
      <c r="J779" s="12"/>
      <c r="K779" s="12"/>
      <c r="L779" s="12"/>
      <c r="M779" s="12"/>
      <c r="N779" s="12"/>
      <c r="O779" s="12"/>
      <c r="P779" s="12"/>
      <c r="Q779" s="12"/>
      <c r="R779" s="12"/>
      <c r="S779" s="12"/>
      <c r="T779" s="12"/>
      <c r="U779" s="12"/>
      <c r="V779" s="14"/>
      <c r="W779" s="14"/>
      <c r="X779" s="14"/>
      <c r="Y779" s="14"/>
      <c r="Z779" s="15"/>
      <c r="AA779" s="12"/>
      <c r="AB779" s="12"/>
      <c r="AC779" s="12"/>
      <c r="AD779" s="12"/>
      <c r="AE779" s="12"/>
      <c r="AF779" s="12"/>
      <c r="AG779" s="12"/>
      <c r="AH779" s="12"/>
    </row>
    <row r="780" spans="1:34" ht="12.75">
      <c r="A780" s="12"/>
      <c r="B780" s="12"/>
      <c r="C780" s="12"/>
      <c r="D780" s="12"/>
      <c r="E780" s="12"/>
      <c r="F780" s="17"/>
      <c r="G780" s="12"/>
      <c r="H780" s="12"/>
      <c r="I780" s="12"/>
      <c r="J780" s="12"/>
      <c r="K780" s="12"/>
      <c r="L780" s="12"/>
      <c r="M780" s="12"/>
      <c r="N780" s="12"/>
      <c r="O780" s="12"/>
      <c r="P780" s="12"/>
      <c r="Q780" s="12"/>
      <c r="R780" s="12"/>
      <c r="S780" s="12"/>
      <c r="T780" s="12"/>
      <c r="U780" s="12"/>
      <c r="V780" s="14"/>
      <c r="W780" s="14"/>
      <c r="X780" s="14"/>
      <c r="Y780" s="14"/>
      <c r="Z780" s="15"/>
      <c r="AA780" s="12"/>
      <c r="AB780" s="12"/>
      <c r="AC780" s="12"/>
      <c r="AD780" s="12"/>
      <c r="AE780" s="12"/>
      <c r="AF780" s="12"/>
      <c r="AG780" s="12"/>
      <c r="AH780" s="12"/>
    </row>
    <row r="781" spans="1:34" ht="12.75">
      <c r="A781" s="12"/>
      <c r="B781" s="12"/>
      <c r="C781" s="12"/>
      <c r="D781" s="12"/>
      <c r="E781" s="12"/>
      <c r="F781" s="17"/>
      <c r="G781" s="12"/>
      <c r="H781" s="12"/>
      <c r="I781" s="12"/>
      <c r="J781" s="12"/>
      <c r="K781" s="12"/>
      <c r="L781" s="12"/>
      <c r="M781" s="12"/>
      <c r="N781" s="12"/>
      <c r="O781" s="12"/>
      <c r="P781" s="12"/>
      <c r="Q781" s="12"/>
      <c r="R781" s="12"/>
      <c r="S781" s="12"/>
      <c r="T781" s="12"/>
      <c r="U781" s="12"/>
      <c r="V781" s="14"/>
      <c r="W781" s="14"/>
      <c r="X781" s="14"/>
      <c r="Y781" s="14"/>
      <c r="Z781" s="15"/>
      <c r="AA781" s="12"/>
      <c r="AB781" s="12"/>
      <c r="AC781" s="12"/>
      <c r="AD781" s="12"/>
      <c r="AE781" s="12"/>
      <c r="AF781" s="12"/>
      <c r="AG781" s="12"/>
      <c r="AH781" s="12"/>
    </row>
    <row r="782" spans="1:34" ht="12.75">
      <c r="A782" s="12"/>
      <c r="B782" s="12"/>
      <c r="C782" s="12"/>
      <c r="D782" s="12"/>
      <c r="E782" s="12"/>
      <c r="F782" s="17"/>
      <c r="G782" s="12"/>
      <c r="H782" s="12"/>
      <c r="I782" s="12"/>
      <c r="J782" s="12"/>
      <c r="K782" s="12"/>
      <c r="L782" s="12"/>
      <c r="M782" s="12"/>
      <c r="N782" s="12"/>
      <c r="O782" s="12"/>
      <c r="P782" s="12"/>
      <c r="Q782" s="12"/>
      <c r="R782" s="12"/>
      <c r="S782" s="12"/>
      <c r="T782" s="12"/>
      <c r="U782" s="12"/>
      <c r="V782" s="14"/>
      <c r="W782" s="14"/>
      <c r="X782" s="14"/>
      <c r="Y782" s="14"/>
      <c r="Z782" s="15"/>
      <c r="AA782" s="12"/>
      <c r="AB782" s="12"/>
      <c r="AC782" s="12"/>
      <c r="AD782" s="12"/>
      <c r="AE782" s="12"/>
      <c r="AF782" s="12"/>
      <c r="AG782" s="12"/>
      <c r="AH782" s="12"/>
    </row>
    <row r="783" spans="1:34" ht="12.75">
      <c r="A783" s="12"/>
      <c r="B783" s="12"/>
      <c r="C783" s="12"/>
      <c r="D783" s="12"/>
      <c r="E783" s="12"/>
      <c r="F783" s="17"/>
      <c r="G783" s="12"/>
      <c r="H783" s="12"/>
      <c r="I783" s="12"/>
      <c r="J783" s="12"/>
      <c r="K783" s="12"/>
      <c r="L783" s="12"/>
      <c r="M783" s="12"/>
      <c r="N783" s="12"/>
      <c r="O783" s="12"/>
      <c r="P783" s="12"/>
      <c r="Q783" s="12"/>
      <c r="R783" s="12"/>
      <c r="S783" s="12"/>
      <c r="T783" s="12"/>
      <c r="U783" s="12"/>
      <c r="V783" s="14"/>
      <c r="W783" s="14"/>
      <c r="X783" s="14"/>
      <c r="Y783" s="14"/>
      <c r="Z783" s="15"/>
      <c r="AA783" s="12"/>
      <c r="AB783" s="12"/>
      <c r="AC783" s="12"/>
      <c r="AD783" s="12"/>
      <c r="AE783" s="12"/>
      <c r="AF783" s="12"/>
      <c r="AG783" s="12"/>
      <c r="AH783" s="12"/>
    </row>
    <row r="784" spans="1:34" ht="12.75">
      <c r="A784" s="12"/>
      <c r="B784" s="12"/>
      <c r="C784" s="12"/>
      <c r="D784" s="12"/>
      <c r="E784" s="12"/>
      <c r="F784" s="17"/>
      <c r="G784" s="12"/>
      <c r="H784" s="12"/>
      <c r="I784" s="12"/>
      <c r="J784" s="12"/>
      <c r="K784" s="12"/>
      <c r="L784" s="12"/>
      <c r="M784" s="12"/>
      <c r="N784" s="12"/>
      <c r="O784" s="12"/>
      <c r="P784" s="12"/>
      <c r="Q784" s="12"/>
      <c r="R784" s="12"/>
      <c r="S784" s="12"/>
      <c r="T784" s="12"/>
      <c r="U784" s="12"/>
      <c r="V784" s="14"/>
      <c r="W784" s="14"/>
      <c r="X784" s="14"/>
      <c r="Y784" s="14"/>
      <c r="Z784" s="15"/>
      <c r="AA784" s="12"/>
      <c r="AB784" s="12"/>
      <c r="AC784" s="12"/>
      <c r="AD784" s="12"/>
      <c r="AE784" s="12"/>
      <c r="AF784" s="12"/>
      <c r="AG784" s="12"/>
      <c r="AH784" s="12"/>
    </row>
    <row r="785" spans="1:34" ht="12.75">
      <c r="A785" s="12"/>
      <c r="B785" s="12"/>
      <c r="C785" s="12"/>
      <c r="D785" s="12"/>
      <c r="E785" s="12"/>
      <c r="F785" s="17"/>
      <c r="G785" s="12"/>
      <c r="H785" s="12"/>
      <c r="I785" s="12"/>
      <c r="J785" s="12"/>
      <c r="K785" s="12"/>
      <c r="L785" s="12"/>
      <c r="M785" s="12"/>
      <c r="N785" s="12"/>
      <c r="O785" s="12"/>
      <c r="P785" s="12"/>
      <c r="Q785" s="12"/>
      <c r="R785" s="12"/>
      <c r="S785" s="12"/>
      <c r="T785" s="12"/>
      <c r="U785" s="12"/>
      <c r="V785" s="14"/>
      <c r="W785" s="14"/>
      <c r="X785" s="14"/>
      <c r="Y785" s="14"/>
      <c r="Z785" s="15"/>
      <c r="AA785" s="12"/>
      <c r="AB785" s="12"/>
      <c r="AC785" s="12"/>
      <c r="AD785" s="12"/>
      <c r="AE785" s="12"/>
      <c r="AF785" s="12"/>
      <c r="AG785" s="12"/>
      <c r="AH785" s="12"/>
    </row>
    <row r="786" spans="1:34" ht="12.75">
      <c r="A786" s="12"/>
      <c r="B786" s="12"/>
      <c r="C786" s="12"/>
      <c r="D786" s="12"/>
      <c r="E786" s="12"/>
      <c r="F786" s="17"/>
      <c r="G786" s="12"/>
      <c r="H786" s="12"/>
      <c r="I786" s="12"/>
      <c r="J786" s="12"/>
      <c r="K786" s="12"/>
      <c r="L786" s="12"/>
      <c r="M786" s="12"/>
      <c r="N786" s="12"/>
      <c r="O786" s="12"/>
      <c r="P786" s="12"/>
      <c r="Q786" s="12"/>
      <c r="R786" s="12"/>
      <c r="S786" s="12"/>
      <c r="T786" s="12"/>
      <c r="U786" s="12"/>
      <c r="V786" s="14"/>
      <c r="W786" s="14"/>
      <c r="X786" s="14"/>
      <c r="Y786" s="14"/>
      <c r="Z786" s="15"/>
      <c r="AA786" s="12"/>
      <c r="AB786" s="12"/>
      <c r="AC786" s="12"/>
      <c r="AD786" s="12"/>
      <c r="AE786" s="12"/>
      <c r="AF786" s="12"/>
      <c r="AG786" s="12"/>
      <c r="AH786" s="12"/>
    </row>
    <row r="787" spans="1:34" ht="12.75">
      <c r="A787" s="12"/>
      <c r="B787" s="12"/>
      <c r="C787" s="12"/>
      <c r="D787" s="12"/>
      <c r="E787" s="12"/>
      <c r="F787" s="17"/>
      <c r="G787" s="12"/>
      <c r="H787" s="12"/>
      <c r="I787" s="12"/>
      <c r="J787" s="12"/>
      <c r="K787" s="12"/>
      <c r="L787" s="12"/>
      <c r="M787" s="12"/>
      <c r="N787" s="12"/>
      <c r="O787" s="12"/>
      <c r="P787" s="12"/>
      <c r="Q787" s="12"/>
      <c r="R787" s="12"/>
      <c r="S787" s="12"/>
      <c r="T787" s="12"/>
      <c r="U787" s="12"/>
      <c r="V787" s="14"/>
      <c r="W787" s="14"/>
      <c r="X787" s="14"/>
      <c r="Y787" s="14"/>
      <c r="Z787" s="15"/>
      <c r="AA787" s="12"/>
      <c r="AB787" s="12"/>
      <c r="AC787" s="12"/>
      <c r="AD787" s="12"/>
      <c r="AE787" s="12"/>
      <c r="AF787" s="12"/>
      <c r="AG787" s="12"/>
      <c r="AH787" s="12"/>
    </row>
    <row r="788" spans="1:34" ht="12.75">
      <c r="A788" s="12"/>
      <c r="B788" s="12"/>
      <c r="C788" s="12"/>
      <c r="D788" s="12"/>
      <c r="E788" s="12"/>
      <c r="F788" s="17"/>
      <c r="G788" s="12"/>
      <c r="H788" s="12"/>
      <c r="I788" s="12"/>
      <c r="J788" s="12"/>
      <c r="K788" s="12"/>
      <c r="L788" s="12"/>
      <c r="M788" s="12"/>
      <c r="N788" s="12"/>
      <c r="O788" s="12"/>
      <c r="P788" s="12"/>
      <c r="Q788" s="12"/>
      <c r="R788" s="12"/>
      <c r="S788" s="12"/>
      <c r="T788" s="12"/>
      <c r="U788" s="12"/>
      <c r="V788" s="14"/>
      <c r="W788" s="14"/>
      <c r="X788" s="14"/>
      <c r="Y788" s="14"/>
      <c r="Z788" s="15"/>
      <c r="AA788" s="12"/>
      <c r="AB788" s="12"/>
      <c r="AC788" s="12"/>
      <c r="AD788" s="12"/>
      <c r="AE788" s="12"/>
      <c r="AF788" s="12"/>
      <c r="AG788" s="12"/>
      <c r="AH788" s="12"/>
    </row>
    <row r="789" spans="1:34" ht="12.75">
      <c r="A789" s="12"/>
      <c r="B789" s="12"/>
      <c r="C789" s="12"/>
      <c r="D789" s="12"/>
      <c r="E789" s="12"/>
      <c r="F789" s="17"/>
      <c r="G789" s="12"/>
      <c r="H789" s="12"/>
      <c r="I789" s="12"/>
      <c r="J789" s="12"/>
      <c r="K789" s="12"/>
      <c r="L789" s="12"/>
      <c r="M789" s="12"/>
      <c r="N789" s="12"/>
      <c r="O789" s="12"/>
      <c r="P789" s="12"/>
      <c r="Q789" s="12"/>
      <c r="R789" s="12"/>
      <c r="S789" s="12"/>
      <c r="T789" s="12"/>
      <c r="U789" s="12"/>
      <c r="V789" s="14"/>
      <c r="W789" s="14"/>
      <c r="X789" s="14"/>
      <c r="Y789" s="14"/>
      <c r="Z789" s="15"/>
      <c r="AA789" s="12"/>
      <c r="AB789" s="12"/>
      <c r="AC789" s="12"/>
      <c r="AD789" s="12"/>
      <c r="AE789" s="12"/>
      <c r="AF789" s="12"/>
      <c r="AG789" s="12"/>
      <c r="AH789" s="12"/>
    </row>
    <row r="790" spans="1:34" ht="12.75">
      <c r="A790" s="12"/>
      <c r="B790" s="12"/>
      <c r="C790" s="12"/>
      <c r="D790" s="12"/>
      <c r="E790" s="12"/>
      <c r="F790" s="17"/>
      <c r="G790" s="12"/>
      <c r="H790" s="12"/>
      <c r="I790" s="12"/>
      <c r="J790" s="12"/>
      <c r="K790" s="12"/>
      <c r="L790" s="12"/>
      <c r="M790" s="12"/>
      <c r="N790" s="12"/>
      <c r="O790" s="12"/>
      <c r="P790" s="12"/>
      <c r="Q790" s="12"/>
      <c r="R790" s="12"/>
      <c r="S790" s="12"/>
      <c r="T790" s="12"/>
      <c r="U790" s="12"/>
      <c r="V790" s="14"/>
      <c r="W790" s="14"/>
      <c r="X790" s="14"/>
      <c r="Y790" s="14"/>
      <c r="Z790" s="15"/>
      <c r="AA790" s="12"/>
      <c r="AB790" s="12"/>
      <c r="AC790" s="12"/>
      <c r="AD790" s="12"/>
      <c r="AE790" s="12"/>
      <c r="AF790" s="12"/>
      <c r="AG790" s="12"/>
      <c r="AH790" s="12"/>
    </row>
    <row r="791" spans="1:34" ht="12.75">
      <c r="A791" s="12"/>
      <c r="B791" s="12"/>
      <c r="C791" s="12"/>
      <c r="D791" s="12"/>
      <c r="E791" s="12"/>
      <c r="F791" s="17"/>
      <c r="G791" s="12"/>
      <c r="H791" s="12"/>
      <c r="I791" s="12"/>
      <c r="J791" s="12"/>
      <c r="K791" s="12"/>
      <c r="L791" s="12"/>
      <c r="M791" s="12"/>
      <c r="N791" s="12"/>
      <c r="O791" s="12"/>
      <c r="P791" s="12"/>
      <c r="Q791" s="12"/>
      <c r="R791" s="12"/>
      <c r="S791" s="12"/>
      <c r="T791" s="12"/>
      <c r="U791" s="12"/>
      <c r="V791" s="14"/>
      <c r="W791" s="14"/>
      <c r="X791" s="14"/>
      <c r="Y791" s="14"/>
      <c r="Z791" s="15"/>
      <c r="AA791" s="12"/>
      <c r="AB791" s="12"/>
      <c r="AC791" s="12"/>
      <c r="AD791" s="12"/>
      <c r="AE791" s="12"/>
      <c r="AF791" s="12"/>
      <c r="AG791" s="12"/>
      <c r="AH791" s="12"/>
    </row>
    <row r="792" spans="1:34" ht="12.75">
      <c r="A792" s="12"/>
      <c r="B792" s="12"/>
      <c r="C792" s="12"/>
      <c r="D792" s="12"/>
      <c r="E792" s="12"/>
      <c r="F792" s="17"/>
      <c r="G792" s="12"/>
      <c r="H792" s="12"/>
      <c r="I792" s="12"/>
      <c r="J792" s="12"/>
      <c r="K792" s="12"/>
      <c r="L792" s="12"/>
      <c r="M792" s="12"/>
      <c r="N792" s="12"/>
      <c r="O792" s="12"/>
      <c r="P792" s="12"/>
      <c r="Q792" s="12"/>
      <c r="R792" s="12"/>
      <c r="S792" s="12"/>
      <c r="T792" s="12"/>
      <c r="U792" s="12"/>
      <c r="V792" s="14"/>
      <c r="W792" s="14"/>
      <c r="X792" s="14"/>
      <c r="Y792" s="14"/>
      <c r="Z792" s="15"/>
      <c r="AA792" s="12"/>
      <c r="AB792" s="12"/>
      <c r="AC792" s="12"/>
      <c r="AD792" s="12"/>
      <c r="AE792" s="12"/>
      <c r="AF792" s="12"/>
      <c r="AG792" s="12"/>
      <c r="AH792" s="12"/>
    </row>
    <row r="793" spans="1:34" ht="12.75">
      <c r="A793" s="12"/>
      <c r="B793" s="12"/>
      <c r="C793" s="12"/>
      <c r="D793" s="12"/>
      <c r="E793" s="12"/>
      <c r="F793" s="17"/>
      <c r="G793" s="12"/>
      <c r="H793" s="12"/>
      <c r="I793" s="12"/>
      <c r="J793" s="12"/>
      <c r="K793" s="12"/>
      <c r="L793" s="12"/>
      <c r="M793" s="12"/>
      <c r="N793" s="12"/>
      <c r="O793" s="12"/>
      <c r="P793" s="12"/>
      <c r="Q793" s="12"/>
      <c r="R793" s="12"/>
      <c r="S793" s="12"/>
      <c r="T793" s="12"/>
      <c r="U793" s="12"/>
      <c r="V793" s="14"/>
      <c r="W793" s="14"/>
      <c r="X793" s="14"/>
      <c r="Y793" s="14"/>
      <c r="Z793" s="15"/>
      <c r="AA793" s="12"/>
      <c r="AB793" s="12"/>
      <c r="AC793" s="12"/>
      <c r="AD793" s="12"/>
      <c r="AE793" s="12"/>
      <c r="AF793" s="12"/>
      <c r="AG793" s="12"/>
      <c r="AH793" s="12"/>
    </row>
    <row r="794" spans="1:34" ht="12.75">
      <c r="A794" s="12"/>
      <c r="B794" s="12"/>
      <c r="C794" s="12"/>
      <c r="D794" s="12"/>
      <c r="E794" s="12"/>
      <c r="F794" s="17"/>
      <c r="G794" s="12"/>
      <c r="H794" s="12"/>
      <c r="I794" s="12"/>
      <c r="J794" s="12"/>
      <c r="K794" s="12"/>
      <c r="L794" s="12"/>
      <c r="M794" s="12"/>
      <c r="N794" s="12"/>
      <c r="O794" s="12"/>
      <c r="P794" s="12"/>
      <c r="Q794" s="12"/>
      <c r="R794" s="12"/>
      <c r="S794" s="12"/>
      <c r="T794" s="12"/>
      <c r="U794" s="12"/>
      <c r="V794" s="14"/>
      <c r="W794" s="14"/>
      <c r="X794" s="14"/>
      <c r="Y794" s="14"/>
      <c r="Z794" s="15"/>
      <c r="AA794" s="12"/>
      <c r="AB794" s="12"/>
      <c r="AC794" s="12"/>
      <c r="AD794" s="12"/>
      <c r="AE794" s="12"/>
      <c r="AF794" s="12"/>
      <c r="AG794" s="12"/>
      <c r="AH794" s="12"/>
    </row>
    <row r="795" spans="1:34" ht="12.75">
      <c r="A795" s="12"/>
      <c r="B795" s="12"/>
      <c r="C795" s="12"/>
      <c r="D795" s="12"/>
      <c r="E795" s="12"/>
      <c r="F795" s="17"/>
      <c r="G795" s="12"/>
      <c r="H795" s="12"/>
      <c r="I795" s="12"/>
      <c r="J795" s="12"/>
      <c r="K795" s="12"/>
      <c r="L795" s="12"/>
      <c r="M795" s="12"/>
      <c r="N795" s="12"/>
      <c r="O795" s="12"/>
      <c r="P795" s="12"/>
      <c r="Q795" s="12"/>
      <c r="R795" s="12"/>
      <c r="S795" s="12"/>
      <c r="T795" s="12"/>
      <c r="U795" s="12"/>
      <c r="V795" s="14"/>
      <c r="W795" s="14"/>
      <c r="X795" s="14"/>
      <c r="Y795" s="14"/>
      <c r="Z795" s="15"/>
      <c r="AA795" s="12"/>
      <c r="AB795" s="12"/>
      <c r="AC795" s="12"/>
      <c r="AD795" s="12"/>
      <c r="AE795" s="12"/>
      <c r="AF795" s="12"/>
      <c r="AG795" s="12"/>
      <c r="AH795" s="12"/>
    </row>
    <row r="796" spans="1:34" ht="12.75">
      <c r="A796" s="12"/>
      <c r="B796" s="12"/>
      <c r="C796" s="12"/>
      <c r="D796" s="12"/>
      <c r="E796" s="12"/>
      <c r="F796" s="17"/>
      <c r="G796" s="12"/>
      <c r="H796" s="12"/>
      <c r="I796" s="12"/>
      <c r="J796" s="12"/>
      <c r="K796" s="12"/>
      <c r="L796" s="12"/>
      <c r="M796" s="12"/>
      <c r="N796" s="12"/>
      <c r="O796" s="12"/>
      <c r="P796" s="12"/>
      <c r="Q796" s="12"/>
      <c r="R796" s="12"/>
      <c r="S796" s="12"/>
      <c r="T796" s="12"/>
      <c r="U796" s="12"/>
      <c r="V796" s="14"/>
      <c r="W796" s="14"/>
      <c r="X796" s="14"/>
      <c r="Y796" s="14"/>
      <c r="Z796" s="15"/>
      <c r="AA796" s="12"/>
      <c r="AB796" s="12"/>
      <c r="AC796" s="12"/>
      <c r="AD796" s="12"/>
      <c r="AE796" s="12"/>
      <c r="AF796" s="12"/>
      <c r="AG796" s="12"/>
      <c r="AH796" s="12"/>
    </row>
    <row r="797" spans="1:34" ht="12.75">
      <c r="A797" s="12"/>
      <c r="B797" s="12"/>
      <c r="C797" s="12"/>
      <c r="D797" s="12"/>
      <c r="E797" s="12"/>
      <c r="F797" s="17"/>
      <c r="G797" s="12"/>
      <c r="H797" s="12"/>
      <c r="I797" s="12"/>
      <c r="J797" s="12"/>
      <c r="K797" s="12"/>
      <c r="L797" s="12"/>
      <c r="M797" s="12"/>
      <c r="N797" s="12"/>
      <c r="O797" s="12"/>
      <c r="P797" s="12"/>
      <c r="Q797" s="12"/>
      <c r="R797" s="12"/>
      <c r="S797" s="12"/>
      <c r="T797" s="12"/>
      <c r="U797" s="12"/>
      <c r="V797" s="14"/>
      <c r="W797" s="14"/>
      <c r="X797" s="14"/>
      <c r="Y797" s="14"/>
      <c r="Z797" s="15"/>
      <c r="AA797" s="12"/>
      <c r="AB797" s="12"/>
      <c r="AC797" s="12"/>
      <c r="AD797" s="12"/>
      <c r="AE797" s="12"/>
      <c r="AF797" s="12"/>
      <c r="AG797" s="12"/>
      <c r="AH797" s="12"/>
    </row>
    <row r="798" spans="1:34" ht="12.75">
      <c r="A798" s="12"/>
      <c r="B798" s="12"/>
      <c r="C798" s="12"/>
      <c r="D798" s="12"/>
      <c r="E798" s="12"/>
      <c r="F798" s="17"/>
      <c r="G798" s="12"/>
      <c r="H798" s="12"/>
      <c r="I798" s="12"/>
      <c r="J798" s="12"/>
      <c r="K798" s="12"/>
      <c r="L798" s="12"/>
      <c r="M798" s="12"/>
      <c r="N798" s="12"/>
      <c r="O798" s="12"/>
      <c r="P798" s="12"/>
      <c r="Q798" s="12"/>
      <c r="R798" s="12"/>
      <c r="S798" s="12"/>
      <c r="T798" s="12"/>
      <c r="U798" s="12"/>
      <c r="V798" s="14"/>
      <c r="W798" s="14"/>
      <c r="X798" s="14"/>
      <c r="Y798" s="14"/>
      <c r="Z798" s="15"/>
      <c r="AA798" s="12"/>
      <c r="AB798" s="12"/>
      <c r="AC798" s="12"/>
      <c r="AD798" s="12"/>
      <c r="AE798" s="12"/>
      <c r="AF798" s="12"/>
      <c r="AG798" s="12"/>
      <c r="AH798" s="12"/>
    </row>
    <row r="799" spans="1:34" ht="12.75">
      <c r="A799" s="12"/>
      <c r="B799" s="12"/>
      <c r="C799" s="12"/>
      <c r="D799" s="12"/>
      <c r="E799" s="12"/>
      <c r="F799" s="17"/>
      <c r="G799" s="12"/>
      <c r="H799" s="12"/>
      <c r="I799" s="12"/>
      <c r="J799" s="12"/>
      <c r="K799" s="12"/>
      <c r="L799" s="12"/>
      <c r="M799" s="12"/>
      <c r="N799" s="12"/>
      <c r="O799" s="12"/>
      <c r="P799" s="12"/>
      <c r="Q799" s="12"/>
      <c r="R799" s="12"/>
      <c r="S799" s="12"/>
      <c r="T799" s="12"/>
      <c r="U799" s="12"/>
      <c r="V799" s="14"/>
      <c r="W799" s="14"/>
      <c r="X799" s="14"/>
      <c r="Y799" s="14"/>
      <c r="Z799" s="15"/>
      <c r="AA799" s="12"/>
      <c r="AB799" s="12"/>
      <c r="AC799" s="12"/>
      <c r="AD799" s="12"/>
      <c r="AE799" s="12"/>
      <c r="AF799" s="12"/>
      <c r="AG799" s="12"/>
      <c r="AH799" s="12"/>
    </row>
    <row r="800" spans="1:34" ht="12.75">
      <c r="A800" s="12"/>
      <c r="B800" s="12"/>
      <c r="C800" s="12"/>
      <c r="D800" s="12"/>
      <c r="E800" s="12"/>
      <c r="F800" s="17"/>
      <c r="G800" s="12"/>
      <c r="H800" s="12"/>
      <c r="I800" s="12"/>
      <c r="J800" s="12"/>
      <c r="K800" s="12"/>
      <c r="L800" s="12"/>
      <c r="M800" s="12"/>
      <c r="N800" s="12"/>
      <c r="O800" s="12"/>
      <c r="P800" s="12"/>
      <c r="Q800" s="12"/>
      <c r="R800" s="12"/>
      <c r="S800" s="12"/>
      <c r="T800" s="12"/>
      <c r="U800" s="12"/>
      <c r="V800" s="14"/>
      <c r="W800" s="14"/>
      <c r="X800" s="14"/>
      <c r="Y800" s="14"/>
      <c r="Z800" s="15"/>
      <c r="AA800" s="12"/>
      <c r="AB800" s="12"/>
      <c r="AC800" s="12"/>
      <c r="AD800" s="12"/>
      <c r="AE800" s="12"/>
      <c r="AF800" s="12"/>
      <c r="AG800" s="12"/>
      <c r="AH800" s="12"/>
    </row>
    <row r="801" spans="1:34" ht="12.75">
      <c r="A801" s="12"/>
      <c r="B801" s="12"/>
      <c r="C801" s="12"/>
      <c r="D801" s="12"/>
      <c r="E801" s="12"/>
      <c r="F801" s="17"/>
      <c r="G801" s="12"/>
      <c r="H801" s="12"/>
      <c r="I801" s="12"/>
      <c r="J801" s="12"/>
      <c r="K801" s="12"/>
      <c r="L801" s="12"/>
      <c r="M801" s="12"/>
      <c r="N801" s="12"/>
      <c r="O801" s="12"/>
      <c r="P801" s="12"/>
      <c r="Q801" s="12"/>
      <c r="R801" s="12"/>
      <c r="S801" s="12"/>
      <c r="T801" s="12"/>
      <c r="U801" s="12"/>
      <c r="V801" s="14"/>
      <c r="W801" s="14"/>
      <c r="X801" s="14"/>
      <c r="Y801" s="14"/>
      <c r="Z801" s="15"/>
      <c r="AA801" s="12"/>
      <c r="AB801" s="12"/>
      <c r="AC801" s="12"/>
      <c r="AD801" s="12"/>
      <c r="AE801" s="12"/>
      <c r="AF801" s="12"/>
      <c r="AG801" s="12"/>
      <c r="AH801" s="12"/>
    </row>
    <row r="802" spans="1:34" ht="12.75">
      <c r="A802" s="12"/>
      <c r="B802" s="12"/>
      <c r="C802" s="12"/>
      <c r="D802" s="12"/>
      <c r="E802" s="12"/>
      <c r="F802" s="17"/>
      <c r="G802" s="12"/>
      <c r="H802" s="12"/>
      <c r="I802" s="12"/>
      <c r="J802" s="12"/>
      <c r="K802" s="12"/>
      <c r="L802" s="12"/>
      <c r="M802" s="12"/>
      <c r="N802" s="12"/>
      <c r="O802" s="12"/>
      <c r="P802" s="12"/>
      <c r="Q802" s="12"/>
      <c r="R802" s="12"/>
      <c r="S802" s="12"/>
      <c r="T802" s="12"/>
      <c r="U802" s="12"/>
      <c r="V802" s="14"/>
      <c r="W802" s="14"/>
      <c r="X802" s="14"/>
      <c r="Y802" s="14"/>
      <c r="Z802" s="15"/>
      <c r="AA802" s="12"/>
      <c r="AB802" s="12"/>
      <c r="AC802" s="12"/>
      <c r="AD802" s="12"/>
      <c r="AE802" s="12"/>
      <c r="AF802" s="12"/>
      <c r="AG802" s="12"/>
      <c r="AH802" s="12"/>
    </row>
    <row r="803" spans="1:34" ht="12.75">
      <c r="A803" s="12"/>
      <c r="B803" s="12"/>
      <c r="C803" s="12"/>
      <c r="D803" s="12"/>
      <c r="E803" s="12"/>
      <c r="F803" s="17"/>
      <c r="G803" s="12"/>
      <c r="H803" s="12"/>
      <c r="I803" s="12"/>
      <c r="J803" s="12"/>
      <c r="K803" s="12"/>
      <c r="L803" s="12"/>
      <c r="M803" s="12"/>
      <c r="N803" s="12"/>
      <c r="O803" s="12"/>
      <c r="P803" s="12"/>
      <c r="Q803" s="12"/>
      <c r="R803" s="12"/>
      <c r="S803" s="12"/>
      <c r="T803" s="12"/>
      <c r="U803" s="12"/>
      <c r="V803" s="14"/>
      <c r="W803" s="14"/>
      <c r="X803" s="14"/>
      <c r="Y803" s="14"/>
      <c r="Z803" s="15"/>
      <c r="AA803" s="12"/>
      <c r="AB803" s="12"/>
      <c r="AC803" s="12"/>
      <c r="AD803" s="12"/>
      <c r="AE803" s="12"/>
      <c r="AF803" s="12"/>
      <c r="AG803" s="12"/>
      <c r="AH803" s="12"/>
    </row>
    <row r="804" spans="1:34" ht="12.75">
      <c r="A804" s="12"/>
      <c r="B804" s="12"/>
      <c r="C804" s="12"/>
      <c r="D804" s="12"/>
      <c r="E804" s="12"/>
      <c r="F804" s="17"/>
      <c r="G804" s="12"/>
      <c r="H804" s="12"/>
      <c r="I804" s="12"/>
      <c r="J804" s="12"/>
      <c r="K804" s="12"/>
      <c r="L804" s="12"/>
      <c r="M804" s="12"/>
      <c r="N804" s="12"/>
      <c r="O804" s="12"/>
      <c r="P804" s="12"/>
      <c r="Q804" s="12"/>
      <c r="R804" s="12"/>
      <c r="S804" s="12"/>
      <c r="T804" s="12"/>
      <c r="U804" s="12"/>
      <c r="V804" s="14"/>
      <c r="W804" s="14"/>
      <c r="X804" s="14"/>
      <c r="Y804" s="14"/>
      <c r="Z804" s="15"/>
      <c r="AA804" s="12"/>
      <c r="AB804" s="12"/>
      <c r="AC804" s="12"/>
      <c r="AD804" s="12"/>
      <c r="AE804" s="12"/>
      <c r="AF804" s="12"/>
      <c r="AG804" s="12"/>
      <c r="AH804" s="12"/>
    </row>
    <row r="805" spans="1:34" ht="12.75">
      <c r="A805" s="12"/>
      <c r="B805" s="12"/>
      <c r="C805" s="12"/>
      <c r="D805" s="12"/>
      <c r="E805" s="12"/>
      <c r="F805" s="17"/>
      <c r="G805" s="12"/>
      <c r="H805" s="12"/>
      <c r="I805" s="12"/>
      <c r="J805" s="12"/>
      <c r="K805" s="12"/>
      <c r="L805" s="12"/>
      <c r="M805" s="12"/>
      <c r="N805" s="12"/>
      <c r="O805" s="12"/>
      <c r="P805" s="12"/>
      <c r="Q805" s="12"/>
      <c r="R805" s="12"/>
      <c r="S805" s="12"/>
      <c r="T805" s="12"/>
      <c r="U805" s="12"/>
      <c r="V805" s="14"/>
      <c r="W805" s="14"/>
      <c r="X805" s="14"/>
      <c r="Y805" s="14"/>
      <c r="Z805" s="15"/>
      <c r="AA805" s="12"/>
      <c r="AB805" s="12"/>
      <c r="AC805" s="12"/>
      <c r="AD805" s="12"/>
      <c r="AE805" s="12"/>
      <c r="AF805" s="12"/>
      <c r="AG805" s="12"/>
      <c r="AH805" s="12"/>
    </row>
    <row r="806" spans="1:34" ht="12.75">
      <c r="A806" s="12"/>
      <c r="B806" s="12"/>
      <c r="C806" s="12"/>
      <c r="D806" s="12"/>
      <c r="E806" s="12"/>
      <c r="F806" s="17"/>
      <c r="G806" s="12"/>
      <c r="H806" s="12"/>
      <c r="I806" s="12"/>
      <c r="J806" s="12"/>
      <c r="K806" s="12"/>
      <c r="L806" s="12"/>
      <c r="M806" s="12"/>
      <c r="N806" s="12"/>
      <c r="O806" s="12"/>
      <c r="P806" s="12"/>
      <c r="Q806" s="12"/>
      <c r="R806" s="12"/>
      <c r="S806" s="12"/>
      <c r="T806" s="12"/>
      <c r="U806" s="12"/>
      <c r="V806" s="14"/>
      <c r="W806" s="14"/>
      <c r="X806" s="14"/>
      <c r="Y806" s="14"/>
      <c r="Z806" s="15"/>
      <c r="AA806" s="12"/>
      <c r="AB806" s="12"/>
      <c r="AC806" s="12"/>
      <c r="AD806" s="12"/>
      <c r="AE806" s="12"/>
      <c r="AF806" s="12"/>
      <c r="AG806" s="12"/>
      <c r="AH806" s="12"/>
    </row>
    <row r="807" spans="1:34" ht="12.75">
      <c r="A807" s="12"/>
      <c r="B807" s="12"/>
      <c r="C807" s="12"/>
      <c r="D807" s="12"/>
      <c r="E807" s="12"/>
      <c r="F807" s="17"/>
      <c r="G807" s="12"/>
      <c r="H807" s="12"/>
      <c r="I807" s="12"/>
      <c r="J807" s="12"/>
      <c r="K807" s="12"/>
      <c r="L807" s="12"/>
      <c r="M807" s="12"/>
      <c r="N807" s="12"/>
      <c r="O807" s="12"/>
      <c r="P807" s="12"/>
      <c r="Q807" s="12"/>
      <c r="R807" s="12"/>
      <c r="S807" s="12"/>
      <c r="T807" s="12"/>
      <c r="U807" s="12"/>
      <c r="V807" s="14"/>
      <c r="W807" s="14"/>
      <c r="X807" s="14"/>
      <c r="Y807" s="14"/>
      <c r="Z807" s="15"/>
      <c r="AA807" s="12"/>
      <c r="AB807" s="12"/>
      <c r="AC807" s="12"/>
      <c r="AD807" s="12"/>
      <c r="AE807" s="12"/>
      <c r="AF807" s="12"/>
      <c r="AG807" s="12"/>
      <c r="AH807" s="12"/>
    </row>
    <row r="808" spans="1:34" ht="12.75">
      <c r="A808" s="12"/>
      <c r="B808" s="12"/>
      <c r="C808" s="12"/>
      <c r="D808" s="12"/>
      <c r="E808" s="12"/>
      <c r="F808" s="17"/>
      <c r="G808" s="12"/>
      <c r="H808" s="12"/>
      <c r="I808" s="12"/>
      <c r="J808" s="12"/>
      <c r="K808" s="12"/>
      <c r="L808" s="12"/>
      <c r="M808" s="12"/>
      <c r="N808" s="12"/>
      <c r="O808" s="12"/>
      <c r="P808" s="12"/>
      <c r="Q808" s="12"/>
      <c r="R808" s="12"/>
      <c r="S808" s="12"/>
      <c r="T808" s="12"/>
      <c r="U808" s="12"/>
      <c r="V808" s="14"/>
      <c r="W808" s="14"/>
      <c r="X808" s="14"/>
      <c r="Y808" s="14"/>
      <c r="Z808" s="15"/>
      <c r="AA808" s="12"/>
      <c r="AB808" s="12"/>
      <c r="AC808" s="12"/>
      <c r="AD808" s="12"/>
      <c r="AE808" s="12"/>
      <c r="AF808" s="12"/>
      <c r="AG808" s="12"/>
      <c r="AH808" s="12"/>
    </row>
    <row r="809" spans="1:34" ht="12.75">
      <c r="A809" s="12"/>
      <c r="B809" s="12"/>
      <c r="C809" s="12"/>
      <c r="D809" s="12"/>
      <c r="E809" s="12"/>
      <c r="F809" s="17"/>
      <c r="G809" s="12"/>
      <c r="H809" s="12"/>
      <c r="I809" s="12"/>
      <c r="J809" s="12"/>
      <c r="K809" s="12"/>
      <c r="L809" s="12"/>
      <c r="M809" s="12"/>
      <c r="N809" s="12"/>
      <c r="O809" s="12"/>
      <c r="P809" s="12"/>
      <c r="Q809" s="12"/>
      <c r="R809" s="12"/>
      <c r="S809" s="12"/>
      <c r="T809" s="12"/>
      <c r="U809" s="12"/>
      <c r="V809" s="14"/>
      <c r="W809" s="14"/>
      <c r="X809" s="14"/>
      <c r="Y809" s="14"/>
      <c r="Z809" s="15"/>
      <c r="AA809" s="12"/>
      <c r="AB809" s="12"/>
      <c r="AC809" s="12"/>
      <c r="AD809" s="12"/>
      <c r="AE809" s="12"/>
      <c r="AF809" s="12"/>
      <c r="AG809" s="12"/>
      <c r="AH809" s="12"/>
    </row>
    <row r="810" spans="1:34" ht="12.75">
      <c r="A810" s="12"/>
      <c r="B810" s="12"/>
      <c r="C810" s="12"/>
      <c r="D810" s="12"/>
      <c r="E810" s="12"/>
      <c r="F810" s="17"/>
      <c r="G810" s="12"/>
      <c r="H810" s="12"/>
      <c r="I810" s="12"/>
      <c r="J810" s="12"/>
      <c r="K810" s="12"/>
      <c r="L810" s="12"/>
      <c r="M810" s="12"/>
      <c r="N810" s="12"/>
      <c r="O810" s="12"/>
      <c r="P810" s="12"/>
      <c r="Q810" s="12"/>
      <c r="R810" s="12"/>
      <c r="S810" s="12"/>
      <c r="T810" s="12"/>
      <c r="U810" s="12"/>
      <c r="V810" s="14"/>
      <c r="W810" s="14"/>
      <c r="X810" s="14"/>
      <c r="Y810" s="14"/>
      <c r="Z810" s="15"/>
      <c r="AA810" s="12"/>
      <c r="AB810" s="12"/>
      <c r="AC810" s="12"/>
      <c r="AD810" s="12"/>
      <c r="AE810" s="12"/>
      <c r="AF810" s="12"/>
      <c r="AG810" s="12"/>
      <c r="AH810" s="12"/>
    </row>
    <row r="811" spans="1:34" ht="12.75">
      <c r="A811" s="12"/>
      <c r="B811" s="12"/>
      <c r="C811" s="12"/>
      <c r="D811" s="12"/>
      <c r="E811" s="12"/>
      <c r="F811" s="17"/>
      <c r="G811" s="12"/>
      <c r="H811" s="12"/>
      <c r="I811" s="12"/>
      <c r="J811" s="12"/>
      <c r="K811" s="12"/>
      <c r="L811" s="12"/>
      <c r="M811" s="12"/>
      <c r="N811" s="12"/>
      <c r="O811" s="12"/>
      <c r="P811" s="12"/>
      <c r="Q811" s="12"/>
      <c r="R811" s="12"/>
      <c r="S811" s="12"/>
      <c r="T811" s="12"/>
      <c r="U811" s="12"/>
      <c r="V811" s="14"/>
      <c r="W811" s="14"/>
      <c r="X811" s="14"/>
      <c r="Y811" s="14"/>
      <c r="Z811" s="15"/>
      <c r="AA811" s="12"/>
      <c r="AB811" s="12"/>
      <c r="AC811" s="12"/>
      <c r="AD811" s="12"/>
      <c r="AE811" s="12"/>
      <c r="AF811" s="12"/>
      <c r="AG811" s="12"/>
      <c r="AH811" s="12"/>
    </row>
    <row r="812" spans="1:34" ht="12.75">
      <c r="A812" s="12"/>
      <c r="B812" s="12"/>
      <c r="C812" s="12"/>
      <c r="D812" s="12"/>
      <c r="E812" s="12"/>
      <c r="F812" s="17"/>
      <c r="G812" s="12"/>
      <c r="H812" s="12"/>
      <c r="I812" s="12"/>
      <c r="J812" s="12"/>
      <c r="K812" s="12"/>
      <c r="L812" s="12"/>
      <c r="M812" s="12"/>
      <c r="N812" s="12"/>
      <c r="O812" s="12"/>
      <c r="P812" s="12"/>
      <c r="Q812" s="12"/>
      <c r="R812" s="12"/>
      <c r="S812" s="12"/>
      <c r="T812" s="12"/>
      <c r="U812" s="12"/>
      <c r="V812" s="14"/>
      <c r="W812" s="14"/>
      <c r="X812" s="14"/>
      <c r="Y812" s="14"/>
      <c r="Z812" s="15"/>
      <c r="AA812" s="12"/>
      <c r="AB812" s="12"/>
      <c r="AC812" s="12"/>
      <c r="AD812" s="12"/>
      <c r="AE812" s="12"/>
      <c r="AF812" s="12"/>
      <c r="AG812" s="12"/>
      <c r="AH812" s="12"/>
    </row>
    <row r="813" spans="1:34" ht="12.75">
      <c r="A813" s="12"/>
      <c r="B813" s="12"/>
      <c r="C813" s="12"/>
      <c r="D813" s="12"/>
      <c r="E813" s="12"/>
      <c r="F813" s="17"/>
      <c r="G813" s="12"/>
      <c r="H813" s="12"/>
      <c r="I813" s="12"/>
      <c r="J813" s="12"/>
      <c r="K813" s="12"/>
      <c r="L813" s="12"/>
      <c r="M813" s="12"/>
      <c r="N813" s="12"/>
      <c r="O813" s="12"/>
      <c r="P813" s="12"/>
      <c r="Q813" s="12"/>
      <c r="R813" s="12"/>
      <c r="S813" s="12"/>
      <c r="T813" s="12"/>
      <c r="U813" s="12"/>
      <c r="V813" s="14"/>
      <c r="W813" s="14"/>
      <c r="X813" s="14"/>
      <c r="Y813" s="14"/>
      <c r="Z813" s="15"/>
      <c r="AA813" s="12"/>
      <c r="AB813" s="12"/>
      <c r="AC813" s="12"/>
      <c r="AD813" s="12"/>
      <c r="AE813" s="12"/>
      <c r="AF813" s="12"/>
      <c r="AG813" s="12"/>
      <c r="AH813" s="12"/>
    </row>
    <row r="814" spans="1:34" ht="12.75">
      <c r="A814" s="12"/>
      <c r="B814" s="12"/>
      <c r="C814" s="12"/>
      <c r="D814" s="12"/>
      <c r="E814" s="12"/>
      <c r="F814" s="17"/>
      <c r="G814" s="12"/>
      <c r="H814" s="12"/>
      <c r="I814" s="12"/>
      <c r="J814" s="12"/>
      <c r="K814" s="12"/>
      <c r="L814" s="12"/>
      <c r="M814" s="12"/>
      <c r="N814" s="12"/>
      <c r="O814" s="12"/>
      <c r="P814" s="12"/>
      <c r="Q814" s="12"/>
      <c r="R814" s="12"/>
      <c r="S814" s="12"/>
      <c r="T814" s="12"/>
      <c r="U814" s="12"/>
      <c r="V814" s="14"/>
      <c r="W814" s="14"/>
      <c r="X814" s="14"/>
      <c r="Y814" s="14"/>
      <c r="Z814" s="15"/>
      <c r="AA814" s="12"/>
      <c r="AB814" s="12"/>
      <c r="AC814" s="12"/>
      <c r="AD814" s="12"/>
      <c r="AE814" s="12"/>
      <c r="AF814" s="12"/>
      <c r="AG814" s="12"/>
      <c r="AH814" s="12"/>
    </row>
    <row r="815" spans="1:34" ht="12.75">
      <c r="A815" s="12"/>
      <c r="B815" s="12"/>
      <c r="C815" s="12"/>
      <c r="D815" s="12"/>
      <c r="E815" s="12"/>
      <c r="F815" s="17"/>
      <c r="G815" s="12"/>
      <c r="H815" s="12"/>
      <c r="I815" s="12"/>
      <c r="J815" s="12"/>
      <c r="K815" s="12"/>
      <c r="L815" s="12"/>
      <c r="M815" s="12"/>
      <c r="N815" s="12"/>
      <c r="O815" s="12"/>
      <c r="P815" s="12"/>
      <c r="Q815" s="12"/>
      <c r="R815" s="12"/>
      <c r="S815" s="12"/>
      <c r="T815" s="12"/>
      <c r="U815" s="12"/>
      <c r="V815" s="14"/>
      <c r="W815" s="14"/>
      <c r="X815" s="14"/>
      <c r="Y815" s="14"/>
      <c r="Z815" s="15"/>
      <c r="AA815" s="12"/>
      <c r="AB815" s="12"/>
      <c r="AC815" s="12"/>
      <c r="AD815" s="12"/>
      <c r="AE815" s="12"/>
      <c r="AF815" s="12"/>
      <c r="AG815" s="12"/>
      <c r="AH815" s="12"/>
    </row>
    <row r="816" spans="1:34" ht="12.75">
      <c r="A816" s="12"/>
      <c r="B816" s="12"/>
      <c r="C816" s="12"/>
      <c r="D816" s="12"/>
      <c r="E816" s="12"/>
      <c r="F816" s="17"/>
      <c r="G816" s="12"/>
      <c r="H816" s="12"/>
      <c r="I816" s="12"/>
      <c r="J816" s="12"/>
      <c r="K816" s="12"/>
      <c r="L816" s="12"/>
      <c r="M816" s="12"/>
      <c r="N816" s="12"/>
      <c r="O816" s="12"/>
      <c r="P816" s="12"/>
      <c r="Q816" s="12"/>
      <c r="R816" s="12"/>
      <c r="S816" s="12"/>
      <c r="T816" s="12"/>
      <c r="U816" s="12"/>
      <c r="V816" s="14"/>
      <c r="W816" s="14"/>
      <c r="X816" s="14"/>
      <c r="Y816" s="14"/>
      <c r="Z816" s="15"/>
      <c r="AA816" s="12"/>
      <c r="AB816" s="12"/>
      <c r="AC816" s="12"/>
      <c r="AD816" s="12"/>
      <c r="AE816" s="12"/>
      <c r="AF816" s="12"/>
      <c r="AG816" s="12"/>
      <c r="AH816" s="12"/>
    </row>
    <row r="817" spans="1:34" ht="12.75">
      <c r="A817" s="12"/>
      <c r="B817" s="12"/>
      <c r="C817" s="12"/>
      <c r="D817" s="12"/>
      <c r="E817" s="12"/>
      <c r="F817" s="17"/>
      <c r="G817" s="12"/>
      <c r="H817" s="12"/>
      <c r="I817" s="12"/>
      <c r="J817" s="12"/>
      <c r="K817" s="12"/>
      <c r="L817" s="12"/>
      <c r="M817" s="12"/>
      <c r="N817" s="12"/>
      <c r="O817" s="12"/>
      <c r="P817" s="12"/>
      <c r="Q817" s="12"/>
      <c r="R817" s="12"/>
      <c r="S817" s="12"/>
      <c r="T817" s="12"/>
      <c r="U817" s="12"/>
      <c r="V817" s="14"/>
      <c r="W817" s="14"/>
      <c r="X817" s="14"/>
      <c r="Y817" s="14"/>
      <c r="Z817" s="15"/>
      <c r="AA817" s="12"/>
      <c r="AB817" s="12"/>
      <c r="AC817" s="12"/>
      <c r="AD817" s="12"/>
      <c r="AE817" s="12"/>
      <c r="AF817" s="12"/>
      <c r="AG817" s="12"/>
      <c r="AH817" s="12"/>
    </row>
    <row r="818" spans="1:34" ht="12.75">
      <c r="A818" s="12"/>
      <c r="B818" s="12"/>
      <c r="C818" s="12"/>
      <c r="D818" s="12"/>
      <c r="E818" s="12"/>
      <c r="F818" s="17"/>
      <c r="G818" s="12"/>
      <c r="H818" s="12"/>
      <c r="I818" s="12"/>
      <c r="J818" s="12"/>
      <c r="K818" s="12"/>
      <c r="L818" s="12"/>
      <c r="M818" s="12"/>
      <c r="N818" s="12"/>
      <c r="O818" s="12"/>
      <c r="P818" s="12"/>
      <c r="Q818" s="12"/>
      <c r="R818" s="12"/>
      <c r="S818" s="12"/>
      <c r="T818" s="12"/>
      <c r="U818" s="12"/>
      <c r="V818" s="14"/>
      <c r="W818" s="14"/>
      <c r="X818" s="14"/>
      <c r="Y818" s="14"/>
      <c r="Z818" s="15"/>
      <c r="AA818" s="12"/>
      <c r="AB818" s="12"/>
      <c r="AC818" s="12"/>
      <c r="AD818" s="12"/>
      <c r="AE818" s="12"/>
      <c r="AF818" s="12"/>
      <c r="AG818" s="12"/>
      <c r="AH818" s="12"/>
    </row>
    <row r="819" spans="1:34" ht="12.75">
      <c r="A819" s="12"/>
      <c r="B819" s="12"/>
      <c r="C819" s="12"/>
      <c r="D819" s="12"/>
      <c r="E819" s="12"/>
      <c r="F819" s="17"/>
      <c r="G819" s="12"/>
      <c r="H819" s="12"/>
      <c r="I819" s="12"/>
      <c r="J819" s="12"/>
      <c r="K819" s="12"/>
      <c r="L819" s="12"/>
      <c r="M819" s="12"/>
      <c r="N819" s="12"/>
      <c r="O819" s="12"/>
      <c r="P819" s="12"/>
      <c r="Q819" s="12"/>
      <c r="R819" s="12"/>
      <c r="S819" s="12"/>
      <c r="T819" s="12"/>
      <c r="U819" s="12"/>
      <c r="V819" s="14"/>
      <c r="W819" s="14"/>
      <c r="X819" s="14"/>
      <c r="Y819" s="14"/>
      <c r="Z819" s="15"/>
      <c r="AA819" s="12"/>
      <c r="AB819" s="12"/>
      <c r="AC819" s="12"/>
      <c r="AD819" s="12"/>
      <c r="AE819" s="12"/>
      <c r="AF819" s="12"/>
      <c r="AG819" s="12"/>
      <c r="AH819" s="12"/>
    </row>
    <row r="820" spans="1:34" ht="12.75">
      <c r="A820" s="12"/>
      <c r="B820" s="12"/>
      <c r="C820" s="12"/>
      <c r="D820" s="12"/>
      <c r="E820" s="12"/>
      <c r="F820" s="17"/>
      <c r="G820" s="12"/>
      <c r="H820" s="12"/>
      <c r="I820" s="12"/>
      <c r="J820" s="12"/>
      <c r="K820" s="12"/>
      <c r="L820" s="12"/>
      <c r="M820" s="12"/>
      <c r="N820" s="12"/>
      <c r="O820" s="12"/>
      <c r="P820" s="12"/>
      <c r="Q820" s="12"/>
      <c r="R820" s="12"/>
      <c r="S820" s="12"/>
      <c r="T820" s="12"/>
      <c r="U820" s="12"/>
      <c r="V820" s="14"/>
      <c r="W820" s="14"/>
      <c r="X820" s="14"/>
      <c r="Y820" s="14"/>
      <c r="Z820" s="15"/>
      <c r="AA820" s="12"/>
      <c r="AB820" s="12"/>
      <c r="AC820" s="12"/>
      <c r="AD820" s="12"/>
      <c r="AE820" s="12"/>
      <c r="AF820" s="12"/>
      <c r="AG820" s="12"/>
      <c r="AH820" s="12"/>
    </row>
    <row r="821" spans="1:34" ht="12.75">
      <c r="A821" s="12"/>
      <c r="B821" s="12"/>
      <c r="C821" s="12"/>
      <c r="D821" s="12"/>
      <c r="E821" s="12"/>
      <c r="F821" s="17"/>
      <c r="G821" s="12"/>
      <c r="H821" s="12"/>
      <c r="I821" s="12"/>
      <c r="J821" s="12"/>
      <c r="K821" s="12"/>
      <c r="L821" s="12"/>
      <c r="M821" s="12"/>
      <c r="N821" s="12"/>
      <c r="O821" s="12"/>
      <c r="P821" s="12"/>
      <c r="Q821" s="12"/>
      <c r="R821" s="12"/>
      <c r="S821" s="12"/>
      <c r="T821" s="12"/>
      <c r="U821" s="12"/>
      <c r="V821" s="14"/>
      <c r="W821" s="14"/>
      <c r="X821" s="14"/>
      <c r="Y821" s="14"/>
      <c r="Z821" s="15"/>
      <c r="AA821" s="12"/>
      <c r="AB821" s="12"/>
      <c r="AC821" s="12"/>
      <c r="AD821" s="12"/>
      <c r="AE821" s="12"/>
      <c r="AF821" s="12"/>
      <c r="AG821" s="12"/>
      <c r="AH821" s="12"/>
    </row>
    <row r="822" spans="1:34" ht="12.75">
      <c r="A822" s="12"/>
      <c r="B822" s="12"/>
      <c r="C822" s="12"/>
      <c r="D822" s="12"/>
      <c r="E822" s="12"/>
      <c r="F822" s="17"/>
      <c r="G822" s="12"/>
      <c r="H822" s="12"/>
      <c r="I822" s="12"/>
      <c r="J822" s="12"/>
      <c r="K822" s="12"/>
      <c r="L822" s="12"/>
      <c r="M822" s="12"/>
      <c r="N822" s="12"/>
      <c r="O822" s="12"/>
      <c r="P822" s="12"/>
      <c r="Q822" s="12"/>
      <c r="R822" s="12"/>
      <c r="S822" s="12"/>
      <c r="T822" s="12"/>
      <c r="U822" s="12"/>
      <c r="V822" s="14"/>
      <c r="W822" s="14"/>
      <c r="X822" s="14"/>
      <c r="Y822" s="14"/>
      <c r="Z822" s="15"/>
      <c r="AA822" s="12"/>
      <c r="AB822" s="12"/>
      <c r="AC822" s="12"/>
      <c r="AD822" s="12"/>
      <c r="AE822" s="12"/>
      <c r="AF822" s="12"/>
      <c r="AG822" s="12"/>
      <c r="AH822" s="12"/>
    </row>
    <row r="823" spans="1:34" ht="12.75">
      <c r="A823" s="12"/>
      <c r="B823" s="12"/>
      <c r="C823" s="12"/>
      <c r="D823" s="12"/>
      <c r="E823" s="12"/>
      <c r="F823" s="17"/>
      <c r="G823" s="12"/>
      <c r="H823" s="12"/>
      <c r="I823" s="12"/>
      <c r="J823" s="12"/>
      <c r="K823" s="12"/>
      <c r="L823" s="12"/>
      <c r="M823" s="12"/>
      <c r="N823" s="12"/>
      <c r="O823" s="12"/>
      <c r="P823" s="12"/>
      <c r="Q823" s="12"/>
      <c r="R823" s="12"/>
      <c r="S823" s="12"/>
      <c r="T823" s="12"/>
      <c r="U823" s="12"/>
      <c r="V823" s="14"/>
      <c r="W823" s="14"/>
      <c r="X823" s="14"/>
      <c r="Y823" s="14"/>
      <c r="Z823" s="15"/>
      <c r="AA823" s="12"/>
      <c r="AB823" s="12"/>
      <c r="AC823" s="12"/>
      <c r="AD823" s="12"/>
      <c r="AE823" s="12"/>
      <c r="AF823" s="12"/>
      <c r="AG823" s="12"/>
      <c r="AH823" s="12"/>
    </row>
    <row r="824" spans="1:34" ht="12.75">
      <c r="A824" s="12"/>
      <c r="B824" s="12"/>
      <c r="C824" s="12"/>
      <c r="D824" s="12"/>
      <c r="E824" s="12"/>
      <c r="F824" s="17"/>
      <c r="G824" s="12"/>
      <c r="H824" s="12"/>
      <c r="I824" s="12"/>
      <c r="J824" s="12"/>
      <c r="K824" s="12"/>
      <c r="L824" s="12"/>
      <c r="M824" s="12"/>
      <c r="N824" s="12"/>
      <c r="O824" s="12"/>
      <c r="P824" s="12"/>
      <c r="Q824" s="12"/>
      <c r="R824" s="12"/>
      <c r="S824" s="12"/>
      <c r="T824" s="12"/>
      <c r="U824" s="12"/>
      <c r="V824" s="14"/>
      <c r="W824" s="14"/>
      <c r="X824" s="14"/>
      <c r="Y824" s="14"/>
      <c r="Z824" s="15"/>
      <c r="AA824" s="12"/>
      <c r="AB824" s="12"/>
      <c r="AC824" s="12"/>
      <c r="AD824" s="12"/>
      <c r="AE824" s="12"/>
      <c r="AF824" s="12"/>
      <c r="AG824" s="12"/>
      <c r="AH824" s="12"/>
    </row>
    <row r="825" spans="1:34" ht="12.75">
      <c r="A825" s="12"/>
      <c r="B825" s="12"/>
      <c r="C825" s="12"/>
      <c r="D825" s="12"/>
      <c r="E825" s="12"/>
      <c r="F825" s="17"/>
      <c r="G825" s="12"/>
      <c r="H825" s="12"/>
      <c r="I825" s="12"/>
      <c r="J825" s="12"/>
      <c r="K825" s="12"/>
      <c r="L825" s="12"/>
      <c r="M825" s="12"/>
      <c r="N825" s="12"/>
      <c r="O825" s="12"/>
      <c r="P825" s="12"/>
      <c r="Q825" s="12"/>
      <c r="R825" s="12"/>
      <c r="S825" s="12"/>
      <c r="T825" s="12"/>
      <c r="U825" s="12"/>
      <c r="V825" s="14"/>
      <c r="W825" s="14"/>
      <c r="X825" s="14"/>
      <c r="Y825" s="14"/>
      <c r="Z825" s="15"/>
      <c r="AA825" s="12"/>
      <c r="AB825" s="12"/>
      <c r="AC825" s="12"/>
      <c r="AD825" s="12"/>
      <c r="AE825" s="12"/>
      <c r="AF825" s="12"/>
      <c r="AG825" s="12"/>
      <c r="AH825" s="12"/>
    </row>
    <row r="826" spans="1:34" ht="12.75">
      <c r="A826" s="12"/>
      <c r="B826" s="12"/>
      <c r="C826" s="12"/>
      <c r="D826" s="12"/>
      <c r="E826" s="12"/>
      <c r="F826" s="17"/>
      <c r="G826" s="12"/>
      <c r="H826" s="12"/>
      <c r="I826" s="12"/>
      <c r="J826" s="12"/>
      <c r="K826" s="12"/>
      <c r="L826" s="12"/>
      <c r="M826" s="12"/>
      <c r="N826" s="12"/>
      <c r="O826" s="12"/>
      <c r="P826" s="12"/>
      <c r="Q826" s="12"/>
      <c r="R826" s="12"/>
      <c r="S826" s="12"/>
      <c r="T826" s="12"/>
      <c r="U826" s="12"/>
      <c r="V826" s="14"/>
      <c r="W826" s="14"/>
      <c r="X826" s="14"/>
      <c r="Y826" s="14"/>
      <c r="Z826" s="15"/>
      <c r="AA826" s="12"/>
      <c r="AB826" s="12"/>
      <c r="AC826" s="12"/>
      <c r="AD826" s="12"/>
      <c r="AE826" s="12"/>
      <c r="AF826" s="12"/>
      <c r="AG826" s="12"/>
      <c r="AH826" s="12"/>
    </row>
    <row r="827" spans="1:34" ht="12.75">
      <c r="A827" s="12"/>
      <c r="B827" s="12"/>
      <c r="C827" s="12"/>
      <c r="D827" s="12"/>
      <c r="E827" s="12"/>
      <c r="F827" s="17"/>
      <c r="G827" s="12"/>
      <c r="H827" s="12"/>
      <c r="I827" s="12"/>
      <c r="J827" s="12"/>
      <c r="K827" s="12"/>
      <c r="L827" s="12"/>
      <c r="M827" s="12"/>
      <c r="N827" s="12"/>
      <c r="O827" s="12"/>
      <c r="P827" s="12"/>
      <c r="Q827" s="12"/>
      <c r="R827" s="12"/>
      <c r="S827" s="12"/>
      <c r="T827" s="12"/>
      <c r="U827" s="12"/>
      <c r="V827" s="14"/>
      <c r="W827" s="14"/>
      <c r="X827" s="14"/>
      <c r="Y827" s="14"/>
      <c r="Z827" s="15"/>
      <c r="AA827" s="12"/>
      <c r="AB827" s="12"/>
      <c r="AC827" s="12"/>
      <c r="AD827" s="12"/>
      <c r="AE827" s="12"/>
      <c r="AF827" s="12"/>
      <c r="AG827" s="12"/>
      <c r="AH827" s="12"/>
    </row>
    <row r="828" spans="1:34" ht="12.75">
      <c r="A828" s="12"/>
      <c r="B828" s="12"/>
      <c r="C828" s="12"/>
      <c r="D828" s="12"/>
      <c r="E828" s="12"/>
      <c r="F828" s="17"/>
      <c r="G828" s="12"/>
      <c r="H828" s="12"/>
      <c r="I828" s="12"/>
      <c r="J828" s="12"/>
      <c r="K828" s="12"/>
      <c r="L828" s="12"/>
      <c r="M828" s="12"/>
      <c r="N828" s="12"/>
      <c r="O828" s="12"/>
      <c r="P828" s="12"/>
      <c r="Q828" s="12"/>
      <c r="R828" s="12"/>
      <c r="S828" s="12"/>
      <c r="T828" s="12"/>
      <c r="U828" s="12"/>
      <c r="V828" s="14"/>
      <c r="W828" s="14"/>
      <c r="X828" s="14"/>
      <c r="Y828" s="14"/>
      <c r="Z828" s="15"/>
      <c r="AA828" s="12"/>
      <c r="AB828" s="12"/>
      <c r="AC828" s="12"/>
      <c r="AD828" s="12"/>
      <c r="AE828" s="12"/>
      <c r="AF828" s="12"/>
      <c r="AG828" s="12"/>
      <c r="AH828" s="12"/>
    </row>
    <row r="829" spans="1:34" ht="12.75">
      <c r="A829" s="12"/>
      <c r="B829" s="12"/>
      <c r="C829" s="12"/>
      <c r="D829" s="12"/>
      <c r="E829" s="12"/>
      <c r="F829" s="17"/>
      <c r="G829" s="12"/>
      <c r="H829" s="12"/>
      <c r="I829" s="12"/>
      <c r="J829" s="12"/>
      <c r="K829" s="12"/>
      <c r="L829" s="12"/>
      <c r="M829" s="12"/>
      <c r="N829" s="12"/>
      <c r="O829" s="12"/>
      <c r="P829" s="12"/>
      <c r="Q829" s="12"/>
      <c r="R829" s="12"/>
      <c r="S829" s="12"/>
      <c r="T829" s="12"/>
      <c r="U829" s="12"/>
      <c r="V829" s="14"/>
      <c r="W829" s="14"/>
      <c r="X829" s="14"/>
      <c r="Y829" s="14"/>
      <c r="Z829" s="15"/>
      <c r="AA829" s="12"/>
      <c r="AB829" s="12"/>
      <c r="AC829" s="12"/>
      <c r="AD829" s="12"/>
      <c r="AE829" s="12"/>
      <c r="AF829" s="12"/>
      <c r="AG829" s="12"/>
      <c r="AH829" s="12"/>
    </row>
    <row r="830" spans="1:34" ht="12.75">
      <c r="A830" s="12"/>
      <c r="B830" s="12"/>
      <c r="C830" s="12"/>
      <c r="D830" s="12"/>
      <c r="E830" s="12"/>
      <c r="F830" s="17"/>
      <c r="G830" s="12"/>
      <c r="H830" s="12"/>
      <c r="I830" s="12"/>
      <c r="J830" s="12"/>
      <c r="K830" s="12"/>
      <c r="L830" s="12"/>
      <c r="M830" s="12"/>
      <c r="N830" s="12"/>
      <c r="O830" s="12"/>
      <c r="P830" s="12"/>
      <c r="Q830" s="12"/>
      <c r="R830" s="12"/>
      <c r="S830" s="12"/>
      <c r="T830" s="12"/>
      <c r="U830" s="12"/>
      <c r="V830" s="14"/>
      <c r="W830" s="14"/>
      <c r="X830" s="14"/>
      <c r="Y830" s="14"/>
      <c r="Z830" s="15"/>
      <c r="AA830" s="12"/>
      <c r="AB830" s="12"/>
      <c r="AC830" s="12"/>
      <c r="AD830" s="12"/>
      <c r="AE830" s="12"/>
      <c r="AF830" s="12"/>
      <c r="AG830" s="12"/>
      <c r="AH830" s="12"/>
    </row>
    <row r="831" spans="1:34" ht="12.75">
      <c r="A831" s="12"/>
      <c r="B831" s="12"/>
      <c r="C831" s="12"/>
      <c r="D831" s="12"/>
      <c r="E831" s="12"/>
      <c r="F831" s="17"/>
      <c r="G831" s="12"/>
      <c r="H831" s="12"/>
      <c r="I831" s="12"/>
      <c r="J831" s="12"/>
      <c r="K831" s="12"/>
      <c r="L831" s="12"/>
      <c r="M831" s="12"/>
      <c r="N831" s="12"/>
      <c r="O831" s="12"/>
      <c r="P831" s="12"/>
      <c r="Q831" s="12"/>
      <c r="R831" s="12"/>
      <c r="S831" s="12"/>
      <c r="T831" s="12"/>
      <c r="U831" s="12"/>
      <c r="V831" s="14"/>
      <c r="W831" s="14"/>
      <c r="X831" s="14"/>
      <c r="Y831" s="14"/>
      <c r="Z831" s="15"/>
      <c r="AA831" s="12"/>
      <c r="AB831" s="12"/>
      <c r="AC831" s="12"/>
      <c r="AD831" s="12"/>
      <c r="AE831" s="12"/>
      <c r="AF831" s="12"/>
      <c r="AG831" s="12"/>
      <c r="AH831" s="12"/>
    </row>
    <row r="832" spans="1:34" ht="12.75">
      <c r="A832" s="12"/>
      <c r="B832" s="12"/>
      <c r="C832" s="12"/>
      <c r="D832" s="12"/>
      <c r="E832" s="12"/>
      <c r="F832" s="17"/>
      <c r="G832" s="12"/>
      <c r="H832" s="12"/>
      <c r="I832" s="12"/>
      <c r="J832" s="12"/>
      <c r="K832" s="12"/>
      <c r="L832" s="12"/>
      <c r="M832" s="12"/>
      <c r="N832" s="12"/>
      <c r="O832" s="12"/>
      <c r="P832" s="12"/>
      <c r="Q832" s="12"/>
      <c r="R832" s="12"/>
      <c r="S832" s="12"/>
      <c r="T832" s="12"/>
      <c r="U832" s="12"/>
      <c r="V832" s="14"/>
      <c r="W832" s="14"/>
      <c r="X832" s="14"/>
      <c r="Y832" s="14"/>
      <c r="Z832" s="15"/>
      <c r="AA832" s="12"/>
      <c r="AB832" s="12"/>
      <c r="AC832" s="12"/>
      <c r="AD832" s="12"/>
      <c r="AE832" s="12"/>
      <c r="AF832" s="12"/>
      <c r="AG832" s="12"/>
      <c r="AH832" s="12"/>
    </row>
    <row r="833" spans="1:34" ht="12.75">
      <c r="A833" s="12"/>
      <c r="B833" s="12"/>
      <c r="C833" s="12"/>
      <c r="D833" s="12"/>
      <c r="E833" s="12"/>
      <c r="F833" s="17"/>
      <c r="G833" s="12"/>
      <c r="H833" s="12"/>
      <c r="I833" s="12"/>
      <c r="J833" s="12"/>
      <c r="K833" s="12"/>
      <c r="L833" s="12"/>
      <c r="M833" s="12"/>
      <c r="N833" s="12"/>
      <c r="O833" s="12"/>
      <c r="P833" s="12"/>
      <c r="Q833" s="12"/>
      <c r="R833" s="12"/>
      <c r="S833" s="12"/>
      <c r="T833" s="12"/>
      <c r="U833" s="12"/>
      <c r="V833" s="14"/>
      <c r="W833" s="14"/>
      <c r="X833" s="14"/>
      <c r="Y833" s="14"/>
      <c r="Z833" s="15"/>
      <c r="AA833" s="12"/>
      <c r="AB833" s="12"/>
      <c r="AC833" s="12"/>
      <c r="AD833" s="12"/>
      <c r="AE833" s="12"/>
      <c r="AF833" s="12"/>
      <c r="AG833" s="12"/>
      <c r="AH833" s="12"/>
    </row>
    <row r="834" spans="1:34" ht="12.75">
      <c r="A834" s="12"/>
      <c r="B834" s="12"/>
      <c r="C834" s="12"/>
      <c r="D834" s="12"/>
      <c r="E834" s="12"/>
      <c r="F834" s="17"/>
      <c r="G834" s="12"/>
      <c r="H834" s="12"/>
      <c r="I834" s="12"/>
      <c r="J834" s="12"/>
      <c r="K834" s="12"/>
      <c r="L834" s="12"/>
      <c r="M834" s="12"/>
      <c r="N834" s="12"/>
      <c r="O834" s="12"/>
      <c r="P834" s="12"/>
      <c r="Q834" s="12"/>
      <c r="R834" s="12"/>
      <c r="S834" s="12"/>
      <c r="T834" s="12"/>
      <c r="U834" s="12"/>
      <c r="V834" s="14"/>
      <c r="W834" s="14"/>
      <c r="X834" s="14"/>
      <c r="Y834" s="14"/>
      <c r="Z834" s="15"/>
      <c r="AA834" s="12"/>
      <c r="AB834" s="12"/>
      <c r="AC834" s="12"/>
      <c r="AD834" s="12"/>
      <c r="AE834" s="12"/>
      <c r="AF834" s="12"/>
      <c r="AG834" s="12"/>
      <c r="AH834" s="12"/>
    </row>
    <row r="835" spans="1:34" ht="12.75">
      <c r="A835" s="12"/>
      <c r="B835" s="12"/>
      <c r="C835" s="12"/>
      <c r="D835" s="12"/>
      <c r="E835" s="12"/>
      <c r="F835" s="17"/>
      <c r="G835" s="12"/>
      <c r="H835" s="12"/>
      <c r="I835" s="12"/>
      <c r="J835" s="12"/>
      <c r="K835" s="12"/>
      <c r="L835" s="12"/>
      <c r="M835" s="12"/>
      <c r="N835" s="12"/>
      <c r="O835" s="12"/>
      <c r="P835" s="12"/>
      <c r="Q835" s="12"/>
      <c r="R835" s="12"/>
      <c r="S835" s="12"/>
      <c r="T835" s="12"/>
      <c r="U835" s="12"/>
      <c r="V835" s="14"/>
      <c r="W835" s="14"/>
      <c r="X835" s="14"/>
      <c r="Y835" s="14"/>
      <c r="Z835" s="15"/>
      <c r="AA835" s="12"/>
      <c r="AB835" s="12"/>
      <c r="AC835" s="12"/>
      <c r="AD835" s="12"/>
      <c r="AE835" s="12"/>
      <c r="AF835" s="12"/>
      <c r="AG835" s="12"/>
      <c r="AH835" s="12"/>
    </row>
    <row r="836" spans="1:34" ht="12.75">
      <c r="A836" s="12"/>
      <c r="B836" s="12"/>
      <c r="C836" s="12"/>
      <c r="D836" s="12"/>
      <c r="E836" s="12"/>
      <c r="F836" s="17"/>
      <c r="G836" s="12"/>
      <c r="H836" s="12"/>
      <c r="I836" s="12"/>
      <c r="J836" s="12"/>
      <c r="K836" s="12"/>
      <c r="L836" s="12"/>
      <c r="M836" s="12"/>
      <c r="N836" s="12"/>
      <c r="O836" s="12"/>
      <c r="P836" s="12"/>
      <c r="Q836" s="12"/>
      <c r="R836" s="12"/>
      <c r="S836" s="12"/>
      <c r="T836" s="12"/>
      <c r="U836" s="12"/>
      <c r="V836" s="14"/>
      <c r="W836" s="14"/>
      <c r="X836" s="14"/>
      <c r="Y836" s="14"/>
      <c r="Z836" s="15"/>
      <c r="AA836" s="12"/>
      <c r="AB836" s="12"/>
      <c r="AC836" s="12"/>
      <c r="AD836" s="12"/>
      <c r="AE836" s="12"/>
      <c r="AF836" s="12"/>
      <c r="AG836" s="12"/>
      <c r="AH836" s="12"/>
    </row>
    <row r="837" spans="1:34" ht="12.75">
      <c r="A837" s="12"/>
      <c r="B837" s="12"/>
      <c r="C837" s="12"/>
      <c r="D837" s="12"/>
      <c r="E837" s="12"/>
      <c r="F837" s="17"/>
      <c r="G837" s="12"/>
      <c r="H837" s="12"/>
      <c r="I837" s="12"/>
      <c r="J837" s="12"/>
      <c r="K837" s="12"/>
      <c r="L837" s="12"/>
      <c r="M837" s="12"/>
      <c r="N837" s="12"/>
      <c r="O837" s="12"/>
      <c r="P837" s="12"/>
      <c r="Q837" s="12"/>
      <c r="R837" s="12"/>
      <c r="S837" s="12"/>
      <c r="T837" s="12"/>
      <c r="U837" s="12"/>
      <c r="V837" s="14"/>
      <c r="W837" s="14"/>
      <c r="X837" s="14"/>
      <c r="Y837" s="14"/>
      <c r="Z837" s="15"/>
      <c r="AA837" s="12"/>
      <c r="AB837" s="12"/>
      <c r="AC837" s="12"/>
      <c r="AD837" s="12"/>
      <c r="AE837" s="12"/>
      <c r="AF837" s="12"/>
      <c r="AG837" s="12"/>
      <c r="AH837" s="12"/>
    </row>
    <row r="838" spans="1:34" ht="12.75">
      <c r="A838" s="12"/>
      <c r="B838" s="12"/>
      <c r="C838" s="12"/>
      <c r="D838" s="12"/>
      <c r="E838" s="12"/>
      <c r="F838" s="17"/>
      <c r="G838" s="12"/>
      <c r="H838" s="12"/>
      <c r="I838" s="12"/>
      <c r="J838" s="12"/>
      <c r="K838" s="12"/>
      <c r="L838" s="12"/>
      <c r="M838" s="12"/>
      <c r="N838" s="12"/>
      <c r="O838" s="12"/>
      <c r="P838" s="12"/>
      <c r="Q838" s="12"/>
      <c r="R838" s="12"/>
      <c r="S838" s="12"/>
      <c r="T838" s="12"/>
      <c r="U838" s="12"/>
      <c r="V838" s="14"/>
      <c r="W838" s="14"/>
      <c r="X838" s="14"/>
      <c r="Y838" s="14"/>
      <c r="Z838" s="15"/>
      <c r="AA838" s="12"/>
      <c r="AB838" s="12"/>
      <c r="AC838" s="12"/>
      <c r="AD838" s="12"/>
      <c r="AE838" s="12"/>
      <c r="AF838" s="12"/>
      <c r="AG838" s="12"/>
      <c r="AH838" s="12"/>
    </row>
    <row r="839" spans="1:34" ht="12.75">
      <c r="A839" s="12"/>
      <c r="B839" s="12"/>
      <c r="C839" s="12"/>
      <c r="D839" s="12"/>
      <c r="E839" s="12"/>
      <c r="F839" s="17"/>
      <c r="G839" s="12"/>
      <c r="H839" s="12"/>
      <c r="I839" s="12"/>
      <c r="J839" s="12"/>
      <c r="K839" s="12"/>
      <c r="L839" s="12"/>
      <c r="M839" s="12"/>
      <c r="N839" s="12"/>
      <c r="O839" s="12"/>
      <c r="P839" s="12"/>
      <c r="Q839" s="12"/>
      <c r="R839" s="12"/>
      <c r="S839" s="12"/>
      <c r="T839" s="12"/>
      <c r="U839" s="12"/>
      <c r="V839" s="14"/>
      <c r="W839" s="14"/>
      <c r="X839" s="14"/>
      <c r="Y839" s="14"/>
      <c r="Z839" s="15"/>
      <c r="AA839" s="12"/>
      <c r="AB839" s="12"/>
      <c r="AC839" s="12"/>
      <c r="AD839" s="12"/>
      <c r="AE839" s="12"/>
      <c r="AF839" s="12"/>
      <c r="AG839" s="12"/>
      <c r="AH839" s="12"/>
    </row>
    <row r="840" spans="1:34" ht="12.75">
      <c r="A840" s="12"/>
      <c r="B840" s="12"/>
      <c r="C840" s="12"/>
      <c r="D840" s="12"/>
      <c r="E840" s="12"/>
      <c r="F840" s="17"/>
      <c r="G840" s="12"/>
      <c r="H840" s="12"/>
      <c r="I840" s="12"/>
      <c r="J840" s="12"/>
      <c r="K840" s="12"/>
      <c r="L840" s="12"/>
      <c r="M840" s="12"/>
      <c r="N840" s="12"/>
      <c r="O840" s="12"/>
      <c r="P840" s="12"/>
      <c r="Q840" s="12"/>
      <c r="R840" s="12"/>
      <c r="S840" s="12"/>
      <c r="T840" s="12"/>
      <c r="U840" s="12"/>
      <c r="V840" s="14"/>
      <c r="W840" s="14"/>
      <c r="X840" s="14"/>
      <c r="Y840" s="14"/>
      <c r="Z840" s="15"/>
      <c r="AA840" s="12"/>
      <c r="AB840" s="12"/>
      <c r="AC840" s="12"/>
      <c r="AD840" s="12"/>
      <c r="AE840" s="12"/>
      <c r="AF840" s="12"/>
      <c r="AG840" s="12"/>
      <c r="AH840" s="12"/>
    </row>
    <row r="841" spans="1:34" ht="12.75">
      <c r="A841" s="12"/>
      <c r="B841" s="12"/>
      <c r="C841" s="12"/>
      <c r="D841" s="12"/>
      <c r="E841" s="12"/>
      <c r="F841" s="17"/>
      <c r="G841" s="12"/>
      <c r="H841" s="12"/>
      <c r="I841" s="12"/>
      <c r="J841" s="12"/>
      <c r="K841" s="12"/>
      <c r="L841" s="12"/>
      <c r="M841" s="12"/>
      <c r="N841" s="12"/>
      <c r="O841" s="12"/>
      <c r="P841" s="12"/>
      <c r="Q841" s="12"/>
      <c r="R841" s="12"/>
      <c r="S841" s="12"/>
      <c r="T841" s="12"/>
      <c r="U841" s="12"/>
      <c r="V841" s="14"/>
      <c r="W841" s="14"/>
      <c r="X841" s="14"/>
      <c r="Y841" s="14"/>
      <c r="Z841" s="15"/>
      <c r="AA841" s="12"/>
      <c r="AB841" s="12"/>
      <c r="AC841" s="12"/>
      <c r="AD841" s="12"/>
      <c r="AE841" s="12"/>
      <c r="AF841" s="12"/>
      <c r="AG841" s="12"/>
      <c r="AH841" s="12"/>
    </row>
    <row r="842" spans="1:34" ht="12.75">
      <c r="A842" s="12"/>
      <c r="B842" s="12"/>
      <c r="C842" s="12"/>
      <c r="D842" s="12"/>
      <c r="E842" s="12"/>
      <c r="F842" s="17"/>
      <c r="G842" s="12"/>
      <c r="H842" s="12"/>
      <c r="I842" s="12"/>
      <c r="J842" s="12"/>
      <c r="K842" s="12"/>
      <c r="L842" s="12"/>
      <c r="M842" s="12"/>
      <c r="N842" s="12"/>
      <c r="O842" s="12"/>
      <c r="P842" s="12"/>
      <c r="Q842" s="12"/>
      <c r="R842" s="12"/>
      <c r="S842" s="12"/>
      <c r="T842" s="12"/>
      <c r="U842" s="12"/>
      <c r="V842" s="14"/>
      <c r="W842" s="14"/>
      <c r="X842" s="14"/>
      <c r="Y842" s="14"/>
      <c r="Z842" s="15"/>
      <c r="AA842" s="12"/>
      <c r="AB842" s="12"/>
      <c r="AC842" s="12"/>
      <c r="AD842" s="12"/>
      <c r="AE842" s="12"/>
      <c r="AF842" s="12"/>
      <c r="AG842" s="12"/>
      <c r="AH842" s="12"/>
    </row>
    <row r="843" spans="1:34" ht="12.75">
      <c r="A843" s="12"/>
      <c r="B843" s="12"/>
      <c r="C843" s="12"/>
      <c r="D843" s="12"/>
      <c r="E843" s="12"/>
      <c r="F843" s="17"/>
      <c r="G843" s="12"/>
      <c r="H843" s="12"/>
      <c r="I843" s="12"/>
      <c r="J843" s="12"/>
      <c r="K843" s="12"/>
      <c r="L843" s="12"/>
      <c r="M843" s="12"/>
      <c r="N843" s="12"/>
      <c r="O843" s="12"/>
      <c r="P843" s="12"/>
      <c r="Q843" s="12"/>
      <c r="R843" s="12"/>
      <c r="S843" s="12"/>
      <c r="T843" s="12"/>
      <c r="U843" s="12"/>
      <c r="V843" s="14"/>
      <c r="W843" s="14"/>
      <c r="X843" s="14"/>
      <c r="Y843" s="14"/>
      <c r="Z843" s="15"/>
      <c r="AA843" s="12"/>
      <c r="AB843" s="12"/>
      <c r="AC843" s="12"/>
      <c r="AD843" s="12"/>
      <c r="AE843" s="12"/>
      <c r="AF843" s="12"/>
      <c r="AG843" s="12"/>
      <c r="AH843" s="12"/>
    </row>
    <row r="844" spans="1:34" ht="12.75">
      <c r="A844" s="12"/>
      <c r="B844" s="12"/>
      <c r="C844" s="12"/>
      <c r="D844" s="12"/>
      <c r="E844" s="12"/>
      <c r="F844" s="17"/>
      <c r="G844" s="12"/>
      <c r="H844" s="12"/>
      <c r="I844" s="12"/>
      <c r="J844" s="12"/>
      <c r="K844" s="12"/>
      <c r="L844" s="12"/>
      <c r="M844" s="12"/>
      <c r="N844" s="12"/>
      <c r="O844" s="12"/>
      <c r="P844" s="12"/>
      <c r="Q844" s="12"/>
      <c r="R844" s="12"/>
      <c r="S844" s="12"/>
      <c r="T844" s="12"/>
      <c r="U844" s="12"/>
      <c r="V844" s="14"/>
      <c r="W844" s="14"/>
      <c r="X844" s="14"/>
      <c r="Y844" s="14"/>
      <c r="Z844" s="15"/>
      <c r="AA844" s="12"/>
      <c r="AB844" s="12"/>
      <c r="AC844" s="12"/>
      <c r="AD844" s="12"/>
      <c r="AE844" s="12"/>
      <c r="AF844" s="12"/>
      <c r="AG844" s="12"/>
      <c r="AH844" s="12"/>
    </row>
    <row r="845" spans="1:34" ht="12.75">
      <c r="A845" s="12"/>
      <c r="B845" s="12"/>
      <c r="C845" s="12"/>
      <c r="D845" s="12"/>
      <c r="E845" s="12"/>
      <c r="F845" s="17"/>
      <c r="G845" s="12"/>
      <c r="H845" s="12"/>
      <c r="I845" s="12"/>
      <c r="J845" s="12"/>
      <c r="K845" s="12"/>
      <c r="L845" s="12"/>
      <c r="M845" s="12"/>
      <c r="N845" s="12"/>
      <c r="O845" s="12"/>
      <c r="P845" s="12"/>
      <c r="Q845" s="12"/>
      <c r="R845" s="12"/>
      <c r="S845" s="12"/>
      <c r="T845" s="12"/>
      <c r="U845" s="12"/>
      <c r="V845" s="14"/>
      <c r="W845" s="14"/>
      <c r="X845" s="14"/>
      <c r="Y845" s="14"/>
      <c r="Z845" s="15"/>
      <c r="AA845" s="12"/>
      <c r="AB845" s="12"/>
      <c r="AC845" s="12"/>
      <c r="AD845" s="12"/>
      <c r="AE845" s="12"/>
      <c r="AF845" s="12"/>
      <c r="AG845" s="12"/>
      <c r="AH845" s="12"/>
    </row>
    <row r="846" spans="1:34" ht="12.75">
      <c r="A846" s="12"/>
      <c r="B846" s="12"/>
      <c r="C846" s="12"/>
      <c r="D846" s="12"/>
      <c r="E846" s="12"/>
      <c r="F846" s="17"/>
      <c r="G846" s="12"/>
      <c r="H846" s="12"/>
      <c r="I846" s="12"/>
      <c r="J846" s="12"/>
      <c r="K846" s="12"/>
      <c r="L846" s="12"/>
      <c r="M846" s="12"/>
      <c r="N846" s="12"/>
      <c r="O846" s="12"/>
      <c r="P846" s="12"/>
      <c r="Q846" s="12"/>
      <c r="R846" s="12"/>
      <c r="S846" s="12"/>
      <c r="T846" s="12"/>
      <c r="U846" s="12"/>
      <c r="V846" s="14"/>
      <c r="W846" s="14"/>
      <c r="X846" s="14"/>
      <c r="Y846" s="14"/>
      <c r="Z846" s="15"/>
      <c r="AA846" s="12"/>
      <c r="AB846" s="12"/>
      <c r="AC846" s="12"/>
      <c r="AD846" s="12"/>
      <c r="AE846" s="12"/>
      <c r="AF846" s="12"/>
      <c r="AG846" s="12"/>
      <c r="AH846" s="12"/>
    </row>
    <row r="847" spans="1:34" ht="12.75">
      <c r="A847" s="12"/>
      <c r="B847" s="12"/>
      <c r="C847" s="12"/>
      <c r="D847" s="12"/>
      <c r="E847" s="12"/>
      <c r="F847" s="17"/>
      <c r="G847" s="12"/>
      <c r="H847" s="12"/>
      <c r="I847" s="12"/>
      <c r="J847" s="12"/>
      <c r="K847" s="12"/>
      <c r="L847" s="12"/>
      <c r="M847" s="12"/>
      <c r="N847" s="12"/>
      <c r="O847" s="12"/>
      <c r="P847" s="12"/>
      <c r="Q847" s="12"/>
      <c r="R847" s="12"/>
      <c r="S847" s="12"/>
      <c r="T847" s="12"/>
      <c r="U847" s="12"/>
      <c r="V847" s="14"/>
      <c r="W847" s="14"/>
      <c r="X847" s="14"/>
      <c r="Y847" s="14"/>
      <c r="Z847" s="15"/>
      <c r="AA847" s="12"/>
      <c r="AB847" s="12"/>
      <c r="AC847" s="12"/>
      <c r="AD847" s="12"/>
      <c r="AE847" s="12"/>
      <c r="AF847" s="12"/>
      <c r="AG847" s="12"/>
      <c r="AH847" s="12"/>
    </row>
    <row r="848" spans="1:34" ht="12.75">
      <c r="A848" s="12"/>
      <c r="B848" s="12"/>
      <c r="C848" s="12"/>
      <c r="D848" s="12"/>
      <c r="E848" s="12"/>
      <c r="F848" s="17"/>
      <c r="G848" s="12"/>
      <c r="H848" s="12"/>
      <c r="I848" s="12"/>
      <c r="J848" s="12"/>
      <c r="K848" s="12"/>
      <c r="L848" s="12"/>
      <c r="M848" s="12"/>
      <c r="N848" s="12"/>
      <c r="O848" s="12"/>
      <c r="P848" s="12"/>
      <c r="Q848" s="12"/>
      <c r="R848" s="12"/>
      <c r="S848" s="12"/>
      <c r="T848" s="12"/>
      <c r="U848" s="12"/>
      <c r="V848" s="14"/>
      <c r="W848" s="14"/>
      <c r="X848" s="14"/>
      <c r="Y848" s="14"/>
      <c r="Z848" s="15"/>
      <c r="AA848" s="12"/>
      <c r="AB848" s="12"/>
      <c r="AC848" s="12"/>
      <c r="AD848" s="12"/>
      <c r="AE848" s="12"/>
      <c r="AF848" s="12"/>
      <c r="AG848" s="12"/>
      <c r="AH848" s="12"/>
    </row>
    <row r="849" spans="1:34" ht="12.75">
      <c r="A849" s="12"/>
      <c r="B849" s="12"/>
      <c r="C849" s="12"/>
      <c r="D849" s="12"/>
      <c r="E849" s="12"/>
      <c r="F849" s="17"/>
      <c r="G849" s="12"/>
      <c r="H849" s="12"/>
      <c r="I849" s="12"/>
      <c r="J849" s="12"/>
      <c r="K849" s="12"/>
      <c r="L849" s="12"/>
      <c r="M849" s="12"/>
      <c r="N849" s="12"/>
      <c r="O849" s="12"/>
      <c r="P849" s="12"/>
      <c r="Q849" s="12"/>
      <c r="R849" s="12"/>
      <c r="S849" s="12"/>
      <c r="T849" s="12"/>
      <c r="U849" s="12"/>
      <c r="V849" s="14"/>
      <c r="W849" s="14"/>
      <c r="X849" s="14"/>
      <c r="Y849" s="14"/>
      <c r="Z849" s="15"/>
      <c r="AA849" s="12"/>
      <c r="AB849" s="12"/>
      <c r="AC849" s="12"/>
      <c r="AD849" s="12"/>
      <c r="AE849" s="12"/>
      <c r="AF849" s="12"/>
      <c r="AG849" s="12"/>
      <c r="AH849" s="12"/>
    </row>
    <row r="850" spans="1:34" ht="12.75">
      <c r="A850" s="12"/>
      <c r="B850" s="12"/>
      <c r="C850" s="12"/>
      <c r="D850" s="12"/>
      <c r="E850" s="12"/>
      <c r="F850" s="17"/>
      <c r="G850" s="12"/>
      <c r="H850" s="12"/>
      <c r="I850" s="12"/>
      <c r="J850" s="12"/>
      <c r="K850" s="12"/>
      <c r="L850" s="12"/>
      <c r="M850" s="12"/>
      <c r="N850" s="12"/>
      <c r="O850" s="12"/>
      <c r="P850" s="12"/>
      <c r="Q850" s="12"/>
      <c r="R850" s="12"/>
      <c r="S850" s="12"/>
      <c r="T850" s="12"/>
      <c r="U850" s="12"/>
      <c r="V850" s="14"/>
      <c r="W850" s="14"/>
      <c r="X850" s="14"/>
      <c r="Y850" s="14"/>
      <c r="Z850" s="15"/>
      <c r="AA850" s="12"/>
      <c r="AB850" s="12"/>
      <c r="AC850" s="12"/>
      <c r="AD850" s="12"/>
      <c r="AE850" s="12"/>
      <c r="AF850" s="12"/>
      <c r="AG850" s="12"/>
      <c r="AH850" s="12"/>
    </row>
    <row r="851" spans="1:34" ht="12.75">
      <c r="A851" s="12"/>
      <c r="B851" s="12"/>
      <c r="C851" s="12"/>
      <c r="D851" s="12"/>
      <c r="E851" s="12"/>
      <c r="F851" s="17"/>
      <c r="G851" s="12"/>
      <c r="H851" s="12"/>
      <c r="I851" s="12"/>
      <c r="J851" s="12"/>
      <c r="K851" s="12"/>
      <c r="L851" s="12"/>
      <c r="M851" s="12"/>
      <c r="N851" s="12"/>
      <c r="O851" s="12"/>
      <c r="P851" s="12"/>
      <c r="Q851" s="12"/>
      <c r="R851" s="12"/>
      <c r="S851" s="12"/>
      <c r="T851" s="12"/>
      <c r="U851" s="12"/>
      <c r="V851" s="14"/>
      <c r="W851" s="14"/>
      <c r="X851" s="14"/>
      <c r="Y851" s="14"/>
      <c r="Z851" s="15"/>
      <c r="AA851" s="12"/>
      <c r="AB851" s="12"/>
      <c r="AC851" s="12"/>
      <c r="AD851" s="12"/>
      <c r="AE851" s="12"/>
      <c r="AF851" s="12"/>
      <c r="AG851" s="12"/>
      <c r="AH851" s="12"/>
    </row>
    <row r="852" spans="1:34" ht="12.75">
      <c r="A852" s="12"/>
      <c r="B852" s="12"/>
      <c r="C852" s="12"/>
      <c r="D852" s="12"/>
      <c r="E852" s="12"/>
      <c r="F852" s="17"/>
      <c r="G852" s="12"/>
      <c r="H852" s="12"/>
      <c r="I852" s="12"/>
      <c r="J852" s="12"/>
      <c r="K852" s="12"/>
      <c r="L852" s="12"/>
      <c r="M852" s="12"/>
      <c r="N852" s="12"/>
      <c r="O852" s="12"/>
      <c r="P852" s="12"/>
      <c r="Q852" s="12"/>
      <c r="R852" s="12"/>
      <c r="S852" s="12"/>
      <c r="T852" s="12"/>
      <c r="U852" s="12"/>
      <c r="V852" s="14"/>
      <c r="W852" s="14"/>
      <c r="X852" s="14"/>
      <c r="Y852" s="14"/>
      <c r="Z852" s="15"/>
      <c r="AA852" s="12"/>
      <c r="AB852" s="12"/>
      <c r="AC852" s="12"/>
      <c r="AD852" s="12"/>
      <c r="AE852" s="12"/>
      <c r="AF852" s="12"/>
      <c r="AG852" s="12"/>
      <c r="AH852" s="12"/>
    </row>
    <row r="853" spans="1:34" ht="12.75">
      <c r="A853" s="12"/>
      <c r="B853" s="12"/>
      <c r="C853" s="12"/>
      <c r="D853" s="12"/>
      <c r="E853" s="12"/>
      <c r="F853" s="17"/>
      <c r="G853" s="12"/>
      <c r="H853" s="12"/>
      <c r="I853" s="12"/>
      <c r="J853" s="12"/>
      <c r="K853" s="12"/>
      <c r="L853" s="12"/>
      <c r="M853" s="12"/>
      <c r="N853" s="12"/>
      <c r="O853" s="12"/>
      <c r="P853" s="12"/>
      <c r="Q853" s="12"/>
      <c r="R853" s="12"/>
      <c r="S853" s="12"/>
      <c r="T853" s="12"/>
      <c r="U853" s="12"/>
      <c r="V853" s="14"/>
      <c r="W853" s="14"/>
      <c r="X853" s="14"/>
      <c r="Y853" s="14"/>
      <c r="Z853" s="15"/>
      <c r="AA853" s="12"/>
      <c r="AB853" s="12"/>
      <c r="AC853" s="12"/>
      <c r="AD853" s="12"/>
      <c r="AE853" s="12"/>
      <c r="AF853" s="12"/>
      <c r="AG853" s="12"/>
      <c r="AH853" s="12"/>
    </row>
    <row r="854" spans="1:34" ht="12.75">
      <c r="A854" s="12"/>
      <c r="B854" s="12"/>
      <c r="C854" s="12"/>
      <c r="D854" s="12"/>
      <c r="E854" s="12"/>
      <c r="F854" s="17"/>
      <c r="G854" s="12"/>
      <c r="H854" s="12"/>
      <c r="I854" s="12"/>
      <c r="J854" s="12"/>
      <c r="K854" s="12"/>
      <c r="L854" s="12"/>
      <c r="M854" s="12"/>
      <c r="N854" s="12"/>
      <c r="O854" s="12"/>
      <c r="P854" s="12"/>
      <c r="Q854" s="12"/>
      <c r="R854" s="12"/>
      <c r="S854" s="12"/>
      <c r="T854" s="12"/>
      <c r="U854" s="12"/>
      <c r="V854" s="14"/>
      <c r="W854" s="14"/>
      <c r="X854" s="14"/>
      <c r="Y854" s="14"/>
      <c r="Z854" s="15"/>
      <c r="AA854" s="12"/>
      <c r="AB854" s="12"/>
      <c r="AC854" s="12"/>
      <c r="AD854" s="12"/>
      <c r="AE854" s="12"/>
      <c r="AF854" s="12"/>
      <c r="AG854" s="12"/>
      <c r="AH854" s="12"/>
    </row>
    <row r="855" spans="1:34" ht="12.75">
      <c r="A855" s="12"/>
      <c r="B855" s="12"/>
      <c r="C855" s="12"/>
      <c r="D855" s="12"/>
      <c r="E855" s="12"/>
      <c r="F855" s="17"/>
      <c r="G855" s="12"/>
      <c r="H855" s="12"/>
      <c r="I855" s="12"/>
      <c r="J855" s="12"/>
      <c r="K855" s="12"/>
      <c r="L855" s="12"/>
      <c r="M855" s="12"/>
      <c r="N855" s="12"/>
      <c r="O855" s="12"/>
      <c r="P855" s="12"/>
      <c r="Q855" s="12"/>
      <c r="R855" s="12"/>
      <c r="S855" s="12"/>
      <c r="T855" s="12"/>
      <c r="U855" s="12"/>
      <c r="V855" s="14"/>
      <c r="W855" s="14"/>
      <c r="X855" s="14"/>
      <c r="Y855" s="14"/>
      <c r="Z855" s="15"/>
      <c r="AA855" s="12"/>
      <c r="AB855" s="12"/>
      <c r="AC855" s="12"/>
      <c r="AD855" s="12"/>
      <c r="AE855" s="12"/>
      <c r="AF855" s="12"/>
      <c r="AG855" s="12"/>
      <c r="AH855" s="12"/>
    </row>
    <row r="856" spans="1:34" ht="12.75">
      <c r="A856" s="12"/>
      <c r="B856" s="12"/>
      <c r="C856" s="12"/>
      <c r="D856" s="12"/>
      <c r="E856" s="12"/>
      <c r="F856" s="17"/>
      <c r="G856" s="12"/>
      <c r="H856" s="12"/>
      <c r="I856" s="12"/>
      <c r="J856" s="12"/>
      <c r="K856" s="12"/>
      <c r="L856" s="12"/>
      <c r="M856" s="12"/>
      <c r="N856" s="12"/>
      <c r="O856" s="12"/>
      <c r="P856" s="12"/>
      <c r="Q856" s="12"/>
      <c r="R856" s="12"/>
      <c r="S856" s="12"/>
      <c r="T856" s="12"/>
      <c r="U856" s="12"/>
      <c r="V856" s="14"/>
      <c r="W856" s="14"/>
      <c r="X856" s="14"/>
      <c r="Y856" s="14"/>
      <c r="Z856" s="15"/>
      <c r="AA856" s="12"/>
      <c r="AB856" s="12"/>
      <c r="AC856" s="12"/>
      <c r="AD856" s="12"/>
      <c r="AE856" s="12"/>
      <c r="AF856" s="12"/>
      <c r="AG856" s="12"/>
      <c r="AH856" s="12"/>
    </row>
    <row r="857" spans="1:34" ht="12.75">
      <c r="A857" s="12"/>
      <c r="B857" s="12"/>
      <c r="C857" s="12"/>
      <c r="D857" s="12"/>
      <c r="E857" s="12"/>
      <c r="F857" s="17"/>
      <c r="G857" s="12"/>
      <c r="H857" s="12"/>
      <c r="I857" s="12"/>
      <c r="J857" s="12"/>
      <c r="K857" s="12"/>
      <c r="L857" s="12"/>
      <c r="M857" s="12"/>
      <c r="N857" s="12"/>
      <c r="O857" s="12"/>
      <c r="P857" s="12"/>
      <c r="Q857" s="12"/>
      <c r="R857" s="12"/>
      <c r="S857" s="12"/>
      <c r="T857" s="12"/>
      <c r="U857" s="12"/>
      <c r="V857" s="14"/>
      <c r="W857" s="14"/>
      <c r="X857" s="14"/>
      <c r="Y857" s="14"/>
      <c r="Z857" s="15"/>
      <c r="AA857" s="12"/>
      <c r="AB857" s="12"/>
      <c r="AC857" s="12"/>
      <c r="AD857" s="12"/>
      <c r="AE857" s="12"/>
      <c r="AF857" s="12"/>
      <c r="AG857" s="12"/>
      <c r="AH857" s="12"/>
    </row>
    <row r="858" spans="1:34" ht="12.75">
      <c r="A858" s="12"/>
      <c r="B858" s="12"/>
      <c r="C858" s="12"/>
      <c r="D858" s="12"/>
      <c r="E858" s="12"/>
      <c r="F858" s="17"/>
      <c r="G858" s="12"/>
      <c r="H858" s="12"/>
      <c r="I858" s="12"/>
      <c r="J858" s="12"/>
      <c r="K858" s="12"/>
      <c r="L858" s="12"/>
      <c r="M858" s="12"/>
      <c r="N858" s="12"/>
      <c r="O858" s="12"/>
      <c r="P858" s="12"/>
      <c r="Q858" s="12"/>
      <c r="R858" s="12"/>
      <c r="S858" s="12"/>
      <c r="T858" s="12"/>
      <c r="U858" s="12"/>
      <c r="V858" s="14"/>
      <c r="W858" s="14"/>
      <c r="X858" s="14"/>
      <c r="Y858" s="14"/>
      <c r="Z858" s="15"/>
      <c r="AA858" s="12"/>
      <c r="AB858" s="12"/>
      <c r="AC858" s="12"/>
      <c r="AD858" s="12"/>
      <c r="AE858" s="12"/>
      <c r="AF858" s="12"/>
      <c r="AG858" s="12"/>
      <c r="AH858" s="12"/>
    </row>
    <row r="859" spans="1:34" ht="12.75">
      <c r="A859" s="12"/>
      <c r="B859" s="12"/>
      <c r="C859" s="12"/>
      <c r="D859" s="12"/>
      <c r="E859" s="12"/>
      <c r="F859" s="17"/>
      <c r="G859" s="12"/>
      <c r="H859" s="12"/>
      <c r="I859" s="12"/>
      <c r="J859" s="12"/>
      <c r="K859" s="12"/>
      <c r="L859" s="12"/>
      <c r="M859" s="12"/>
      <c r="N859" s="12"/>
      <c r="O859" s="12"/>
      <c r="P859" s="12"/>
      <c r="Q859" s="12"/>
      <c r="R859" s="12"/>
      <c r="S859" s="12"/>
      <c r="T859" s="12"/>
      <c r="U859" s="12"/>
      <c r="V859" s="14"/>
      <c r="W859" s="14"/>
      <c r="X859" s="14"/>
      <c r="Y859" s="14"/>
      <c r="Z859" s="15"/>
      <c r="AA859" s="12"/>
      <c r="AB859" s="12"/>
      <c r="AC859" s="12"/>
      <c r="AD859" s="12"/>
      <c r="AE859" s="12"/>
      <c r="AF859" s="12"/>
      <c r="AG859" s="12"/>
      <c r="AH859" s="12"/>
    </row>
    <row r="860" spans="1:34" ht="12.75">
      <c r="A860" s="12"/>
      <c r="B860" s="12"/>
      <c r="C860" s="12"/>
      <c r="D860" s="12"/>
      <c r="E860" s="12"/>
      <c r="F860" s="17"/>
      <c r="G860" s="12"/>
      <c r="H860" s="12"/>
      <c r="I860" s="12"/>
      <c r="J860" s="12"/>
      <c r="K860" s="12"/>
      <c r="L860" s="12"/>
      <c r="M860" s="12"/>
      <c r="N860" s="12"/>
      <c r="O860" s="12"/>
      <c r="P860" s="12"/>
      <c r="Q860" s="12"/>
      <c r="R860" s="12"/>
      <c r="S860" s="12"/>
      <c r="T860" s="12"/>
      <c r="U860" s="12"/>
      <c r="V860" s="14"/>
      <c r="W860" s="14"/>
      <c r="X860" s="14"/>
      <c r="Y860" s="14"/>
      <c r="Z860" s="15"/>
      <c r="AA860" s="12"/>
      <c r="AB860" s="12"/>
      <c r="AC860" s="12"/>
      <c r="AD860" s="12"/>
      <c r="AE860" s="12"/>
      <c r="AF860" s="12"/>
      <c r="AG860" s="12"/>
      <c r="AH860" s="12"/>
    </row>
    <row r="861" spans="1:34" ht="12.75">
      <c r="A861" s="12"/>
      <c r="B861" s="12"/>
      <c r="C861" s="12"/>
      <c r="D861" s="12"/>
      <c r="E861" s="12"/>
      <c r="F861" s="17"/>
      <c r="G861" s="12"/>
      <c r="H861" s="12"/>
      <c r="I861" s="12"/>
      <c r="J861" s="12"/>
      <c r="K861" s="12"/>
      <c r="L861" s="12"/>
      <c r="M861" s="12"/>
      <c r="N861" s="12"/>
      <c r="O861" s="12"/>
      <c r="P861" s="12"/>
      <c r="Q861" s="12"/>
      <c r="R861" s="12"/>
      <c r="S861" s="12"/>
      <c r="T861" s="12"/>
      <c r="U861" s="12"/>
      <c r="V861" s="14"/>
      <c r="W861" s="14"/>
      <c r="X861" s="14"/>
      <c r="Y861" s="14"/>
      <c r="Z861" s="15"/>
      <c r="AA861" s="12"/>
      <c r="AB861" s="12"/>
      <c r="AC861" s="12"/>
      <c r="AD861" s="12"/>
      <c r="AE861" s="12"/>
      <c r="AF861" s="12"/>
      <c r="AG861" s="12"/>
      <c r="AH861" s="12"/>
    </row>
    <row r="862" spans="1:34" ht="12.75">
      <c r="A862" s="12"/>
      <c r="B862" s="12"/>
      <c r="C862" s="12"/>
      <c r="D862" s="12"/>
      <c r="E862" s="12"/>
      <c r="F862" s="17"/>
      <c r="G862" s="12"/>
      <c r="H862" s="12"/>
      <c r="I862" s="12"/>
      <c r="J862" s="12"/>
      <c r="K862" s="12"/>
      <c r="L862" s="12"/>
      <c r="M862" s="12"/>
      <c r="N862" s="12"/>
      <c r="O862" s="12"/>
      <c r="P862" s="12"/>
      <c r="Q862" s="12"/>
      <c r="R862" s="12"/>
      <c r="S862" s="12"/>
      <c r="T862" s="12"/>
      <c r="U862" s="12"/>
      <c r="V862" s="14"/>
      <c r="W862" s="14"/>
      <c r="X862" s="14"/>
      <c r="Y862" s="14"/>
      <c r="Z862" s="15"/>
      <c r="AA862" s="12"/>
      <c r="AB862" s="12"/>
      <c r="AC862" s="12"/>
      <c r="AD862" s="12"/>
      <c r="AE862" s="12"/>
      <c r="AF862" s="12"/>
      <c r="AG862" s="12"/>
      <c r="AH862" s="12"/>
    </row>
    <row r="863" spans="1:34" ht="12.75">
      <c r="A863" s="12"/>
      <c r="B863" s="12"/>
      <c r="C863" s="12"/>
      <c r="D863" s="12"/>
      <c r="E863" s="12"/>
      <c r="F863" s="17"/>
      <c r="G863" s="12"/>
      <c r="H863" s="12"/>
      <c r="I863" s="12"/>
      <c r="J863" s="12"/>
      <c r="K863" s="12"/>
      <c r="L863" s="12"/>
      <c r="M863" s="12"/>
      <c r="N863" s="12"/>
      <c r="O863" s="12"/>
      <c r="P863" s="12"/>
      <c r="Q863" s="12"/>
      <c r="R863" s="12"/>
      <c r="S863" s="12"/>
      <c r="T863" s="12"/>
      <c r="U863" s="12"/>
      <c r="V863" s="14"/>
      <c r="W863" s="14"/>
      <c r="X863" s="14"/>
      <c r="Y863" s="14"/>
      <c r="Z863" s="15"/>
      <c r="AA863" s="12"/>
      <c r="AB863" s="12"/>
      <c r="AC863" s="12"/>
      <c r="AD863" s="12"/>
      <c r="AE863" s="12"/>
      <c r="AF863" s="12"/>
      <c r="AG863" s="12"/>
      <c r="AH863" s="12"/>
    </row>
    <row r="864" spans="1:34" ht="12.75">
      <c r="A864" s="12"/>
      <c r="B864" s="12"/>
      <c r="C864" s="12"/>
      <c r="D864" s="12"/>
      <c r="E864" s="12"/>
      <c r="F864" s="17"/>
      <c r="G864" s="12"/>
      <c r="H864" s="12"/>
      <c r="I864" s="12"/>
      <c r="J864" s="12"/>
      <c r="K864" s="12"/>
      <c r="L864" s="12"/>
      <c r="M864" s="12"/>
      <c r="N864" s="12"/>
      <c r="O864" s="12"/>
      <c r="P864" s="12"/>
      <c r="Q864" s="12"/>
      <c r="R864" s="12"/>
      <c r="S864" s="12"/>
      <c r="T864" s="12"/>
      <c r="U864" s="12"/>
      <c r="V864" s="14"/>
      <c r="W864" s="14"/>
      <c r="X864" s="14"/>
      <c r="Y864" s="14"/>
      <c r="Z864" s="15"/>
      <c r="AA864" s="12"/>
      <c r="AB864" s="12"/>
      <c r="AC864" s="12"/>
      <c r="AD864" s="12"/>
      <c r="AE864" s="12"/>
      <c r="AF864" s="12"/>
      <c r="AG864" s="12"/>
      <c r="AH864" s="12"/>
    </row>
    <row r="865" spans="1:34" ht="12.75">
      <c r="A865" s="12"/>
      <c r="B865" s="12"/>
      <c r="C865" s="12"/>
      <c r="D865" s="12"/>
      <c r="E865" s="12"/>
      <c r="F865" s="17"/>
      <c r="G865" s="12"/>
      <c r="H865" s="12"/>
      <c r="I865" s="12"/>
      <c r="J865" s="12"/>
      <c r="K865" s="12"/>
      <c r="L865" s="12"/>
      <c r="M865" s="12"/>
      <c r="N865" s="12"/>
      <c r="O865" s="12"/>
      <c r="P865" s="12"/>
      <c r="Q865" s="12"/>
      <c r="R865" s="12"/>
      <c r="S865" s="12"/>
      <c r="T865" s="12"/>
      <c r="U865" s="12"/>
      <c r="V865" s="14"/>
      <c r="W865" s="14"/>
      <c r="X865" s="14"/>
      <c r="Y865" s="14"/>
      <c r="Z865" s="15"/>
      <c r="AA865" s="12"/>
      <c r="AB865" s="12"/>
      <c r="AC865" s="12"/>
      <c r="AD865" s="12"/>
      <c r="AE865" s="12"/>
      <c r="AF865" s="12"/>
      <c r="AG865" s="12"/>
      <c r="AH865" s="12"/>
    </row>
    <row r="866" spans="1:34" ht="12.75">
      <c r="A866" s="12"/>
      <c r="B866" s="12"/>
      <c r="C866" s="12"/>
      <c r="D866" s="12"/>
      <c r="E866" s="12"/>
      <c r="F866" s="17"/>
      <c r="G866" s="12"/>
      <c r="H866" s="12"/>
      <c r="I866" s="12"/>
      <c r="J866" s="12"/>
      <c r="K866" s="12"/>
      <c r="L866" s="12"/>
      <c r="M866" s="12"/>
      <c r="N866" s="12"/>
      <c r="O866" s="12"/>
      <c r="P866" s="12"/>
      <c r="Q866" s="12"/>
      <c r="R866" s="12"/>
      <c r="S866" s="12"/>
      <c r="T866" s="12"/>
      <c r="U866" s="12"/>
      <c r="V866" s="14"/>
      <c r="W866" s="14"/>
      <c r="X866" s="14"/>
      <c r="Y866" s="14"/>
      <c r="Z866" s="15"/>
      <c r="AA866" s="12"/>
      <c r="AB866" s="12"/>
      <c r="AC866" s="12"/>
      <c r="AD866" s="12"/>
      <c r="AE866" s="12"/>
      <c r="AF866" s="12"/>
      <c r="AG866" s="12"/>
      <c r="AH866" s="12"/>
    </row>
    <row r="867" spans="1:34" ht="12.75">
      <c r="A867" s="12"/>
      <c r="B867" s="12"/>
      <c r="C867" s="12"/>
      <c r="D867" s="12"/>
      <c r="E867" s="12"/>
      <c r="F867" s="17"/>
      <c r="G867" s="12"/>
      <c r="H867" s="12"/>
      <c r="I867" s="12"/>
      <c r="J867" s="12"/>
      <c r="K867" s="12"/>
      <c r="L867" s="12"/>
      <c r="M867" s="12"/>
      <c r="N867" s="12"/>
      <c r="O867" s="12"/>
      <c r="P867" s="12"/>
      <c r="Q867" s="12"/>
      <c r="R867" s="12"/>
      <c r="S867" s="12"/>
      <c r="T867" s="12"/>
      <c r="U867" s="12"/>
      <c r="V867" s="14"/>
      <c r="W867" s="14"/>
      <c r="X867" s="14"/>
      <c r="Y867" s="14"/>
      <c r="Z867" s="15"/>
      <c r="AA867" s="12"/>
      <c r="AB867" s="12"/>
      <c r="AC867" s="12"/>
      <c r="AD867" s="12"/>
      <c r="AE867" s="12"/>
      <c r="AF867" s="12"/>
      <c r="AG867" s="12"/>
      <c r="AH867" s="12"/>
    </row>
    <row r="868" spans="1:34" ht="12.75">
      <c r="A868" s="12"/>
      <c r="B868" s="12"/>
      <c r="C868" s="12"/>
      <c r="D868" s="12"/>
      <c r="E868" s="12"/>
      <c r="F868" s="17"/>
      <c r="G868" s="12"/>
      <c r="H868" s="12"/>
      <c r="I868" s="12"/>
      <c r="J868" s="12"/>
      <c r="K868" s="12"/>
      <c r="L868" s="12"/>
      <c r="M868" s="12"/>
      <c r="N868" s="12"/>
      <c r="O868" s="12"/>
      <c r="P868" s="12"/>
      <c r="Q868" s="12"/>
      <c r="R868" s="12"/>
      <c r="S868" s="12"/>
      <c r="T868" s="12"/>
      <c r="U868" s="12"/>
      <c r="V868" s="14"/>
      <c r="W868" s="14"/>
      <c r="X868" s="14"/>
      <c r="Y868" s="14"/>
      <c r="Z868" s="15"/>
      <c r="AA868" s="12"/>
      <c r="AB868" s="12"/>
      <c r="AC868" s="12"/>
      <c r="AD868" s="12"/>
      <c r="AE868" s="12"/>
      <c r="AF868" s="12"/>
      <c r="AG868" s="12"/>
      <c r="AH868" s="12"/>
    </row>
    <row r="869" spans="1:34" ht="12.75">
      <c r="A869" s="12"/>
      <c r="B869" s="12"/>
      <c r="C869" s="12"/>
      <c r="D869" s="12"/>
      <c r="E869" s="12"/>
      <c r="F869" s="17"/>
      <c r="G869" s="12"/>
      <c r="H869" s="12"/>
      <c r="I869" s="12"/>
      <c r="J869" s="12"/>
      <c r="K869" s="12"/>
      <c r="L869" s="12"/>
      <c r="M869" s="12"/>
      <c r="N869" s="12"/>
      <c r="O869" s="12"/>
      <c r="P869" s="12"/>
      <c r="Q869" s="12"/>
      <c r="R869" s="12"/>
      <c r="S869" s="12"/>
      <c r="T869" s="12"/>
      <c r="U869" s="12"/>
      <c r="V869" s="14"/>
      <c r="W869" s="14"/>
      <c r="X869" s="14"/>
      <c r="Y869" s="14"/>
      <c r="Z869" s="15"/>
      <c r="AA869" s="12"/>
      <c r="AB869" s="12"/>
      <c r="AC869" s="12"/>
      <c r="AD869" s="12"/>
      <c r="AE869" s="12"/>
      <c r="AF869" s="12"/>
      <c r="AG869" s="12"/>
      <c r="AH869" s="12"/>
    </row>
    <row r="870" spans="1:34" ht="12.75">
      <c r="A870" s="12"/>
      <c r="B870" s="12"/>
      <c r="C870" s="12"/>
      <c r="D870" s="12"/>
      <c r="E870" s="12"/>
      <c r="F870" s="17"/>
      <c r="G870" s="12"/>
      <c r="H870" s="12"/>
      <c r="I870" s="12"/>
      <c r="J870" s="12"/>
      <c r="K870" s="12"/>
      <c r="L870" s="12"/>
      <c r="M870" s="12"/>
      <c r="N870" s="12"/>
      <c r="O870" s="12"/>
      <c r="P870" s="12"/>
      <c r="Q870" s="12"/>
      <c r="R870" s="12"/>
      <c r="S870" s="12"/>
      <c r="T870" s="12"/>
      <c r="U870" s="12"/>
      <c r="V870" s="14"/>
      <c r="W870" s="14"/>
      <c r="X870" s="14"/>
      <c r="Y870" s="14"/>
      <c r="Z870" s="15"/>
      <c r="AA870" s="12"/>
      <c r="AB870" s="12"/>
      <c r="AC870" s="12"/>
      <c r="AD870" s="12"/>
      <c r="AE870" s="12"/>
      <c r="AF870" s="12"/>
      <c r="AG870" s="12"/>
      <c r="AH870" s="12"/>
    </row>
    <row r="871" spans="1:34" ht="12.75">
      <c r="A871" s="12"/>
      <c r="B871" s="12"/>
      <c r="C871" s="12"/>
      <c r="D871" s="12"/>
      <c r="E871" s="12"/>
      <c r="F871" s="17"/>
      <c r="G871" s="12"/>
      <c r="H871" s="12"/>
      <c r="I871" s="12"/>
      <c r="J871" s="12"/>
      <c r="K871" s="12"/>
      <c r="L871" s="12"/>
      <c r="M871" s="12"/>
      <c r="N871" s="12"/>
      <c r="O871" s="12"/>
      <c r="P871" s="12"/>
      <c r="Q871" s="12"/>
      <c r="R871" s="12"/>
      <c r="S871" s="12"/>
      <c r="T871" s="12"/>
      <c r="U871" s="12"/>
      <c r="V871" s="14"/>
      <c r="W871" s="14"/>
      <c r="X871" s="14"/>
      <c r="Y871" s="14"/>
      <c r="Z871" s="15"/>
      <c r="AA871" s="12"/>
      <c r="AB871" s="12"/>
      <c r="AC871" s="12"/>
      <c r="AD871" s="12"/>
      <c r="AE871" s="12"/>
      <c r="AF871" s="12"/>
      <c r="AG871" s="12"/>
      <c r="AH871" s="12"/>
    </row>
    <row r="872" spans="1:34" ht="12.75">
      <c r="A872" s="12"/>
      <c r="B872" s="12"/>
      <c r="C872" s="12"/>
      <c r="D872" s="12"/>
      <c r="E872" s="12"/>
      <c r="F872" s="17"/>
      <c r="G872" s="12"/>
      <c r="H872" s="12"/>
      <c r="I872" s="12"/>
      <c r="J872" s="12"/>
      <c r="K872" s="12"/>
      <c r="L872" s="12"/>
      <c r="M872" s="12"/>
      <c r="N872" s="12"/>
      <c r="O872" s="12"/>
      <c r="P872" s="12"/>
      <c r="Q872" s="12"/>
      <c r="R872" s="12"/>
      <c r="S872" s="12"/>
      <c r="T872" s="12"/>
      <c r="U872" s="12"/>
      <c r="V872" s="14"/>
      <c r="W872" s="14"/>
      <c r="X872" s="14"/>
      <c r="Y872" s="14"/>
      <c r="Z872" s="15"/>
      <c r="AA872" s="12"/>
      <c r="AB872" s="12"/>
      <c r="AC872" s="12"/>
      <c r="AD872" s="12"/>
      <c r="AE872" s="12"/>
      <c r="AF872" s="12"/>
      <c r="AG872" s="12"/>
      <c r="AH872" s="12"/>
    </row>
    <row r="873" spans="1:34" ht="12.75">
      <c r="A873" s="12"/>
      <c r="B873" s="12"/>
      <c r="C873" s="12"/>
      <c r="D873" s="12"/>
      <c r="E873" s="12"/>
      <c r="F873" s="17"/>
      <c r="G873" s="12"/>
      <c r="H873" s="12"/>
      <c r="I873" s="12"/>
      <c r="J873" s="12"/>
      <c r="K873" s="12"/>
      <c r="L873" s="12"/>
      <c r="M873" s="12"/>
      <c r="N873" s="12"/>
      <c r="O873" s="12"/>
      <c r="P873" s="12"/>
      <c r="Q873" s="12"/>
      <c r="R873" s="12"/>
      <c r="S873" s="12"/>
      <c r="T873" s="12"/>
      <c r="U873" s="12"/>
      <c r="V873" s="14"/>
      <c r="W873" s="14"/>
      <c r="X873" s="14"/>
      <c r="Y873" s="14"/>
      <c r="Z873" s="15"/>
      <c r="AA873" s="12"/>
      <c r="AB873" s="12"/>
      <c r="AC873" s="12"/>
      <c r="AD873" s="12"/>
      <c r="AE873" s="12"/>
      <c r="AF873" s="12"/>
      <c r="AG873" s="12"/>
      <c r="AH873" s="12"/>
    </row>
    <row r="874" spans="1:34" ht="12.75">
      <c r="A874" s="12"/>
      <c r="B874" s="12"/>
      <c r="C874" s="12"/>
      <c r="D874" s="12"/>
      <c r="E874" s="12"/>
      <c r="F874" s="17"/>
      <c r="G874" s="12"/>
      <c r="H874" s="12"/>
      <c r="I874" s="12"/>
      <c r="J874" s="12"/>
      <c r="K874" s="12"/>
      <c r="L874" s="12"/>
      <c r="M874" s="12"/>
      <c r="N874" s="12"/>
      <c r="O874" s="12"/>
      <c r="P874" s="12"/>
      <c r="Q874" s="12"/>
      <c r="R874" s="12"/>
      <c r="S874" s="12"/>
      <c r="T874" s="12"/>
      <c r="U874" s="12"/>
      <c r="V874" s="14"/>
      <c r="W874" s="14"/>
      <c r="X874" s="14"/>
      <c r="Y874" s="14"/>
      <c r="Z874" s="15"/>
      <c r="AA874" s="12"/>
      <c r="AB874" s="12"/>
      <c r="AC874" s="12"/>
      <c r="AD874" s="12"/>
      <c r="AE874" s="12"/>
      <c r="AF874" s="12"/>
      <c r="AG874" s="12"/>
      <c r="AH874" s="12"/>
    </row>
    <row r="875" spans="1:34" ht="12.75">
      <c r="A875" s="12"/>
      <c r="B875" s="12"/>
      <c r="C875" s="12"/>
      <c r="D875" s="12"/>
      <c r="E875" s="12"/>
      <c r="F875" s="17"/>
      <c r="G875" s="12"/>
      <c r="H875" s="12"/>
      <c r="I875" s="12"/>
      <c r="J875" s="12"/>
      <c r="K875" s="12"/>
      <c r="L875" s="12"/>
      <c r="M875" s="12"/>
      <c r="N875" s="12"/>
      <c r="O875" s="12"/>
      <c r="P875" s="12"/>
      <c r="Q875" s="12"/>
      <c r="R875" s="12"/>
      <c r="S875" s="12"/>
      <c r="T875" s="12"/>
      <c r="U875" s="12"/>
      <c r="V875" s="14"/>
      <c r="W875" s="14"/>
      <c r="X875" s="14"/>
      <c r="Y875" s="14"/>
      <c r="Z875" s="15"/>
      <c r="AA875" s="12"/>
      <c r="AB875" s="12"/>
      <c r="AC875" s="12"/>
      <c r="AD875" s="12"/>
      <c r="AE875" s="12"/>
      <c r="AF875" s="12"/>
      <c r="AG875" s="12"/>
      <c r="AH875" s="12"/>
    </row>
    <row r="876" spans="1:34" ht="12.75">
      <c r="A876" s="12"/>
      <c r="B876" s="12"/>
      <c r="C876" s="12"/>
      <c r="D876" s="12"/>
      <c r="E876" s="12"/>
      <c r="F876" s="17"/>
      <c r="G876" s="12"/>
      <c r="H876" s="12"/>
      <c r="I876" s="12"/>
      <c r="J876" s="12"/>
      <c r="K876" s="12"/>
      <c r="L876" s="12"/>
      <c r="M876" s="12"/>
      <c r="N876" s="12"/>
      <c r="O876" s="12"/>
      <c r="P876" s="12"/>
      <c r="Q876" s="12"/>
      <c r="R876" s="12"/>
      <c r="S876" s="12"/>
      <c r="T876" s="12"/>
      <c r="U876" s="12"/>
      <c r="V876" s="14"/>
      <c r="W876" s="14"/>
      <c r="X876" s="14"/>
      <c r="Y876" s="14"/>
      <c r="Z876" s="15"/>
      <c r="AA876" s="12"/>
      <c r="AB876" s="12"/>
      <c r="AC876" s="12"/>
      <c r="AD876" s="12"/>
      <c r="AE876" s="12"/>
      <c r="AF876" s="12"/>
      <c r="AG876" s="12"/>
      <c r="AH876" s="12"/>
    </row>
    <row r="877" spans="1:34" ht="12.75">
      <c r="A877" s="12"/>
      <c r="B877" s="12"/>
      <c r="C877" s="12"/>
      <c r="D877" s="12"/>
      <c r="E877" s="12"/>
      <c r="F877" s="17"/>
      <c r="G877" s="12"/>
      <c r="H877" s="12"/>
      <c r="I877" s="12"/>
      <c r="J877" s="12"/>
      <c r="K877" s="12"/>
      <c r="L877" s="12"/>
      <c r="M877" s="12"/>
      <c r="N877" s="12"/>
      <c r="O877" s="12"/>
      <c r="P877" s="12"/>
      <c r="Q877" s="12"/>
      <c r="R877" s="12"/>
      <c r="S877" s="12"/>
      <c r="T877" s="12"/>
      <c r="U877" s="12"/>
      <c r="V877" s="14"/>
      <c r="W877" s="14"/>
      <c r="X877" s="14"/>
      <c r="Y877" s="14"/>
      <c r="Z877" s="15"/>
      <c r="AA877" s="12"/>
      <c r="AB877" s="12"/>
      <c r="AC877" s="12"/>
      <c r="AD877" s="12"/>
      <c r="AE877" s="12"/>
      <c r="AF877" s="12"/>
      <c r="AG877" s="12"/>
      <c r="AH877" s="12"/>
    </row>
    <row r="878" spans="1:34" ht="12.75">
      <c r="A878" s="12"/>
      <c r="B878" s="12"/>
      <c r="C878" s="12"/>
      <c r="D878" s="12"/>
      <c r="E878" s="12"/>
      <c r="F878" s="17"/>
      <c r="G878" s="12"/>
      <c r="H878" s="12"/>
      <c r="I878" s="12"/>
      <c r="J878" s="12"/>
      <c r="K878" s="12"/>
      <c r="L878" s="12"/>
      <c r="M878" s="12"/>
      <c r="N878" s="12"/>
      <c r="O878" s="12"/>
      <c r="P878" s="12"/>
      <c r="Q878" s="12"/>
      <c r="R878" s="12"/>
      <c r="S878" s="12"/>
      <c r="T878" s="12"/>
      <c r="U878" s="12"/>
      <c r="V878" s="14"/>
      <c r="W878" s="14"/>
      <c r="X878" s="14"/>
      <c r="Y878" s="14"/>
      <c r="Z878" s="15"/>
      <c r="AA878" s="12"/>
      <c r="AB878" s="12"/>
      <c r="AC878" s="12"/>
      <c r="AD878" s="12"/>
      <c r="AE878" s="12"/>
      <c r="AF878" s="12"/>
      <c r="AG878" s="12"/>
      <c r="AH878" s="12"/>
    </row>
    <row r="879" spans="1:34" ht="12.75">
      <c r="A879" s="12"/>
      <c r="B879" s="12"/>
      <c r="C879" s="12"/>
      <c r="D879" s="12"/>
      <c r="E879" s="12"/>
      <c r="F879" s="17"/>
      <c r="G879" s="12"/>
      <c r="H879" s="12"/>
      <c r="I879" s="12"/>
      <c r="J879" s="12"/>
      <c r="K879" s="12"/>
      <c r="L879" s="12"/>
      <c r="M879" s="12"/>
      <c r="N879" s="12"/>
      <c r="O879" s="12"/>
      <c r="P879" s="12"/>
      <c r="Q879" s="12"/>
      <c r="R879" s="12"/>
      <c r="S879" s="12"/>
      <c r="T879" s="12"/>
      <c r="U879" s="12"/>
      <c r="V879" s="14"/>
      <c r="W879" s="14"/>
      <c r="X879" s="14"/>
      <c r="Y879" s="14"/>
      <c r="Z879" s="15"/>
      <c r="AA879" s="12"/>
      <c r="AB879" s="12"/>
      <c r="AC879" s="12"/>
      <c r="AD879" s="12"/>
      <c r="AE879" s="12"/>
      <c r="AF879" s="12"/>
      <c r="AG879" s="12"/>
      <c r="AH879" s="12"/>
    </row>
    <row r="880" spans="1:34" ht="12.75">
      <c r="A880" s="12"/>
      <c r="B880" s="12"/>
      <c r="C880" s="12"/>
      <c r="D880" s="12"/>
      <c r="E880" s="12"/>
      <c r="F880" s="17"/>
      <c r="G880" s="12"/>
      <c r="H880" s="12"/>
      <c r="I880" s="12"/>
      <c r="J880" s="12"/>
      <c r="K880" s="12"/>
      <c r="L880" s="12"/>
      <c r="M880" s="12"/>
      <c r="N880" s="12"/>
      <c r="O880" s="12"/>
      <c r="P880" s="12"/>
      <c r="Q880" s="12"/>
      <c r="R880" s="12"/>
      <c r="S880" s="12"/>
      <c r="T880" s="12"/>
      <c r="U880" s="12"/>
      <c r="V880" s="14"/>
      <c r="W880" s="14"/>
      <c r="X880" s="14"/>
      <c r="Y880" s="14"/>
      <c r="Z880" s="15"/>
      <c r="AA880" s="12"/>
      <c r="AB880" s="12"/>
      <c r="AC880" s="12"/>
      <c r="AD880" s="12"/>
      <c r="AE880" s="12"/>
      <c r="AF880" s="12"/>
      <c r="AG880" s="12"/>
      <c r="AH880" s="12"/>
    </row>
    <row r="881" spans="1:34" ht="12.75">
      <c r="A881" s="12"/>
      <c r="B881" s="12"/>
      <c r="C881" s="12"/>
      <c r="D881" s="12"/>
      <c r="E881" s="12"/>
      <c r="F881" s="17"/>
      <c r="G881" s="12"/>
      <c r="H881" s="12"/>
      <c r="I881" s="12"/>
      <c r="J881" s="12"/>
      <c r="K881" s="12"/>
      <c r="L881" s="12"/>
      <c r="M881" s="12"/>
      <c r="N881" s="12"/>
      <c r="O881" s="12"/>
      <c r="P881" s="12"/>
      <c r="Q881" s="12"/>
      <c r="R881" s="12"/>
      <c r="S881" s="12"/>
      <c r="T881" s="12"/>
      <c r="U881" s="12"/>
      <c r="V881" s="14"/>
      <c r="W881" s="14"/>
      <c r="X881" s="14"/>
      <c r="Y881" s="14"/>
      <c r="Z881" s="15"/>
      <c r="AA881" s="12"/>
      <c r="AB881" s="12"/>
      <c r="AC881" s="12"/>
      <c r="AD881" s="12"/>
      <c r="AE881" s="12"/>
      <c r="AF881" s="12"/>
      <c r="AG881" s="12"/>
      <c r="AH881" s="12"/>
    </row>
    <row r="882" spans="1:34" ht="12.75">
      <c r="A882" s="12"/>
      <c r="B882" s="12"/>
      <c r="C882" s="12"/>
      <c r="D882" s="12"/>
      <c r="E882" s="12"/>
      <c r="F882" s="17"/>
      <c r="G882" s="12"/>
      <c r="H882" s="12"/>
      <c r="I882" s="12"/>
      <c r="J882" s="12"/>
      <c r="K882" s="12"/>
      <c r="L882" s="12"/>
      <c r="M882" s="12"/>
      <c r="N882" s="12"/>
      <c r="O882" s="12"/>
      <c r="P882" s="12"/>
      <c r="Q882" s="12"/>
      <c r="R882" s="12"/>
      <c r="S882" s="12"/>
      <c r="T882" s="12"/>
      <c r="U882" s="12"/>
      <c r="V882" s="14"/>
      <c r="W882" s="14"/>
      <c r="X882" s="14"/>
      <c r="Y882" s="14"/>
      <c r="Z882" s="15"/>
      <c r="AA882" s="12"/>
      <c r="AB882" s="12"/>
      <c r="AC882" s="12"/>
      <c r="AD882" s="12"/>
      <c r="AE882" s="12"/>
      <c r="AF882" s="12"/>
      <c r="AG882" s="12"/>
      <c r="AH882" s="12"/>
    </row>
    <row r="883" spans="1:34" ht="12.75">
      <c r="A883" s="12"/>
      <c r="B883" s="12"/>
      <c r="C883" s="12"/>
      <c r="D883" s="12"/>
      <c r="E883" s="12"/>
      <c r="F883" s="17"/>
      <c r="G883" s="12"/>
      <c r="H883" s="12"/>
      <c r="I883" s="12"/>
      <c r="J883" s="12"/>
      <c r="K883" s="12"/>
      <c r="L883" s="12"/>
      <c r="M883" s="12"/>
      <c r="N883" s="12"/>
      <c r="O883" s="12"/>
      <c r="P883" s="12"/>
      <c r="Q883" s="12"/>
      <c r="R883" s="12"/>
      <c r="S883" s="12"/>
      <c r="T883" s="12"/>
      <c r="U883" s="12"/>
      <c r="V883" s="14"/>
      <c r="W883" s="14"/>
      <c r="X883" s="14"/>
      <c r="Y883" s="14"/>
      <c r="Z883" s="15"/>
      <c r="AA883" s="12"/>
      <c r="AB883" s="12"/>
      <c r="AC883" s="12"/>
      <c r="AD883" s="12"/>
      <c r="AE883" s="12"/>
      <c r="AF883" s="12"/>
      <c r="AG883" s="12"/>
      <c r="AH883" s="12"/>
    </row>
    <row r="884" spans="1:34" ht="12.75">
      <c r="A884" s="12"/>
      <c r="B884" s="12"/>
      <c r="C884" s="12"/>
      <c r="D884" s="12"/>
      <c r="E884" s="12"/>
      <c r="F884" s="17"/>
      <c r="G884" s="12"/>
      <c r="H884" s="12"/>
      <c r="I884" s="12"/>
      <c r="J884" s="12"/>
      <c r="K884" s="12"/>
      <c r="L884" s="12"/>
      <c r="M884" s="12"/>
      <c r="N884" s="12"/>
      <c r="O884" s="12"/>
      <c r="P884" s="12"/>
      <c r="Q884" s="12"/>
      <c r="R884" s="12"/>
      <c r="S884" s="12"/>
      <c r="T884" s="12"/>
      <c r="U884" s="12"/>
      <c r="V884" s="14"/>
      <c r="W884" s="14"/>
      <c r="X884" s="14"/>
      <c r="Y884" s="14"/>
      <c r="Z884" s="15"/>
      <c r="AA884" s="12"/>
      <c r="AB884" s="12"/>
      <c r="AC884" s="12"/>
      <c r="AD884" s="12"/>
      <c r="AE884" s="12"/>
      <c r="AF884" s="12"/>
      <c r="AG884" s="12"/>
      <c r="AH884" s="12"/>
    </row>
    <row r="885" spans="1:34" ht="12.75">
      <c r="A885" s="12"/>
      <c r="B885" s="12"/>
      <c r="C885" s="12"/>
      <c r="D885" s="12"/>
      <c r="E885" s="12"/>
      <c r="F885" s="17"/>
      <c r="G885" s="12"/>
      <c r="H885" s="12"/>
      <c r="I885" s="12"/>
      <c r="J885" s="12"/>
      <c r="K885" s="12"/>
      <c r="L885" s="12"/>
      <c r="M885" s="12"/>
      <c r="N885" s="12"/>
      <c r="O885" s="12"/>
      <c r="P885" s="12"/>
      <c r="Q885" s="12"/>
      <c r="R885" s="12"/>
      <c r="S885" s="12"/>
      <c r="T885" s="12"/>
      <c r="U885" s="12"/>
      <c r="V885" s="14"/>
      <c r="W885" s="14"/>
      <c r="X885" s="14"/>
      <c r="Y885" s="14"/>
      <c r="Z885" s="15"/>
      <c r="AA885" s="12"/>
      <c r="AB885" s="12"/>
      <c r="AC885" s="12"/>
      <c r="AD885" s="12"/>
      <c r="AE885" s="12"/>
      <c r="AF885" s="12"/>
      <c r="AG885" s="12"/>
      <c r="AH885" s="12"/>
    </row>
    <row r="886" spans="1:34" ht="12.75">
      <c r="A886" s="12"/>
      <c r="B886" s="12"/>
      <c r="C886" s="12"/>
      <c r="D886" s="12"/>
      <c r="E886" s="12"/>
      <c r="F886" s="17"/>
      <c r="G886" s="12"/>
      <c r="H886" s="12"/>
      <c r="I886" s="12"/>
      <c r="J886" s="12"/>
      <c r="K886" s="12"/>
      <c r="L886" s="12"/>
      <c r="M886" s="12"/>
      <c r="N886" s="12"/>
      <c r="O886" s="12"/>
      <c r="P886" s="12"/>
      <c r="Q886" s="12"/>
      <c r="R886" s="12"/>
      <c r="S886" s="12"/>
      <c r="T886" s="12"/>
      <c r="U886" s="12"/>
      <c r="V886" s="14"/>
      <c r="W886" s="14"/>
      <c r="X886" s="14"/>
      <c r="Y886" s="14"/>
      <c r="Z886" s="15"/>
      <c r="AA886" s="12"/>
      <c r="AB886" s="12"/>
      <c r="AC886" s="12"/>
      <c r="AD886" s="12"/>
      <c r="AE886" s="12"/>
      <c r="AF886" s="12"/>
      <c r="AG886" s="12"/>
      <c r="AH886" s="12"/>
    </row>
    <row r="887" spans="1:34" ht="12.75">
      <c r="A887" s="12"/>
      <c r="B887" s="12"/>
      <c r="C887" s="12"/>
      <c r="D887" s="12"/>
      <c r="E887" s="12"/>
      <c r="F887" s="17"/>
      <c r="G887" s="12"/>
      <c r="H887" s="12"/>
      <c r="I887" s="12"/>
      <c r="J887" s="12"/>
      <c r="K887" s="12"/>
      <c r="L887" s="12"/>
      <c r="M887" s="12"/>
      <c r="N887" s="12"/>
      <c r="O887" s="12"/>
      <c r="P887" s="12"/>
      <c r="Q887" s="12"/>
      <c r="R887" s="12"/>
      <c r="S887" s="12"/>
      <c r="T887" s="12"/>
      <c r="U887" s="12"/>
      <c r="V887" s="14"/>
      <c r="W887" s="14"/>
      <c r="X887" s="14"/>
      <c r="Y887" s="14"/>
      <c r="Z887" s="15"/>
      <c r="AA887" s="12"/>
      <c r="AB887" s="12"/>
      <c r="AC887" s="12"/>
      <c r="AD887" s="12"/>
      <c r="AE887" s="12"/>
      <c r="AF887" s="12"/>
      <c r="AG887" s="12"/>
      <c r="AH887" s="12"/>
    </row>
    <row r="888" spans="1:34" ht="12.75">
      <c r="A888" s="12"/>
      <c r="B888" s="12"/>
      <c r="C888" s="12"/>
      <c r="D888" s="12"/>
      <c r="E888" s="12"/>
      <c r="F888" s="17"/>
      <c r="G888" s="12"/>
      <c r="H888" s="12"/>
      <c r="I888" s="12"/>
      <c r="J888" s="12"/>
      <c r="K888" s="12"/>
      <c r="L888" s="12"/>
      <c r="M888" s="12"/>
      <c r="N888" s="12"/>
      <c r="O888" s="12"/>
      <c r="P888" s="12"/>
      <c r="Q888" s="12"/>
      <c r="R888" s="12"/>
      <c r="S888" s="12"/>
      <c r="T888" s="12"/>
      <c r="U888" s="12"/>
      <c r="V888" s="14"/>
      <c r="W888" s="14"/>
      <c r="X888" s="14"/>
      <c r="Y888" s="14"/>
      <c r="Z888" s="15"/>
      <c r="AA888" s="12"/>
      <c r="AB888" s="12"/>
      <c r="AC888" s="12"/>
      <c r="AD888" s="12"/>
      <c r="AE888" s="12"/>
      <c r="AF888" s="12"/>
      <c r="AG888" s="12"/>
      <c r="AH888" s="12"/>
    </row>
    <row r="889" spans="1:34" ht="12.75">
      <c r="A889" s="12"/>
      <c r="B889" s="12"/>
      <c r="C889" s="12"/>
      <c r="D889" s="12"/>
      <c r="E889" s="12"/>
      <c r="F889" s="17"/>
      <c r="G889" s="12"/>
      <c r="H889" s="12"/>
      <c r="I889" s="12"/>
      <c r="J889" s="12"/>
      <c r="K889" s="12"/>
      <c r="L889" s="12"/>
      <c r="M889" s="12"/>
      <c r="N889" s="12"/>
      <c r="O889" s="12"/>
      <c r="P889" s="12"/>
      <c r="Q889" s="12"/>
      <c r="R889" s="12"/>
      <c r="S889" s="12"/>
      <c r="T889" s="12"/>
      <c r="U889" s="12"/>
      <c r="V889" s="14"/>
      <c r="W889" s="14"/>
      <c r="X889" s="14"/>
      <c r="Y889" s="14"/>
      <c r="Z889" s="15"/>
      <c r="AA889" s="12"/>
      <c r="AB889" s="12"/>
      <c r="AC889" s="12"/>
      <c r="AD889" s="12"/>
      <c r="AE889" s="12"/>
      <c r="AF889" s="12"/>
      <c r="AG889" s="12"/>
      <c r="AH889" s="12"/>
    </row>
    <row r="890" spans="1:34" ht="12.75">
      <c r="A890" s="12"/>
      <c r="B890" s="12"/>
      <c r="C890" s="12"/>
      <c r="D890" s="12"/>
      <c r="E890" s="12"/>
      <c r="F890" s="17"/>
      <c r="G890" s="12"/>
      <c r="H890" s="12"/>
      <c r="I890" s="12"/>
      <c r="J890" s="12"/>
      <c r="K890" s="12"/>
      <c r="L890" s="12"/>
      <c r="M890" s="12"/>
      <c r="N890" s="12"/>
      <c r="O890" s="12"/>
      <c r="P890" s="12"/>
      <c r="Q890" s="12"/>
      <c r="R890" s="12"/>
      <c r="S890" s="12"/>
      <c r="T890" s="12"/>
      <c r="U890" s="12"/>
      <c r="V890" s="14"/>
      <c r="W890" s="14"/>
      <c r="X890" s="14"/>
      <c r="Y890" s="14"/>
      <c r="Z890" s="15"/>
      <c r="AA890" s="12"/>
      <c r="AB890" s="12"/>
      <c r="AC890" s="12"/>
      <c r="AD890" s="12"/>
      <c r="AE890" s="12"/>
      <c r="AF890" s="12"/>
      <c r="AG890" s="12"/>
      <c r="AH890" s="12"/>
    </row>
    <row r="891" spans="1:34" ht="12.75">
      <c r="A891" s="12"/>
      <c r="B891" s="12"/>
      <c r="C891" s="12"/>
      <c r="D891" s="12"/>
      <c r="E891" s="12"/>
      <c r="F891" s="17"/>
      <c r="G891" s="12"/>
      <c r="H891" s="12"/>
      <c r="I891" s="12"/>
      <c r="J891" s="12"/>
      <c r="K891" s="12"/>
      <c r="L891" s="12"/>
      <c r="M891" s="12"/>
      <c r="N891" s="12"/>
      <c r="O891" s="12"/>
      <c r="P891" s="12"/>
      <c r="Q891" s="12"/>
      <c r="R891" s="12"/>
      <c r="S891" s="12"/>
      <c r="T891" s="12"/>
      <c r="U891" s="12"/>
      <c r="V891" s="14"/>
      <c r="W891" s="14"/>
      <c r="X891" s="14"/>
      <c r="Y891" s="14"/>
      <c r="Z891" s="15"/>
      <c r="AA891" s="12"/>
      <c r="AB891" s="12"/>
      <c r="AC891" s="12"/>
      <c r="AD891" s="12"/>
      <c r="AE891" s="12"/>
      <c r="AF891" s="12"/>
      <c r="AG891" s="12"/>
      <c r="AH891" s="12"/>
    </row>
    <row r="892" spans="1:34" ht="12.75">
      <c r="A892" s="12"/>
      <c r="B892" s="12"/>
      <c r="C892" s="12"/>
      <c r="D892" s="12"/>
      <c r="E892" s="12"/>
      <c r="F892" s="17"/>
      <c r="G892" s="12"/>
      <c r="H892" s="12"/>
      <c r="I892" s="12"/>
      <c r="J892" s="12"/>
      <c r="K892" s="12"/>
      <c r="L892" s="12"/>
      <c r="M892" s="12"/>
      <c r="N892" s="12"/>
      <c r="O892" s="12"/>
      <c r="P892" s="12"/>
      <c r="Q892" s="12"/>
      <c r="R892" s="12"/>
      <c r="S892" s="12"/>
      <c r="T892" s="12"/>
      <c r="U892" s="12"/>
      <c r="V892" s="14"/>
      <c r="W892" s="14"/>
      <c r="X892" s="14"/>
      <c r="Y892" s="14"/>
      <c r="Z892" s="15"/>
      <c r="AA892" s="12"/>
      <c r="AB892" s="12"/>
      <c r="AC892" s="12"/>
      <c r="AD892" s="12"/>
      <c r="AE892" s="12"/>
      <c r="AF892" s="12"/>
      <c r="AG892" s="12"/>
      <c r="AH892" s="12"/>
    </row>
    <row r="893" spans="1:34" ht="12.75">
      <c r="A893" s="12"/>
      <c r="B893" s="12"/>
      <c r="C893" s="12"/>
      <c r="D893" s="12"/>
      <c r="E893" s="12"/>
      <c r="F893" s="17"/>
      <c r="G893" s="12"/>
      <c r="H893" s="12"/>
      <c r="I893" s="12"/>
      <c r="J893" s="12"/>
      <c r="K893" s="12"/>
      <c r="L893" s="12"/>
      <c r="M893" s="12"/>
      <c r="N893" s="12"/>
      <c r="O893" s="12"/>
      <c r="P893" s="12"/>
      <c r="Q893" s="12"/>
      <c r="R893" s="12"/>
      <c r="S893" s="12"/>
      <c r="T893" s="12"/>
      <c r="U893" s="12"/>
      <c r="V893" s="14"/>
      <c r="W893" s="14"/>
      <c r="X893" s="14"/>
      <c r="Y893" s="14"/>
      <c r="Z893" s="15"/>
      <c r="AA893" s="12"/>
      <c r="AB893" s="12"/>
      <c r="AC893" s="12"/>
      <c r="AD893" s="12"/>
      <c r="AE893" s="12"/>
      <c r="AF893" s="12"/>
      <c r="AG893" s="12"/>
      <c r="AH893" s="12"/>
    </row>
    <row r="894" spans="1:34" ht="12.75">
      <c r="A894" s="12"/>
      <c r="B894" s="12"/>
      <c r="C894" s="12"/>
      <c r="D894" s="12"/>
      <c r="E894" s="12"/>
      <c r="F894" s="17"/>
      <c r="G894" s="12"/>
      <c r="H894" s="12"/>
      <c r="I894" s="12"/>
      <c r="J894" s="12"/>
      <c r="K894" s="12"/>
      <c r="L894" s="12"/>
      <c r="M894" s="12"/>
      <c r="N894" s="12"/>
      <c r="O894" s="12"/>
      <c r="P894" s="12"/>
      <c r="Q894" s="12"/>
      <c r="R894" s="12"/>
      <c r="S894" s="12"/>
      <c r="T894" s="12"/>
      <c r="U894" s="12"/>
      <c r="V894" s="14"/>
      <c r="W894" s="14"/>
      <c r="X894" s="14"/>
      <c r="Y894" s="14"/>
      <c r="Z894" s="15"/>
      <c r="AA894" s="12"/>
      <c r="AB894" s="12"/>
      <c r="AC894" s="12"/>
      <c r="AD894" s="12"/>
      <c r="AE894" s="12"/>
      <c r="AF894" s="12"/>
      <c r="AG894" s="12"/>
      <c r="AH894" s="12"/>
    </row>
    <row r="895" spans="1:34" ht="12.75">
      <c r="A895" s="12"/>
      <c r="B895" s="12"/>
      <c r="C895" s="12"/>
      <c r="D895" s="12"/>
      <c r="E895" s="12"/>
      <c r="F895" s="17"/>
      <c r="G895" s="12"/>
      <c r="H895" s="12"/>
      <c r="I895" s="12"/>
      <c r="J895" s="12"/>
      <c r="K895" s="12"/>
      <c r="L895" s="12"/>
      <c r="M895" s="12"/>
      <c r="N895" s="12"/>
      <c r="O895" s="12"/>
      <c r="P895" s="12"/>
      <c r="Q895" s="12"/>
      <c r="R895" s="12"/>
      <c r="S895" s="12"/>
      <c r="T895" s="12"/>
      <c r="U895" s="12"/>
      <c r="V895" s="14"/>
      <c r="W895" s="14"/>
      <c r="X895" s="14"/>
      <c r="Y895" s="14"/>
      <c r="Z895" s="15"/>
      <c r="AA895" s="12"/>
      <c r="AB895" s="12"/>
      <c r="AC895" s="12"/>
      <c r="AD895" s="12"/>
      <c r="AE895" s="12"/>
      <c r="AF895" s="12"/>
      <c r="AG895" s="12"/>
      <c r="AH895" s="12"/>
    </row>
    <row r="896" spans="1:34" ht="12.75">
      <c r="A896" s="12"/>
      <c r="B896" s="12"/>
      <c r="C896" s="12"/>
      <c r="D896" s="12"/>
      <c r="E896" s="12"/>
      <c r="F896" s="17"/>
      <c r="G896" s="12"/>
      <c r="H896" s="12"/>
      <c r="I896" s="12"/>
      <c r="J896" s="12"/>
      <c r="K896" s="12"/>
      <c r="L896" s="12"/>
      <c r="M896" s="12"/>
      <c r="N896" s="12"/>
      <c r="O896" s="12"/>
      <c r="P896" s="12"/>
      <c r="Q896" s="12"/>
      <c r="R896" s="12"/>
      <c r="S896" s="12"/>
      <c r="T896" s="12"/>
      <c r="U896" s="12"/>
      <c r="V896" s="14"/>
      <c r="W896" s="14"/>
      <c r="X896" s="14"/>
      <c r="Y896" s="14"/>
      <c r="Z896" s="15"/>
      <c r="AA896" s="12"/>
      <c r="AB896" s="12"/>
      <c r="AC896" s="12"/>
      <c r="AD896" s="12"/>
      <c r="AE896" s="12"/>
      <c r="AF896" s="12"/>
      <c r="AG896" s="12"/>
      <c r="AH896" s="12"/>
    </row>
    <row r="897" spans="1:34" ht="12.75">
      <c r="A897" s="12"/>
      <c r="B897" s="12"/>
      <c r="C897" s="12"/>
      <c r="D897" s="12"/>
      <c r="E897" s="12"/>
      <c r="F897" s="17"/>
      <c r="G897" s="12"/>
      <c r="H897" s="12"/>
      <c r="I897" s="12"/>
      <c r="J897" s="12"/>
      <c r="K897" s="12"/>
      <c r="L897" s="12"/>
      <c r="M897" s="12"/>
      <c r="N897" s="12"/>
      <c r="O897" s="12"/>
      <c r="P897" s="12"/>
      <c r="Q897" s="12"/>
      <c r="R897" s="12"/>
      <c r="S897" s="12"/>
      <c r="T897" s="12"/>
      <c r="U897" s="12"/>
      <c r="V897" s="14"/>
      <c r="W897" s="14"/>
      <c r="X897" s="14"/>
      <c r="Y897" s="14"/>
      <c r="Z897" s="15"/>
      <c r="AA897" s="12"/>
      <c r="AB897" s="12"/>
      <c r="AC897" s="12"/>
      <c r="AD897" s="12"/>
      <c r="AE897" s="12"/>
      <c r="AF897" s="12"/>
      <c r="AG897" s="12"/>
      <c r="AH897" s="12"/>
    </row>
    <row r="898" spans="1:34" ht="12.75">
      <c r="A898" s="12"/>
      <c r="B898" s="12"/>
      <c r="C898" s="12"/>
      <c r="D898" s="12"/>
      <c r="E898" s="12"/>
      <c r="F898" s="17"/>
      <c r="G898" s="12"/>
      <c r="H898" s="12"/>
      <c r="I898" s="12"/>
      <c r="J898" s="12"/>
      <c r="K898" s="12"/>
      <c r="L898" s="12"/>
      <c r="M898" s="12"/>
      <c r="N898" s="12"/>
      <c r="O898" s="12"/>
      <c r="P898" s="12"/>
      <c r="Q898" s="12"/>
      <c r="R898" s="12"/>
      <c r="S898" s="12"/>
      <c r="T898" s="12"/>
      <c r="U898" s="12"/>
      <c r="V898" s="14"/>
      <c r="W898" s="14"/>
      <c r="X898" s="14"/>
      <c r="Y898" s="14"/>
      <c r="Z898" s="15"/>
      <c r="AA898" s="12"/>
      <c r="AB898" s="12"/>
      <c r="AC898" s="12"/>
      <c r="AD898" s="12"/>
      <c r="AE898" s="12"/>
      <c r="AF898" s="12"/>
      <c r="AG898" s="12"/>
      <c r="AH898" s="12"/>
    </row>
    <row r="899" spans="1:34" ht="12.75">
      <c r="A899" s="12"/>
      <c r="B899" s="12"/>
      <c r="C899" s="12"/>
      <c r="D899" s="12"/>
      <c r="E899" s="12"/>
      <c r="F899" s="17"/>
      <c r="G899" s="12"/>
      <c r="H899" s="12"/>
      <c r="I899" s="12"/>
      <c r="J899" s="12"/>
      <c r="K899" s="12"/>
      <c r="L899" s="12"/>
      <c r="M899" s="12"/>
      <c r="N899" s="12"/>
      <c r="O899" s="12"/>
      <c r="P899" s="12"/>
      <c r="Q899" s="12"/>
      <c r="R899" s="12"/>
      <c r="S899" s="12"/>
      <c r="T899" s="12"/>
      <c r="U899" s="12"/>
      <c r="V899" s="14"/>
      <c r="W899" s="14"/>
      <c r="X899" s="14"/>
      <c r="Y899" s="14"/>
      <c r="Z899" s="15"/>
      <c r="AA899" s="12"/>
      <c r="AB899" s="12"/>
      <c r="AC899" s="12"/>
      <c r="AD899" s="12"/>
      <c r="AE899" s="12"/>
      <c r="AF899" s="12"/>
      <c r="AG899" s="12"/>
      <c r="AH899" s="12"/>
    </row>
    <row r="900" spans="1:34" ht="12.75">
      <c r="A900" s="12"/>
      <c r="B900" s="12"/>
      <c r="C900" s="12"/>
      <c r="D900" s="12"/>
      <c r="E900" s="12"/>
      <c r="F900" s="17"/>
      <c r="G900" s="12"/>
      <c r="H900" s="12"/>
      <c r="I900" s="12"/>
      <c r="J900" s="12"/>
      <c r="K900" s="12"/>
      <c r="L900" s="12"/>
      <c r="M900" s="12"/>
      <c r="N900" s="12"/>
      <c r="O900" s="12"/>
      <c r="P900" s="12"/>
      <c r="Q900" s="12"/>
      <c r="R900" s="12"/>
      <c r="S900" s="12"/>
      <c r="T900" s="12"/>
      <c r="U900" s="12"/>
      <c r="V900" s="14"/>
      <c r="W900" s="14"/>
      <c r="X900" s="14"/>
      <c r="Y900" s="14"/>
      <c r="Z900" s="15"/>
      <c r="AA900" s="12"/>
      <c r="AB900" s="12"/>
      <c r="AC900" s="12"/>
      <c r="AD900" s="12"/>
      <c r="AE900" s="12"/>
      <c r="AF900" s="12"/>
      <c r="AG900" s="12"/>
      <c r="AH900" s="12"/>
    </row>
    <row r="901" spans="1:34" ht="12.75">
      <c r="A901" s="12"/>
      <c r="B901" s="12"/>
      <c r="C901" s="12"/>
      <c r="D901" s="12"/>
      <c r="E901" s="12"/>
      <c r="F901" s="17"/>
      <c r="G901" s="12"/>
      <c r="H901" s="12"/>
      <c r="I901" s="12"/>
      <c r="J901" s="12"/>
      <c r="K901" s="12"/>
      <c r="L901" s="12"/>
      <c r="M901" s="12"/>
      <c r="N901" s="12"/>
      <c r="O901" s="12"/>
      <c r="P901" s="12"/>
      <c r="Q901" s="12"/>
      <c r="R901" s="12"/>
      <c r="S901" s="12"/>
      <c r="T901" s="12"/>
      <c r="U901" s="12"/>
      <c r="V901" s="14"/>
      <c r="W901" s="14"/>
      <c r="X901" s="14"/>
      <c r="Y901" s="14"/>
      <c r="Z901" s="15"/>
      <c r="AA901" s="12"/>
      <c r="AB901" s="12"/>
      <c r="AC901" s="12"/>
      <c r="AD901" s="12"/>
      <c r="AE901" s="12"/>
      <c r="AF901" s="12"/>
      <c r="AG901" s="12"/>
      <c r="AH901" s="12"/>
    </row>
    <row r="902" spans="1:34" ht="12.75">
      <c r="A902" s="12"/>
      <c r="B902" s="12"/>
      <c r="C902" s="12"/>
      <c r="D902" s="12"/>
      <c r="E902" s="12"/>
      <c r="F902" s="17"/>
      <c r="G902" s="12"/>
      <c r="H902" s="12"/>
      <c r="I902" s="12"/>
      <c r="J902" s="12"/>
      <c r="K902" s="12"/>
      <c r="L902" s="12"/>
      <c r="M902" s="12"/>
      <c r="N902" s="12"/>
      <c r="O902" s="12"/>
      <c r="P902" s="12"/>
      <c r="Q902" s="12"/>
      <c r="R902" s="12"/>
      <c r="S902" s="12"/>
      <c r="T902" s="12"/>
      <c r="U902" s="12"/>
      <c r="V902" s="14"/>
      <c r="W902" s="14"/>
      <c r="X902" s="14"/>
      <c r="Y902" s="14"/>
      <c r="Z902" s="15"/>
      <c r="AA902" s="12"/>
      <c r="AB902" s="12"/>
      <c r="AC902" s="12"/>
      <c r="AD902" s="12"/>
      <c r="AE902" s="12"/>
      <c r="AF902" s="12"/>
      <c r="AG902" s="12"/>
      <c r="AH902" s="12"/>
    </row>
    <row r="903" spans="1:34" ht="12.75">
      <c r="A903" s="12"/>
      <c r="B903" s="12"/>
      <c r="C903" s="12"/>
      <c r="D903" s="12"/>
      <c r="E903" s="12"/>
      <c r="F903" s="17"/>
      <c r="G903" s="12"/>
      <c r="H903" s="12"/>
      <c r="I903" s="12"/>
      <c r="J903" s="12"/>
      <c r="K903" s="12"/>
      <c r="L903" s="12"/>
      <c r="M903" s="12"/>
      <c r="N903" s="12"/>
      <c r="O903" s="12"/>
      <c r="P903" s="12"/>
      <c r="Q903" s="12"/>
      <c r="R903" s="12"/>
      <c r="S903" s="12"/>
      <c r="T903" s="12"/>
      <c r="U903" s="12"/>
      <c r="V903" s="14"/>
      <c r="W903" s="14"/>
      <c r="X903" s="14"/>
      <c r="Y903" s="14"/>
      <c r="Z903" s="15"/>
      <c r="AA903" s="12"/>
      <c r="AB903" s="12"/>
      <c r="AC903" s="12"/>
      <c r="AD903" s="12"/>
      <c r="AE903" s="12"/>
      <c r="AF903" s="12"/>
      <c r="AG903" s="12"/>
      <c r="AH903" s="12"/>
    </row>
    <row r="904" spans="1:34" ht="12.75">
      <c r="A904" s="12"/>
      <c r="B904" s="12"/>
      <c r="C904" s="12"/>
      <c r="D904" s="12"/>
      <c r="E904" s="12"/>
      <c r="F904" s="17"/>
      <c r="G904" s="12"/>
      <c r="H904" s="12"/>
      <c r="I904" s="12"/>
      <c r="J904" s="12"/>
      <c r="K904" s="12"/>
      <c r="L904" s="12"/>
      <c r="M904" s="12"/>
      <c r="N904" s="12"/>
      <c r="O904" s="12"/>
      <c r="P904" s="12"/>
      <c r="Q904" s="12"/>
      <c r="R904" s="12"/>
      <c r="S904" s="12"/>
      <c r="T904" s="12"/>
      <c r="U904" s="12"/>
      <c r="V904" s="14"/>
      <c r="W904" s="14"/>
      <c r="X904" s="14"/>
      <c r="Y904" s="14"/>
      <c r="Z904" s="15"/>
      <c r="AA904" s="12"/>
      <c r="AB904" s="12"/>
      <c r="AC904" s="12"/>
      <c r="AD904" s="12"/>
      <c r="AE904" s="12"/>
      <c r="AF904" s="12"/>
      <c r="AG904" s="12"/>
      <c r="AH904" s="12"/>
    </row>
    <row r="905" spans="1:34" ht="12.75">
      <c r="A905" s="12"/>
      <c r="B905" s="12"/>
      <c r="C905" s="12"/>
      <c r="D905" s="12"/>
      <c r="E905" s="12"/>
      <c r="F905" s="17"/>
      <c r="G905" s="12"/>
      <c r="H905" s="12"/>
      <c r="I905" s="12"/>
      <c r="J905" s="12"/>
      <c r="K905" s="12"/>
      <c r="L905" s="12"/>
      <c r="M905" s="12"/>
      <c r="N905" s="12"/>
      <c r="O905" s="12"/>
      <c r="P905" s="12"/>
      <c r="Q905" s="12"/>
      <c r="R905" s="12"/>
      <c r="S905" s="12"/>
      <c r="T905" s="12"/>
      <c r="U905" s="12"/>
      <c r="V905" s="14"/>
      <c r="W905" s="14"/>
      <c r="X905" s="14"/>
      <c r="Y905" s="14"/>
      <c r="Z905" s="15"/>
      <c r="AA905" s="12"/>
      <c r="AB905" s="12"/>
      <c r="AC905" s="12"/>
      <c r="AD905" s="12"/>
      <c r="AE905" s="12"/>
      <c r="AF905" s="12"/>
      <c r="AG905" s="12"/>
      <c r="AH905" s="12"/>
    </row>
    <row r="906" spans="1:34" ht="12.75">
      <c r="A906" s="12"/>
      <c r="B906" s="12"/>
      <c r="C906" s="12"/>
      <c r="D906" s="12"/>
      <c r="E906" s="12"/>
      <c r="F906" s="17"/>
      <c r="G906" s="12"/>
      <c r="H906" s="12"/>
      <c r="I906" s="12"/>
      <c r="J906" s="12"/>
      <c r="K906" s="12"/>
      <c r="L906" s="12"/>
      <c r="M906" s="12"/>
      <c r="N906" s="12"/>
      <c r="O906" s="12"/>
      <c r="P906" s="12"/>
      <c r="Q906" s="12"/>
      <c r="R906" s="12"/>
      <c r="S906" s="12"/>
      <c r="T906" s="12"/>
      <c r="U906" s="12"/>
      <c r="V906" s="14"/>
      <c r="W906" s="14"/>
      <c r="X906" s="14"/>
      <c r="Y906" s="14"/>
      <c r="Z906" s="15"/>
      <c r="AA906" s="12"/>
      <c r="AB906" s="12"/>
      <c r="AC906" s="12"/>
      <c r="AD906" s="12"/>
      <c r="AE906" s="12"/>
      <c r="AF906" s="12"/>
      <c r="AG906" s="12"/>
      <c r="AH906" s="12"/>
    </row>
    <row r="907" spans="1:34" ht="12.75">
      <c r="A907" s="12"/>
      <c r="B907" s="12"/>
      <c r="C907" s="12"/>
      <c r="D907" s="12"/>
      <c r="E907" s="12"/>
      <c r="F907" s="17"/>
      <c r="G907" s="12"/>
      <c r="H907" s="12"/>
      <c r="I907" s="12"/>
      <c r="J907" s="12"/>
      <c r="K907" s="12"/>
      <c r="L907" s="12"/>
      <c r="M907" s="12"/>
      <c r="N907" s="12"/>
      <c r="O907" s="12"/>
      <c r="P907" s="12"/>
      <c r="Q907" s="12"/>
      <c r="R907" s="12"/>
      <c r="S907" s="12"/>
      <c r="T907" s="12"/>
      <c r="U907" s="12"/>
      <c r="V907" s="14"/>
      <c r="W907" s="14"/>
      <c r="X907" s="14"/>
      <c r="Y907" s="14"/>
      <c r="Z907" s="15"/>
      <c r="AA907" s="12"/>
      <c r="AB907" s="12"/>
      <c r="AC907" s="12"/>
      <c r="AD907" s="12"/>
      <c r="AE907" s="12"/>
      <c r="AF907" s="12"/>
      <c r="AG907" s="12"/>
      <c r="AH907" s="12"/>
    </row>
    <row r="908" spans="1:34" ht="12.75">
      <c r="A908" s="12"/>
      <c r="B908" s="12"/>
      <c r="C908" s="12"/>
      <c r="D908" s="12"/>
      <c r="E908" s="12"/>
      <c r="F908" s="17"/>
      <c r="G908" s="12"/>
      <c r="H908" s="12"/>
      <c r="I908" s="12"/>
      <c r="J908" s="12"/>
      <c r="K908" s="12"/>
      <c r="L908" s="12"/>
      <c r="M908" s="12"/>
      <c r="N908" s="12"/>
      <c r="O908" s="12"/>
      <c r="P908" s="12"/>
      <c r="Q908" s="12"/>
      <c r="R908" s="12"/>
      <c r="S908" s="12"/>
      <c r="T908" s="12"/>
      <c r="U908" s="12"/>
      <c r="V908" s="14"/>
      <c r="W908" s="14"/>
      <c r="X908" s="14"/>
      <c r="Y908" s="14"/>
      <c r="Z908" s="15"/>
      <c r="AA908" s="12"/>
      <c r="AB908" s="12"/>
      <c r="AC908" s="12"/>
      <c r="AD908" s="12"/>
      <c r="AE908" s="12"/>
      <c r="AF908" s="12"/>
      <c r="AG908" s="12"/>
      <c r="AH908" s="12"/>
    </row>
    <row r="909" spans="1:34" ht="12.75">
      <c r="A909" s="12"/>
      <c r="B909" s="12"/>
      <c r="C909" s="12"/>
      <c r="D909" s="12"/>
      <c r="E909" s="12"/>
      <c r="F909" s="17"/>
      <c r="G909" s="12"/>
      <c r="H909" s="12"/>
      <c r="I909" s="12"/>
      <c r="J909" s="12"/>
      <c r="K909" s="12"/>
      <c r="L909" s="12"/>
      <c r="M909" s="12"/>
      <c r="N909" s="12"/>
      <c r="O909" s="12"/>
      <c r="P909" s="12"/>
      <c r="Q909" s="12"/>
      <c r="R909" s="12"/>
      <c r="S909" s="12"/>
      <c r="T909" s="12"/>
      <c r="U909" s="12"/>
      <c r="V909" s="14"/>
      <c r="W909" s="14"/>
      <c r="X909" s="14"/>
      <c r="Y909" s="14"/>
      <c r="Z909" s="15"/>
      <c r="AA909" s="12"/>
      <c r="AB909" s="12"/>
      <c r="AC909" s="12"/>
      <c r="AD909" s="12"/>
      <c r="AE909" s="12"/>
      <c r="AF909" s="12"/>
      <c r="AG909" s="12"/>
      <c r="AH909" s="12"/>
    </row>
    <row r="910" spans="1:34" ht="12.75">
      <c r="A910" s="12"/>
      <c r="B910" s="12"/>
      <c r="C910" s="12"/>
      <c r="D910" s="12"/>
      <c r="E910" s="12"/>
      <c r="F910" s="17"/>
      <c r="G910" s="12"/>
      <c r="H910" s="12"/>
      <c r="I910" s="12"/>
      <c r="J910" s="12"/>
      <c r="K910" s="12"/>
      <c r="L910" s="12"/>
      <c r="M910" s="12"/>
      <c r="N910" s="12"/>
      <c r="O910" s="12"/>
      <c r="P910" s="12"/>
      <c r="Q910" s="12"/>
      <c r="R910" s="12"/>
      <c r="S910" s="12"/>
      <c r="T910" s="12"/>
      <c r="U910" s="12"/>
      <c r="V910" s="14"/>
      <c r="W910" s="14"/>
      <c r="X910" s="14"/>
      <c r="Y910" s="14"/>
      <c r="Z910" s="15"/>
      <c r="AA910" s="12"/>
      <c r="AB910" s="12"/>
      <c r="AC910" s="12"/>
      <c r="AD910" s="12"/>
      <c r="AE910" s="12"/>
      <c r="AF910" s="12"/>
      <c r="AG910" s="12"/>
      <c r="AH910" s="12"/>
    </row>
    <row r="911" spans="1:34" ht="12.75">
      <c r="A911" s="12"/>
      <c r="B911" s="12"/>
      <c r="C911" s="12"/>
      <c r="D911" s="12"/>
      <c r="E911" s="12"/>
      <c r="F911" s="17"/>
      <c r="G911" s="12"/>
      <c r="H911" s="12"/>
      <c r="I911" s="12"/>
      <c r="J911" s="12"/>
      <c r="K911" s="12"/>
      <c r="L911" s="12"/>
      <c r="M911" s="12"/>
      <c r="N911" s="12"/>
      <c r="O911" s="12"/>
      <c r="P911" s="12"/>
      <c r="Q911" s="12"/>
      <c r="R911" s="12"/>
      <c r="S911" s="12"/>
      <c r="T911" s="12"/>
      <c r="U911" s="12"/>
      <c r="V911" s="14"/>
      <c r="W911" s="14"/>
      <c r="X911" s="14"/>
      <c r="Y911" s="14"/>
      <c r="Z911" s="15"/>
      <c r="AA911" s="12"/>
      <c r="AB911" s="12"/>
      <c r="AC911" s="12"/>
      <c r="AD911" s="12"/>
      <c r="AE911" s="12"/>
      <c r="AF911" s="12"/>
      <c r="AG911" s="12"/>
      <c r="AH911" s="12"/>
    </row>
    <row r="912" spans="1:34" ht="12.75">
      <c r="A912" s="12"/>
      <c r="B912" s="12"/>
      <c r="C912" s="12"/>
      <c r="D912" s="12"/>
      <c r="E912" s="12"/>
      <c r="F912" s="17"/>
      <c r="G912" s="12"/>
      <c r="H912" s="12"/>
      <c r="I912" s="12"/>
      <c r="J912" s="12"/>
      <c r="K912" s="12"/>
      <c r="L912" s="12"/>
      <c r="M912" s="12"/>
      <c r="N912" s="12"/>
      <c r="O912" s="12"/>
      <c r="P912" s="12"/>
      <c r="Q912" s="12"/>
      <c r="R912" s="12"/>
      <c r="S912" s="12"/>
      <c r="T912" s="12"/>
      <c r="U912" s="12"/>
      <c r="V912" s="14"/>
      <c r="W912" s="14"/>
      <c r="X912" s="14"/>
      <c r="Y912" s="14"/>
      <c r="Z912" s="15"/>
      <c r="AA912" s="12"/>
      <c r="AB912" s="12"/>
      <c r="AC912" s="12"/>
      <c r="AD912" s="12"/>
      <c r="AE912" s="12"/>
      <c r="AF912" s="12"/>
      <c r="AG912" s="12"/>
      <c r="AH912" s="12"/>
    </row>
    <row r="913" spans="1:34" ht="12.75">
      <c r="A913" s="12"/>
      <c r="B913" s="12"/>
      <c r="C913" s="12"/>
      <c r="D913" s="12"/>
      <c r="E913" s="12"/>
      <c r="F913" s="17"/>
      <c r="G913" s="12"/>
      <c r="H913" s="12"/>
      <c r="I913" s="12"/>
      <c r="J913" s="12"/>
      <c r="K913" s="12"/>
      <c r="L913" s="12"/>
      <c r="M913" s="12"/>
      <c r="N913" s="12"/>
      <c r="O913" s="12"/>
      <c r="P913" s="12"/>
      <c r="Q913" s="12"/>
      <c r="R913" s="12"/>
      <c r="S913" s="12"/>
      <c r="T913" s="12"/>
      <c r="U913" s="12"/>
      <c r="V913" s="14"/>
      <c r="W913" s="14"/>
      <c r="X913" s="14"/>
      <c r="Y913" s="14"/>
      <c r="Z913" s="15"/>
      <c r="AA913" s="12"/>
      <c r="AB913" s="12"/>
      <c r="AC913" s="12"/>
      <c r="AD913" s="12"/>
      <c r="AE913" s="12"/>
      <c r="AF913" s="12"/>
      <c r="AG913" s="12"/>
      <c r="AH913" s="12"/>
    </row>
    <row r="914" spans="1:34" ht="12.75">
      <c r="A914" s="12"/>
      <c r="B914" s="12"/>
      <c r="C914" s="12"/>
      <c r="D914" s="12"/>
      <c r="E914" s="12"/>
      <c r="F914" s="17"/>
      <c r="G914" s="12"/>
      <c r="H914" s="12"/>
      <c r="I914" s="12"/>
      <c r="J914" s="12"/>
      <c r="K914" s="12"/>
      <c r="L914" s="12"/>
      <c r="M914" s="12"/>
      <c r="N914" s="12"/>
      <c r="O914" s="12"/>
      <c r="P914" s="12"/>
      <c r="Q914" s="12"/>
      <c r="R914" s="12"/>
      <c r="S914" s="12"/>
      <c r="T914" s="12"/>
      <c r="U914" s="12"/>
      <c r="V914" s="14"/>
      <c r="W914" s="14"/>
      <c r="X914" s="14"/>
      <c r="Y914" s="14"/>
      <c r="Z914" s="15"/>
      <c r="AA914" s="12"/>
      <c r="AB914" s="12"/>
      <c r="AC914" s="12"/>
      <c r="AD914" s="12"/>
      <c r="AE914" s="12"/>
      <c r="AF914" s="12"/>
      <c r="AG914" s="12"/>
      <c r="AH914" s="12"/>
    </row>
    <row r="915" spans="1:34" ht="12.75">
      <c r="A915" s="12"/>
      <c r="B915" s="12"/>
      <c r="C915" s="12"/>
      <c r="D915" s="12"/>
      <c r="E915" s="12"/>
      <c r="F915" s="17"/>
      <c r="G915" s="12"/>
      <c r="H915" s="12"/>
      <c r="I915" s="12"/>
      <c r="J915" s="12"/>
      <c r="K915" s="12"/>
      <c r="L915" s="12"/>
      <c r="M915" s="12"/>
      <c r="N915" s="12"/>
      <c r="O915" s="12"/>
      <c r="P915" s="12"/>
      <c r="Q915" s="12"/>
      <c r="R915" s="12"/>
      <c r="S915" s="12"/>
      <c r="T915" s="12"/>
      <c r="U915" s="12"/>
      <c r="V915" s="14"/>
      <c r="W915" s="14"/>
      <c r="X915" s="14"/>
      <c r="Y915" s="14"/>
      <c r="Z915" s="15"/>
      <c r="AA915" s="12"/>
      <c r="AB915" s="12"/>
      <c r="AC915" s="12"/>
      <c r="AD915" s="12"/>
      <c r="AE915" s="12"/>
      <c r="AF915" s="12"/>
      <c r="AG915" s="12"/>
      <c r="AH915" s="12"/>
    </row>
    <row r="916" spans="1:34" ht="12.75">
      <c r="A916" s="12"/>
      <c r="B916" s="12"/>
      <c r="C916" s="12"/>
      <c r="D916" s="12"/>
      <c r="E916" s="12"/>
      <c r="F916" s="17"/>
      <c r="G916" s="12"/>
      <c r="H916" s="12"/>
      <c r="I916" s="12"/>
      <c r="J916" s="12"/>
      <c r="K916" s="12"/>
      <c r="L916" s="12"/>
      <c r="M916" s="12"/>
      <c r="N916" s="12"/>
      <c r="O916" s="12"/>
      <c r="P916" s="12"/>
      <c r="Q916" s="12"/>
      <c r="R916" s="12"/>
      <c r="S916" s="12"/>
      <c r="T916" s="12"/>
      <c r="U916" s="12"/>
      <c r="V916" s="14"/>
      <c r="W916" s="14"/>
      <c r="X916" s="14"/>
      <c r="Y916" s="14"/>
      <c r="Z916" s="15"/>
      <c r="AA916" s="12"/>
      <c r="AB916" s="12"/>
      <c r="AC916" s="12"/>
      <c r="AD916" s="12"/>
      <c r="AE916" s="12"/>
      <c r="AF916" s="12"/>
      <c r="AG916" s="12"/>
      <c r="AH916" s="12"/>
    </row>
    <row r="917" spans="1:34" ht="12.75">
      <c r="A917" s="12"/>
      <c r="B917" s="12"/>
      <c r="C917" s="12"/>
      <c r="D917" s="12"/>
      <c r="E917" s="12"/>
      <c r="F917" s="17"/>
      <c r="G917" s="12"/>
      <c r="H917" s="12"/>
      <c r="I917" s="12"/>
      <c r="J917" s="12"/>
      <c r="K917" s="12"/>
      <c r="L917" s="12"/>
      <c r="M917" s="12"/>
      <c r="N917" s="12"/>
      <c r="O917" s="12"/>
      <c r="P917" s="12"/>
      <c r="Q917" s="12"/>
      <c r="R917" s="12"/>
      <c r="S917" s="12"/>
      <c r="T917" s="12"/>
      <c r="U917" s="12"/>
      <c r="V917" s="14"/>
      <c r="W917" s="14"/>
      <c r="X917" s="14"/>
      <c r="Y917" s="14"/>
      <c r="Z917" s="15"/>
      <c r="AA917" s="12"/>
      <c r="AB917" s="12"/>
      <c r="AC917" s="12"/>
      <c r="AD917" s="12"/>
      <c r="AE917" s="12"/>
      <c r="AF917" s="12"/>
      <c r="AG917" s="12"/>
      <c r="AH917" s="12"/>
    </row>
    <row r="918" spans="1:34" ht="12.75">
      <c r="A918" s="12"/>
      <c r="B918" s="12"/>
      <c r="C918" s="12"/>
      <c r="D918" s="12"/>
      <c r="E918" s="12"/>
      <c r="F918" s="17"/>
      <c r="G918" s="12"/>
      <c r="H918" s="12"/>
      <c r="I918" s="12"/>
      <c r="J918" s="12"/>
      <c r="K918" s="12"/>
      <c r="L918" s="12"/>
      <c r="M918" s="12"/>
      <c r="N918" s="12"/>
      <c r="O918" s="12"/>
      <c r="P918" s="12"/>
      <c r="Q918" s="12"/>
      <c r="R918" s="12"/>
      <c r="S918" s="12"/>
      <c r="T918" s="12"/>
      <c r="U918" s="12"/>
      <c r="V918" s="14"/>
      <c r="W918" s="14"/>
      <c r="X918" s="14"/>
      <c r="Y918" s="14"/>
      <c r="Z918" s="15"/>
      <c r="AA918" s="12"/>
      <c r="AB918" s="12"/>
      <c r="AC918" s="12"/>
      <c r="AD918" s="12"/>
      <c r="AE918" s="12"/>
      <c r="AF918" s="12"/>
      <c r="AG918" s="12"/>
      <c r="AH918" s="12"/>
    </row>
    <row r="919" spans="1:34" ht="12.75">
      <c r="A919" s="12"/>
      <c r="B919" s="12"/>
      <c r="C919" s="12"/>
      <c r="D919" s="12"/>
      <c r="E919" s="12"/>
      <c r="F919" s="17"/>
      <c r="G919" s="12"/>
      <c r="H919" s="12"/>
      <c r="I919" s="12"/>
      <c r="J919" s="12"/>
      <c r="K919" s="12"/>
      <c r="L919" s="12"/>
      <c r="M919" s="12"/>
      <c r="N919" s="12"/>
      <c r="O919" s="12"/>
      <c r="P919" s="12"/>
      <c r="Q919" s="12"/>
      <c r="R919" s="12"/>
      <c r="S919" s="12"/>
      <c r="T919" s="12"/>
      <c r="U919" s="12"/>
      <c r="V919" s="14"/>
      <c r="W919" s="14"/>
      <c r="X919" s="14"/>
      <c r="Y919" s="14"/>
      <c r="Z919" s="15"/>
      <c r="AA919" s="12"/>
      <c r="AB919" s="12"/>
      <c r="AC919" s="12"/>
      <c r="AD919" s="12"/>
      <c r="AE919" s="12"/>
      <c r="AF919" s="12"/>
      <c r="AG919" s="12"/>
      <c r="AH919" s="12"/>
    </row>
    <row r="920" spans="1:34" ht="12.75">
      <c r="A920" s="12"/>
      <c r="B920" s="12"/>
      <c r="C920" s="12"/>
      <c r="D920" s="12"/>
      <c r="E920" s="12"/>
      <c r="F920" s="17"/>
      <c r="G920" s="12"/>
      <c r="H920" s="12"/>
      <c r="I920" s="12"/>
      <c r="J920" s="12"/>
      <c r="K920" s="12"/>
      <c r="L920" s="12"/>
      <c r="M920" s="12"/>
      <c r="N920" s="12"/>
      <c r="O920" s="12"/>
      <c r="P920" s="12"/>
      <c r="Q920" s="12"/>
      <c r="R920" s="12"/>
      <c r="S920" s="12"/>
      <c r="T920" s="12"/>
      <c r="U920" s="12"/>
      <c r="V920" s="14"/>
      <c r="W920" s="14"/>
      <c r="X920" s="14"/>
      <c r="Y920" s="14"/>
      <c r="Z920" s="15"/>
      <c r="AA920" s="12"/>
      <c r="AB920" s="12"/>
      <c r="AC920" s="12"/>
      <c r="AD920" s="12"/>
      <c r="AE920" s="12"/>
      <c r="AF920" s="12"/>
      <c r="AG920" s="12"/>
      <c r="AH920" s="12"/>
    </row>
    <row r="921" spans="1:34" ht="12.75">
      <c r="A921" s="12"/>
      <c r="B921" s="12"/>
      <c r="C921" s="12"/>
      <c r="D921" s="12"/>
      <c r="E921" s="12"/>
      <c r="F921" s="17"/>
      <c r="G921" s="12"/>
      <c r="H921" s="12"/>
      <c r="I921" s="12"/>
      <c r="J921" s="12"/>
      <c r="K921" s="12"/>
      <c r="L921" s="12"/>
      <c r="M921" s="12"/>
      <c r="N921" s="12"/>
      <c r="O921" s="12"/>
      <c r="P921" s="12"/>
      <c r="Q921" s="12"/>
      <c r="R921" s="12"/>
      <c r="S921" s="12"/>
      <c r="T921" s="12"/>
      <c r="U921" s="12"/>
      <c r="V921" s="14"/>
      <c r="W921" s="14"/>
      <c r="X921" s="14"/>
      <c r="Y921" s="14"/>
      <c r="Z921" s="15"/>
      <c r="AA921" s="12"/>
      <c r="AB921" s="12"/>
      <c r="AC921" s="12"/>
      <c r="AD921" s="12"/>
      <c r="AE921" s="12"/>
      <c r="AF921" s="12"/>
      <c r="AG921" s="12"/>
      <c r="AH921" s="12"/>
    </row>
    <row r="922" spans="1:34" ht="12.75">
      <c r="A922" s="12"/>
      <c r="B922" s="12"/>
      <c r="C922" s="12"/>
      <c r="D922" s="12"/>
      <c r="E922" s="12"/>
      <c r="F922" s="17"/>
      <c r="G922" s="12"/>
      <c r="H922" s="12"/>
      <c r="I922" s="12"/>
      <c r="J922" s="12"/>
      <c r="K922" s="12"/>
      <c r="L922" s="12"/>
      <c r="M922" s="12"/>
      <c r="N922" s="12"/>
      <c r="O922" s="12"/>
      <c r="P922" s="12"/>
      <c r="Q922" s="12"/>
      <c r="R922" s="12"/>
      <c r="S922" s="12"/>
      <c r="T922" s="12"/>
      <c r="U922" s="12"/>
      <c r="V922" s="14"/>
      <c r="W922" s="14"/>
      <c r="X922" s="14"/>
      <c r="Y922" s="14"/>
      <c r="Z922" s="15"/>
      <c r="AA922" s="12"/>
      <c r="AB922" s="12"/>
      <c r="AC922" s="12"/>
      <c r="AD922" s="12"/>
      <c r="AE922" s="12"/>
      <c r="AF922" s="12"/>
      <c r="AG922" s="12"/>
      <c r="AH922" s="12"/>
    </row>
    <row r="923" spans="1:34" ht="12.75">
      <c r="A923" s="12"/>
      <c r="B923" s="12"/>
      <c r="C923" s="12"/>
      <c r="D923" s="12"/>
      <c r="E923" s="12"/>
      <c r="F923" s="17"/>
      <c r="G923" s="12"/>
      <c r="H923" s="12"/>
      <c r="I923" s="12"/>
      <c r="J923" s="12"/>
      <c r="K923" s="12"/>
      <c r="L923" s="12"/>
      <c r="M923" s="12"/>
      <c r="N923" s="12"/>
      <c r="O923" s="12"/>
      <c r="P923" s="12"/>
      <c r="Q923" s="12"/>
      <c r="R923" s="12"/>
      <c r="S923" s="12"/>
      <c r="T923" s="12"/>
      <c r="U923" s="12"/>
      <c r="V923" s="14"/>
      <c r="W923" s="14"/>
      <c r="X923" s="14"/>
      <c r="Y923" s="14"/>
      <c r="Z923" s="15"/>
      <c r="AA923" s="12"/>
      <c r="AB923" s="12"/>
      <c r="AC923" s="12"/>
      <c r="AD923" s="12"/>
      <c r="AE923" s="12"/>
      <c r="AF923" s="12"/>
      <c r="AG923" s="12"/>
      <c r="AH923" s="12"/>
    </row>
    <row r="924" spans="1:34" ht="12.75">
      <c r="A924" s="12"/>
      <c r="B924" s="12"/>
      <c r="C924" s="12"/>
      <c r="D924" s="12"/>
      <c r="E924" s="12"/>
      <c r="F924" s="17"/>
      <c r="G924" s="12"/>
      <c r="H924" s="12"/>
      <c r="I924" s="12"/>
      <c r="J924" s="12"/>
      <c r="K924" s="12"/>
      <c r="L924" s="12"/>
      <c r="M924" s="12"/>
      <c r="N924" s="12"/>
      <c r="O924" s="12"/>
      <c r="P924" s="12"/>
      <c r="Q924" s="12"/>
      <c r="R924" s="12"/>
      <c r="S924" s="12"/>
      <c r="T924" s="12"/>
      <c r="U924" s="12"/>
      <c r="V924" s="14"/>
      <c r="W924" s="14"/>
      <c r="X924" s="14"/>
      <c r="Y924" s="14"/>
      <c r="Z924" s="15"/>
      <c r="AA924" s="12"/>
      <c r="AB924" s="12"/>
      <c r="AC924" s="12"/>
      <c r="AD924" s="12"/>
      <c r="AE924" s="12"/>
      <c r="AF924" s="12"/>
      <c r="AG924" s="12"/>
      <c r="AH924" s="12"/>
    </row>
    <row r="925" spans="1:34" ht="12.75">
      <c r="A925" s="12"/>
      <c r="B925" s="12"/>
      <c r="C925" s="12"/>
      <c r="D925" s="12"/>
      <c r="E925" s="12"/>
      <c r="F925" s="17"/>
      <c r="G925" s="12"/>
      <c r="H925" s="12"/>
      <c r="I925" s="12"/>
      <c r="J925" s="12"/>
      <c r="K925" s="12"/>
      <c r="L925" s="12"/>
      <c r="M925" s="12"/>
      <c r="N925" s="12"/>
      <c r="O925" s="12"/>
      <c r="P925" s="12"/>
      <c r="Q925" s="12"/>
      <c r="R925" s="12"/>
      <c r="S925" s="12"/>
      <c r="T925" s="12"/>
      <c r="U925" s="12"/>
      <c r="V925" s="14"/>
      <c r="W925" s="14"/>
      <c r="X925" s="14"/>
      <c r="Y925" s="14"/>
      <c r="Z925" s="15"/>
      <c r="AA925" s="12"/>
      <c r="AB925" s="12"/>
      <c r="AC925" s="12"/>
      <c r="AD925" s="12"/>
      <c r="AE925" s="12"/>
      <c r="AF925" s="12"/>
      <c r="AG925" s="12"/>
      <c r="AH925" s="12"/>
    </row>
    <row r="926" spans="1:34" ht="12.75">
      <c r="A926" s="12"/>
      <c r="B926" s="12"/>
      <c r="C926" s="12"/>
      <c r="D926" s="12"/>
      <c r="E926" s="12"/>
      <c r="F926" s="17"/>
      <c r="G926" s="12"/>
      <c r="H926" s="12"/>
      <c r="I926" s="12"/>
      <c r="J926" s="12"/>
      <c r="K926" s="12"/>
      <c r="L926" s="12"/>
      <c r="M926" s="12"/>
      <c r="N926" s="12"/>
      <c r="O926" s="12"/>
      <c r="P926" s="12"/>
      <c r="Q926" s="12"/>
      <c r="R926" s="12"/>
      <c r="S926" s="12"/>
      <c r="T926" s="12"/>
      <c r="U926" s="12"/>
      <c r="V926" s="14"/>
      <c r="W926" s="14"/>
      <c r="X926" s="14"/>
      <c r="Y926" s="14"/>
      <c r="Z926" s="15"/>
      <c r="AA926" s="12"/>
      <c r="AB926" s="12"/>
      <c r="AC926" s="12"/>
      <c r="AD926" s="12"/>
      <c r="AE926" s="12"/>
      <c r="AF926" s="12"/>
      <c r="AG926" s="12"/>
      <c r="AH926" s="12"/>
    </row>
    <row r="927" spans="1:34" ht="12.75">
      <c r="A927" s="12"/>
      <c r="B927" s="12"/>
      <c r="C927" s="12"/>
      <c r="D927" s="12"/>
      <c r="E927" s="12"/>
      <c r="F927" s="17"/>
      <c r="G927" s="12"/>
      <c r="H927" s="12"/>
      <c r="I927" s="12"/>
      <c r="J927" s="12"/>
      <c r="K927" s="12"/>
      <c r="L927" s="12"/>
      <c r="M927" s="12"/>
      <c r="N927" s="12"/>
      <c r="O927" s="12"/>
      <c r="P927" s="12"/>
      <c r="Q927" s="12"/>
      <c r="R927" s="12"/>
      <c r="S927" s="12"/>
      <c r="T927" s="12"/>
      <c r="U927" s="12"/>
      <c r="V927" s="14"/>
      <c r="W927" s="14"/>
      <c r="X927" s="14"/>
      <c r="Y927" s="14"/>
      <c r="Z927" s="15"/>
      <c r="AA927" s="12"/>
      <c r="AB927" s="12"/>
      <c r="AC927" s="12"/>
      <c r="AD927" s="12"/>
      <c r="AE927" s="12"/>
      <c r="AF927" s="12"/>
      <c r="AG927" s="12"/>
      <c r="AH927" s="12"/>
    </row>
    <row r="928" spans="1:34" ht="12.75">
      <c r="A928" s="12"/>
      <c r="B928" s="12"/>
      <c r="C928" s="12"/>
      <c r="D928" s="12"/>
      <c r="E928" s="12"/>
      <c r="F928" s="17"/>
      <c r="G928" s="12"/>
      <c r="H928" s="12"/>
      <c r="I928" s="12"/>
      <c r="J928" s="12"/>
      <c r="K928" s="12"/>
      <c r="L928" s="12"/>
      <c r="M928" s="12"/>
      <c r="N928" s="12"/>
      <c r="O928" s="12"/>
      <c r="P928" s="12"/>
      <c r="Q928" s="12"/>
      <c r="R928" s="12"/>
      <c r="S928" s="12"/>
      <c r="T928" s="12"/>
      <c r="U928" s="12"/>
      <c r="V928" s="14"/>
      <c r="W928" s="14"/>
      <c r="X928" s="14"/>
      <c r="Y928" s="14"/>
      <c r="Z928" s="15"/>
      <c r="AA928" s="12"/>
      <c r="AB928" s="12"/>
      <c r="AC928" s="12"/>
      <c r="AD928" s="12"/>
      <c r="AE928" s="12"/>
      <c r="AF928" s="12"/>
      <c r="AG928" s="12"/>
      <c r="AH928" s="12"/>
    </row>
    <row r="929" spans="1:34" ht="12.75">
      <c r="A929" s="12"/>
      <c r="B929" s="12"/>
      <c r="C929" s="12"/>
      <c r="D929" s="12"/>
      <c r="E929" s="12"/>
      <c r="F929" s="17"/>
      <c r="G929" s="12"/>
      <c r="H929" s="12"/>
      <c r="I929" s="12"/>
      <c r="J929" s="12"/>
      <c r="K929" s="12"/>
      <c r="L929" s="12"/>
      <c r="M929" s="12"/>
      <c r="N929" s="12"/>
      <c r="O929" s="12"/>
      <c r="P929" s="12"/>
      <c r="Q929" s="12"/>
      <c r="R929" s="12"/>
      <c r="S929" s="12"/>
      <c r="T929" s="12"/>
      <c r="U929" s="12"/>
      <c r="V929" s="14"/>
      <c r="W929" s="14"/>
      <c r="X929" s="14"/>
      <c r="Y929" s="14"/>
      <c r="Z929" s="15"/>
      <c r="AA929" s="12"/>
      <c r="AB929" s="12"/>
      <c r="AC929" s="12"/>
      <c r="AD929" s="12"/>
      <c r="AE929" s="12"/>
      <c r="AF929" s="12"/>
      <c r="AG929" s="12"/>
      <c r="AH929" s="12"/>
    </row>
    <row r="930" spans="1:34" ht="12.75">
      <c r="A930" s="12"/>
      <c r="B930" s="12"/>
      <c r="C930" s="12"/>
      <c r="D930" s="12"/>
      <c r="E930" s="12"/>
      <c r="F930" s="17"/>
      <c r="G930" s="12"/>
      <c r="H930" s="12"/>
      <c r="I930" s="12"/>
      <c r="J930" s="12"/>
      <c r="K930" s="12"/>
      <c r="L930" s="12"/>
      <c r="M930" s="12"/>
      <c r="N930" s="12"/>
      <c r="O930" s="12"/>
      <c r="P930" s="12"/>
      <c r="Q930" s="12"/>
      <c r="R930" s="12"/>
      <c r="S930" s="12"/>
      <c r="T930" s="12"/>
      <c r="U930" s="12"/>
      <c r="V930" s="14"/>
      <c r="W930" s="14"/>
      <c r="X930" s="14"/>
      <c r="Y930" s="14"/>
      <c r="Z930" s="15"/>
      <c r="AA930" s="12"/>
      <c r="AB930" s="12"/>
      <c r="AC930" s="12"/>
      <c r="AD930" s="12"/>
      <c r="AE930" s="12"/>
      <c r="AF930" s="12"/>
      <c r="AG930" s="12"/>
      <c r="AH930" s="12"/>
    </row>
    <row r="931" spans="1:34" ht="12.75">
      <c r="A931" s="12"/>
      <c r="B931" s="12"/>
      <c r="C931" s="12"/>
      <c r="D931" s="12"/>
      <c r="E931" s="12"/>
      <c r="F931" s="17"/>
      <c r="G931" s="12"/>
      <c r="H931" s="12"/>
      <c r="I931" s="12"/>
      <c r="J931" s="12"/>
      <c r="K931" s="12"/>
      <c r="L931" s="12"/>
      <c r="M931" s="12"/>
      <c r="N931" s="12"/>
      <c r="O931" s="12"/>
      <c r="P931" s="12"/>
      <c r="Q931" s="12"/>
      <c r="R931" s="12"/>
      <c r="S931" s="12"/>
      <c r="T931" s="12"/>
      <c r="U931" s="12"/>
      <c r="V931" s="14"/>
      <c r="W931" s="14"/>
      <c r="X931" s="14"/>
      <c r="Y931" s="14"/>
      <c r="Z931" s="15"/>
      <c r="AA931" s="12"/>
      <c r="AB931" s="12"/>
      <c r="AC931" s="12"/>
      <c r="AD931" s="12"/>
      <c r="AE931" s="12"/>
      <c r="AF931" s="12"/>
      <c r="AG931" s="12"/>
      <c r="AH931" s="12"/>
    </row>
    <row r="932" spans="1:34" ht="12.75">
      <c r="A932" s="12"/>
      <c r="B932" s="12"/>
      <c r="C932" s="12"/>
      <c r="D932" s="12"/>
      <c r="E932" s="12"/>
      <c r="F932" s="17"/>
      <c r="G932" s="12"/>
      <c r="H932" s="12"/>
      <c r="I932" s="12"/>
      <c r="J932" s="12"/>
      <c r="K932" s="12"/>
      <c r="L932" s="12"/>
      <c r="M932" s="12"/>
      <c r="N932" s="12"/>
      <c r="O932" s="12"/>
      <c r="P932" s="12"/>
      <c r="Q932" s="12"/>
      <c r="R932" s="12"/>
      <c r="S932" s="12"/>
      <c r="T932" s="12"/>
      <c r="U932" s="12"/>
      <c r="V932" s="14"/>
      <c r="W932" s="14"/>
      <c r="X932" s="14"/>
      <c r="Y932" s="14"/>
      <c r="Z932" s="15"/>
      <c r="AA932" s="12"/>
      <c r="AB932" s="12"/>
      <c r="AC932" s="12"/>
      <c r="AD932" s="12"/>
      <c r="AE932" s="12"/>
      <c r="AF932" s="12"/>
      <c r="AG932" s="12"/>
      <c r="AH932" s="12"/>
    </row>
    <row r="933" spans="1:34" ht="12.75">
      <c r="A933" s="12"/>
      <c r="B933" s="12"/>
      <c r="C933" s="12"/>
      <c r="D933" s="12"/>
      <c r="E933" s="12"/>
      <c r="F933" s="17"/>
      <c r="G933" s="12"/>
      <c r="H933" s="12"/>
      <c r="I933" s="12"/>
      <c r="J933" s="12"/>
      <c r="K933" s="12"/>
      <c r="L933" s="12"/>
      <c r="M933" s="12"/>
      <c r="N933" s="12"/>
      <c r="O933" s="12"/>
      <c r="P933" s="12"/>
      <c r="Q933" s="12"/>
      <c r="R933" s="12"/>
      <c r="S933" s="12"/>
      <c r="T933" s="12"/>
      <c r="U933" s="12"/>
      <c r="V933" s="14"/>
      <c r="W933" s="14"/>
      <c r="X933" s="14"/>
      <c r="Y933" s="14"/>
      <c r="Z933" s="15"/>
      <c r="AA933" s="12"/>
      <c r="AB933" s="12"/>
      <c r="AC933" s="12"/>
      <c r="AD933" s="12"/>
      <c r="AE933" s="12"/>
      <c r="AF933" s="12"/>
      <c r="AG933" s="12"/>
      <c r="AH933" s="12"/>
    </row>
    <row r="934" spans="1:34" ht="12.75">
      <c r="A934" s="12"/>
      <c r="B934" s="12"/>
      <c r="C934" s="12"/>
      <c r="D934" s="12"/>
      <c r="E934" s="12"/>
      <c r="F934" s="17"/>
      <c r="G934" s="12"/>
      <c r="H934" s="12"/>
      <c r="I934" s="12"/>
      <c r="J934" s="12"/>
      <c r="K934" s="12"/>
      <c r="L934" s="12"/>
      <c r="M934" s="12"/>
      <c r="N934" s="12"/>
      <c r="O934" s="12"/>
      <c r="P934" s="12"/>
      <c r="Q934" s="12"/>
      <c r="R934" s="12"/>
      <c r="S934" s="12"/>
      <c r="T934" s="12"/>
      <c r="U934" s="12"/>
      <c r="V934" s="14"/>
      <c r="W934" s="14"/>
      <c r="X934" s="14"/>
      <c r="Y934" s="14"/>
      <c r="Z934" s="15"/>
      <c r="AA934" s="12"/>
      <c r="AB934" s="12"/>
      <c r="AC934" s="12"/>
      <c r="AD934" s="12"/>
      <c r="AE934" s="12"/>
      <c r="AF934" s="12"/>
      <c r="AG934" s="12"/>
      <c r="AH934" s="12"/>
    </row>
    <row r="935" spans="1:34" ht="12.75">
      <c r="A935" s="12"/>
      <c r="B935" s="12"/>
      <c r="C935" s="12"/>
      <c r="D935" s="12"/>
      <c r="E935" s="12"/>
      <c r="F935" s="17"/>
      <c r="G935" s="12"/>
      <c r="H935" s="12"/>
      <c r="I935" s="12"/>
      <c r="J935" s="12"/>
      <c r="K935" s="12"/>
      <c r="L935" s="12"/>
      <c r="M935" s="12"/>
      <c r="N935" s="12"/>
      <c r="O935" s="12"/>
      <c r="P935" s="12"/>
      <c r="Q935" s="12"/>
      <c r="R935" s="12"/>
      <c r="S935" s="12"/>
      <c r="T935" s="12"/>
      <c r="U935" s="12"/>
      <c r="V935" s="14"/>
      <c r="W935" s="14"/>
      <c r="X935" s="14"/>
      <c r="Y935" s="14"/>
      <c r="Z935" s="15"/>
      <c r="AA935" s="12"/>
      <c r="AB935" s="12"/>
      <c r="AC935" s="12"/>
      <c r="AD935" s="12"/>
      <c r="AE935" s="12"/>
      <c r="AF935" s="12"/>
      <c r="AG935" s="12"/>
      <c r="AH935" s="12"/>
    </row>
    <row r="936" spans="1:34" ht="12.75">
      <c r="A936" s="12"/>
      <c r="B936" s="12"/>
      <c r="C936" s="12"/>
      <c r="D936" s="12"/>
      <c r="E936" s="12"/>
      <c r="F936" s="17"/>
      <c r="G936" s="12"/>
      <c r="H936" s="12"/>
      <c r="I936" s="12"/>
      <c r="J936" s="12"/>
      <c r="K936" s="12"/>
      <c r="L936" s="12"/>
      <c r="M936" s="12"/>
      <c r="N936" s="12"/>
      <c r="O936" s="12"/>
      <c r="P936" s="12"/>
      <c r="Q936" s="12"/>
      <c r="R936" s="12"/>
      <c r="S936" s="12"/>
      <c r="T936" s="12"/>
      <c r="U936" s="12"/>
      <c r="V936" s="14"/>
      <c r="W936" s="14"/>
      <c r="X936" s="14"/>
      <c r="Y936" s="14"/>
      <c r="Z936" s="15"/>
      <c r="AA936" s="12"/>
      <c r="AB936" s="12"/>
      <c r="AC936" s="12"/>
      <c r="AD936" s="12"/>
      <c r="AE936" s="12"/>
      <c r="AF936" s="12"/>
      <c r="AG936" s="12"/>
      <c r="AH936" s="12"/>
    </row>
    <row r="937" spans="1:34" ht="12.75">
      <c r="A937" s="12"/>
      <c r="B937" s="12"/>
      <c r="C937" s="12"/>
      <c r="D937" s="12"/>
      <c r="E937" s="12"/>
      <c r="F937" s="17"/>
      <c r="G937" s="12"/>
      <c r="H937" s="12"/>
      <c r="I937" s="12"/>
      <c r="J937" s="12"/>
      <c r="K937" s="12"/>
      <c r="L937" s="12"/>
      <c r="M937" s="12"/>
      <c r="N937" s="12"/>
      <c r="O937" s="12"/>
      <c r="P937" s="12"/>
      <c r="Q937" s="12"/>
      <c r="R937" s="12"/>
      <c r="S937" s="12"/>
      <c r="T937" s="12"/>
      <c r="U937" s="12"/>
      <c r="V937" s="14"/>
      <c r="W937" s="14"/>
      <c r="X937" s="14"/>
      <c r="Y937" s="14"/>
      <c r="Z937" s="15"/>
      <c r="AA937" s="12"/>
      <c r="AB937" s="12"/>
      <c r="AC937" s="12"/>
      <c r="AD937" s="12"/>
      <c r="AE937" s="12"/>
      <c r="AF937" s="12"/>
      <c r="AG937" s="12"/>
      <c r="AH937" s="12"/>
    </row>
    <row r="938" spans="1:34" ht="12.75">
      <c r="A938" s="12"/>
      <c r="B938" s="12"/>
      <c r="C938" s="12"/>
      <c r="D938" s="12"/>
      <c r="E938" s="12"/>
      <c r="F938" s="17"/>
      <c r="G938" s="12"/>
      <c r="H938" s="12"/>
      <c r="I938" s="12"/>
      <c r="J938" s="12"/>
      <c r="K938" s="12"/>
      <c r="L938" s="12"/>
      <c r="M938" s="12"/>
      <c r="N938" s="12"/>
      <c r="O938" s="12"/>
      <c r="P938" s="12"/>
      <c r="Q938" s="12"/>
      <c r="R938" s="12"/>
      <c r="S938" s="12"/>
      <c r="T938" s="12"/>
      <c r="U938" s="12"/>
      <c r="V938" s="14"/>
      <c r="W938" s="14"/>
      <c r="X938" s="14"/>
      <c r="Y938" s="14"/>
      <c r="Z938" s="15"/>
      <c r="AA938" s="12"/>
      <c r="AB938" s="12"/>
      <c r="AC938" s="12"/>
      <c r="AD938" s="12"/>
      <c r="AE938" s="12"/>
      <c r="AF938" s="12"/>
      <c r="AG938" s="12"/>
      <c r="AH938" s="12"/>
    </row>
    <row r="939" spans="1:34" ht="12.75">
      <c r="A939" s="12"/>
      <c r="B939" s="12"/>
      <c r="C939" s="12"/>
      <c r="D939" s="12"/>
      <c r="E939" s="12"/>
      <c r="F939" s="17"/>
      <c r="G939" s="12"/>
      <c r="H939" s="12"/>
      <c r="I939" s="12"/>
      <c r="J939" s="12"/>
      <c r="K939" s="12"/>
      <c r="L939" s="12"/>
      <c r="M939" s="12"/>
      <c r="N939" s="12"/>
      <c r="O939" s="12"/>
      <c r="P939" s="12"/>
      <c r="Q939" s="12"/>
      <c r="R939" s="12"/>
      <c r="S939" s="12"/>
      <c r="T939" s="12"/>
      <c r="U939" s="12"/>
      <c r="V939" s="14"/>
      <c r="W939" s="14"/>
      <c r="X939" s="14"/>
      <c r="Y939" s="14"/>
      <c r="Z939" s="15"/>
      <c r="AA939" s="12"/>
      <c r="AB939" s="12"/>
      <c r="AC939" s="12"/>
      <c r="AD939" s="12"/>
      <c r="AE939" s="12"/>
      <c r="AF939" s="12"/>
      <c r="AG939" s="12"/>
      <c r="AH939" s="12"/>
    </row>
    <row r="940" spans="1:34" ht="12.75">
      <c r="A940" s="12"/>
      <c r="B940" s="12"/>
      <c r="C940" s="12"/>
      <c r="D940" s="12"/>
      <c r="E940" s="12"/>
      <c r="F940" s="17"/>
      <c r="G940" s="12"/>
      <c r="H940" s="12"/>
      <c r="I940" s="12"/>
      <c r="J940" s="12"/>
      <c r="K940" s="12"/>
      <c r="L940" s="12"/>
      <c r="M940" s="12"/>
      <c r="N940" s="12"/>
      <c r="O940" s="12"/>
      <c r="P940" s="12"/>
      <c r="Q940" s="12"/>
      <c r="R940" s="12"/>
      <c r="S940" s="12"/>
      <c r="T940" s="12"/>
      <c r="U940" s="12"/>
      <c r="V940" s="14"/>
      <c r="W940" s="14"/>
      <c r="X940" s="14"/>
      <c r="Y940" s="14"/>
      <c r="Z940" s="15"/>
      <c r="AA940" s="12"/>
      <c r="AB940" s="12"/>
      <c r="AC940" s="12"/>
      <c r="AD940" s="12"/>
      <c r="AE940" s="12"/>
      <c r="AF940" s="12"/>
      <c r="AG940" s="12"/>
      <c r="AH940" s="12"/>
    </row>
    <row r="941" spans="1:34" ht="12.75">
      <c r="A941" s="12"/>
      <c r="B941" s="12"/>
      <c r="C941" s="12"/>
      <c r="D941" s="12"/>
      <c r="E941" s="12"/>
      <c r="F941" s="17"/>
      <c r="G941" s="12"/>
      <c r="H941" s="12"/>
      <c r="I941" s="12"/>
      <c r="J941" s="12"/>
      <c r="K941" s="12"/>
      <c r="L941" s="12"/>
      <c r="M941" s="12"/>
      <c r="N941" s="12"/>
      <c r="O941" s="12"/>
      <c r="P941" s="12"/>
      <c r="Q941" s="12"/>
      <c r="R941" s="12"/>
      <c r="S941" s="12"/>
      <c r="T941" s="12"/>
      <c r="U941" s="12"/>
      <c r="V941" s="14"/>
      <c r="W941" s="14"/>
      <c r="X941" s="14"/>
      <c r="Y941" s="14"/>
      <c r="Z941" s="15"/>
      <c r="AA941" s="12"/>
      <c r="AB941" s="12"/>
      <c r="AC941" s="12"/>
      <c r="AD941" s="12"/>
      <c r="AE941" s="12"/>
      <c r="AF941" s="12"/>
      <c r="AG941" s="12"/>
      <c r="AH941" s="12"/>
    </row>
    <row r="942" spans="1:34" ht="12.75">
      <c r="A942" s="12"/>
      <c r="B942" s="12"/>
      <c r="C942" s="12"/>
      <c r="D942" s="12"/>
      <c r="E942" s="12"/>
      <c r="F942" s="17"/>
      <c r="G942" s="12"/>
      <c r="H942" s="12"/>
      <c r="I942" s="12"/>
      <c r="J942" s="12"/>
      <c r="K942" s="12"/>
      <c r="L942" s="12"/>
      <c r="M942" s="12"/>
      <c r="N942" s="12"/>
      <c r="O942" s="12"/>
      <c r="P942" s="12"/>
      <c r="Q942" s="12"/>
      <c r="R942" s="12"/>
      <c r="S942" s="12"/>
      <c r="T942" s="12"/>
      <c r="U942" s="12"/>
      <c r="V942" s="14"/>
      <c r="W942" s="14"/>
      <c r="X942" s="14"/>
      <c r="Y942" s="14"/>
      <c r="Z942" s="15"/>
      <c r="AA942" s="12"/>
      <c r="AB942" s="12"/>
      <c r="AC942" s="12"/>
      <c r="AD942" s="12"/>
      <c r="AE942" s="12"/>
      <c r="AF942" s="12"/>
      <c r="AG942" s="12"/>
      <c r="AH942" s="12"/>
    </row>
    <row r="943" spans="1:34" ht="12.75">
      <c r="A943" s="12"/>
      <c r="B943" s="12"/>
      <c r="C943" s="12"/>
      <c r="D943" s="12"/>
      <c r="E943" s="12"/>
      <c r="F943" s="17"/>
      <c r="G943" s="12"/>
      <c r="H943" s="12"/>
      <c r="I943" s="12"/>
      <c r="J943" s="12"/>
      <c r="K943" s="12"/>
      <c r="L943" s="12"/>
      <c r="M943" s="12"/>
      <c r="N943" s="12"/>
      <c r="O943" s="12"/>
      <c r="P943" s="12"/>
      <c r="Q943" s="12"/>
      <c r="R943" s="12"/>
      <c r="S943" s="12"/>
      <c r="T943" s="12"/>
      <c r="U943" s="12"/>
      <c r="V943" s="14"/>
      <c r="W943" s="14"/>
      <c r="X943" s="14"/>
      <c r="Y943" s="14"/>
      <c r="Z943" s="15"/>
      <c r="AA943" s="12"/>
      <c r="AB943" s="12"/>
      <c r="AC943" s="12"/>
      <c r="AD943" s="12"/>
      <c r="AE943" s="12"/>
      <c r="AF943" s="12"/>
      <c r="AG943" s="12"/>
      <c r="AH943" s="12"/>
    </row>
    <row r="944" spans="1:34" ht="12.75">
      <c r="A944" s="12"/>
      <c r="B944" s="12"/>
      <c r="C944" s="12"/>
      <c r="D944" s="12"/>
      <c r="E944" s="12"/>
      <c r="F944" s="17"/>
      <c r="G944" s="12"/>
      <c r="H944" s="12"/>
      <c r="I944" s="12"/>
      <c r="J944" s="12"/>
      <c r="K944" s="12"/>
      <c r="L944" s="12"/>
      <c r="M944" s="12"/>
      <c r="N944" s="12"/>
      <c r="O944" s="12"/>
      <c r="P944" s="12"/>
      <c r="Q944" s="12"/>
      <c r="R944" s="12"/>
      <c r="S944" s="12"/>
      <c r="T944" s="12"/>
      <c r="U944" s="12"/>
      <c r="V944" s="14"/>
      <c r="W944" s="14"/>
      <c r="X944" s="14"/>
      <c r="Y944" s="14"/>
      <c r="Z944" s="15"/>
      <c r="AA944" s="12"/>
      <c r="AB944" s="12"/>
      <c r="AC944" s="12"/>
      <c r="AD944" s="12"/>
      <c r="AE944" s="12"/>
      <c r="AF944" s="12"/>
      <c r="AG944" s="12"/>
      <c r="AH944" s="12"/>
    </row>
    <row r="945" spans="1:34" ht="12.75">
      <c r="A945" s="12"/>
      <c r="B945" s="12"/>
      <c r="C945" s="12"/>
      <c r="D945" s="12"/>
      <c r="E945" s="12"/>
      <c r="F945" s="17"/>
      <c r="G945" s="12"/>
      <c r="H945" s="12"/>
      <c r="I945" s="12"/>
      <c r="J945" s="12"/>
      <c r="K945" s="12"/>
      <c r="L945" s="12"/>
      <c r="M945" s="12"/>
      <c r="N945" s="12"/>
      <c r="O945" s="12"/>
      <c r="P945" s="12"/>
      <c r="Q945" s="12"/>
      <c r="R945" s="12"/>
      <c r="S945" s="12"/>
      <c r="T945" s="12"/>
      <c r="U945" s="12"/>
      <c r="V945" s="14"/>
      <c r="W945" s="14"/>
      <c r="X945" s="14"/>
      <c r="Y945" s="14"/>
      <c r="Z945" s="15"/>
      <c r="AA945" s="12"/>
      <c r="AB945" s="12"/>
      <c r="AC945" s="12"/>
      <c r="AD945" s="12"/>
      <c r="AE945" s="12"/>
      <c r="AF945" s="12"/>
      <c r="AG945" s="12"/>
      <c r="AH945" s="12"/>
    </row>
    <row r="946" spans="1:34" ht="12.75">
      <c r="A946" s="12"/>
      <c r="B946" s="12"/>
      <c r="C946" s="12"/>
      <c r="D946" s="12"/>
      <c r="E946" s="12"/>
      <c r="F946" s="17"/>
      <c r="G946" s="12"/>
      <c r="H946" s="12"/>
      <c r="I946" s="12"/>
      <c r="J946" s="12"/>
      <c r="K946" s="12"/>
      <c r="L946" s="12"/>
      <c r="M946" s="12"/>
      <c r="N946" s="12"/>
      <c r="O946" s="12"/>
      <c r="P946" s="12"/>
      <c r="Q946" s="12"/>
      <c r="R946" s="12"/>
      <c r="S946" s="12"/>
      <c r="T946" s="12"/>
      <c r="U946" s="12"/>
      <c r="V946" s="14"/>
      <c r="W946" s="14"/>
      <c r="X946" s="14"/>
      <c r="Y946" s="14"/>
      <c r="Z946" s="15"/>
      <c r="AA946" s="12"/>
      <c r="AB946" s="12"/>
      <c r="AC946" s="12"/>
      <c r="AD946" s="12"/>
      <c r="AE946" s="12"/>
      <c r="AF946" s="12"/>
      <c r="AG946" s="12"/>
      <c r="AH946" s="12"/>
    </row>
    <row r="947" spans="1:34" ht="12.75">
      <c r="A947" s="12"/>
      <c r="B947" s="12"/>
      <c r="C947" s="12"/>
      <c r="D947" s="12"/>
      <c r="E947" s="12"/>
      <c r="F947" s="17"/>
      <c r="G947" s="12"/>
      <c r="H947" s="12"/>
      <c r="I947" s="12"/>
      <c r="J947" s="12"/>
      <c r="K947" s="12"/>
      <c r="L947" s="12"/>
      <c r="M947" s="12"/>
      <c r="N947" s="12"/>
      <c r="O947" s="12"/>
      <c r="P947" s="12"/>
      <c r="Q947" s="12"/>
      <c r="R947" s="12"/>
      <c r="S947" s="12"/>
      <c r="T947" s="12"/>
      <c r="U947" s="12"/>
      <c r="V947" s="14"/>
      <c r="W947" s="14"/>
      <c r="X947" s="14"/>
      <c r="Y947" s="14"/>
      <c r="Z947" s="15"/>
      <c r="AA947" s="12"/>
      <c r="AB947" s="12"/>
      <c r="AC947" s="12"/>
      <c r="AD947" s="12"/>
      <c r="AE947" s="12"/>
      <c r="AF947" s="12"/>
      <c r="AG947" s="12"/>
      <c r="AH947" s="12"/>
    </row>
    <row r="948" spans="1:34" ht="12.75">
      <c r="A948" s="12"/>
      <c r="B948" s="12"/>
      <c r="C948" s="12"/>
      <c r="D948" s="12"/>
      <c r="E948" s="12"/>
      <c r="F948" s="17"/>
      <c r="G948" s="12"/>
      <c r="H948" s="12"/>
      <c r="I948" s="12"/>
      <c r="J948" s="12"/>
      <c r="K948" s="12"/>
      <c r="L948" s="12"/>
      <c r="M948" s="12"/>
      <c r="N948" s="12"/>
      <c r="O948" s="12"/>
      <c r="P948" s="12"/>
      <c r="Q948" s="12"/>
      <c r="R948" s="12"/>
      <c r="S948" s="12"/>
      <c r="T948" s="12"/>
      <c r="U948" s="12"/>
      <c r="V948" s="14"/>
      <c r="W948" s="14"/>
      <c r="X948" s="14"/>
      <c r="Y948" s="14"/>
      <c r="Z948" s="15"/>
      <c r="AA948" s="12"/>
      <c r="AB948" s="12"/>
      <c r="AC948" s="12"/>
      <c r="AD948" s="12"/>
      <c r="AE948" s="12"/>
      <c r="AF948" s="12"/>
      <c r="AG948" s="12"/>
      <c r="AH948" s="12"/>
    </row>
    <row r="949" spans="1:34" ht="12.75">
      <c r="A949" s="12"/>
      <c r="B949" s="12"/>
      <c r="C949" s="12"/>
      <c r="D949" s="12"/>
      <c r="E949" s="12"/>
      <c r="F949" s="17"/>
      <c r="G949" s="12"/>
      <c r="H949" s="12"/>
      <c r="I949" s="12"/>
      <c r="J949" s="12"/>
      <c r="K949" s="12"/>
      <c r="L949" s="12"/>
      <c r="M949" s="12"/>
      <c r="N949" s="12"/>
      <c r="O949" s="12"/>
      <c r="P949" s="12"/>
      <c r="Q949" s="12"/>
      <c r="R949" s="12"/>
      <c r="S949" s="12"/>
      <c r="T949" s="12"/>
      <c r="U949" s="12"/>
      <c r="V949" s="14"/>
      <c r="W949" s="14"/>
      <c r="X949" s="14"/>
      <c r="Y949" s="14"/>
      <c r="Z949" s="15"/>
      <c r="AA949" s="12"/>
      <c r="AB949" s="12"/>
      <c r="AC949" s="12"/>
      <c r="AD949" s="12"/>
      <c r="AE949" s="12"/>
      <c r="AF949" s="12"/>
      <c r="AG949" s="12"/>
      <c r="AH949" s="12"/>
    </row>
    <row r="950" spans="1:34" ht="12.75">
      <c r="A950" s="12"/>
      <c r="B950" s="12"/>
      <c r="C950" s="12"/>
      <c r="D950" s="12"/>
      <c r="E950" s="12"/>
      <c r="F950" s="17"/>
      <c r="G950" s="12"/>
      <c r="H950" s="12"/>
      <c r="I950" s="12"/>
      <c r="J950" s="12"/>
      <c r="K950" s="12"/>
      <c r="L950" s="12"/>
      <c r="M950" s="12"/>
      <c r="N950" s="12"/>
      <c r="O950" s="12"/>
      <c r="P950" s="12"/>
      <c r="Q950" s="12"/>
      <c r="R950" s="12"/>
      <c r="S950" s="12"/>
      <c r="T950" s="12"/>
      <c r="U950" s="12"/>
      <c r="V950" s="14"/>
      <c r="W950" s="14"/>
      <c r="X950" s="14"/>
      <c r="Y950" s="14"/>
      <c r="Z950" s="15"/>
      <c r="AA950" s="12"/>
      <c r="AB950" s="12"/>
      <c r="AC950" s="12"/>
      <c r="AD950" s="12"/>
      <c r="AE950" s="12"/>
      <c r="AF950" s="12"/>
      <c r="AG950" s="12"/>
      <c r="AH950" s="12"/>
    </row>
    <row r="951" spans="1:34" ht="12.75">
      <c r="A951" s="12"/>
      <c r="B951" s="12"/>
      <c r="C951" s="12"/>
      <c r="D951" s="12"/>
      <c r="E951" s="12"/>
      <c r="F951" s="17"/>
      <c r="G951" s="12"/>
      <c r="H951" s="12"/>
      <c r="I951" s="12"/>
      <c r="J951" s="12"/>
      <c r="K951" s="12"/>
      <c r="L951" s="12"/>
      <c r="M951" s="12"/>
      <c r="N951" s="12"/>
      <c r="O951" s="12"/>
      <c r="P951" s="12"/>
      <c r="Q951" s="12"/>
      <c r="R951" s="12"/>
      <c r="S951" s="12"/>
      <c r="T951" s="12"/>
      <c r="U951" s="12"/>
      <c r="V951" s="14"/>
      <c r="W951" s="14"/>
      <c r="X951" s="14"/>
      <c r="Y951" s="14"/>
      <c r="Z951" s="15"/>
      <c r="AA951" s="12"/>
      <c r="AB951" s="12"/>
      <c r="AC951" s="12"/>
      <c r="AD951" s="12"/>
      <c r="AE951" s="12"/>
      <c r="AF951" s="12"/>
      <c r="AG951" s="12"/>
      <c r="AH951" s="12"/>
    </row>
    <row r="952" spans="1:34" ht="12.75">
      <c r="A952" s="12"/>
      <c r="B952" s="12"/>
      <c r="C952" s="12"/>
      <c r="D952" s="12"/>
      <c r="E952" s="12"/>
      <c r="F952" s="17"/>
      <c r="G952" s="12"/>
      <c r="H952" s="12"/>
      <c r="I952" s="12"/>
      <c r="J952" s="12"/>
      <c r="K952" s="12"/>
      <c r="L952" s="12"/>
      <c r="M952" s="12"/>
      <c r="N952" s="12"/>
      <c r="O952" s="12"/>
      <c r="P952" s="12"/>
      <c r="Q952" s="12"/>
      <c r="R952" s="12"/>
      <c r="S952" s="12"/>
      <c r="T952" s="12"/>
      <c r="U952" s="12"/>
      <c r="V952" s="14"/>
      <c r="W952" s="14"/>
      <c r="X952" s="14"/>
      <c r="Y952" s="14"/>
      <c r="Z952" s="15"/>
      <c r="AA952" s="12"/>
      <c r="AB952" s="12"/>
      <c r="AC952" s="12"/>
      <c r="AD952" s="12"/>
      <c r="AE952" s="12"/>
      <c r="AF952" s="12"/>
      <c r="AG952" s="12"/>
      <c r="AH952" s="12"/>
    </row>
    <row r="953" spans="1:34" ht="12.75">
      <c r="A953" s="12"/>
      <c r="B953" s="12"/>
      <c r="C953" s="12"/>
      <c r="D953" s="12"/>
      <c r="E953" s="12"/>
      <c r="F953" s="17"/>
      <c r="G953" s="12"/>
      <c r="H953" s="12"/>
      <c r="I953" s="12"/>
      <c r="J953" s="12"/>
      <c r="K953" s="12"/>
      <c r="L953" s="12"/>
      <c r="M953" s="12"/>
      <c r="N953" s="12"/>
      <c r="O953" s="12"/>
      <c r="P953" s="12"/>
      <c r="Q953" s="12"/>
      <c r="R953" s="12"/>
      <c r="S953" s="12"/>
      <c r="T953" s="12"/>
      <c r="U953" s="12"/>
      <c r="V953" s="14"/>
      <c r="W953" s="14"/>
      <c r="X953" s="14"/>
      <c r="Y953" s="14"/>
      <c r="Z953" s="15"/>
      <c r="AA953" s="12"/>
      <c r="AB953" s="12"/>
      <c r="AC953" s="12"/>
      <c r="AD953" s="12"/>
      <c r="AE953" s="12"/>
      <c r="AF953" s="12"/>
      <c r="AG953" s="12"/>
      <c r="AH953" s="12"/>
    </row>
    <row r="954" spans="1:34" ht="12.75">
      <c r="A954" s="12"/>
      <c r="B954" s="12"/>
      <c r="C954" s="12"/>
      <c r="D954" s="12"/>
      <c r="E954" s="12"/>
      <c r="F954" s="17"/>
      <c r="G954" s="12"/>
      <c r="H954" s="12"/>
      <c r="I954" s="12"/>
      <c r="J954" s="12"/>
      <c r="K954" s="12"/>
      <c r="L954" s="12"/>
      <c r="M954" s="12"/>
      <c r="N954" s="12"/>
      <c r="O954" s="12"/>
      <c r="P954" s="12"/>
      <c r="Q954" s="12"/>
      <c r="R954" s="12"/>
      <c r="S954" s="12"/>
      <c r="T954" s="12"/>
      <c r="U954" s="12"/>
      <c r="V954" s="14"/>
      <c r="W954" s="14"/>
      <c r="X954" s="14"/>
      <c r="Y954" s="14"/>
      <c r="Z954" s="15"/>
      <c r="AA954" s="12"/>
      <c r="AB954" s="12"/>
      <c r="AC954" s="12"/>
      <c r="AD954" s="12"/>
      <c r="AE954" s="12"/>
      <c r="AF954" s="12"/>
      <c r="AG954" s="12"/>
      <c r="AH954" s="12"/>
    </row>
    <row r="955" spans="1:34" ht="12.75">
      <c r="A955" s="12"/>
      <c r="B955" s="12"/>
      <c r="C955" s="12"/>
      <c r="D955" s="12"/>
      <c r="E955" s="12"/>
      <c r="F955" s="17"/>
      <c r="G955" s="12"/>
      <c r="H955" s="12"/>
      <c r="I955" s="12"/>
      <c r="J955" s="12"/>
      <c r="K955" s="12"/>
      <c r="L955" s="12"/>
      <c r="M955" s="12"/>
      <c r="N955" s="12"/>
      <c r="O955" s="12"/>
      <c r="P955" s="12"/>
      <c r="Q955" s="12"/>
      <c r="R955" s="12"/>
      <c r="S955" s="12"/>
      <c r="T955" s="12"/>
      <c r="U955" s="12"/>
      <c r="V955" s="14"/>
      <c r="W955" s="14"/>
      <c r="X955" s="14"/>
      <c r="Y955" s="14"/>
      <c r="Z955" s="15"/>
      <c r="AA955" s="12"/>
      <c r="AB955" s="12"/>
      <c r="AC955" s="12"/>
      <c r="AD955" s="12"/>
      <c r="AE955" s="12"/>
      <c r="AF955" s="12"/>
      <c r="AG955" s="12"/>
      <c r="AH955" s="12"/>
    </row>
    <row r="956" spans="1:34" ht="12.75">
      <c r="A956" s="12"/>
      <c r="B956" s="12"/>
      <c r="C956" s="12"/>
      <c r="D956" s="12"/>
      <c r="E956" s="12"/>
      <c r="F956" s="17"/>
      <c r="G956" s="12"/>
      <c r="H956" s="12"/>
      <c r="I956" s="12"/>
      <c r="J956" s="12"/>
      <c r="K956" s="12"/>
      <c r="L956" s="12"/>
      <c r="M956" s="12"/>
      <c r="N956" s="12"/>
      <c r="O956" s="12"/>
      <c r="P956" s="12"/>
      <c r="Q956" s="12"/>
      <c r="R956" s="12"/>
      <c r="S956" s="12"/>
      <c r="T956" s="12"/>
      <c r="U956" s="12"/>
      <c r="V956" s="14"/>
      <c r="W956" s="14"/>
      <c r="X956" s="14"/>
      <c r="Y956" s="14"/>
      <c r="Z956" s="15"/>
      <c r="AA956" s="12"/>
      <c r="AB956" s="12"/>
      <c r="AC956" s="12"/>
      <c r="AD956" s="12"/>
      <c r="AE956" s="12"/>
      <c r="AF956" s="12"/>
      <c r="AG956" s="12"/>
      <c r="AH956" s="12"/>
    </row>
    <row r="957" spans="1:34" ht="12.75">
      <c r="A957" s="12"/>
      <c r="B957" s="12"/>
      <c r="C957" s="12"/>
      <c r="D957" s="12"/>
      <c r="E957" s="12"/>
      <c r="F957" s="17"/>
      <c r="G957" s="12"/>
      <c r="H957" s="12"/>
      <c r="I957" s="12"/>
      <c r="J957" s="12"/>
      <c r="K957" s="12"/>
      <c r="L957" s="12"/>
      <c r="M957" s="12"/>
      <c r="N957" s="12"/>
      <c r="O957" s="12"/>
      <c r="P957" s="12"/>
      <c r="Q957" s="12"/>
      <c r="R957" s="12"/>
      <c r="S957" s="12"/>
      <c r="T957" s="12"/>
      <c r="U957" s="12"/>
      <c r="V957" s="14"/>
      <c r="W957" s="14"/>
      <c r="X957" s="14"/>
      <c r="Y957" s="14"/>
      <c r="Z957" s="15"/>
      <c r="AA957" s="12"/>
      <c r="AB957" s="12"/>
      <c r="AC957" s="12"/>
      <c r="AD957" s="12"/>
      <c r="AE957" s="12"/>
      <c r="AF957" s="12"/>
      <c r="AG957" s="12"/>
      <c r="AH957" s="12"/>
    </row>
    <row r="958" spans="1:34" ht="12.75">
      <c r="A958" s="12"/>
      <c r="B958" s="12"/>
      <c r="C958" s="12"/>
      <c r="D958" s="12"/>
      <c r="E958" s="12"/>
      <c r="F958" s="17"/>
      <c r="G958" s="12"/>
      <c r="H958" s="12"/>
      <c r="I958" s="12"/>
      <c r="J958" s="12"/>
      <c r="K958" s="12"/>
      <c r="L958" s="12"/>
      <c r="M958" s="12"/>
      <c r="N958" s="12"/>
      <c r="O958" s="12"/>
      <c r="P958" s="12"/>
      <c r="Q958" s="12"/>
      <c r="R958" s="12"/>
      <c r="S958" s="12"/>
      <c r="T958" s="12"/>
      <c r="U958" s="12"/>
      <c r="V958" s="14"/>
      <c r="W958" s="14"/>
      <c r="X958" s="14"/>
      <c r="Y958" s="14"/>
      <c r="Z958" s="15"/>
      <c r="AA958" s="12"/>
      <c r="AB958" s="12"/>
      <c r="AC958" s="12"/>
      <c r="AD958" s="12"/>
      <c r="AE958" s="12"/>
      <c r="AF958" s="12"/>
      <c r="AG958" s="12"/>
      <c r="AH958" s="12"/>
    </row>
    <row r="959" spans="1:34" ht="12.75">
      <c r="A959" s="12"/>
      <c r="B959" s="12"/>
      <c r="C959" s="12"/>
      <c r="D959" s="12"/>
      <c r="E959" s="12"/>
      <c r="F959" s="17"/>
      <c r="G959" s="12"/>
      <c r="H959" s="12"/>
      <c r="I959" s="12"/>
      <c r="J959" s="12"/>
      <c r="K959" s="12"/>
      <c r="L959" s="12"/>
      <c r="M959" s="12"/>
      <c r="N959" s="12"/>
      <c r="O959" s="12"/>
      <c r="P959" s="12"/>
      <c r="Q959" s="12"/>
      <c r="R959" s="12"/>
      <c r="S959" s="12"/>
      <c r="T959" s="12"/>
      <c r="U959" s="12"/>
      <c r="V959" s="14"/>
      <c r="W959" s="14"/>
      <c r="X959" s="14"/>
      <c r="Y959" s="14"/>
      <c r="Z959" s="15"/>
      <c r="AA959" s="12"/>
      <c r="AB959" s="12"/>
      <c r="AC959" s="12"/>
      <c r="AD959" s="12"/>
      <c r="AE959" s="12"/>
      <c r="AF959" s="12"/>
      <c r="AG959" s="12"/>
      <c r="AH959" s="12"/>
    </row>
    <row r="960" spans="1:34" ht="12.75">
      <c r="A960" s="12"/>
      <c r="B960" s="12"/>
      <c r="C960" s="12"/>
      <c r="D960" s="12"/>
      <c r="E960" s="12"/>
      <c r="F960" s="17"/>
      <c r="G960" s="12"/>
      <c r="H960" s="12"/>
      <c r="I960" s="12"/>
      <c r="J960" s="12"/>
      <c r="K960" s="12"/>
      <c r="L960" s="12"/>
      <c r="M960" s="12"/>
      <c r="N960" s="12"/>
      <c r="O960" s="12"/>
      <c r="P960" s="12"/>
      <c r="Q960" s="12"/>
      <c r="R960" s="12"/>
      <c r="S960" s="12"/>
      <c r="T960" s="12"/>
      <c r="U960" s="12"/>
      <c r="V960" s="14"/>
      <c r="W960" s="14"/>
      <c r="X960" s="14"/>
      <c r="Y960" s="14"/>
      <c r="Z960" s="15"/>
      <c r="AA960" s="12"/>
      <c r="AB960" s="12"/>
      <c r="AC960" s="12"/>
      <c r="AD960" s="12"/>
      <c r="AE960" s="12"/>
      <c r="AF960" s="12"/>
      <c r="AG960" s="12"/>
      <c r="AH960" s="12"/>
    </row>
    <row r="961" spans="1:34" ht="12.75">
      <c r="A961" s="12"/>
      <c r="B961" s="12"/>
      <c r="C961" s="12"/>
      <c r="D961" s="12"/>
      <c r="E961" s="12"/>
      <c r="F961" s="17"/>
      <c r="G961" s="12"/>
      <c r="H961" s="12"/>
      <c r="I961" s="12"/>
      <c r="J961" s="12"/>
      <c r="K961" s="12"/>
      <c r="L961" s="12"/>
      <c r="M961" s="12"/>
      <c r="N961" s="12"/>
      <c r="O961" s="12"/>
      <c r="P961" s="12"/>
      <c r="Q961" s="12"/>
      <c r="R961" s="12"/>
      <c r="S961" s="12"/>
      <c r="T961" s="12"/>
      <c r="U961" s="12"/>
      <c r="V961" s="14"/>
      <c r="W961" s="14"/>
      <c r="X961" s="14"/>
      <c r="Y961" s="14"/>
      <c r="Z961" s="15"/>
      <c r="AA961" s="12"/>
      <c r="AB961" s="12"/>
      <c r="AC961" s="12"/>
      <c r="AD961" s="12"/>
      <c r="AE961" s="12"/>
      <c r="AF961" s="12"/>
      <c r="AG961" s="12"/>
      <c r="AH961" s="12"/>
    </row>
    <row r="962" spans="1:34" ht="12.75">
      <c r="A962" s="12"/>
      <c r="B962" s="12"/>
      <c r="C962" s="12"/>
      <c r="D962" s="12"/>
      <c r="E962" s="12"/>
      <c r="F962" s="17"/>
      <c r="G962" s="12"/>
      <c r="H962" s="12"/>
      <c r="I962" s="12"/>
      <c r="J962" s="12"/>
      <c r="K962" s="12"/>
      <c r="L962" s="12"/>
      <c r="M962" s="12"/>
      <c r="N962" s="12"/>
      <c r="O962" s="12"/>
      <c r="P962" s="12"/>
      <c r="Q962" s="12"/>
      <c r="R962" s="12"/>
      <c r="S962" s="12"/>
      <c r="T962" s="12"/>
      <c r="U962" s="12"/>
      <c r="V962" s="14"/>
      <c r="W962" s="14"/>
      <c r="X962" s="14"/>
      <c r="Y962" s="14"/>
      <c r="Z962" s="15"/>
      <c r="AA962" s="12"/>
      <c r="AB962" s="12"/>
      <c r="AC962" s="12"/>
      <c r="AD962" s="12"/>
      <c r="AE962" s="12"/>
      <c r="AF962" s="12"/>
      <c r="AG962" s="12"/>
      <c r="AH962" s="12"/>
    </row>
    <row r="963" spans="1:34" ht="12.75">
      <c r="A963" s="12"/>
      <c r="B963" s="12"/>
      <c r="C963" s="12"/>
      <c r="D963" s="12"/>
      <c r="E963" s="12"/>
      <c r="F963" s="17"/>
      <c r="G963" s="12"/>
      <c r="H963" s="12"/>
      <c r="I963" s="12"/>
      <c r="J963" s="12"/>
      <c r="K963" s="12"/>
      <c r="L963" s="12"/>
      <c r="M963" s="12"/>
      <c r="N963" s="12"/>
      <c r="O963" s="12"/>
      <c r="P963" s="12"/>
      <c r="Q963" s="12"/>
      <c r="R963" s="12"/>
      <c r="S963" s="12"/>
      <c r="T963" s="12"/>
      <c r="U963" s="12"/>
      <c r="V963" s="14"/>
      <c r="W963" s="14"/>
      <c r="X963" s="14"/>
      <c r="Y963" s="14"/>
      <c r="Z963" s="15"/>
      <c r="AA963" s="12"/>
      <c r="AB963" s="12"/>
      <c r="AC963" s="12"/>
      <c r="AD963" s="12"/>
      <c r="AE963" s="12"/>
      <c r="AF963" s="12"/>
      <c r="AG963" s="12"/>
      <c r="AH963" s="12"/>
    </row>
    <row r="964" spans="1:34" ht="12.75">
      <c r="A964" s="12"/>
      <c r="B964" s="12"/>
      <c r="C964" s="12"/>
      <c r="D964" s="12"/>
      <c r="E964" s="12"/>
      <c r="F964" s="17"/>
      <c r="G964" s="12"/>
      <c r="H964" s="12"/>
      <c r="I964" s="12"/>
      <c r="J964" s="12"/>
      <c r="K964" s="12"/>
      <c r="L964" s="12"/>
      <c r="M964" s="12"/>
      <c r="N964" s="12"/>
      <c r="O964" s="12"/>
      <c r="P964" s="12"/>
      <c r="Q964" s="12"/>
      <c r="R964" s="12"/>
      <c r="S964" s="12"/>
      <c r="T964" s="12"/>
      <c r="U964" s="12"/>
      <c r="V964" s="14"/>
      <c r="W964" s="14"/>
      <c r="X964" s="14"/>
      <c r="Y964" s="14"/>
      <c r="Z964" s="15"/>
      <c r="AA964" s="12"/>
      <c r="AB964" s="12"/>
      <c r="AC964" s="12"/>
      <c r="AD964" s="12"/>
      <c r="AE964" s="12"/>
      <c r="AF964" s="12"/>
      <c r="AG964" s="12"/>
      <c r="AH964" s="12"/>
    </row>
    <row r="965" spans="1:34" ht="12.75">
      <c r="A965" s="12"/>
      <c r="B965" s="12"/>
      <c r="C965" s="12"/>
      <c r="D965" s="12"/>
      <c r="E965" s="12"/>
      <c r="F965" s="17"/>
      <c r="G965" s="12"/>
      <c r="H965" s="12"/>
      <c r="I965" s="12"/>
      <c r="J965" s="12"/>
      <c r="K965" s="12"/>
      <c r="L965" s="12"/>
      <c r="M965" s="12"/>
      <c r="N965" s="12"/>
      <c r="O965" s="12"/>
      <c r="P965" s="12"/>
      <c r="Q965" s="12"/>
      <c r="R965" s="12"/>
      <c r="S965" s="12"/>
      <c r="T965" s="12"/>
      <c r="U965" s="12"/>
      <c r="V965" s="14"/>
      <c r="W965" s="14"/>
      <c r="X965" s="14"/>
      <c r="Y965" s="14"/>
      <c r="Z965" s="15"/>
      <c r="AA965" s="12"/>
      <c r="AB965" s="12"/>
      <c r="AC965" s="12"/>
      <c r="AD965" s="12"/>
      <c r="AE965" s="12"/>
      <c r="AF965" s="12"/>
      <c r="AG965" s="12"/>
      <c r="AH965" s="12"/>
    </row>
    <row r="966" spans="1:34" ht="12.75">
      <c r="A966" s="12"/>
      <c r="B966" s="12"/>
      <c r="C966" s="12"/>
      <c r="D966" s="12"/>
      <c r="E966" s="12"/>
      <c r="F966" s="17"/>
      <c r="G966" s="12"/>
      <c r="H966" s="12"/>
      <c r="I966" s="12"/>
      <c r="J966" s="12"/>
      <c r="K966" s="12"/>
      <c r="L966" s="12"/>
      <c r="M966" s="12"/>
      <c r="N966" s="12"/>
      <c r="O966" s="12"/>
      <c r="P966" s="12"/>
      <c r="Q966" s="12"/>
      <c r="R966" s="12"/>
      <c r="S966" s="12"/>
      <c r="T966" s="12"/>
      <c r="U966" s="12"/>
      <c r="V966" s="14"/>
      <c r="W966" s="14"/>
      <c r="X966" s="14"/>
      <c r="Y966" s="14"/>
      <c r="Z966" s="15"/>
      <c r="AA966" s="12"/>
      <c r="AB966" s="12"/>
      <c r="AC966" s="12"/>
      <c r="AD966" s="12"/>
      <c r="AE966" s="12"/>
      <c r="AF966" s="12"/>
      <c r="AG966" s="12"/>
      <c r="AH966" s="12"/>
    </row>
    <row r="967" spans="1:34" ht="12.75">
      <c r="A967" s="12"/>
      <c r="B967" s="12"/>
      <c r="C967" s="12"/>
      <c r="D967" s="12"/>
      <c r="E967" s="12"/>
      <c r="F967" s="17"/>
      <c r="G967" s="12"/>
      <c r="H967" s="12"/>
      <c r="I967" s="12"/>
      <c r="J967" s="12"/>
      <c r="K967" s="12"/>
      <c r="L967" s="12"/>
      <c r="M967" s="12"/>
      <c r="N967" s="12"/>
      <c r="O967" s="12"/>
      <c r="P967" s="12"/>
      <c r="Q967" s="12"/>
      <c r="R967" s="12"/>
      <c r="S967" s="12"/>
      <c r="T967" s="12"/>
      <c r="U967" s="12"/>
      <c r="V967" s="14"/>
      <c r="W967" s="14"/>
      <c r="X967" s="14"/>
      <c r="Y967" s="14"/>
      <c r="Z967" s="15"/>
      <c r="AA967" s="12"/>
      <c r="AB967" s="12"/>
      <c r="AC967" s="12"/>
      <c r="AD967" s="12"/>
      <c r="AE967" s="12"/>
      <c r="AF967" s="12"/>
      <c r="AG967" s="12"/>
      <c r="AH967" s="12"/>
    </row>
    <row r="968" spans="1:34" ht="12.75">
      <c r="A968" s="12"/>
      <c r="B968" s="12"/>
      <c r="C968" s="12"/>
      <c r="D968" s="12"/>
      <c r="E968" s="12"/>
      <c r="F968" s="17"/>
      <c r="G968" s="12"/>
      <c r="H968" s="12"/>
      <c r="I968" s="12"/>
      <c r="J968" s="12"/>
      <c r="K968" s="12"/>
      <c r="L968" s="12"/>
      <c r="M968" s="12"/>
      <c r="N968" s="12"/>
      <c r="O968" s="12"/>
      <c r="P968" s="12"/>
      <c r="Q968" s="12"/>
      <c r="R968" s="12"/>
      <c r="S968" s="12"/>
      <c r="T968" s="12"/>
      <c r="U968" s="12"/>
      <c r="V968" s="14"/>
      <c r="W968" s="14"/>
      <c r="X968" s="14"/>
      <c r="Y968" s="14"/>
      <c r="Z968" s="15"/>
      <c r="AA968" s="12"/>
      <c r="AB968" s="12"/>
      <c r="AC968" s="12"/>
      <c r="AD968" s="12"/>
      <c r="AE968" s="12"/>
      <c r="AF968" s="12"/>
      <c r="AG968" s="12"/>
      <c r="AH968" s="12"/>
    </row>
    <row r="969" spans="1:34" ht="12.75">
      <c r="A969" s="12"/>
      <c r="B969" s="12"/>
      <c r="C969" s="12"/>
      <c r="D969" s="12"/>
      <c r="E969" s="12"/>
      <c r="F969" s="17"/>
      <c r="G969" s="12"/>
      <c r="H969" s="12"/>
      <c r="I969" s="12"/>
      <c r="J969" s="12"/>
      <c r="K969" s="12"/>
      <c r="L969" s="12"/>
      <c r="M969" s="12"/>
      <c r="N969" s="12"/>
      <c r="O969" s="12"/>
      <c r="P969" s="12"/>
      <c r="Q969" s="12"/>
      <c r="R969" s="12"/>
      <c r="S969" s="12"/>
      <c r="T969" s="12"/>
      <c r="U969" s="12"/>
      <c r="V969" s="14"/>
      <c r="W969" s="14"/>
      <c r="X969" s="14"/>
      <c r="Y969" s="14"/>
      <c r="Z969" s="15"/>
      <c r="AA969" s="12"/>
      <c r="AB969" s="12"/>
      <c r="AC969" s="12"/>
      <c r="AD969" s="12"/>
      <c r="AE969" s="12"/>
      <c r="AF969" s="12"/>
      <c r="AG969" s="12"/>
      <c r="AH969" s="12"/>
    </row>
    <row r="970" spans="1:34" ht="12.75">
      <c r="A970" s="12"/>
      <c r="B970" s="12"/>
      <c r="C970" s="12"/>
      <c r="D970" s="12"/>
      <c r="E970" s="12"/>
      <c r="F970" s="17"/>
      <c r="G970" s="12"/>
      <c r="H970" s="12"/>
      <c r="I970" s="12"/>
      <c r="J970" s="12"/>
      <c r="K970" s="12"/>
      <c r="L970" s="12"/>
      <c r="M970" s="12"/>
      <c r="N970" s="12"/>
      <c r="O970" s="12"/>
      <c r="P970" s="12"/>
      <c r="Q970" s="12"/>
      <c r="R970" s="12"/>
      <c r="S970" s="12"/>
      <c r="T970" s="12"/>
      <c r="U970" s="12"/>
      <c r="V970" s="14"/>
      <c r="W970" s="14"/>
      <c r="X970" s="14"/>
      <c r="Y970" s="14"/>
      <c r="Z970" s="15"/>
      <c r="AA970" s="12"/>
      <c r="AB970" s="12"/>
      <c r="AC970" s="12"/>
      <c r="AD970" s="12"/>
      <c r="AE970" s="12"/>
      <c r="AF970" s="12"/>
      <c r="AG970" s="12"/>
      <c r="AH970" s="12"/>
    </row>
    <row r="971" spans="1:34" ht="12.75">
      <c r="A971" s="12"/>
      <c r="B971" s="12"/>
      <c r="C971" s="12"/>
      <c r="D971" s="12"/>
      <c r="E971" s="12"/>
      <c r="F971" s="17"/>
      <c r="G971" s="12"/>
      <c r="H971" s="12"/>
      <c r="I971" s="12"/>
      <c r="J971" s="12"/>
      <c r="K971" s="12"/>
      <c r="L971" s="12"/>
      <c r="M971" s="12"/>
      <c r="N971" s="12"/>
      <c r="O971" s="12"/>
      <c r="P971" s="12"/>
      <c r="Q971" s="12"/>
      <c r="R971" s="12"/>
      <c r="S971" s="12"/>
      <c r="T971" s="12"/>
      <c r="U971" s="12"/>
      <c r="V971" s="14"/>
      <c r="W971" s="14"/>
      <c r="X971" s="14"/>
      <c r="Y971" s="14"/>
      <c r="Z971" s="15"/>
      <c r="AA971" s="12"/>
      <c r="AB971" s="12"/>
      <c r="AC971" s="12"/>
      <c r="AD971" s="12"/>
      <c r="AE971" s="12"/>
      <c r="AF971" s="12"/>
      <c r="AG971" s="12"/>
      <c r="AH971" s="12"/>
    </row>
    <row r="972" spans="1:34" ht="12.75">
      <c r="A972" s="12"/>
      <c r="B972" s="12"/>
      <c r="C972" s="12"/>
      <c r="D972" s="12"/>
      <c r="E972" s="12"/>
      <c r="F972" s="17"/>
      <c r="G972" s="12"/>
      <c r="H972" s="12"/>
      <c r="I972" s="12"/>
      <c r="J972" s="12"/>
      <c r="K972" s="12"/>
      <c r="L972" s="12"/>
      <c r="M972" s="12"/>
      <c r="N972" s="12"/>
      <c r="O972" s="12"/>
      <c r="P972" s="12"/>
      <c r="Q972" s="12"/>
      <c r="R972" s="12"/>
      <c r="S972" s="12"/>
      <c r="T972" s="12"/>
      <c r="U972" s="12"/>
      <c r="V972" s="14"/>
      <c r="W972" s="14"/>
      <c r="X972" s="14"/>
      <c r="Y972" s="14"/>
      <c r="Z972" s="15"/>
      <c r="AA972" s="12"/>
      <c r="AB972" s="12"/>
      <c r="AC972" s="12"/>
      <c r="AD972" s="12"/>
      <c r="AE972" s="12"/>
      <c r="AF972" s="12"/>
      <c r="AG972" s="12"/>
      <c r="AH972" s="12"/>
    </row>
    <row r="973" spans="1:34" ht="12.75">
      <c r="A973" s="12"/>
      <c r="B973" s="12"/>
      <c r="C973" s="12"/>
      <c r="D973" s="12"/>
      <c r="E973" s="12"/>
      <c r="F973" s="17"/>
      <c r="G973" s="12"/>
      <c r="H973" s="12"/>
      <c r="I973" s="12"/>
      <c r="J973" s="12"/>
      <c r="K973" s="12"/>
      <c r="L973" s="12"/>
      <c r="M973" s="12"/>
      <c r="N973" s="12"/>
      <c r="O973" s="12"/>
      <c r="P973" s="12"/>
      <c r="Q973" s="12"/>
      <c r="R973" s="12"/>
      <c r="S973" s="12"/>
      <c r="T973" s="12"/>
      <c r="U973" s="12"/>
      <c r="V973" s="14"/>
      <c r="W973" s="14"/>
      <c r="X973" s="14"/>
      <c r="Y973" s="14"/>
      <c r="Z973" s="15"/>
      <c r="AA973" s="12"/>
      <c r="AB973" s="12"/>
      <c r="AC973" s="12"/>
      <c r="AD973" s="12"/>
      <c r="AE973" s="12"/>
      <c r="AF973" s="12"/>
      <c r="AG973" s="12"/>
      <c r="AH973" s="12"/>
    </row>
    <row r="974" spans="1:34" ht="12.75">
      <c r="A974" s="12"/>
      <c r="B974" s="12"/>
      <c r="C974" s="12"/>
      <c r="D974" s="12"/>
      <c r="E974" s="12"/>
      <c r="F974" s="17"/>
      <c r="G974" s="12"/>
      <c r="H974" s="12"/>
      <c r="I974" s="12"/>
      <c r="J974" s="12"/>
      <c r="K974" s="12"/>
      <c r="L974" s="12"/>
      <c r="M974" s="12"/>
      <c r="N974" s="12"/>
      <c r="O974" s="12"/>
      <c r="P974" s="12"/>
      <c r="Q974" s="12"/>
      <c r="R974" s="12"/>
      <c r="S974" s="12"/>
      <c r="T974" s="12"/>
      <c r="U974" s="12"/>
      <c r="V974" s="14"/>
      <c r="W974" s="14"/>
      <c r="X974" s="14"/>
      <c r="Y974" s="14"/>
      <c r="Z974" s="15"/>
      <c r="AA974" s="12"/>
      <c r="AB974" s="12"/>
      <c r="AC974" s="12"/>
      <c r="AD974" s="12"/>
      <c r="AE974" s="12"/>
      <c r="AF974" s="12"/>
      <c r="AG974" s="12"/>
      <c r="AH974" s="12"/>
    </row>
    <row r="975" spans="1:34" ht="12.75">
      <c r="A975" s="12"/>
      <c r="B975" s="12"/>
      <c r="C975" s="12"/>
      <c r="D975" s="12"/>
      <c r="E975" s="12"/>
      <c r="F975" s="17"/>
      <c r="G975" s="12"/>
      <c r="H975" s="12"/>
      <c r="I975" s="12"/>
      <c r="J975" s="12"/>
      <c r="K975" s="12"/>
      <c r="L975" s="12"/>
      <c r="M975" s="12"/>
      <c r="N975" s="12"/>
      <c r="O975" s="12"/>
      <c r="P975" s="12"/>
      <c r="Q975" s="12"/>
      <c r="R975" s="12"/>
      <c r="S975" s="12"/>
      <c r="T975" s="12"/>
      <c r="U975" s="12"/>
      <c r="V975" s="14"/>
      <c r="W975" s="14"/>
      <c r="X975" s="14"/>
      <c r="Y975" s="14"/>
      <c r="Z975" s="15"/>
      <c r="AA975" s="12"/>
      <c r="AB975" s="12"/>
      <c r="AC975" s="12"/>
      <c r="AD975" s="12"/>
      <c r="AE975" s="12"/>
      <c r="AF975" s="12"/>
      <c r="AG975" s="12"/>
      <c r="AH975" s="12"/>
    </row>
    <row r="976" spans="1:34" ht="12.75">
      <c r="A976" s="12"/>
      <c r="B976" s="12"/>
      <c r="C976" s="12"/>
      <c r="D976" s="12"/>
      <c r="E976" s="12"/>
      <c r="F976" s="17"/>
      <c r="G976" s="12"/>
      <c r="H976" s="12"/>
      <c r="I976" s="12"/>
      <c r="J976" s="12"/>
      <c r="K976" s="12"/>
      <c r="L976" s="12"/>
      <c r="M976" s="12"/>
      <c r="N976" s="12"/>
      <c r="O976" s="12"/>
      <c r="P976" s="12"/>
      <c r="Q976" s="12"/>
      <c r="R976" s="12"/>
      <c r="S976" s="12"/>
      <c r="T976" s="12"/>
      <c r="U976" s="12"/>
      <c r="V976" s="14"/>
      <c r="W976" s="14"/>
      <c r="X976" s="14"/>
      <c r="Y976" s="14"/>
      <c r="Z976" s="15"/>
      <c r="AA976" s="12"/>
      <c r="AB976" s="12"/>
      <c r="AC976" s="12"/>
      <c r="AD976" s="12"/>
      <c r="AE976" s="12"/>
      <c r="AF976" s="12"/>
      <c r="AG976" s="12"/>
      <c r="AH976" s="12"/>
    </row>
    <row r="977" spans="1:34" ht="12.75">
      <c r="A977" s="12"/>
      <c r="B977" s="12"/>
      <c r="C977" s="12"/>
      <c r="D977" s="12"/>
      <c r="E977" s="12"/>
      <c r="F977" s="17"/>
      <c r="G977" s="12"/>
      <c r="H977" s="12"/>
      <c r="I977" s="12"/>
      <c r="J977" s="12"/>
      <c r="K977" s="12"/>
      <c r="L977" s="12"/>
      <c r="M977" s="12"/>
      <c r="N977" s="12"/>
      <c r="O977" s="12"/>
      <c r="P977" s="12"/>
      <c r="Q977" s="12"/>
      <c r="R977" s="12"/>
      <c r="S977" s="12"/>
      <c r="T977" s="12"/>
      <c r="U977" s="12"/>
      <c r="V977" s="14"/>
      <c r="W977" s="14"/>
      <c r="X977" s="14"/>
      <c r="Y977" s="14"/>
      <c r="Z977" s="15"/>
      <c r="AA977" s="12"/>
      <c r="AB977" s="12"/>
      <c r="AC977" s="12"/>
      <c r="AD977" s="12"/>
      <c r="AE977" s="12"/>
      <c r="AF977" s="12"/>
      <c r="AG977" s="12"/>
      <c r="AH977" s="12"/>
    </row>
    <row r="978" spans="1:34" ht="12.75">
      <c r="A978" s="12"/>
      <c r="B978" s="12"/>
      <c r="C978" s="12"/>
      <c r="D978" s="12"/>
      <c r="E978" s="12"/>
      <c r="F978" s="17"/>
      <c r="G978" s="12"/>
      <c r="H978" s="12"/>
      <c r="I978" s="12"/>
      <c r="J978" s="12"/>
      <c r="K978" s="12"/>
      <c r="L978" s="12"/>
      <c r="M978" s="12"/>
      <c r="N978" s="12"/>
      <c r="O978" s="12"/>
      <c r="P978" s="12"/>
      <c r="Q978" s="12"/>
      <c r="R978" s="12"/>
      <c r="S978" s="12"/>
      <c r="T978" s="12"/>
      <c r="U978" s="12"/>
      <c r="V978" s="14"/>
      <c r="W978" s="14"/>
      <c r="X978" s="14"/>
      <c r="Y978" s="14"/>
      <c r="Z978" s="15"/>
      <c r="AA978" s="12"/>
      <c r="AB978" s="12"/>
      <c r="AC978" s="12"/>
      <c r="AD978" s="12"/>
      <c r="AE978" s="12"/>
      <c r="AF978" s="12"/>
      <c r="AG978" s="12"/>
      <c r="AH978" s="12"/>
    </row>
    <row r="979" spans="1:34" ht="12.75">
      <c r="A979" s="12"/>
      <c r="B979" s="12"/>
      <c r="C979" s="12"/>
      <c r="D979" s="12"/>
      <c r="E979" s="12"/>
      <c r="F979" s="17"/>
      <c r="G979" s="12"/>
      <c r="H979" s="12"/>
      <c r="I979" s="12"/>
      <c r="J979" s="12"/>
      <c r="K979" s="12"/>
      <c r="L979" s="12"/>
      <c r="M979" s="12"/>
      <c r="N979" s="12"/>
      <c r="O979" s="12"/>
      <c r="P979" s="12"/>
      <c r="Q979" s="12"/>
      <c r="R979" s="12"/>
      <c r="S979" s="12"/>
      <c r="T979" s="12"/>
      <c r="U979" s="12"/>
      <c r="V979" s="14"/>
      <c r="W979" s="14"/>
      <c r="X979" s="14"/>
      <c r="Y979" s="14"/>
      <c r="Z979" s="15"/>
      <c r="AA979" s="12"/>
      <c r="AB979" s="12"/>
      <c r="AC979" s="12"/>
      <c r="AD979" s="12"/>
      <c r="AE979" s="12"/>
      <c r="AF979" s="12"/>
      <c r="AG979" s="12"/>
      <c r="AH979" s="12"/>
    </row>
    <row r="980" spans="1:34" ht="12.75">
      <c r="A980" s="12"/>
      <c r="B980" s="12"/>
      <c r="C980" s="12"/>
      <c r="D980" s="12"/>
      <c r="E980" s="12"/>
      <c r="F980" s="17"/>
      <c r="G980" s="12"/>
      <c r="H980" s="12"/>
      <c r="I980" s="12"/>
      <c r="J980" s="12"/>
      <c r="K980" s="12"/>
      <c r="L980" s="12"/>
      <c r="M980" s="12"/>
      <c r="N980" s="12"/>
      <c r="O980" s="12"/>
      <c r="P980" s="12"/>
      <c r="Q980" s="12"/>
      <c r="R980" s="12"/>
      <c r="S980" s="12"/>
      <c r="T980" s="12"/>
      <c r="U980" s="12"/>
      <c r="V980" s="14"/>
      <c r="W980" s="14"/>
      <c r="X980" s="14"/>
      <c r="Y980" s="14"/>
      <c r="Z980" s="15"/>
      <c r="AA980" s="12"/>
      <c r="AB980" s="12"/>
      <c r="AC980" s="12"/>
      <c r="AD980" s="12"/>
      <c r="AE980" s="12"/>
      <c r="AF980" s="12"/>
      <c r="AG980" s="12"/>
      <c r="AH980" s="12"/>
    </row>
    <row r="981" spans="1:34" ht="12.75">
      <c r="A981" s="12"/>
      <c r="B981" s="12"/>
      <c r="C981" s="12"/>
      <c r="D981" s="12"/>
      <c r="E981" s="12"/>
      <c r="F981" s="17"/>
      <c r="G981" s="12"/>
      <c r="H981" s="12"/>
      <c r="I981" s="12"/>
      <c r="J981" s="12"/>
      <c r="K981" s="12"/>
      <c r="L981" s="12"/>
      <c r="M981" s="12"/>
      <c r="N981" s="12"/>
      <c r="O981" s="12"/>
      <c r="P981" s="12"/>
      <c r="Q981" s="12"/>
      <c r="R981" s="12"/>
      <c r="S981" s="12"/>
      <c r="T981" s="12"/>
      <c r="U981" s="12"/>
      <c r="V981" s="14"/>
      <c r="W981" s="14"/>
      <c r="X981" s="14"/>
      <c r="Y981" s="14"/>
      <c r="Z981" s="15"/>
      <c r="AA981" s="12"/>
      <c r="AB981" s="12"/>
      <c r="AC981" s="12"/>
      <c r="AD981" s="12"/>
      <c r="AE981" s="12"/>
      <c r="AF981" s="12"/>
      <c r="AG981" s="12"/>
      <c r="AH981" s="12"/>
    </row>
    <row r="982" spans="1:34" ht="12.75">
      <c r="A982" s="12"/>
      <c r="B982" s="12"/>
      <c r="C982" s="12"/>
      <c r="D982" s="12"/>
      <c r="E982" s="12"/>
      <c r="F982" s="17"/>
      <c r="G982" s="12"/>
      <c r="H982" s="12"/>
      <c r="I982" s="12"/>
      <c r="J982" s="12"/>
      <c r="K982" s="12"/>
      <c r="L982" s="12"/>
      <c r="M982" s="12"/>
      <c r="N982" s="12"/>
      <c r="O982" s="12"/>
      <c r="P982" s="12"/>
      <c r="Q982" s="12"/>
      <c r="R982" s="12"/>
      <c r="S982" s="12"/>
      <c r="T982" s="12"/>
      <c r="U982" s="12"/>
      <c r="V982" s="14"/>
      <c r="W982" s="14"/>
      <c r="X982" s="14"/>
      <c r="Y982" s="14"/>
      <c r="Z982" s="15"/>
      <c r="AA982" s="12"/>
      <c r="AB982" s="12"/>
      <c r="AC982" s="12"/>
      <c r="AD982" s="12"/>
      <c r="AE982" s="12"/>
      <c r="AF982" s="12"/>
      <c r="AG982" s="12"/>
      <c r="AH982" s="12"/>
    </row>
    <row r="983" spans="1:34" ht="12.75">
      <c r="A983" s="12"/>
      <c r="B983" s="12"/>
      <c r="C983" s="12"/>
      <c r="D983" s="12"/>
      <c r="E983" s="12"/>
      <c r="F983" s="17"/>
      <c r="G983" s="12"/>
      <c r="H983" s="12"/>
      <c r="I983" s="12"/>
      <c r="J983" s="12"/>
      <c r="K983" s="12"/>
      <c r="L983" s="12"/>
      <c r="M983" s="12"/>
      <c r="N983" s="12"/>
      <c r="O983" s="12"/>
      <c r="P983" s="12"/>
      <c r="Q983" s="12"/>
      <c r="R983" s="12"/>
      <c r="S983" s="12"/>
      <c r="T983" s="12"/>
      <c r="U983" s="12"/>
      <c r="V983" s="14"/>
      <c r="W983" s="14"/>
      <c r="X983" s="14"/>
      <c r="Y983" s="14"/>
      <c r="Z983" s="15"/>
      <c r="AA983" s="12"/>
      <c r="AB983" s="12"/>
      <c r="AC983" s="12"/>
      <c r="AD983" s="12"/>
      <c r="AE983" s="12"/>
      <c r="AF983" s="12"/>
      <c r="AG983" s="12"/>
      <c r="AH983" s="12"/>
    </row>
    <row r="984" spans="1:34" ht="12.75">
      <c r="A984" s="12"/>
      <c r="B984" s="12"/>
      <c r="C984" s="12"/>
      <c r="D984" s="12"/>
      <c r="E984" s="12"/>
      <c r="F984" s="17"/>
      <c r="G984" s="12"/>
      <c r="H984" s="12"/>
      <c r="I984" s="12"/>
      <c r="J984" s="12"/>
      <c r="K984" s="12"/>
      <c r="L984" s="12"/>
      <c r="M984" s="12"/>
      <c r="N984" s="12"/>
      <c r="O984" s="12"/>
      <c r="P984" s="12"/>
      <c r="Q984" s="12"/>
      <c r="R984" s="12"/>
      <c r="S984" s="12"/>
      <c r="T984" s="12"/>
      <c r="U984" s="12"/>
      <c r="V984" s="14"/>
      <c r="W984" s="14"/>
      <c r="X984" s="14"/>
      <c r="Y984" s="14"/>
      <c r="Z984" s="15"/>
      <c r="AA984" s="12"/>
      <c r="AB984" s="12"/>
      <c r="AC984" s="12"/>
      <c r="AD984" s="12"/>
      <c r="AE984" s="12"/>
      <c r="AF984" s="12"/>
      <c r="AG984" s="12"/>
      <c r="AH984" s="12"/>
    </row>
    <row r="985" spans="1:34" ht="12.75">
      <c r="A985" s="12"/>
      <c r="B985" s="12"/>
      <c r="C985" s="12"/>
      <c r="D985" s="12"/>
      <c r="E985" s="12"/>
      <c r="F985" s="17"/>
      <c r="G985" s="12"/>
      <c r="H985" s="12"/>
      <c r="I985" s="12"/>
      <c r="J985" s="12"/>
      <c r="K985" s="12"/>
      <c r="L985" s="12"/>
      <c r="M985" s="12"/>
      <c r="N985" s="12"/>
      <c r="O985" s="12"/>
      <c r="P985" s="12"/>
      <c r="Q985" s="12"/>
      <c r="R985" s="12"/>
      <c r="S985" s="12"/>
      <c r="T985" s="12"/>
      <c r="U985" s="12"/>
      <c r="V985" s="14"/>
      <c r="W985" s="14"/>
      <c r="X985" s="14"/>
      <c r="Y985" s="14"/>
      <c r="Z985" s="15"/>
      <c r="AA985" s="12"/>
      <c r="AB985" s="12"/>
      <c r="AC985" s="12"/>
      <c r="AD985" s="12"/>
      <c r="AE985" s="12"/>
      <c r="AF985" s="12"/>
      <c r="AG985" s="12"/>
      <c r="AH985" s="12"/>
    </row>
    <row r="986" spans="1:34" ht="12.75">
      <c r="A986" s="12"/>
      <c r="B986" s="12"/>
      <c r="C986" s="12"/>
      <c r="D986" s="12"/>
      <c r="E986" s="12"/>
      <c r="F986" s="17"/>
      <c r="G986" s="12"/>
      <c r="H986" s="12"/>
      <c r="I986" s="12"/>
      <c r="J986" s="12"/>
      <c r="K986" s="12"/>
      <c r="L986" s="12"/>
      <c r="M986" s="12"/>
      <c r="N986" s="12"/>
      <c r="O986" s="12"/>
      <c r="P986" s="12"/>
      <c r="Q986" s="12"/>
      <c r="R986" s="12"/>
      <c r="S986" s="12"/>
      <c r="T986" s="12"/>
      <c r="U986" s="12"/>
      <c r="V986" s="14"/>
      <c r="W986" s="14"/>
      <c r="X986" s="14"/>
      <c r="Y986" s="14"/>
      <c r="Z986" s="15"/>
      <c r="AA986" s="12"/>
      <c r="AB986" s="12"/>
      <c r="AC986" s="12"/>
      <c r="AD986" s="12"/>
      <c r="AE986" s="12"/>
      <c r="AF986" s="12"/>
      <c r="AG986" s="12"/>
      <c r="AH986" s="12"/>
    </row>
    <row r="987" spans="1:34" ht="12.75">
      <c r="A987" s="12"/>
      <c r="B987" s="12"/>
      <c r="C987" s="12"/>
      <c r="D987" s="12"/>
      <c r="E987" s="12"/>
      <c r="F987" s="17"/>
      <c r="G987" s="12"/>
      <c r="H987" s="12"/>
      <c r="I987" s="12"/>
      <c r="J987" s="12"/>
      <c r="K987" s="12"/>
      <c r="L987" s="12"/>
      <c r="M987" s="12"/>
      <c r="N987" s="12"/>
      <c r="O987" s="12"/>
      <c r="P987" s="12"/>
      <c r="Q987" s="12"/>
      <c r="R987" s="12"/>
      <c r="S987" s="12"/>
      <c r="T987" s="12"/>
      <c r="U987" s="12"/>
      <c r="V987" s="14"/>
      <c r="W987" s="14"/>
      <c r="X987" s="14"/>
      <c r="Y987" s="14"/>
      <c r="Z987" s="15"/>
      <c r="AA987" s="12"/>
      <c r="AB987" s="12"/>
      <c r="AC987" s="12"/>
      <c r="AD987" s="12"/>
      <c r="AE987" s="12"/>
      <c r="AF987" s="12"/>
      <c r="AG987" s="12"/>
      <c r="AH987" s="12"/>
    </row>
    <row r="988" spans="1:34" ht="12.75">
      <c r="A988" s="12"/>
      <c r="B988" s="12"/>
      <c r="C988" s="12"/>
      <c r="D988" s="12"/>
      <c r="E988" s="12"/>
      <c r="F988" s="17"/>
      <c r="G988" s="12"/>
      <c r="H988" s="12"/>
      <c r="I988" s="12"/>
      <c r="J988" s="12"/>
      <c r="K988" s="12"/>
      <c r="L988" s="12"/>
      <c r="M988" s="12"/>
      <c r="N988" s="12"/>
      <c r="O988" s="12"/>
      <c r="P988" s="12"/>
      <c r="Q988" s="12"/>
      <c r="R988" s="12"/>
      <c r="S988" s="12"/>
      <c r="T988" s="12"/>
      <c r="U988" s="12"/>
      <c r="V988" s="14"/>
      <c r="W988" s="14"/>
      <c r="X988" s="14"/>
      <c r="Y988" s="14"/>
      <c r="Z988" s="15"/>
      <c r="AA988" s="12"/>
      <c r="AB988" s="12"/>
      <c r="AC988" s="12"/>
      <c r="AD988" s="12"/>
      <c r="AE988" s="12"/>
      <c r="AF988" s="12"/>
      <c r="AG988" s="12"/>
      <c r="AH988" s="12"/>
    </row>
    <row r="989" spans="1:34" ht="12.75">
      <c r="A989" s="12"/>
      <c r="B989" s="12"/>
      <c r="C989" s="12"/>
      <c r="D989" s="12"/>
      <c r="E989" s="12"/>
      <c r="F989" s="17"/>
      <c r="G989" s="12"/>
      <c r="H989" s="12"/>
      <c r="I989" s="12"/>
      <c r="J989" s="12"/>
      <c r="K989" s="12"/>
      <c r="L989" s="12"/>
      <c r="M989" s="12"/>
      <c r="N989" s="12"/>
      <c r="O989" s="12"/>
      <c r="P989" s="12"/>
      <c r="Q989" s="12"/>
      <c r="R989" s="12"/>
      <c r="S989" s="12"/>
      <c r="T989" s="12"/>
      <c r="U989" s="12"/>
      <c r="V989" s="14"/>
      <c r="W989" s="14"/>
      <c r="X989" s="14"/>
      <c r="Y989" s="14"/>
      <c r="Z989" s="15"/>
      <c r="AA989" s="12"/>
      <c r="AB989" s="12"/>
      <c r="AC989" s="12"/>
      <c r="AD989" s="12"/>
      <c r="AE989" s="12"/>
      <c r="AF989" s="12"/>
      <c r="AG989" s="12"/>
      <c r="AH989" s="12"/>
    </row>
    <row r="990" spans="1:34" ht="12.75">
      <c r="A990" s="12"/>
      <c r="B990" s="12"/>
      <c r="C990" s="12"/>
      <c r="D990" s="12"/>
      <c r="E990" s="12"/>
      <c r="F990" s="17"/>
      <c r="G990" s="12"/>
      <c r="H990" s="12"/>
      <c r="I990" s="12"/>
      <c r="J990" s="12"/>
      <c r="K990" s="12"/>
      <c r="L990" s="12"/>
      <c r="M990" s="12"/>
      <c r="N990" s="12"/>
      <c r="O990" s="12"/>
      <c r="P990" s="12"/>
      <c r="Q990" s="12"/>
      <c r="R990" s="12"/>
      <c r="S990" s="12"/>
      <c r="T990" s="12"/>
      <c r="U990" s="12"/>
      <c r="V990" s="14"/>
      <c r="W990" s="14"/>
      <c r="X990" s="14"/>
      <c r="Y990" s="14"/>
      <c r="Z990" s="15"/>
      <c r="AA990" s="12"/>
      <c r="AB990" s="12"/>
      <c r="AC990" s="12"/>
      <c r="AD990" s="12"/>
      <c r="AE990" s="12"/>
      <c r="AF990" s="12"/>
      <c r="AG990" s="12"/>
      <c r="AH990" s="12"/>
    </row>
    <row r="991" spans="1:34" ht="12.75">
      <c r="A991" s="12"/>
      <c r="B991" s="12"/>
      <c r="C991" s="12"/>
      <c r="D991" s="12"/>
      <c r="E991" s="12"/>
      <c r="F991" s="17"/>
      <c r="G991" s="12"/>
      <c r="H991" s="12"/>
      <c r="I991" s="12"/>
      <c r="J991" s="12"/>
      <c r="K991" s="12"/>
      <c r="L991" s="12"/>
      <c r="M991" s="12"/>
      <c r="N991" s="12"/>
      <c r="O991" s="12"/>
      <c r="P991" s="12"/>
      <c r="Q991" s="12"/>
      <c r="R991" s="12"/>
      <c r="S991" s="12"/>
      <c r="T991" s="12"/>
      <c r="U991" s="12"/>
      <c r="V991" s="14"/>
      <c r="W991" s="14"/>
      <c r="X991" s="14"/>
      <c r="Y991" s="14"/>
      <c r="Z991" s="15"/>
      <c r="AA991" s="12"/>
      <c r="AB991" s="12"/>
      <c r="AC991" s="12"/>
      <c r="AD991" s="12"/>
      <c r="AE991" s="12"/>
      <c r="AF991" s="12"/>
      <c r="AG991" s="12"/>
      <c r="AH991" s="12"/>
    </row>
    <row r="992" spans="1:34" ht="12.75">
      <c r="A992" s="12"/>
      <c r="B992" s="12"/>
      <c r="C992" s="12"/>
      <c r="D992" s="12"/>
      <c r="E992" s="12"/>
      <c r="F992" s="17"/>
      <c r="G992" s="12"/>
      <c r="H992" s="12"/>
      <c r="I992" s="12"/>
      <c r="J992" s="12"/>
      <c r="K992" s="12"/>
      <c r="L992" s="12"/>
      <c r="M992" s="12"/>
      <c r="N992" s="12"/>
      <c r="O992" s="12"/>
      <c r="P992" s="12"/>
      <c r="Q992" s="12"/>
      <c r="R992" s="12"/>
      <c r="S992" s="12"/>
      <c r="T992" s="12"/>
      <c r="U992" s="12"/>
      <c r="V992" s="14"/>
      <c r="W992" s="14"/>
      <c r="X992" s="14"/>
      <c r="Y992" s="14"/>
      <c r="Z992" s="15"/>
      <c r="AA992" s="12"/>
      <c r="AB992" s="12"/>
      <c r="AC992" s="12"/>
      <c r="AD992" s="12"/>
      <c r="AE992" s="12"/>
      <c r="AF992" s="12"/>
      <c r="AG992" s="12"/>
      <c r="AH992" s="12"/>
    </row>
    <row r="993" spans="1:34" ht="12.75">
      <c r="A993" s="12"/>
      <c r="B993" s="12"/>
      <c r="C993" s="12"/>
      <c r="D993" s="12"/>
      <c r="E993" s="12"/>
      <c r="F993" s="17"/>
      <c r="G993" s="12"/>
      <c r="H993" s="12"/>
      <c r="I993" s="12"/>
      <c r="J993" s="12"/>
      <c r="K993" s="12"/>
      <c r="L993" s="12"/>
      <c r="M993" s="12"/>
      <c r="N993" s="12"/>
      <c r="O993" s="12"/>
      <c r="P993" s="12"/>
      <c r="Q993" s="12"/>
      <c r="R993" s="12"/>
      <c r="S993" s="12"/>
      <c r="T993" s="12"/>
      <c r="U993" s="12"/>
      <c r="V993" s="14"/>
      <c r="W993" s="14"/>
      <c r="X993" s="14"/>
      <c r="Y993" s="14"/>
      <c r="Z993" s="15"/>
      <c r="AA993" s="12"/>
      <c r="AB993" s="12"/>
      <c r="AC993" s="12"/>
      <c r="AD993" s="12"/>
      <c r="AE993" s="12"/>
      <c r="AF993" s="12"/>
      <c r="AG993" s="12"/>
      <c r="AH993" s="12"/>
    </row>
    <row r="994" spans="1:34" ht="12.75">
      <c r="A994" s="12"/>
      <c r="B994" s="12"/>
      <c r="C994" s="12"/>
      <c r="D994" s="12"/>
      <c r="E994" s="12"/>
      <c r="F994" s="17"/>
      <c r="G994" s="12"/>
      <c r="H994" s="12"/>
      <c r="I994" s="12"/>
      <c r="J994" s="12"/>
      <c r="K994" s="12"/>
      <c r="L994" s="12"/>
      <c r="M994" s="12"/>
      <c r="N994" s="12"/>
      <c r="O994" s="12"/>
      <c r="P994" s="12"/>
      <c r="Q994" s="12"/>
      <c r="R994" s="12"/>
      <c r="S994" s="12"/>
      <c r="T994" s="12"/>
      <c r="U994" s="12"/>
      <c r="V994" s="14"/>
      <c r="W994" s="14"/>
      <c r="X994" s="14"/>
      <c r="Y994" s="14"/>
      <c r="Z994" s="15"/>
      <c r="AA994" s="12"/>
      <c r="AB994" s="12"/>
      <c r="AC994" s="12"/>
      <c r="AD994" s="12"/>
      <c r="AE994" s="12"/>
      <c r="AF994" s="12"/>
      <c r="AG994" s="12"/>
      <c r="AH994" s="12"/>
    </row>
    <row r="995" spans="1:34" ht="12.75">
      <c r="A995" s="12"/>
      <c r="B995" s="12"/>
      <c r="C995" s="12"/>
      <c r="D995" s="12"/>
      <c r="E995" s="12"/>
      <c r="F995" s="17"/>
      <c r="G995" s="12"/>
      <c r="H995" s="12"/>
      <c r="I995" s="12"/>
      <c r="J995" s="12"/>
      <c r="K995" s="12"/>
      <c r="L995" s="12"/>
      <c r="M995" s="12"/>
      <c r="N995" s="12"/>
      <c r="O995" s="12"/>
      <c r="P995" s="12"/>
      <c r="Q995" s="12"/>
      <c r="R995" s="12"/>
      <c r="S995" s="12"/>
      <c r="T995" s="12"/>
      <c r="U995" s="12"/>
      <c r="V995" s="14"/>
      <c r="W995" s="14"/>
      <c r="X995" s="14"/>
      <c r="Y995" s="14"/>
      <c r="Z995" s="15"/>
      <c r="AA995" s="12"/>
      <c r="AB995" s="12"/>
      <c r="AC995" s="12"/>
      <c r="AD995" s="12"/>
      <c r="AE995" s="12"/>
      <c r="AF995" s="12"/>
      <c r="AG995" s="12"/>
      <c r="AH995" s="12"/>
    </row>
    <row r="996" spans="1:34" ht="12.75">
      <c r="A996" s="12"/>
      <c r="B996" s="12"/>
      <c r="C996" s="12"/>
      <c r="D996" s="12"/>
      <c r="E996" s="12"/>
      <c r="F996" s="17"/>
      <c r="G996" s="12"/>
      <c r="H996" s="12"/>
      <c r="I996" s="12"/>
      <c r="J996" s="12"/>
      <c r="K996" s="12"/>
      <c r="L996" s="12"/>
      <c r="M996" s="12"/>
      <c r="N996" s="12"/>
      <c r="O996" s="12"/>
      <c r="P996" s="12"/>
      <c r="Q996" s="12"/>
      <c r="R996" s="12"/>
      <c r="S996" s="12"/>
      <c r="T996" s="12"/>
      <c r="U996" s="12"/>
      <c r="V996" s="14"/>
      <c r="W996" s="14"/>
      <c r="X996" s="14"/>
      <c r="Y996" s="14"/>
      <c r="Z996" s="15"/>
      <c r="AA996" s="12"/>
      <c r="AB996" s="12"/>
      <c r="AC996" s="12"/>
      <c r="AD996" s="12"/>
      <c r="AE996" s="12"/>
      <c r="AF996" s="12"/>
      <c r="AG996" s="12"/>
      <c r="AH996" s="12"/>
    </row>
    <row r="997" spans="1:34" ht="12.75">
      <c r="A997" s="12"/>
      <c r="B997" s="12"/>
      <c r="C997" s="12"/>
      <c r="D997" s="12"/>
      <c r="E997" s="12"/>
      <c r="F997" s="17"/>
      <c r="G997" s="12"/>
      <c r="H997" s="12"/>
      <c r="I997" s="12"/>
      <c r="J997" s="12"/>
      <c r="K997" s="12"/>
      <c r="L997" s="12"/>
      <c r="M997" s="12"/>
      <c r="N997" s="12"/>
      <c r="O997" s="12"/>
      <c r="P997" s="12"/>
      <c r="Q997" s="12"/>
      <c r="R997" s="12"/>
      <c r="S997" s="12"/>
      <c r="T997" s="12"/>
      <c r="U997" s="12"/>
      <c r="V997" s="14"/>
      <c r="W997" s="14"/>
      <c r="X997" s="14"/>
      <c r="Y997" s="14"/>
      <c r="Z997" s="15"/>
      <c r="AA997" s="12"/>
      <c r="AB997" s="12"/>
      <c r="AC997" s="12"/>
      <c r="AD997" s="12"/>
      <c r="AE997" s="12"/>
      <c r="AF997" s="12"/>
      <c r="AG997" s="12"/>
      <c r="AH997" s="12"/>
    </row>
    <row r="998" spans="1:34" ht="12.75">
      <c r="A998" s="12"/>
      <c r="B998" s="12"/>
      <c r="C998" s="12"/>
      <c r="D998" s="12"/>
      <c r="E998" s="12"/>
      <c r="F998" s="17"/>
      <c r="G998" s="12"/>
      <c r="H998" s="12"/>
      <c r="I998" s="12"/>
      <c r="J998" s="12"/>
      <c r="K998" s="12"/>
      <c r="L998" s="12"/>
      <c r="M998" s="12"/>
      <c r="N998" s="12"/>
      <c r="O998" s="12"/>
      <c r="P998" s="12"/>
      <c r="Q998" s="12"/>
      <c r="R998" s="12"/>
      <c r="S998" s="12"/>
      <c r="T998" s="12"/>
      <c r="U998" s="12"/>
      <c r="V998" s="14"/>
      <c r="W998" s="14"/>
      <c r="X998" s="14"/>
      <c r="Y998" s="14"/>
      <c r="Z998" s="15"/>
      <c r="AA998" s="12"/>
      <c r="AB998" s="12"/>
      <c r="AC998" s="12"/>
      <c r="AD998" s="12"/>
      <c r="AE998" s="12"/>
      <c r="AF998" s="12"/>
      <c r="AG998" s="12"/>
      <c r="AH998" s="12"/>
    </row>
    <row r="999" spans="1:34" ht="12.75">
      <c r="A999" s="12"/>
      <c r="B999" s="12"/>
      <c r="C999" s="12"/>
      <c r="D999" s="12"/>
      <c r="E999" s="12"/>
      <c r="F999" s="17"/>
      <c r="G999" s="12"/>
      <c r="H999" s="12"/>
      <c r="I999" s="12"/>
      <c r="J999" s="12"/>
      <c r="K999" s="12"/>
      <c r="L999" s="12"/>
      <c r="M999" s="12"/>
      <c r="N999" s="12"/>
      <c r="O999" s="12"/>
      <c r="P999" s="12"/>
      <c r="Q999" s="12"/>
      <c r="R999" s="12"/>
      <c r="S999" s="12"/>
      <c r="T999" s="12"/>
      <c r="U999" s="12"/>
      <c r="V999" s="14"/>
      <c r="W999" s="14"/>
      <c r="X999" s="14"/>
      <c r="Y999" s="14"/>
      <c r="Z999" s="15"/>
      <c r="AA999" s="12"/>
      <c r="AB999" s="12"/>
      <c r="AC999" s="12"/>
      <c r="AD999" s="12"/>
      <c r="AE999" s="12"/>
      <c r="AF999" s="12"/>
      <c r="AG999" s="12"/>
      <c r="AH999" s="12"/>
    </row>
    <row r="1000" spans="1:34" ht="12.75">
      <c r="A1000" s="12"/>
      <c r="B1000" s="12"/>
      <c r="C1000" s="12"/>
      <c r="D1000" s="12"/>
      <c r="E1000" s="12"/>
      <c r="F1000" s="17"/>
      <c r="G1000" s="12"/>
      <c r="H1000" s="12"/>
      <c r="I1000" s="12"/>
      <c r="J1000" s="12"/>
      <c r="K1000" s="12"/>
      <c r="L1000" s="12"/>
      <c r="M1000" s="12"/>
      <c r="N1000" s="12"/>
      <c r="O1000" s="12"/>
      <c r="P1000" s="12"/>
      <c r="Q1000" s="12"/>
      <c r="R1000" s="12"/>
      <c r="S1000" s="12"/>
      <c r="T1000" s="12"/>
      <c r="U1000" s="12"/>
      <c r="V1000" s="14"/>
      <c r="W1000" s="14"/>
      <c r="X1000" s="14"/>
      <c r="Y1000" s="14"/>
      <c r="Z1000" s="15"/>
      <c r="AA1000" s="12"/>
      <c r="AB1000" s="12"/>
      <c r="AC1000" s="12"/>
      <c r="AD1000" s="12"/>
      <c r="AE1000" s="12"/>
      <c r="AF1000" s="12"/>
      <c r="AG1000" s="12"/>
      <c r="AH1000" s="12"/>
    </row>
  </sheetData>
  <autoFilter ref="A1:Z119" xr:uid="{00000000-0009-0000-0000-000000000000}"/>
  <conditionalFormatting sqref="C3:C119">
    <cfRule type="colorScale" priority="1">
      <colorScale>
        <cfvo type="min"/>
        <cfvo type="max"/>
        <color rgb="FFFFFFFF"/>
        <color rgb="FF57BB8A"/>
      </colorScale>
    </cfRule>
  </conditionalFormatting>
  <conditionalFormatting sqref="D3:D119">
    <cfRule type="colorScale" priority="2">
      <colorScale>
        <cfvo type="min"/>
        <cfvo type="max"/>
        <color rgb="FFFFFFFF"/>
        <color rgb="FF57BB8A"/>
      </colorScale>
    </cfRule>
  </conditionalFormatting>
  <conditionalFormatting sqref="D3:D119">
    <cfRule type="colorScale" priority="3">
      <colorScale>
        <cfvo type="min"/>
        <cfvo type="max"/>
        <color rgb="FFFFFFFF"/>
        <color rgb="FF57BB8A"/>
      </colorScale>
    </cfRule>
  </conditionalFormatting>
  <conditionalFormatting sqref="E3:E119">
    <cfRule type="colorScale" priority="4">
      <colorScale>
        <cfvo type="min"/>
        <cfvo type="max"/>
        <color rgb="FFFFFFFF"/>
        <color rgb="FF57BB8A"/>
      </colorScale>
    </cfRule>
  </conditionalFormatting>
  <conditionalFormatting sqref="C3:C119">
    <cfRule type="colorScale" priority="5">
      <colorScale>
        <cfvo type="min"/>
        <cfvo type="max"/>
        <color rgb="FFFFFFFF"/>
        <color rgb="FF57BB8A"/>
      </colorScale>
    </cfRule>
  </conditionalFormatting>
  <conditionalFormatting sqref="G3:G119">
    <cfRule type="colorScale" priority="6">
      <colorScale>
        <cfvo type="min"/>
        <cfvo type="max"/>
        <color rgb="FF57BB8A"/>
        <color rgb="FFFFFFFF"/>
      </colorScale>
    </cfRule>
  </conditionalFormatting>
  <conditionalFormatting sqref="H3:H119">
    <cfRule type="colorScale" priority="7">
      <colorScale>
        <cfvo type="min"/>
        <cfvo type="max"/>
        <color rgb="FF57BB8A"/>
        <color rgb="FFFFFFFF"/>
      </colorScale>
    </cfRule>
  </conditionalFormatting>
  <conditionalFormatting sqref="I3:I119">
    <cfRule type="colorScale" priority="8">
      <colorScale>
        <cfvo type="min"/>
        <cfvo type="percentile" val="50"/>
        <cfvo type="max"/>
        <color rgb="FF57BB8A"/>
        <color rgb="FFFFD666"/>
        <color rgb="FFE67C73"/>
      </colorScale>
    </cfRule>
  </conditionalFormatting>
  <conditionalFormatting sqref="R3:R119">
    <cfRule type="colorScale" priority="9">
      <colorScale>
        <cfvo type="min"/>
        <cfvo type="percentile" val="50"/>
        <cfvo type="max"/>
        <color rgb="FF57BB8A"/>
        <color rgb="FFFFD666"/>
        <color rgb="FFE67C73"/>
      </colorScale>
    </cfRule>
  </conditionalFormatting>
  <conditionalFormatting sqref="S3:S119">
    <cfRule type="colorScale" priority="10">
      <colorScale>
        <cfvo type="min"/>
        <cfvo type="percentile" val="50"/>
        <cfvo type="max"/>
        <color rgb="FF57BB8A"/>
        <color rgb="FFFFD666"/>
        <color rgb="FFE67C73"/>
      </colorScale>
    </cfRule>
  </conditionalFormatting>
  <conditionalFormatting sqref="U3:U119">
    <cfRule type="colorScale" priority="11">
      <colorScale>
        <cfvo type="min"/>
        <cfvo type="percentile" val="50"/>
        <cfvo type="max"/>
        <color rgb="FF57BB8A"/>
        <color rgb="FFFFD666"/>
        <color rgb="FFE67C73"/>
      </colorScale>
    </cfRule>
  </conditionalFormatting>
  <conditionalFormatting sqref="T3:T119">
    <cfRule type="colorScale" priority="12">
      <colorScale>
        <cfvo type="min"/>
        <cfvo type="percentile" val="50"/>
        <cfvo type="max"/>
        <color rgb="FF57BB8A"/>
        <color rgb="FFFFD666"/>
        <color rgb="FFE67C73"/>
      </colorScale>
    </cfRule>
  </conditionalFormatting>
  <conditionalFormatting sqref="J3:Q119">
    <cfRule type="colorScale" priority="13">
      <colorScale>
        <cfvo type="min"/>
        <cfvo type="percentile" val="50"/>
        <cfvo type="max"/>
        <color rgb="FFE67C73"/>
        <color rgb="FFFFD666"/>
        <color rgb="FF57BB8A"/>
      </colorScale>
    </cfRule>
  </conditionalFormatting>
  <conditionalFormatting sqref="V3:Y119">
    <cfRule type="colorScale" priority="14">
      <colorScale>
        <cfvo type="min"/>
        <cfvo type="percentile" val="50"/>
        <cfvo type="max"/>
        <color rgb="FF57BB8A"/>
        <color rgb="FFFFD666"/>
        <color rgb="FFE67C73"/>
      </colorScale>
    </cfRule>
  </conditionalFormatting>
  <conditionalFormatting sqref="Z3:Z119">
    <cfRule type="colorScale" priority="15">
      <colorScale>
        <cfvo type="min"/>
        <cfvo type="percentile" val="50"/>
        <cfvo type="max"/>
        <color rgb="FF57BB8A"/>
        <color rgb="FFFFD666"/>
        <color rgb="FFE67C73"/>
      </colorScale>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H998"/>
  <sheetViews>
    <sheetView workbookViewId="0"/>
  </sheetViews>
  <sheetFormatPr defaultColWidth="14.42578125" defaultRowHeight="15.75" customHeight="1"/>
  <cols>
    <col min="1" max="21" width="8.7109375" customWidth="1"/>
    <col min="22" max="25" width="9.28515625" customWidth="1"/>
    <col min="26" max="26" width="13.7109375" customWidth="1"/>
  </cols>
  <sheetData>
    <row r="1" spans="1:34" ht="12.75">
      <c r="A1" s="18" t="s">
        <v>149</v>
      </c>
      <c r="B1" s="19"/>
      <c r="C1" s="19"/>
      <c r="D1" s="19"/>
      <c r="E1" s="19"/>
      <c r="F1" s="19"/>
      <c r="G1" s="19"/>
      <c r="H1" s="19"/>
      <c r="I1" s="19"/>
      <c r="J1" s="19"/>
      <c r="K1" s="19"/>
      <c r="L1" s="19"/>
      <c r="M1" s="19"/>
      <c r="N1" s="19"/>
      <c r="O1" s="19"/>
      <c r="P1" s="19"/>
      <c r="Q1" s="19"/>
      <c r="R1" s="20"/>
      <c r="S1" s="20"/>
      <c r="T1" s="20"/>
      <c r="U1" s="20"/>
      <c r="V1" s="19"/>
      <c r="W1" s="19"/>
      <c r="X1" s="19"/>
      <c r="Y1" s="19"/>
      <c r="Z1" s="21"/>
      <c r="AA1" s="19"/>
      <c r="AB1" s="19"/>
      <c r="AC1" s="19"/>
      <c r="AD1" s="19"/>
      <c r="AE1" s="19"/>
      <c r="AF1" s="19"/>
      <c r="AG1" s="19"/>
      <c r="AH1" s="19"/>
    </row>
    <row r="2" spans="1:34" ht="20.25" customHeight="1">
      <c r="A2" s="1" t="s">
        <v>0</v>
      </c>
      <c r="B2" s="1" t="s">
        <v>1</v>
      </c>
      <c r="C2" s="2" t="s">
        <v>2</v>
      </c>
      <c r="D2" s="2" t="s">
        <v>2</v>
      </c>
      <c r="E2" s="2" t="s">
        <v>2</v>
      </c>
      <c r="F2" s="2" t="s">
        <v>3</v>
      </c>
      <c r="G2" s="2" t="s">
        <v>4</v>
      </c>
      <c r="H2" s="2" t="s">
        <v>5</v>
      </c>
      <c r="I2" s="2" t="s">
        <v>6</v>
      </c>
      <c r="J2" s="2" t="s">
        <v>7</v>
      </c>
      <c r="K2" s="2" t="s">
        <v>8</v>
      </c>
      <c r="L2" s="2" t="s">
        <v>9</v>
      </c>
      <c r="M2" s="2" t="s">
        <v>10</v>
      </c>
      <c r="N2" s="2" t="s">
        <v>11</v>
      </c>
      <c r="O2" s="2" t="s">
        <v>12</v>
      </c>
      <c r="P2" s="2" t="s">
        <v>13</v>
      </c>
      <c r="Q2" s="2" t="s">
        <v>14</v>
      </c>
      <c r="R2" s="22" t="s">
        <v>15</v>
      </c>
      <c r="S2" s="22" t="s">
        <v>15</v>
      </c>
      <c r="T2" s="22" t="s">
        <v>15</v>
      </c>
      <c r="U2" s="22" t="s">
        <v>15</v>
      </c>
      <c r="V2" s="23" t="s">
        <v>16</v>
      </c>
      <c r="W2" s="23" t="s">
        <v>16</v>
      </c>
      <c r="X2" s="23" t="s">
        <v>16</v>
      </c>
      <c r="Y2" s="23" t="s">
        <v>16</v>
      </c>
      <c r="Z2" s="24" t="s">
        <v>17</v>
      </c>
      <c r="AA2" s="6"/>
      <c r="AB2" s="6"/>
      <c r="AC2" s="6"/>
      <c r="AD2" s="6"/>
      <c r="AE2" s="6"/>
      <c r="AF2" s="6"/>
      <c r="AG2" s="6"/>
      <c r="AH2" s="6"/>
    </row>
    <row r="3" spans="1:34" ht="12.75">
      <c r="A3" s="2" t="s">
        <v>18</v>
      </c>
      <c r="B3" s="2" t="s">
        <v>19</v>
      </c>
      <c r="C3" s="2" t="s">
        <v>20</v>
      </c>
      <c r="D3" s="2" t="s">
        <v>21</v>
      </c>
      <c r="E3" s="2" t="s">
        <v>22</v>
      </c>
      <c r="F3" s="3" t="s">
        <v>23</v>
      </c>
      <c r="G3" s="2" t="s">
        <v>24</v>
      </c>
      <c r="H3" s="2" t="s">
        <v>24</v>
      </c>
      <c r="I3" s="2" t="s">
        <v>25</v>
      </c>
      <c r="J3" s="2" t="s">
        <v>19</v>
      </c>
      <c r="K3" s="2" t="s">
        <v>19</v>
      </c>
      <c r="L3" s="2" t="s">
        <v>19</v>
      </c>
      <c r="M3" s="2" t="s">
        <v>19</v>
      </c>
      <c r="N3" s="2" t="s">
        <v>19</v>
      </c>
      <c r="O3" s="2" t="s">
        <v>19</v>
      </c>
      <c r="P3" s="2" t="s">
        <v>19</v>
      </c>
      <c r="Q3" s="2" t="s">
        <v>19</v>
      </c>
      <c r="R3" s="22" t="s">
        <v>20</v>
      </c>
      <c r="S3" s="22" t="s">
        <v>26</v>
      </c>
      <c r="T3" s="22" t="s">
        <v>27</v>
      </c>
      <c r="U3" s="22" t="s">
        <v>28</v>
      </c>
      <c r="V3" s="23" t="s">
        <v>29</v>
      </c>
      <c r="W3" s="23" t="s">
        <v>30</v>
      </c>
      <c r="X3" s="23" t="s">
        <v>20</v>
      </c>
      <c r="Y3" s="23" t="s">
        <v>21</v>
      </c>
      <c r="Z3" s="25" t="s">
        <v>150</v>
      </c>
      <c r="AA3" s="6"/>
      <c r="AB3" s="6"/>
      <c r="AC3" s="6"/>
      <c r="AD3" s="6"/>
      <c r="AE3" s="6"/>
      <c r="AF3" s="6"/>
      <c r="AG3" s="6"/>
      <c r="AH3" s="6"/>
    </row>
    <row r="4" spans="1:34" ht="12.75">
      <c r="A4" s="26" t="s">
        <v>33</v>
      </c>
      <c r="B4" s="26">
        <v>12</v>
      </c>
      <c r="C4" s="26">
        <v>2</v>
      </c>
      <c r="D4" s="26">
        <v>6</v>
      </c>
      <c r="E4" s="26">
        <v>2</v>
      </c>
      <c r="F4" s="12">
        <v>24679</v>
      </c>
      <c r="G4" s="15">
        <f>4141/F4</f>
        <v>0.16779448113780948</v>
      </c>
      <c r="H4" s="15">
        <f>2079/F4</f>
        <v>8.424166295230763E-2</v>
      </c>
      <c r="I4" s="15">
        <f>2057/1854</f>
        <v>1.1094929881337647</v>
      </c>
      <c r="J4" s="26">
        <v>0</v>
      </c>
      <c r="K4" s="26">
        <v>0</v>
      </c>
      <c r="L4" s="26">
        <v>0</v>
      </c>
      <c r="M4" s="26">
        <v>0</v>
      </c>
      <c r="N4" s="26">
        <v>0</v>
      </c>
      <c r="O4" s="26">
        <v>1</v>
      </c>
      <c r="P4" s="26">
        <v>6</v>
      </c>
      <c r="Q4" s="26">
        <v>5</v>
      </c>
      <c r="R4" s="27">
        <v>2.6418119999999998</v>
      </c>
      <c r="S4" s="27">
        <v>3.1735039999999999</v>
      </c>
      <c r="T4" s="27">
        <v>3.0093864999999997</v>
      </c>
      <c r="U4" s="27">
        <f t="shared" ref="U4:U6" si="0">S4-R4</f>
        <v>0.53169200000000005</v>
      </c>
      <c r="V4" s="28">
        <v>47.4</v>
      </c>
      <c r="W4" s="28">
        <v>44.966666666666669</v>
      </c>
      <c r="X4" s="28">
        <v>23.4</v>
      </c>
      <c r="Y4" s="28">
        <v>60.3</v>
      </c>
      <c r="Z4" s="29">
        <v>0.3649</v>
      </c>
      <c r="AA4" s="12"/>
      <c r="AB4" s="12"/>
      <c r="AC4" s="12"/>
      <c r="AD4" s="12"/>
      <c r="AE4" s="12"/>
      <c r="AF4" s="12"/>
      <c r="AG4" s="12"/>
      <c r="AH4" s="12"/>
    </row>
    <row r="5" spans="1:34" ht="12.75">
      <c r="A5" s="26" t="s">
        <v>39</v>
      </c>
      <c r="B5" s="26">
        <v>2</v>
      </c>
      <c r="C5" s="26">
        <v>2</v>
      </c>
      <c r="D5" s="26">
        <v>3</v>
      </c>
      <c r="E5" s="26">
        <v>2.5</v>
      </c>
      <c r="F5" s="12">
        <v>3267</v>
      </c>
      <c r="G5" s="15">
        <f>303/F5</f>
        <v>9.2745638200183653E-2</v>
      </c>
      <c r="H5" s="15">
        <f>537/F5</f>
        <v>0.16437098255280075</v>
      </c>
      <c r="I5" s="15">
        <f>1634/1854</f>
        <v>0.88133764832793959</v>
      </c>
      <c r="J5" s="26">
        <v>0</v>
      </c>
      <c r="K5" s="26">
        <v>0</v>
      </c>
      <c r="L5" s="26">
        <v>0</v>
      </c>
      <c r="M5" s="26">
        <v>0</v>
      </c>
      <c r="N5" s="26">
        <v>0</v>
      </c>
      <c r="O5" s="26">
        <v>0</v>
      </c>
      <c r="P5" s="26">
        <v>0</v>
      </c>
      <c r="Q5" s="26">
        <v>2</v>
      </c>
      <c r="R5" s="27">
        <v>2.9602740000000001</v>
      </c>
      <c r="S5" s="27">
        <v>3.0068329999999999</v>
      </c>
      <c r="T5" s="27">
        <v>2.9835535000000002</v>
      </c>
      <c r="U5" s="27">
        <f t="shared" si="0"/>
        <v>4.6558999999999795E-2</v>
      </c>
      <c r="V5" s="28">
        <v>31.85</v>
      </c>
      <c r="W5" s="28">
        <v>31.85</v>
      </c>
      <c r="X5" s="28">
        <v>26.5</v>
      </c>
      <c r="Y5" s="28">
        <v>37.200000000000003</v>
      </c>
      <c r="Z5" s="29">
        <v>0.50829999999999997</v>
      </c>
      <c r="AA5" s="12"/>
      <c r="AB5" s="12"/>
      <c r="AC5" s="12"/>
      <c r="AD5" s="12"/>
      <c r="AE5" s="12"/>
      <c r="AF5" s="12"/>
      <c r="AG5" s="12"/>
      <c r="AH5" s="12"/>
    </row>
    <row r="6" spans="1:34" ht="12.75">
      <c r="A6" s="26" t="s">
        <v>53</v>
      </c>
      <c r="B6" s="26">
        <v>8</v>
      </c>
      <c r="C6" s="26">
        <v>2</v>
      </c>
      <c r="D6" s="26">
        <v>3</v>
      </c>
      <c r="E6" s="26">
        <v>2</v>
      </c>
      <c r="F6" s="26">
        <v>20646</v>
      </c>
      <c r="G6" s="15">
        <f>5317/F6</f>
        <v>0.25753172527366075</v>
      </c>
      <c r="H6" s="15">
        <f>1170/F6</f>
        <v>5.6669572798605058E-2</v>
      </c>
      <c r="I6" s="15">
        <f>2581/1854</f>
        <v>1.3921251348435815</v>
      </c>
      <c r="J6" s="26">
        <v>0</v>
      </c>
      <c r="K6" s="26">
        <v>0</v>
      </c>
      <c r="L6" s="26">
        <v>2</v>
      </c>
      <c r="M6" s="26">
        <v>2</v>
      </c>
      <c r="N6" s="26">
        <v>3</v>
      </c>
      <c r="O6" s="26">
        <v>1</v>
      </c>
      <c r="P6" s="26">
        <v>0</v>
      </c>
      <c r="Q6" s="26">
        <v>0</v>
      </c>
      <c r="R6" s="27">
        <v>2.62635</v>
      </c>
      <c r="S6" s="27">
        <v>3.1704349999999999</v>
      </c>
      <c r="T6" s="27">
        <v>2.9052595000000001</v>
      </c>
      <c r="U6" s="27">
        <f t="shared" si="0"/>
        <v>0.54408499999999993</v>
      </c>
      <c r="V6" s="14">
        <v>68.400000000000006</v>
      </c>
      <c r="W6" s="14">
        <v>67.275000000000006</v>
      </c>
      <c r="X6" s="14">
        <v>50.7</v>
      </c>
      <c r="Y6" s="14">
        <v>78.900000000000006</v>
      </c>
      <c r="Z6" s="30">
        <v>0.62680000000000002</v>
      </c>
      <c r="AA6" s="12"/>
      <c r="AB6" s="12"/>
      <c r="AC6" s="12"/>
      <c r="AD6" s="12"/>
      <c r="AE6" s="12"/>
      <c r="AF6" s="12"/>
      <c r="AG6" s="12"/>
      <c r="AH6" s="12"/>
    </row>
    <row r="7" spans="1:34" ht="12.75">
      <c r="A7" s="12"/>
      <c r="B7" s="12"/>
      <c r="C7" s="12"/>
      <c r="D7" s="12"/>
      <c r="E7" s="12"/>
      <c r="F7" s="12"/>
      <c r="G7" s="12"/>
      <c r="H7" s="12"/>
      <c r="I7" s="12"/>
      <c r="J7" s="12"/>
      <c r="K7" s="12"/>
      <c r="L7" s="12"/>
      <c r="M7" s="12"/>
      <c r="N7" s="12"/>
      <c r="O7" s="12"/>
      <c r="P7" s="12"/>
      <c r="Q7" s="12"/>
      <c r="R7" s="27"/>
      <c r="S7" s="27"/>
      <c r="T7" s="27"/>
      <c r="U7" s="27"/>
      <c r="V7" s="12"/>
      <c r="W7" s="12"/>
      <c r="X7" s="12"/>
      <c r="Y7" s="12"/>
      <c r="Z7" s="31"/>
      <c r="AA7" s="12"/>
      <c r="AB7" s="12"/>
      <c r="AC7" s="12"/>
      <c r="AD7" s="12"/>
      <c r="AE7" s="12"/>
      <c r="AF7" s="12"/>
      <c r="AG7" s="12"/>
      <c r="AH7" s="12"/>
    </row>
    <row r="8" spans="1:34" ht="12.75">
      <c r="A8" s="18" t="s">
        <v>151</v>
      </c>
      <c r="B8" s="19"/>
      <c r="C8" s="19"/>
      <c r="D8" s="19"/>
      <c r="E8" s="19"/>
      <c r="F8" s="19"/>
      <c r="G8" s="19"/>
      <c r="H8" s="19"/>
      <c r="I8" s="19"/>
      <c r="J8" s="19"/>
      <c r="K8" s="19"/>
      <c r="L8" s="19"/>
      <c r="M8" s="19"/>
      <c r="N8" s="19"/>
      <c r="O8" s="19"/>
      <c r="P8" s="19"/>
      <c r="Q8" s="19"/>
      <c r="R8" s="20"/>
      <c r="S8" s="20"/>
      <c r="T8" s="20"/>
      <c r="U8" s="20"/>
      <c r="V8" s="19"/>
      <c r="W8" s="19"/>
      <c r="X8" s="19"/>
      <c r="Y8" s="19"/>
      <c r="Z8" s="21"/>
      <c r="AA8" s="19"/>
      <c r="AB8" s="19"/>
      <c r="AC8" s="19"/>
      <c r="AD8" s="19"/>
      <c r="AE8" s="19"/>
      <c r="AF8" s="19"/>
      <c r="AG8" s="19"/>
      <c r="AH8" s="19"/>
    </row>
    <row r="9" spans="1:34" ht="20.25" customHeight="1">
      <c r="A9" s="1" t="s">
        <v>0</v>
      </c>
      <c r="B9" s="1" t="s">
        <v>1</v>
      </c>
      <c r="C9" s="2" t="s">
        <v>2</v>
      </c>
      <c r="D9" s="2" t="s">
        <v>2</v>
      </c>
      <c r="E9" s="2" t="s">
        <v>2</v>
      </c>
      <c r="F9" s="2" t="s">
        <v>3</v>
      </c>
      <c r="G9" s="2" t="s">
        <v>4</v>
      </c>
      <c r="H9" s="2" t="s">
        <v>5</v>
      </c>
      <c r="I9" s="2" t="s">
        <v>6</v>
      </c>
      <c r="J9" s="2" t="s">
        <v>7</v>
      </c>
      <c r="K9" s="2" t="s">
        <v>8</v>
      </c>
      <c r="L9" s="2" t="s">
        <v>9</v>
      </c>
      <c r="M9" s="2" t="s">
        <v>10</v>
      </c>
      <c r="N9" s="2" t="s">
        <v>11</v>
      </c>
      <c r="O9" s="2" t="s">
        <v>12</v>
      </c>
      <c r="P9" s="2" t="s">
        <v>13</v>
      </c>
      <c r="Q9" s="2" t="s">
        <v>14</v>
      </c>
      <c r="R9" s="22" t="s">
        <v>15</v>
      </c>
      <c r="S9" s="22" t="s">
        <v>15</v>
      </c>
      <c r="T9" s="22" t="s">
        <v>15</v>
      </c>
      <c r="U9" s="22" t="s">
        <v>15</v>
      </c>
      <c r="V9" s="23" t="s">
        <v>16</v>
      </c>
      <c r="W9" s="23" t="s">
        <v>16</v>
      </c>
      <c r="X9" s="23" t="s">
        <v>16</v>
      </c>
      <c r="Y9" s="23" t="s">
        <v>16</v>
      </c>
      <c r="Z9" s="24" t="s">
        <v>17</v>
      </c>
      <c r="AA9" s="6"/>
      <c r="AB9" s="6"/>
      <c r="AC9" s="6"/>
      <c r="AD9" s="6"/>
      <c r="AE9" s="6"/>
      <c r="AF9" s="6"/>
      <c r="AG9" s="6"/>
      <c r="AH9" s="6"/>
    </row>
    <row r="10" spans="1:34" ht="12.75">
      <c r="A10" s="2" t="s">
        <v>18</v>
      </c>
      <c r="B10" s="2" t="s">
        <v>19</v>
      </c>
      <c r="C10" s="2" t="s">
        <v>20</v>
      </c>
      <c r="D10" s="2" t="s">
        <v>21</v>
      </c>
      <c r="E10" s="2" t="s">
        <v>22</v>
      </c>
      <c r="F10" s="3" t="s">
        <v>23</v>
      </c>
      <c r="G10" s="2" t="s">
        <v>24</v>
      </c>
      <c r="H10" s="2" t="s">
        <v>24</v>
      </c>
      <c r="I10" s="2" t="s">
        <v>25</v>
      </c>
      <c r="J10" s="2" t="s">
        <v>19</v>
      </c>
      <c r="K10" s="2" t="s">
        <v>19</v>
      </c>
      <c r="L10" s="2" t="s">
        <v>19</v>
      </c>
      <c r="M10" s="2" t="s">
        <v>19</v>
      </c>
      <c r="N10" s="2" t="s">
        <v>19</v>
      </c>
      <c r="O10" s="2" t="s">
        <v>19</v>
      </c>
      <c r="P10" s="2" t="s">
        <v>19</v>
      </c>
      <c r="Q10" s="2" t="s">
        <v>19</v>
      </c>
      <c r="R10" s="22" t="s">
        <v>20</v>
      </c>
      <c r="S10" s="22" t="s">
        <v>26</v>
      </c>
      <c r="T10" s="22" t="s">
        <v>27</v>
      </c>
      <c r="U10" s="22" t="s">
        <v>28</v>
      </c>
      <c r="V10" s="23" t="s">
        <v>29</v>
      </c>
      <c r="W10" s="23" t="s">
        <v>30</v>
      </c>
      <c r="X10" s="23" t="s">
        <v>20</v>
      </c>
      <c r="Y10" s="23" t="s">
        <v>21</v>
      </c>
      <c r="Z10" s="24" t="s">
        <v>31</v>
      </c>
      <c r="AA10" s="6"/>
      <c r="AB10" s="6"/>
      <c r="AC10" s="6"/>
      <c r="AD10" s="6"/>
      <c r="AE10" s="6"/>
      <c r="AF10" s="6"/>
      <c r="AG10" s="6"/>
      <c r="AH10" s="6"/>
    </row>
    <row r="11" spans="1:34" ht="12.75">
      <c r="A11" s="26" t="s">
        <v>46</v>
      </c>
      <c r="B11" s="26">
        <v>5</v>
      </c>
      <c r="C11" s="26">
        <v>2</v>
      </c>
      <c r="D11" s="26">
        <v>5</v>
      </c>
      <c r="E11" s="26">
        <v>3</v>
      </c>
      <c r="F11" s="12">
        <v>12786</v>
      </c>
      <c r="G11" s="15">
        <f>2016/F11</f>
        <v>0.15767245424683246</v>
      </c>
      <c r="H11" s="15">
        <f>584/F11</f>
        <v>4.5674956984201473E-2</v>
      </c>
      <c r="I11" s="15">
        <f>2557/1854</f>
        <v>1.3791801510248112</v>
      </c>
      <c r="J11" s="26">
        <v>0</v>
      </c>
      <c r="K11" s="26">
        <v>0</v>
      </c>
      <c r="L11" s="26">
        <v>2</v>
      </c>
      <c r="M11" s="26">
        <v>2</v>
      </c>
      <c r="N11" s="26">
        <v>0</v>
      </c>
      <c r="O11" s="26">
        <v>1</v>
      </c>
      <c r="P11" s="26">
        <v>0</v>
      </c>
      <c r="Q11" s="26">
        <v>0</v>
      </c>
      <c r="R11" s="27">
        <v>2.7894739999999998</v>
      </c>
      <c r="S11" s="27">
        <v>2.97709</v>
      </c>
      <c r="T11" s="27">
        <v>2.9064290000000002</v>
      </c>
      <c r="U11" s="27">
        <f t="shared" ref="U11:U13" si="1">S11-R11</f>
        <v>0.18761600000000023</v>
      </c>
      <c r="V11" s="14">
        <v>24.200000000000003</v>
      </c>
      <c r="W11" s="14">
        <v>27.912500000000001</v>
      </c>
      <c r="X11" s="14">
        <v>11.4</v>
      </c>
      <c r="Y11" s="14">
        <v>54.2</v>
      </c>
      <c r="Z11" s="29">
        <v>0.6673</v>
      </c>
      <c r="AA11" s="12"/>
      <c r="AB11" s="12"/>
      <c r="AC11" s="12"/>
      <c r="AD11" s="12"/>
      <c r="AE11" s="12"/>
      <c r="AF11" s="12"/>
      <c r="AG11" s="12"/>
      <c r="AH11" s="12"/>
    </row>
    <row r="12" spans="1:34" ht="12.75">
      <c r="A12" s="26" t="s">
        <v>103</v>
      </c>
      <c r="B12" s="26">
        <v>18</v>
      </c>
      <c r="C12" s="26">
        <v>1</v>
      </c>
      <c r="D12" s="26">
        <v>6</v>
      </c>
      <c r="E12" s="26">
        <v>2</v>
      </c>
      <c r="F12" s="12">
        <v>36797</v>
      </c>
      <c r="G12" s="15">
        <f>10248/F12</f>
        <v>0.27850096475256136</v>
      </c>
      <c r="H12" s="15">
        <f>3239/F12</f>
        <v>8.8023480175014268E-2</v>
      </c>
      <c r="I12" s="15">
        <f>2044/1854</f>
        <v>1.1024811218985977</v>
      </c>
      <c r="J12" s="26">
        <v>3</v>
      </c>
      <c r="K12" s="26">
        <v>8</v>
      </c>
      <c r="L12" s="26">
        <v>7</v>
      </c>
      <c r="M12" s="26">
        <v>0</v>
      </c>
      <c r="N12" s="26">
        <v>0</v>
      </c>
      <c r="O12" s="26">
        <v>0</v>
      </c>
      <c r="P12" s="26">
        <v>0</v>
      </c>
      <c r="Q12" s="26">
        <v>0</v>
      </c>
      <c r="R12" s="27">
        <v>1.660226</v>
      </c>
      <c r="S12" s="27">
        <v>2.8865400000000001</v>
      </c>
      <c r="T12" s="27">
        <v>2.4266550000000002</v>
      </c>
      <c r="U12" s="27">
        <f t="shared" si="1"/>
        <v>1.2263140000000001</v>
      </c>
      <c r="V12" s="14">
        <v>48.15</v>
      </c>
      <c r="W12" s="14">
        <v>41.605555555555561</v>
      </c>
      <c r="X12" s="14">
        <v>14.2</v>
      </c>
      <c r="Y12" s="14">
        <v>66.5</v>
      </c>
      <c r="Z12" s="29">
        <v>1.0561</v>
      </c>
      <c r="AA12" s="12"/>
      <c r="AB12" s="12"/>
      <c r="AC12" s="12"/>
      <c r="AD12" s="12"/>
      <c r="AE12" s="12"/>
      <c r="AF12" s="12"/>
      <c r="AG12" s="12"/>
      <c r="AH12" s="12"/>
    </row>
    <row r="13" spans="1:34" ht="12.75">
      <c r="A13" s="26" t="s">
        <v>139</v>
      </c>
      <c r="B13" s="26">
        <v>31</v>
      </c>
      <c r="C13" s="26">
        <v>2</v>
      </c>
      <c r="D13" s="26">
        <v>7</v>
      </c>
      <c r="E13" s="26">
        <v>3</v>
      </c>
      <c r="F13" s="12">
        <v>59061</v>
      </c>
      <c r="G13" s="15">
        <f>14766/F13</f>
        <v>0.25001269873520598</v>
      </c>
      <c r="H13" s="15">
        <f>6213/F13</f>
        <v>0.10519632244628435</v>
      </c>
      <c r="I13" s="15">
        <f>1905/1854</f>
        <v>1.0275080906148868</v>
      </c>
      <c r="J13" s="26">
        <v>3</v>
      </c>
      <c r="K13" s="26">
        <v>12</v>
      </c>
      <c r="L13" s="26">
        <v>14</v>
      </c>
      <c r="M13" s="26">
        <v>2</v>
      </c>
      <c r="N13" s="26">
        <v>0</v>
      </c>
      <c r="O13" s="26">
        <v>0</v>
      </c>
      <c r="P13" s="26">
        <v>0</v>
      </c>
      <c r="Q13" s="26">
        <v>0</v>
      </c>
      <c r="R13" s="27">
        <v>1.842778</v>
      </c>
      <c r="S13" s="27">
        <v>2.8438430000000001</v>
      </c>
      <c r="T13" s="27">
        <v>2.2470370000000002</v>
      </c>
      <c r="U13" s="27">
        <f t="shared" si="1"/>
        <v>1.0010650000000001</v>
      </c>
      <c r="V13" s="14">
        <v>64.099999999999994</v>
      </c>
      <c r="W13" s="14">
        <v>65.393548387096772</v>
      </c>
      <c r="X13" s="14">
        <v>30</v>
      </c>
      <c r="Y13" s="14">
        <v>89.9</v>
      </c>
      <c r="Z13" s="29">
        <v>1.2096</v>
      </c>
      <c r="AA13" s="12"/>
      <c r="AB13" s="12"/>
      <c r="AC13" s="12"/>
      <c r="AD13" s="12"/>
      <c r="AE13" s="12"/>
      <c r="AF13" s="12"/>
      <c r="AG13" s="12"/>
      <c r="AH13" s="12"/>
    </row>
    <row r="14" spans="1:34" ht="12.75">
      <c r="A14" s="12"/>
      <c r="B14" s="12"/>
      <c r="C14" s="12"/>
      <c r="D14" s="12"/>
      <c r="E14" s="12"/>
      <c r="F14" s="12"/>
      <c r="G14" s="12"/>
      <c r="H14" s="12"/>
      <c r="I14" s="12"/>
      <c r="J14" s="12"/>
      <c r="K14" s="12"/>
      <c r="L14" s="12"/>
      <c r="M14" s="12"/>
      <c r="N14" s="12"/>
      <c r="O14" s="12"/>
      <c r="P14" s="12"/>
      <c r="Q14" s="12"/>
      <c r="R14" s="27"/>
      <c r="S14" s="27"/>
      <c r="T14" s="27"/>
      <c r="U14" s="27"/>
      <c r="V14" s="12"/>
      <c r="W14" s="12"/>
      <c r="X14" s="12"/>
      <c r="Y14" s="12"/>
      <c r="Z14" s="31"/>
      <c r="AA14" s="12"/>
      <c r="AB14" s="12"/>
      <c r="AC14" s="12"/>
      <c r="AD14" s="12"/>
      <c r="AE14" s="12"/>
      <c r="AF14" s="12"/>
      <c r="AG14" s="12"/>
      <c r="AH14" s="12"/>
    </row>
    <row r="15" spans="1:34" ht="12.75">
      <c r="A15" s="18" t="s">
        <v>152</v>
      </c>
      <c r="B15" s="19"/>
      <c r="C15" s="19"/>
      <c r="D15" s="19"/>
      <c r="E15" s="19"/>
      <c r="F15" s="19"/>
      <c r="G15" s="19"/>
      <c r="H15" s="19"/>
      <c r="I15" s="19"/>
      <c r="J15" s="19"/>
      <c r="K15" s="19"/>
      <c r="L15" s="19"/>
      <c r="M15" s="19"/>
      <c r="N15" s="19"/>
      <c r="O15" s="19"/>
      <c r="P15" s="19"/>
      <c r="Q15" s="19"/>
      <c r="R15" s="20"/>
      <c r="S15" s="20"/>
      <c r="T15" s="20"/>
      <c r="U15" s="20"/>
      <c r="V15" s="19"/>
      <c r="W15" s="19"/>
      <c r="X15" s="19"/>
      <c r="Y15" s="19"/>
      <c r="Z15" s="21"/>
      <c r="AA15" s="19"/>
      <c r="AB15" s="19"/>
      <c r="AC15" s="19"/>
      <c r="AD15" s="19"/>
      <c r="AE15" s="19"/>
      <c r="AF15" s="19"/>
      <c r="AG15" s="19"/>
      <c r="AH15" s="19"/>
    </row>
    <row r="16" spans="1:34" ht="20.25" customHeight="1">
      <c r="A16" s="1" t="s">
        <v>0</v>
      </c>
      <c r="B16" s="1" t="s">
        <v>1</v>
      </c>
      <c r="C16" s="2" t="s">
        <v>2</v>
      </c>
      <c r="D16" s="2" t="s">
        <v>2</v>
      </c>
      <c r="E16" s="2" t="s">
        <v>2</v>
      </c>
      <c r="F16" s="2" t="s">
        <v>3</v>
      </c>
      <c r="G16" s="2" t="s">
        <v>4</v>
      </c>
      <c r="H16" s="2" t="s">
        <v>5</v>
      </c>
      <c r="I16" s="2" t="s">
        <v>6</v>
      </c>
      <c r="J16" s="2" t="s">
        <v>7</v>
      </c>
      <c r="K16" s="2" t="s">
        <v>8</v>
      </c>
      <c r="L16" s="2" t="s">
        <v>9</v>
      </c>
      <c r="M16" s="2" t="s">
        <v>10</v>
      </c>
      <c r="N16" s="2" t="s">
        <v>11</v>
      </c>
      <c r="O16" s="2" t="s">
        <v>12</v>
      </c>
      <c r="P16" s="2" t="s">
        <v>13</v>
      </c>
      <c r="Q16" s="2" t="s">
        <v>14</v>
      </c>
      <c r="R16" s="22" t="s">
        <v>15</v>
      </c>
      <c r="S16" s="22" t="s">
        <v>15</v>
      </c>
      <c r="T16" s="22" t="s">
        <v>15</v>
      </c>
      <c r="U16" s="22" t="s">
        <v>15</v>
      </c>
      <c r="V16" s="23" t="s">
        <v>16</v>
      </c>
      <c r="W16" s="23" t="s">
        <v>16</v>
      </c>
      <c r="X16" s="23" t="s">
        <v>16</v>
      </c>
      <c r="Y16" s="23" t="s">
        <v>16</v>
      </c>
      <c r="Z16" s="24" t="s">
        <v>17</v>
      </c>
      <c r="AA16" s="6"/>
      <c r="AB16" s="6"/>
      <c r="AC16" s="6"/>
      <c r="AD16" s="6"/>
      <c r="AE16" s="6"/>
      <c r="AF16" s="6"/>
      <c r="AG16" s="6"/>
      <c r="AH16" s="6"/>
    </row>
    <row r="17" spans="1:34" ht="12.75">
      <c r="A17" s="2" t="s">
        <v>18</v>
      </c>
      <c r="B17" s="2" t="s">
        <v>19</v>
      </c>
      <c r="C17" s="2" t="s">
        <v>20</v>
      </c>
      <c r="D17" s="2" t="s">
        <v>21</v>
      </c>
      <c r="E17" s="2" t="s">
        <v>22</v>
      </c>
      <c r="F17" s="3" t="s">
        <v>23</v>
      </c>
      <c r="G17" s="2" t="s">
        <v>24</v>
      </c>
      <c r="H17" s="2" t="s">
        <v>24</v>
      </c>
      <c r="I17" s="2" t="s">
        <v>25</v>
      </c>
      <c r="J17" s="2" t="s">
        <v>19</v>
      </c>
      <c r="K17" s="2" t="s">
        <v>19</v>
      </c>
      <c r="L17" s="2" t="s">
        <v>19</v>
      </c>
      <c r="M17" s="2" t="s">
        <v>19</v>
      </c>
      <c r="N17" s="2" t="s">
        <v>19</v>
      </c>
      <c r="O17" s="2" t="s">
        <v>19</v>
      </c>
      <c r="P17" s="2" t="s">
        <v>19</v>
      </c>
      <c r="Q17" s="2" t="s">
        <v>19</v>
      </c>
      <c r="R17" s="22" t="s">
        <v>20</v>
      </c>
      <c r="S17" s="22" t="s">
        <v>26</v>
      </c>
      <c r="T17" s="22" t="s">
        <v>27</v>
      </c>
      <c r="U17" s="22" t="s">
        <v>28</v>
      </c>
      <c r="V17" s="23" t="s">
        <v>29</v>
      </c>
      <c r="W17" s="23" t="s">
        <v>30</v>
      </c>
      <c r="X17" s="23" t="s">
        <v>20</v>
      </c>
      <c r="Y17" s="23" t="s">
        <v>21</v>
      </c>
      <c r="Z17" s="24" t="s">
        <v>31</v>
      </c>
      <c r="AA17" s="6"/>
      <c r="AB17" s="6"/>
      <c r="AC17" s="6"/>
      <c r="AD17" s="6"/>
      <c r="AE17" s="6"/>
      <c r="AF17" s="6"/>
      <c r="AG17" s="6"/>
      <c r="AH17" s="6"/>
    </row>
    <row r="18" spans="1:34" ht="12.75">
      <c r="A18" s="26" t="s">
        <v>80</v>
      </c>
      <c r="B18" s="26">
        <v>16</v>
      </c>
      <c r="C18" s="26">
        <v>2</v>
      </c>
      <c r="D18" s="26">
        <v>7</v>
      </c>
      <c r="E18" s="26">
        <v>3</v>
      </c>
      <c r="F18" s="12">
        <v>38349</v>
      </c>
      <c r="G18" s="15">
        <f>7736/F18</f>
        <v>0.2017262510104566</v>
      </c>
      <c r="H18" s="15">
        <f>2618/F18</f>
        <v>6.8267751440715535E-2</v>
      </c>
      <c r="I18" s="15">
        <f>2397/1854</f>
        <v>1.2928802588996764</v>
      </c>
      <c r="J18" s="26">
        <v>0</v>
      </c>
      <c r="K18" s="26">
        <v>0</v>
      </c>
      <c r="L18" s="26">
        <v>0</v>
      </c>
      <c r="M18" s="26">
        <v>0</v>
      </c>
      <c r="N18" s="26">
        <v>2</v>
      </c>
      <c r="O18" s="26">
        <v>7</v>
      </c>
      <c r="P18" s="26">
        <v>6</v>
      </c>
      <c r="Q18" s="26">
        <v>1</v>
      </c>
      <c r="R18" s="27">
        <v>2.5970970000000002</v>
      </c>
      <c r="S18" s="27">
        <v>3.0197449999999999</v>
      </c>
      <c r="T18" s="27">
        <v>2.6863039999999998</v>
      </c>
      <c r="U18" s="27">
        <f t="shared" ref="U18:U20" si="2">S18-R18</f>
        <v>0.42264799999999969</v>
      </c>
      <c r="V18" s="14">
        <v>62.2</v>
      </c>
      <c r="W18" s="14">
        <v>58.6875</v>
      </c>
      <c r="X18" s="14">
        <v>33.4</v>
      </c>
      <c r="Y18" s="14">
        <v>76.099999999999994</v>
      </c>
      <c r="Z18" s="29">
        <v>0.50180000000000002</v>
      </c>
      <c r="AA18" s="12"/>
      <c r="AB18" s="12"/>
      <c r="AC18" s="12"/>
      <c r="AD18" s="12"/>
      <c r="AE18" s="12"/>
      <c r="AF18" s="12"/>
      <c r="AG18" s="12"/>
      <c r="AH18" s="12"/>
    </row>
    <row r="19" spans="1:34" ht="12.75">
      <c r="A19" s="26" t="s">
        <v>86</v>
      </c>
      <c r="B19" s="26">
        <v>7</v>
      </c>
      <c r="C19" s="26">
        <v>2</v>
      </c>
      <c r="D19" s="26">
        <v>5</v>
      </c>
      <c r="E19" s="26">
        <v>3</v>
      </c>
      <c r="F19" s="12">
        <v>18785</v>
      </c>
      <c r="G19" s="15">
        <f>4202/F19</f>
        <v>0.22368911365451158</v>
      </c>
      <c r="H19" s="15">
        <f>1100/F19</f>
        <v>5.8557359595421882E-2</v>
      </c>
      <c r="I19" s="15">
        <f>2684/1854</f>
        <v>1.447680690399137</v>
      </c>
      <c r="J19" s="26">
        <v>0</v>
      </c>
      <c r="K19" s="26">
        <v>0</v>
      </c>
      <c r="L19" s="26">
        <v>0</v>
      </c>
      <c r="M19" s="26">
        <v>2</v>
      </c>
      <c r="N19" s="26">
        <v>1</v>
      </c>
      <c r="O19" s="26">
        <v>2</v>
      </c>
      <c r="P19" s="26">
        <v>2</v>
      </c>
      <c r="Q19" s="26">
        <v>0</v>
      </c>
      <c r="R19" s="27">
        <v>2.6460530000000002</v>
      </c>
      <c r="S19" s="27">
        <v>2.854562</v>
      </c>
      <c r="T19" s="27">
        <v>2.684488</v>
      </c>
      <c r="U19" s="27">
        <f t="shared" si="2"/>
        <v>0.20850899999999983</v>
      </c>
      <c r="V19" s="14">
        <v>61.2</v>
      </c>
      <c r="W19" s="14">
        <v>59.671428571428571</v>
      </c>
      <c r="X19" s="14">
        <v>30.8</v>
      </c>
      <c r="Y19" s="14">
        <v>81.5</v>
      </c>
      <c r="Z19" s="29">
        <v>0.625</v>
      </c>
      <c r="AA19" s="12"/>
      <c r="AB19" s="12"/>
      <c r="AC19" s="12"/>
      <c r="AD19" s="12"/>
      <c r="AE19" s="12"/>
      <c r="AF19" s="12"/>
      <c r="AG19" s="12"/>
      <c r="AH19" s="12"/>
    </row>
    <row r="20" spans="1:34" ht="12.75">
      <c r="A20" s="26" t="s">
        <v>100</v>
      </c>
      <c r="B20" s="26">
        <v>16</v>
      </c>
      <c r="C20" s="26">
        <v>1</v>
      </c>
      <c r="D20" s="26">
        <v>4</v>
      </c>
      <c r="E20" s="26">
        <v>2</v>
      </c>
      <c r="F20" s="12">
        <v>34366</v>
      </c>
      <c r="G20" s="15">
        <f>8312/F20</f>
        <v>0.2418669615317465</v>
      </c>
      <c r="H20" s="15">
        <f>2564/F20</f>
        <v>7.4608624803584933E-2</v>
      </c>
      <c r="I20" s="15">
        <f>2148/1854</f>
        <v>1.1585760517799353</v>
      </c>
      <c r="J20" s="26">
        <v>0</v>
      </c>
      <c r="K20" s="26">
        <v>6</v>
      </c>
      <c r="L20" s="26">
        <v>3</v>
      </c>
      <c r="M20" s="26">
        <v>3</v>
      </c>
      <c r="N20" s="26">
        <v>2</v>
      </c>
      <c r="O20" s="26">
        <v>2</v>
      </c>
      <c r="P20" s="26">
        <v>0</v>
      </c>
      <c r="Q20" s="26">
        <v>0</v>
      </c>
      <c r="R20" s="27">
        <v>2.2099060000000001</v>
      </c>
      <c r="S20" s="27">
        <v>2.8865400000000001</v>
      </c>
      <c r="T20" s="27">
        <v>2.5003235000000004</v>
      </c>
      <c r="U20" s="27">
        <f t="shared" si="2"/>
        <v>0.67663399999999996</v>
      </c>
      <c r="V20" s="14">
        <v>62.15</v>
      </c>
      <c r="W20" s="14">
        <v>60.349999999999987</v>
      </c>
      <c r="X20" s="14">
        <v>41.5</v>
      </c>
      <c r="Y20" s="14">
        <v>69.3</v>
      </c>
      <c r="Z20" s="29">
        <v>0.8548</v>
      </c>
      <c r="AA20" s="12"/>
      <c r="AB20" s="12"/>
      <c r="AC20" s="12"/>
      <c r="AD20" s="12"/>
      <c r="AE20" s="12"/>
      <c r="AF20" s="12"/>
      <c r="AG20" s="12"/>
      <c r="AH20" s="12"/>
    </row>
    <row r="21" spans="1:34" ht="12.75">
      <c r="A21" s="12"/>
      <c r="B21" s="7" t="s">
        <v>153</v>
      </c>
      <c r="C21" s="12"/>
      <c r="D21" s="12"/>
      <c r="E21" s="12"/>
      <c r="F21" s="12"/>
      <c r="G21" s="12"/>
      <c r="H21" s="12"/>
      <c r="I21" s="12"/>
      <c r="J21" s="12"/>
      <c r="K21" s="12"/>
      <c r="L21" s="12"/>
      <c r="M21" s="12"/>
      <c r="N21" s="12"/>
      <c r="O21" s="12"/>
      <c r="P21" s="12"/>
      <c r="Q21" s="12"/>
      <c r="R21" s="27"/>
      <c r="S21" s="27"/>
      <c r="T21" s="27"/>
      <c r="U21" s="27"/>
      <c r="V21" s="12"/>
      <c r="W21" s="12"/>
      <c r="X21" s="12"/>
      <c r="Y21" s="12"/>
      <c r="Z21" s="31"/>
      <c r="AA21" s="12"/>
      <c r="AB21" s="12"/>
      <c r="AC21" s="12"/>
      <c r="AD21" s="12"/>
      <c r="AE21" s="12"/>
      <c r="AF21" s="12"/>
      <c r="AG21" s="12"/>
      <c r="AH21" s="12"/>
    </row>
    <row r="22" spans="1:34" ht="12.75">
      <c r="A22" s="18" t="s">
        <v>154</v>
      </c>
      <c r="B22" s="19"/>
      <c r="C22" s="19"/>
      <c r="D22" s="19"/>
      <c r="E22" s="19"/>
      <c r="F22" s="19"/>
      <c r="G22" s="19"/>
      <c r="H22" s="19"/>
      <c r="I22" s="19"/>
      <c r="J22" s="19"/>
      <c r="K22" s="19"/>
      <c r="L22" s="19"/>
      <c r="M22" s="19"/>
      <c r="N22" s="19"/>
      <c r="O22" s="19"/>
      <c r="P22" s="19"/>
      <c r="Q22" s="19"/>
      <c r="R22" s="20"/>
      <c r="S22" s="20"/>
      <c r="T22" s="20"/>
      <c r="U22" s="20"/>
      <c r="V22" s="19"/>
      <c r="W22" s="19"/>
      <c r="X22" s="19"/>
      <c r="Y22" s="19"/>
      <c r="Z22" s="21"/>
      <c r="AA22" s="19"/>
      <c r="AB22" s="19"/>
      <c r="AC22" s="19"/>
      <c r="AD22" s="19"/>
      <c r="AE22" s="19"/>
      <c r="AF22" s="19"/>
      <c r="AG22" s="19"/>
      <c r="AH22" s="19"/>
    </row>
    <row r="23" spans="1:34" ht="20.25" customHeight="1">
      <c r="A23" s="1" t="s">
        <v>0</v>
      </c>
      <c r="B23" s="1" t="s">
        <v>1</v>
      </c>
      <c r="C23" s="2" t="s">
        <v>2</v>
      </c>
      <c r="D23" s="2" t="s">
        <v>2</v>
      </c>
      <c r="E23" s="2" t="s">
        <v>2</v>
      </c>
      <c r="F23" s="2" t="s">
        <v>3</v>
      </c>
      <c r="G23" s="2" t="s">
        <v>4</v>
      </c>
      <c r="H23" s="2" t="s">
        <v>5</v>
      </c>
      <c r="I23" s="2" t="s">
        <v>6</v>
      </c>
      <c r="J23" s="2" t="s">
        <v>7</v>
      </c>
      <c r="K23" s="2" t="s">
        <v>8</v>
      </c>
      <c r="L23" s="2" t="s">
        <v>9</v>
      </c>
      <c r="M23" s="2" t="s">
        <v>10</v>
      </c>
      <c r="N23" s="2" t="s">
        <v>11</v>
      </c>
      <c r="O23" s="2" t="s">
        <v>12</v>
      </c>
      <c r="P23" s="2" t="s">
        <v>13</v>
      </c>
      <c r="Q23" s="2" t="s">
        <v>14</v>
      </c>
      <c r="R23" s="22" t="s">
        <v>15</v>
      </c>
      <c r="S23" s="22" t="s">
        <v>15</v>
      </c>
      <c r="T23" s="22" t="s">
        <v>15</v>
      </c>
      <c r="U23" s="22" t="s">
        <v>15</v>
      </c>
      <c r="V23" s="23" t="s">
        <v>16</v>
      </c>
      <c r="W23" s="23" t="s">
        <v>16</v>
      </c>
      <c r="X23" s="23" t="s">
        <v>16</v>
      </c>
      <c r="Y23" s="23" t="s">
        <v>16</v>
      </c>
      <c r="Z23" s="24" t="s">
        <v>17</v>
      </c>
      <c r="AA23" s="6"/>
      <c r="AB23" s="6"/>
      <c r="AC23" s="6"/>
      <c r="AD23" s="6"/>
      <c r="AE23" s="6"/>
      <c r="AF23" s="6"/>
      <c r="AG23" s="6"/>
      <c r="AH23" s="6"/>
    </row>
    <row r="24" spans="1:34" ht="12.75">
      <c r="A24" s="2" t="s">
        <v>18</v>
      </c>
      <c r="B24" s="2" t="s">
        <v>19</v>
      </c>
      <c r="C24" s="2" t="s">
        <v>20</v>
      </c>
      <c r="D24" s="2" t="s">
        <v>21</v>
      </c>
      <c r="E24" s="2" t="s">
        <v>22</v>
      </c>
      <c r="F24" s="3" t="s">
        <v>23</v>
      </c>
      <c r="G24" s="2" t="s">
        <v>24</v>
      </c>
      <c r="H24" s="2" t="s">
        <v>24</v>
      </c>
      <c r="I24" s="2" t="s">
        <v>25</v>
      </c>
      <c r="J24" s="2" t="s">
        <v>19</v>
      </c>
      <c r="K24" s="2" t="s">
        <v>19</v>
      </c>
      <c r="L24" s="2" t="s">
        <v>19</v>
      </c>
      <c r="M24" s="2" t="s">
        <v>19</v>
      </c>
      <c r="N24" s="2" t="s">
        <v>19</v>
      </c>
      <c r="O24" s="2" t="s">
        <v>19</v>
      </c>
      <c r="P24" s="2" t="s">
        <v>19</v>
      </c>
      <c r="Q24" s="2" t="s">
        <v>19</v>
      </c>
      <c r="R24" s="22" t="s">
        <v>20</v>
      </c>
      <c r="S24" s="22" t="s">
        <v>26</v>
      </c>
      <c r="T24" s="22" t="s">
        <v>27</v>
      </c>
      <c r="U24" s="22" t="s">
        <v>28</v>
      </c>
      <c r="V24" s="23" t="s">
        <v>29</v>
      </c>
      <c r="W24" s="23" t="s">
        <v>30</v>
      </c>
      <c r="X24" s="23" t="s">
        <v>20</v>
      </c>
      <c r="Y24" s="23" t="s">
        <v>21</v>
      </c>
      <c r="Z24" s="24" t="s">
        <v>31</v>
      </c>
      <c r="AA24" s="6"/>
      <c r="AB24" s="6"/>
      <c r="AC24" s="6"/>
      <c r="AD24" s="6"/>
      <c r="AE24" s="6"/>
      <c r="AF24" s="6"/>
      <c r="AG24" s="6"/>
      <c r="AH24" s="6"/>
    </row>
    <row r="25" spans="1:34" ht="12.75">
      <c r="A25" s="26" t="s">
        <v>50</v>
      </c>
      <c r="B25" s="26">
        <v>8</v>
      </c>
      <c r="C25" s="26">
        <v>1</v>
      </c>
      <c r="D25" s="26">
        <v>9</v>
      </c>
      <c r="E25" s="26">
        <v>4.5</v>
      </c>
      <c r="F25" s="12">
        <v>10634</v>
      </c>
      <c r="G25" s="15">
        <f>1633/F25</f>
        <v>0.15356403987210834</v>
      </c>
      <c r="H25" s="15">
        <f>2507/F25</f>
        <v>0.23575324431070152</v>
      </c>
      <c r="I25" s="15">
        <f>1329/1854</f>
        <v>0.71682847896440127</v>
      </c>
      <c r="J25" s="26">
        <v>0</v>
      </c>
      <c r="K25" s="26">
        <v>0</v>
      </c>
      <c r="L25" s="26">
        <v>1</v>
      </c>
      <c r="M25" s="26">
        <v>1</v>
      </c>
      <c r="N25" s="26">
        <v>6</v>
      </c>
      <c r="O25" s="26">
        <v>0</v>
      </c>
      <c r="P25" s="26">
        <v>0</v>
      </c>
      <c r="Q25" s="26">
        <v>0</v>
      </c>
      <c r="R25" s="27">
        <v>2.6536590000000002</v>
      </c>
      <c r="S25" s="27">
        <v>3.2397260000000001</v>
      </c>
      <c r="T25" s="27">
        <v>2.8397570000000001</v>
      </c>
      <c r="U25" s="27">
        <f t="shared" ref="U25:U27" si="3">S25-R25</f>
        <v>0.58606699999999989</v>
      </c>
      <c r="V25" s="14">
        <v>24.200000000000003</v>
      </c>
      <c r="W25" s="14">
        <v>27.912500000000001</v>
      </c>
      <c r="X25" s="14">
        <v>11.4</v>
      </c>
      <c r="Y25" s="14">
        <v>54.2</v>
      </c>
      <c r="Z25" s="29">
        <v>0.6351</v>
      </c>
      <c r="AA25" s="12"/>
      <c r="AB25" s="12"/>
      <c r="AC25" s="12"/>
      <c r="AD25" s="12"/>
      <c r="AE25" s="12"/>
      <c r="AF25" s="12"/>
      <c r="AG25" s="12"/>
      <c r="AH25" s="12"/>
    </row>
    <row r="26" spans="1:34" ht="12.75">
      <c r="A26" s="26" t="s">
        <v>75</v>
      </c>
      <c r="B26" s="26">
        <v>35</v>
      </c>
      <c r="C26" s="26">
        <v>1</v>
      </c>
      <c r="D26" s="26">
        <v>5</v>
      </c>
      <c r="E26" s="26">
        <v>3</v>
      </c>
      <c r="F26" s="12">
        <v>71167</v>
      </c>
      <c r="G26" s="15">
        <f>13389/F26</f>
        <v>0.18813495018758694</v>
      </c>
      <c r="H26" s="15">
        <f>15131/F26</f>
        <v>0.21261258729467308</v>
      </c>
      <c r="I26" s="15">
        <f>2033/1854</f>
        <v>1.0965480043149947</v>
      </c>
      <c r="J26" s="26">
        <v>0</v>
      </c>
      <c r="K26" s="26">
        <v>0</v>
      </c>
      <c r="L26" s="26">
        <v>0</v>
      </c>
      <c r="M26" s="26">
        <v>2</v>
      </c>
      <c r="N26" s="26">
        <v>13</v>
      </c>
      <c r="O26" s="26">
        <v>10</v>
      </c>
      <c r="P26" s="26">
        <v>10</v>
      </c>
      <c r="Q26" s="26">
        <v>0</v>
      </c>
      <c r="R26" s="27">
        <v>2.5222769999999999</v>
      </c>
      <c r="S26" s="27">
        <v>2.9576190000000002</v>
      </c>
      <c r="T26" s="27">
        <v>2.7307519999999998</v>
      </c>
      <c r="U26" s="27">
        <f t="shared" si="3"/>
        <v>0.43534200000000034</v>
      </c>
      <c r="V26" s="14">
        <v>42.6</v>
      </c>
      <c r="W26" s="14">
        <v>42.037142857142861</v>
      </c>
      <c r="X26" s="14">
        <v>20.5</v>
      </c>
      <c r="Y26" s="14">
        <v>64</v>
      </c>
      <c r="Z26" s="29">
        <v>0.49080000000000001</v>
      </c>
      <c r="AA26" s="12"/>
      <c r="AB26" s="12"/>
      <c r="AC26" s="12"/>
      <c r="AD26" s="12"/>
      <c r="AE26" s="12"/>
      <c r="AF26" s="12"/>
      <c r="AG26" s="12"/>
      <c r="AH26" s="12"/>
    </row>
    <row r="27" spans="1:34" ht="12.75">
      <c r="A27" s="26" t="s">
        <v>39</v>
      </c>
      <c r="B27" s="26">
        <v>2</v>
      </c>
      <c r="C27" s="26">
        <v>2</v>
      </c>
      <c r="D27" s="26">
        <v>3</v>
      </c>
      <c r="E27" s="26">
        <v>2.5</v>
      </c>
      <c r="F27" s="12">
        <v>3267</v>
      </c>
      <c r="G27" s="15">
        <f>303/F27</f>
        <v>9.2745638200183653E-2</v>
      </c>
      <c r="H27" s="15">
        <f>537/F27</f>
        <v>0.16437098255280075</v>
      </c>
      <c r="I27" s="15">
        <f>1634/1854</f>
        <v>0.88133764832793959</v>
      </c>
      <c r="J27" s="26">
        <v>0</v>
      </c>
      <c r="K27" s="26">
        <v>0</v>
      </c>
      <c r="L27" s="26">
        <v>0</v>
      </c>
      <c r="M27" s="26">
        <v>0</v>
      </c>
      <c r="N27" s="26">
        <v>0</v>
      </c>
      <c r="O27" s="26">
        <v>0</v>
      </c>
      <c r="P27" s="26">
        <v>0</v>
      </c>
      <c r="Q27" s="26">
        <v>2</v>
      </c>
      <c r="R27" s="27">
        <v>2.9602740000000001</v>
      </c>
      <c r="S27" s="27">
        <v>3.0068329999999999</v>
      </c>
      <c r="T27" s="27">
        <v>2.9835535000000002</v>
      </c>
      <c r="U27" s="27">
        <f t="shared" si="3"/>
        <v>4.6558999999999795E-2</v>
      </c>
      <c r="V27" s="14">
        <v>31.85</v>
      </c>
      <c r="W27" s="14">
        <v>31.85</v>
      </c>
      <c r="X27" s="14">
        <v>26.5</v>
      </c>
      <c r="Y27" s="14">
        <v>37.200000000000003</v>
      </c>
      <c r="Z27" s="29">
        <v>0.50829999999999997</v>
      </c>
      <c r="AA27" s="12"/>
      <c r="AB27" s="12"/>
      <c r="AC27" s="12"/>
      <c r="AD27" s="12"/>
      <c r="AE27" s="12"/>
      <c r="AF27" s="12"/>
      <c r="AG27" s="12"/>
      <c r="AH27" s="12"/>
    </row>
    <row r="28" spans="1:34" ht="12.75">
      <c r="A28" s="12"/>
      <c r="B28" s="12"/>
      <c r="C28" s="12"/>
      <c r="D28" s="12"/>
      <c r="E28" s="12"/>
      <c r="F28" s="12"/>
      <c r="G28" s="12"/>
      <c r="H28" s="12"/>
      <c r="I28" s="12"/>
      <c r="J28" s="12"/>
      <c r="K28" s="12"/>
      <c r="L28" s="12"/>
      <c r="M28" s="12"/>
      <c r="N28" s="12"/>
      <c r="O28" s="12"/>
      <c r="P28" s="12"/>
      <c r="Q28" s="12"/>
      <c r="R28" s="27"/>
      <c r="S28" s="27"/>
      <c r="T28" s="27"/>
      <c r="U28" s="27"/>
      <c r="V28" s="12"/>
      <c r="W28" s="12"/>
      <c r="X28" s="12"/>
      <c r="Y28" s="12"/>
      <c r="Z28" s="31"/>
      <c r="AA28" s="12"/>
      <c r="AB28" s="12"/>
      <c r="AC28" s="12"/>
      <c r="AD28" s="12"/>
      <c r="AE28" s="12"/>
      <c r="AF28" s="12"/>
      <c r="AG28" s="12"/>
      <c r="AH28" s="12"/>
    </row>
    <row r="29" spans="1:34" ht="12.75">
      <c r="A29" s="18" t="s">
        <v>155</v>
      </c>
      <c r="B29" s="19"/>
      <c r="C29" s="19"/>
      <c r="D29" s="19"/>
      <c r="E29" s="19"/>
      <c r="F29" s="19"/>
      <c r="G29" s="19"/>
      <c r="H29" s="19"/>
      <c r="I29" s="19"/>
      <c r="J29" s="19"/>
      <c r="K29" s="19"/>
      <c r="L29" s="19"/>
      <c r="M29" s="19"/>
      <c r="N29" s="19"/>
      <c r="O29" s="19"/>
      <c r="P29" s="19"/>
      <c r="Q29" s="19"/>
      <c r="R29" s="20"/>
      <c r="S29" s="20"/>
      <c r="T29" s="20"/>
      <c r="U29" s="20"/>
      <c r="V29" s="19"/>
      <c r="W29" s="19"/>
      <c r="X29" s="19"/>
      <c r="Y29" s="19"/>
      <c r="Z29" s="21"/>
      <c r="AA29" s="19"/>
      <c r="AB29" s="19"/>
      <c r="AC29" s="19"/>
      <c r="AD29" s="19"/>
      <c r="AE29" s="19"/>
      <c r="AF29" s="19"/>
      <c r="AG29" s="19"/>
      <c r="AH29" s="19"/>
    </row>
    <row r="30" spans="1:34" ht="20.25" customHeight="1">
      <c r="A30" s="1" t="s">
        <v>0</v>
      </c>
      <c r="B30" s="1" t="s">
        <v>1</v>
      </c>
      <c r="C30" s="2" t="s">
        <v>2</v>
      </c>
      <c r="D30" s="2" t="s">
        <v>2</v>
      </c>
      <c r="E30" s="2" t="s">
        <v>2</v>
      </c>
      <c r="F30" s="2" t="s">
        <v>3</v>
      </c>
      <c r="G30" s="2" t="s">
        <v>4</v>
      </c>
      <c r="H30" s="2" t="s">
        <v>5</v>
      </c>
      <c r="I30" s="2" t="s">
        <v>6</v>
      </c>
      <c r="J30" s="2" t="s">
        <v>7</v>
      </c>
      <c r="K30" s="2" t="s">
        <v>8</v>
      </c>
      <c r="L30" s="2" t="s">
        <v>9</v>
      </c>
      <c r="M30" s="2" t="s">
        <v>10</v>
      </c>
      <c r="N30" s="2" t="s">
        <v>11</v>
      </c>
      <c r="O30" s="2" t="s">
        <v>12</v>
      </c>
      <c r="P30" s="2" t="s">
        <v>13</v>
      </c>
      <c r="Q30" s="2" t="s">
        <v>14</v>
      </c>
      <c r="R30" s="22" t="s">
        <v>15</v>
      </c>
      <c r="S30" s="22" t="s">
        <v>15</v>
      </c>
      <c r="T30" s="22" t="s">
        <v>15</v>
      </c>
      <c r="U30" s="22" t="s">
        <v>15</v>
      </c>
      <c r="V30" s="23" t="s">
        <v>16</v>
      </c>
      <c r="W30" s="23" t="s">
        <v>16</v>
      </c>
      <c r="X30" s="23" t="s">
        <v>16</v>
      </c>
      <c r="Y30" s="23" t="s">
        <v>16</v>
      </c>
      <c r="Z30" s="24" t="s">
        <v>17</v>
      </c>
      <c r="AA30" s="6"/>
      <c r="AB30" s="6"/>
      <c r="AC30" s="6"/>
      <c r="AD30" s="6"/>
      <c r="AE30" s="6"/>
      <c r="AF30" s="6"/>
      <c r="AG30" s="6"/>
      <c r="AH30" s="6"/>
    </row>
    <row r="31" spans="1:34" ht="12.75">
      <c r="A31" s="2" t="s">
        <v>18</v>
      </c>
      <c r="B31" s="2" t="s">
        <v>19</v>
      </c>
      <c r="C31" s="2" t="s">
        <v>20</v>
      </c>
      <c r="D31" s="2" t="s">
        <v>21</v>
      </c>
      <c r="E31" s="2" t="s">
        <v>22</v>
      </c>
      <c r="F31" s="3" t="s">
        <v>23</v>
      </c>
      <c r="G31" s="2" t="s">
        <v>24</v>
      </c>
      <c r="H31" s="2" t="s">
        <v>24</v>
      </c>
      <c r="I31" s="2" t="s">
        <v>25</v>
      </c>
      <c r="J31" s="2" t="s">
        <v>19</v>
      </c>
      <c r="K31" s="2" t="s">
        <v>19</v>
      </c>
      <c r="L31" s="2" t="s">
        <v>19</v>
      </c>
      <c r="M31" s="2" t="s">
        <v>19</v>
      </c>
      <c r="N31" s="2" t="s">
        <v>19</v>
      </c>
      <c r="O31" s="2" t="s">
        <v>19</v>
      </c>
      <c r="P31" s="2" t="s">
        <v>19</v>
      </c>
      <c r="Q31" s="2" t="s">
        <v>19</v>
      </c>
      <c r="R31" s="22" t="s">
        <v>20</v>
      </c>
      <c r="S31" s="22" t="s">
        <v>26</v>
      </c>
      <c r="T31" s="22" t="s">
        <v>27</v>
      </c>
      <c r="U31" s="22" t="s">
        <v>28</v>
      </c>
      <c r="V31" s="23" t="s">
        <v>29</v>
      </c>
      <c r="W31" s="23" t="s">
        <v>30</v>
      </c>
      <c r="X31" s="23" t="s">
        <v>20</v>
      </c>
      <c r="Y31" s="23" t="s">
        <v>21</v>
      </c>
      <c r="Z31" s="24" t="s">
        <v>31</v>
      </c>
      <c r="AA31" s="6"/>
      <c r="AB31" s="6"/>
      <c r="AC31" s="6"/>
      <c r="AD31" s="6"/>
      <c r="AE31" s="6"/>
      <c r="AF31" s="6"/>
      <c r="AG31" s="6"/>
      <c r="AH31" s="6"/>
    </row>
    <row r="32" spans="1:34" ht="12.75">
      <c r="A32" s="12" t="s">
        <v>53</v>
      </c>
      <c r="B32" s="12">
        <v>8</v>
      </c>
      <c r="C32" s="12">
        <v>2</v>
      </c>
      <c r="D32" s="12">
        <v>3</v>
      </c>
      <c r="E32" s="12">
        <v>2</v>
      </c>
      <c r="F32" s="12">
        <v>20646</v>
      </c>
      <c r="G32" s="15">
        <f>5317/F32</f>
        <v>0.25753172527366075</v>
      </c>
      <c r="H32" s="15">
        <f>1170/F32</f>
        <v>5.6669572798605058E-2</v>
      </c>
      <c r="I32" s="15">
        <f>2581/1854</f>
        <v>1.3921251348435815</v>
      </c>
      <c r="J32" s="12">
        <v>0</v>
      </c>
      <c r="K32" s="12">
        <v>0</v>
      </c>
      <c r="L32" s="12">
        <v>2</v>
      </c>
      <c r="M32" s="12">
        <v>2</v>
      </c>
      <c r="N32" s="12">
        <v>3</v>
      </c>
      <c r="O32" s="12">
        <v>1</v>
      </c>
      <c r="P32" s="12">
        <v>0</v>
      </c>
      <c r="Q32" s="12">
        <v>0</v>
      </c>
      <c r="R32" s="27">
        <v>2.62635</v>
      </c>
      <c r="S32" s="27">
        <v>3.1704349999999999</v>
      </c>
      <c r="T32" s="27">
        <v>2.9052595000000001</v>
      </c>
      <c r="U32" s="27">
        <f t="shared" ref="U32:U34" si="4">S32-R32</f>
        <v>0.54408499999999993</v>
      </c>
      <c r="V32" s="14">
        <v>68.400000000000006</v>
      </c>
      <c r="W32" s="14">
        <v>67.275000000000006</v>
      </c>
      <c r="X32" s="14">
        <v>50.7</v>
      </c>
      <c r="Y32" s="14">
        <v>78.900000000000006</v>
      </c>
      <c r="Z32" s="30">
        <v>0.62680000000000002</v>
      </c>
      <c r="AA32" s="12"/>
      <c r="AB32" s="12"/>
      <c r="AC32" s="12"/>
      <c r="AD32" s="12"/>
      <c r="AE32" s="12"/>
      <c r="AF32" s="12"/>
      <c r="AG32" s="12"/>
      <c r="AH32" s="12"/>
    </row>
    <row r="33" spans="1:34" ht="12.75">
      <c r="A33" s="12" t="s">
        <v>46</v>
      </c>
      <c r="B33" s="12">
        <v>5</v>
      </c>
      <c r="C33" s="12">
        <v>2</v>
      </c>
      <c r="D33" s="12">
        <v>5</v>
      </c>
      <c r="E33" s="12">
        <v>3</v>
      </c>
      <c r="F33" s="12">
        <v>12786</v>
      </c>
      <c r="G33" s="15">
        <f>2016/F33</f>
        <v>0.15767245424683246</v>
      </c>
      <c r="H33" s="15">
        <f>584/F33</f>
        <v>4.5674956984201473E-2</v>
      </c>
      <c r="I33" s="15">
        <f>2557/1854</f>
        <v>1.3791801510248112</v>
      </c>
      <c r="J33" s="12">
        <v>0</v>
      </c>
      <c r="K33" s="12">
        <v>0</v>
      </c>
      <c r="L33" s="12">
        <v>2</v>
      </c>
      <c r="M33" s="12">
        <v>2</v>
      </c>
      <c r="N33" s="12">
        <v>0</v>
      </c>
      <c r="O33" s="12">
        <v>1</v>
      </c>
      <c r="P33" s="12">
        <v>0</v>
      </c>
      <c r="Q33" s="12">
        <v>0</v>
      </c>
      <c r="R33" s="27">
        <v>2.7894739999999998</v>
      </c>
      <c r="S33" s="27">
        <v>2.97709</v>
      </c>
      <c r="T33" s="27">
        <v>2.9064290000000002</v>
      </c>
      <c r="U33" s="27">
        <f t="shared" si="4"/>
        <v>0.18761600000000023</v>
      </c>
      <c r="V33" s="14">
        <v>24.200000000000003</v>
      </c>
      <c r="W33" s="14">
        <v>27.912500000000001</v>
      </c>
      <c r="X33" s="14">
        <v>11.4</v>
      </c>
      <c r="Y33" s="14">
        <v>54.2</v>
      </c>
      <c r="Z33" s="29">
        <v>0.6673</v>
      </c>
      <c r="AA33" s="12"/>
      <c r="AB33" s="12"/>
      <c r="AC33" s="12"/>
      <c r="AD33" s="12"/>
      <c r="AE33" s="12"/>
      <c r="AF33" s="12"/>
      <c r="AG33" s="12"/>
      <c r="AH33" s="12"/>
    </row>
    <row r="34" spans="1:34" ht="12.75">
      <c r="A34" s="12" t="s">
        <v>95</v>
      </c>
      <c r="B34" s="12">
        <v>7</v>
      </c>
      <c r="C34" s="12">
        <v>2</v>
      </c>
      <c r="D34" s="12">
        <v>7</v>
      </c>
      <c r="E34" s="12">
        <v>4</v>
      </c>
      <c r="F34" s="12">
        <v>19734</v>
      </c>
      <c r="G34" s="15">
        <f>1923/F34</f>
        <v>9.7446032228640928E-2</v>
      </c>
      <c r="H34" s="15">
        <f>745/F34</f>
        <v>3.7752102969494272E-2</v>
      </c>
      <c r="I34" s="15">
        <f>2819/1854</f>
        <v>1.5204962243797195</v>
      </c>
      <c r="J34" s="12">
        <v>0</v>
      </c>
      <c r="K34" s="12">
        <v>0</v>
      </c>
      <c r="L34" s="12">
        <v>0</v>
      </c>
      <c r="M34" s="12">
        <v>0</v>
      </c>
      <c r="N34" s="12">
        <v>0</v>
      </c>
      <c r="O34" s="12">
        <v>0</v>
      </c>
      <c r="P34" s="12">
        <v>2</v>
      </c>
      <c r="Q34" s="12">
        <v>5</v>
      </c>
      <c r="R34" s="27">
        <v>2.758756</v>
      </c>
      <c r="S34" s="27">
        <v>2.9315790000000002</v>
      </c>
      <c r="T34" s="27">
        <v>2.9315790000000002</v>
      </c>
      <c r="U34" s="27">
        <f t="shared" si="4"/>
        <v>0.17282300000000017</v>
      </c>
      <c r="V34" s="14">
        <v>34.1</v>
      </c>
      <c r="W34" s="14">
        <v>41.928571428571431</v>
      </c>
      <c r="X34" s="14">
        <v>24.7</v>
      </c>
      <c r="Y34" s="14">
        <v>64.099999999999994</v>
      </c>
      <c r="Z34" s="29">
        <v>0.443</v>
      </c>
      <c r="AA34" s="12"/>
      <c r="AB34" s="12"/>
      <c r="AC34" s="12"/>
      <c r="AD34" s="12"/>
      <c r="AE34" s="12"/>
      <c r="AF34" s="12"/>
      <c r="AG34" s="12"/>
      <c r="AH34" s="12"/>
    </row>
    <row r="35" spans="1:34" ht="12.75">
      <c r="A35" s="12"/>
      <c r="B35" s="12"/>
      <c r="C35" s="12"/>
      <c r="D35" s="12"/>
      <c r="E35" s="12"/>
      <c r="F35" s="12"/>
      <c r="G35" s="12"/>
      <c r="H35" s="12"/>
      <c r="I35" s="12"/>
      <c r="J35" s="12"/>
      <c r="K35" s="12"/>
      <c r="L35" s="12"/>
      <c r="M35" s="12"/>
      <c r="N35" s="12"/>
      <c r="O35" s="12"/>
      <c r="P35" s="12"/>
      <c r="Q35" s="12"/>
      <c r="R35" s="27"/>
      <c r="S35" s="27"/>
      <c r="T35" s="27"/>
      <c r="U35" s="27"/>
      <c r="V35" s="12"/>
      <c r="W35" s="12"/>
      <c r="X35" s="12"/>
      <c r="Y35" s="12"/>
      <c r="Z35" s="31"/>
      <c r="AA35" s="12"/>
      <c r="AB35" s="12"/>
      <c r="AC35" s="12"/>
      <c r="AD35" s="12"/>
      <c r="AE35" s="12"/>
      <c r="AF35" s="12"/>
      <c r="AG35" s="12"/>
      <c r="AH35" s="12"/>
    </row>
    <row r="36" spans="1:34" ht="12.75">
      <c r="A36" s="18" t="s">
        <v>156</v>
      </c>
      <c r="B36" s="19"/>
      <c r="C36" s="19"/>
      <c r="D36" s="19"/>
      <c r="E36" s="19"/>
      <c r="F36" s="19"/>
      <c r="G36" s="19"/>
      <c r="H36" s="19"/>
      <c r="I36" s="19"/>
      <c r="J36" s="19"/>
      <c r="K36" s="19"/>
      <c r="L36" s="19"/>
      <c r="M36" s="19"/>
      <c r="N36" s="19"/>
      <c r="O36" s="19"/>
      <c r="P36" s="19"/>
      <c r="Q36" s="19"/>
      <c r="R36" s="20"/>
      <c r="S36" s="20"/>
      <c r="T36" s="20"/>
      <c r="U36" s="20"/>
      <c r="V36" s="19"/>
      <c r="W36" s="19"/>
      <c r="X36" s="19"/>
      <c r="Y36" s="19"/>
      <c r="Z36" s="21"/>
      <c r="AA36" s="19"/>
      <c r="AB36" s="19"/>
      <c r="AC36" s="19"/>
      <c r="AD36" s="19"/>
      <c r="AE36" s="19"/>
      <c r="AF36" s="19"/>
      <c r="AG36" s="19"/>
      <c r="AH36" s="19"/>
    </row>
    <row r="37" spans="1:34" ht="20.25" customHeight="1">
      <c r="A37" s="1" t="s">
        <v>0</v>
      </c>
      <c r="B37" s="1" t="s">
        <v>1</v>
      </c>
      <c r="C37" s="2" t="s">
        <v>2</v>
      </c>
      <c r="D37" s="2" t="s">
        <v>2</v>
      </c>
      <c r="E37" s="2" t="s">
        <v>2</v>
      </c>
      <c r="F37" s="2" t="s">
        <v>3</v>
      </c>
      <c r="G37" s="2" t="s">
        <v>4</v>
      </c>
      <c r="H37" s="2" t="s">
        <v>5</v>
      </c>
      <c r="I37" s="2" t="s">
        <v>6</v>
      </c>
      <c r="J37" s="2" t="s">
        <v>7</v>
      </c>
      <c r="K37" s="2" t="s">
        <v>8</v>
      </c>
      <c r="L37" s="2" t="s">
        <v>9</v>
      </c>
      <c r="M37" s="2" t="s">
        <v>10</v>
      </c>
      <c r="N37" s="2" t="s">
        <v>11</v>
      </c>
      <c r="O37" s="2" t="s">
        <v>12</v>
      </c>
      <c r="P37" s="2" t="s">
        <v>13</v>
      </c>
      <c r="Q37" s="2" t="s">
        <v>14</v>
      </c>
      <c r="R37" s="22" t="s">
        <v>15</v>
      </c>
      <c r="S37" s="22" t="s">
        <v>15</v>
      </c>
      <c r="T37" s="22" t="s">
        <v>15</v>
      </c>
      <c r="U37" s="22" t="s">
        <v>15</v>
      </c>
      <c r="V37" s="23" t="s">
        <v>16</v>
      </c>
      <c r="W37" s="23" t="s">
        <v>16</v>
      </c>
      <c r="X37" s="23" t="s">
        <v>16</v>
      </c>
      <c r="Y37" s="23" t="s">
        <v>16</v>
      </c>
      <c r="Z37" s="24" t="s">
        <v>17</v>
      </c>
      <c r="AA37" s="6"/>
      <c r="AB37" s="6"/>
      <c r="AC37" s="6"/>
      <c r="AD37" s="6"/>
      <c r="AE37" s="6"/>
      <c r="AF37" s="6"/>
      <c r="AG37" s="6"/>
      <c r="AH37" s="6"/>
    </row>
    <row r="38" spans="1:34" ht="12.75">
      <c r="A38" s="2" t="s">
        <v>18</v>
      </c>
      <c r="B38" s="2" t="s">
        <v>19</v>
      </c>
      <c r="C38" s="2" t="s">
        <v>20</v>
      </c>
      <c r="D38" s="2" t="s">
        <v>21</v>
      </c>
      <c r="E38" s="2" t="s">
        <v>22</v>
      </c>
      <c r="F38" s="3" t="s">
        <v>23</v>
      </c>
      <c r="G38" s="2" t="s">
        <v>24</v>
      </c>
      <c r="H38" s="2" t="s">
        <v>24</v>
      </c>
      <c r="I38" s="2" t="s">
        <v>25</v>
      </c>
      <c r="J38" s="2" t="s">
        <v>19</v>
      </c>
      <c r="K38" s="2" t="s">
        <v>19</v>
      </c>
      <c r="L38" s="2" t="s">
        <v>19</v>
      </c>
      <c r="M38" s="2" t="s">
        <v>19</v>
      </c>
      <c r="N38" s="2" t="s">
        <v>19</v>
      </c>
      <c r="O38" s="2" t="s">
        <v>19</v>
      </c>
      <c r="P38" s="2" t="s">
        <v>19</v>
      </c>
      <c r="Q38" s="2" t="s">
        <v>19</v>
      </c>
      <c r="R38" s="22" t="s">
        <v>20</v>
      </c>
      <c r="S38" s="22" t="s">
        <v>26</v>
      </c>
      <c r="T38" s="22" t="s">
        <v>27</v>
      </c>
      <c r="U38" s="22" t="s">
        <v>28</v>
      </c>
      <c r="V38" s="23" t="s">
        <v>29</v>
      </c>
      <c r="W38" s="23" t="s">
        <v>30</v>
      </c>
      <c r="X38" s="23" t="s">
        <v>20</v>
      </c>
      <c r="Y38" s="23" t="s">
        <v>21</v>
      </c>
      <c r="Z38" s="24" t="s">
        <v>31</v>
      </c>
      <c r="AA38" s="6"/>
      <c r="AB38" s="6"/>
      <c r="AC38" s="6"/>
      <c r="AD38" s="6"/>
      <c r="AE38" s="6"/>
      <c r="AF38" s="6"/>
      <c r="AG38" s="6"/>
      <c r="AH38" s="6"/>
    </row>
    <row r="39" spans="1:34" ht="12.75">
      <c r="A39" s="12" t="s">
        <v>63</v>
      </c>
      <c r="B39" s="12">
        <v>10</v>
      </c>
      <c r="C39" s="12">
        <v>1</v>
      </c>
      <c r="D39" s="12">
        <v>6</v>
      </c>
      <c r="E39" s="12">
        <v>2</v>
      </c>
      <c r="F39" s="12">
        <v>24935</v>
      </c>
      <c r="G39" s="15">
        <f>6234/F39</f>
        <v>0.25001002606777623</v>
      </c>
      <c r="H39" s="15">
        <f>1521/F39</f>
        <v>6.099859635051133E-2</v>
      </c>
      <c r="I39" s="15">
        <f>2494/1854</f>
        <v>1.3451995685005393</v>
      </c>
      <c r="J39" s="12">
        <v>0</v>
      </c>
      <c r="K39" s="12">
        <v>0</v>
      </c>
      <c r="L39" s="12">
        <v>0</v>
      </c>
      <c r="M39" s="12">
        <v>2</v>
      </c>
      <c r="N39" s="12">
        <v>4</v>
      </c>
      <c r="O39" s="12">
        <v>4</v>
      </c>
      <c r="P39" s="12">
        <v>0</v>
      </c>
      <c r="Q39" s="12">
        <v>0</v>
      </c>
      <c r="R39" s="27">
        <v>2.6174390000000001</v>
      </c>
      <c r="S39" s="27">
        <v>3.1704349999999999</v>
      </c>
      <c r="T39" s="27">
        <v>2.8096559999999999</v>
      </c>
      <c r="U39" s="27">
        <f t="shared" ref="U39:U41" si="5">S39-R39</f>
        <v>0.55299599999999982</v>
      </c>
      <c r="V39" s="14">
        <v>62.400000000000006</v>
      </c>
      <c r="W39" s="14">
        <v>64.689999999999984</v>
      </c>
      <c r="X39" s="14">
        <v>58.4</v>
      </c>
      <c r="Y39" s="14">
        <v>78</v>
      </c>
      <c r="Z39" s="30">
        <v>0.61670000000000003</v>
      </c>
      <c r="AA39" s="12"/>
      <c r="AB39" s="12"/>
      <c r="AC39" s="12"/>
      <c r="AD39" s="12"/>
      <c r="AE39" s="12"/>
      <c r="AF39" s="12"/>
      <c r="AG39" s="12"/>
      <c r="AH39" s="12"/>
    </row>
    <row r="40" spans="1:34" ht="12.75">
      <c r="A40" s="12" t="s">
        <v>55</v>
      </c>
      <c r="B40" s="12">
        <v>20</v>
      </c>
      <c r="C40" s="12">
        <v>2</v>
      </c>
      <c r="D40" s="12">
        <v>5</v>
      </c>
      <c r="E40" s="12">
        <v>3</v>
      </c>
      <c r="F40" s="12">
        <v>45729</v>
      </c>
      <c r="G40" s="15">
        <f>5861/F40</f>
        <v>0.12816812088608978</v>
      </c>
      <c r="H40" s="15">
        <f>2901/F40</f>
        <v>6.3438955586170701E-2</v>
      </c>
      <c r="I40" s="15">
        <f>2286/1854</f>
        <v>1.233009708737864</v>
      </c>
      <c r="J40" s="12">
        <v>0</v>
      </c>
      <c r="K40" s="12">
        <v>0</v>
      </c>
      <c r="L40" s="12">
        <v>0</v>
      </c>
      <c r="M40" s="12">
        <v>0</v>
      </c>
      <c r="N40" s="12">
        <v>0</v>
      </c>
      <c r="O40" s="12">
        <v>0</v>
      </c>
      <c r="P40" s="12">
        <v>14</v>
      </c>
      <c r="Q40" s="12">
        <v>6</v>
      </c>
      <c r="R40" s="27">
        <v>2.7515909999999999</v>
      </c>
      <c r="S40" s="27">
        <v>3.094398</v>
      </c>
      <c r="T40" s="27">
        <v>2.8912279999999999</v>
      </c>
      <c r="U40" s="27">
        <f t="shared" si="5"/>
        <v>0.34280700000000008</v>
      </c>
      <c r="V40" s="14">
        <v>34.35</v>
      </c>
      <c r="W40" s="14">
        <v>35.339999999999989</v>
      </c>
      <c r="X40" s="14">
        <v>17.100000000000001</v>
      </c>
      <c r="Y40" s="14">
        <v>53.9</v>
      </c>
      <c r="Z40" s="29">
        <v>0.4743</v>
      </c>
      <c r="AA40" s="12"/>
      <c r="AB40" s="12"/>
      <c r="AC40" s="12"/>
      <c r="AD40" s="12"/>
      <c r="AE40" s="12"/>
      <c r="AF40" s="12"/>
      <c r="AG40" s="12"/>
      <c r="AH40" s="12"/>
    </row>
    <row r="41" spans="1:34" ht="12.75">
      <c r="A41" s="12" t="s">
        <v>42</v>
      </c>
      <c r="B41" s="12">
        <v>10</v>
      </c>
      <c r="C41" s="12">
        <v>3</v>
      </c>
      <c r="D41" s="12">
        <v>7</v>
      </c>
      <c r="E41" s="12">
        <v>3.5</v>
      </c>
      <c r="F41" s="12">
        <v>21758</v>
      </c>
      <c r="G41" s="15">
        <f>2350/F41</f>
        <v>0.10800625057450133</v>
      </c>
      <c r="H41" s="15">
        <f>1857/F41</f>
        <v>8.5347918007169774E-2</v>
      </c>
      <c r="I41" s="15">
        <f>2176/1854</f>
        <v>1.1736785329018338</v>
      </c>
      <c r="J41" s="12">
        <v>0</v>
      </c>
      <c r="K41" s="12">
        <v>0</v>
      </c>
      <c r="L41" s="12">
        <v>0</v>
      </c>
      <c r="M41" s="12">
        <v>0</v>
      </c>
      <c r="N41" s="12">
        <v>2</v>
      </c>
      <c r="O41" s="12">
        <v>0</v>
      </c>
      <c r="P41" s="12">
        <v>0</v>
      </c>
      <c r="Q41" s="12">
        <v>8</v>
      </c>
      <c r="R41" s="27">
        <v>2.8471199999999999</v>
      </c>
      <c r="S41" s="27">
        <v>3.0900889999999999</v>
      </c>
      <c r="T41" s="27">
        <v>2.9725035000000002</v>
      </c>
      <c r="U41" s="27">
        <f t="shared" si="5"/>
        <v>0.24296899999999999</v>
      </c>
      <c r="V41" s="14">
        <v>44.2</v>
      </c>
      <c r="W41" s="14">
        <v>41.769999999999996</v>
      </c>
      <c r="X41" s="14">
        <v>30.9</v>
      </c>
      <c r="Y41" s="14">
        <v>51.1</v>
      </c>
      <c r="Z41" s="29">
        <v>0.52569999999999995</v>
      </c>
      <c r="AA41" s="12"/>
      <c r="AB41" s="12"/>
      <c r="AC41" s="12"/>
      <c r="AD41" s="12"/>
      <c r="AE41" s="12"/>
      <c r="AF41" s="12"/>
      <c r="AG41" s="12"/>
      <c r="AH41" s="12"/>
    </row>
    <row r="42" spans="1:34" ht="12.75">
      <c r="A42" s="12"/>
      <c r="B42" s="12"/>
      <c r="C42" s="12"/>
      <c r="D42" s="12"/>
      <c r="E42" s="12"/>
      <c r="F42" s="12"/>
      <c r="G42" s="12"/>
      <c r="H42" s="12"/>
      <c r="I42" s="12"/>
      <c r="J42" s="12"/>
      <c r="K42" s="12"/>
      <c r="L42" s="12"/>
      <c r="M42" s="12"/>
      <c r="N42" s="12"/>
      <c r="O42" s="12"/>
      <c r="P42" s="12"/>
      <c r="Q42" s="12"/>
      <c r="R42" s="27"/>
      <c r="S42" s="27"/>
      <c r="T42" s="27"/>
      <c r="U42" s="27"/>
      <c r="V42" s="12"/>
      <c r="W42" s="12"/>
      <c r="X42" s="12"/>
      <c r="Y42" s="12"/>
      <c r="Z42" s="31"/>
      <c r="AA42" s="12"/>
      <c r="AB42" s="12"/>
      <c r="AC42" s="12"/>
      <c r="AD42" s="12"/>
      <c r="AE42" s="12"/>
      <c r="AF42" s="12"/>
      <c r="AG42" s="12"/>
      <c r="AH42" s="12"/>
    </row>
    <row r="43" spans="1:34" ht="12.75">
      <c r="A43" s="18" t="s">
        <v>157</v>
      </c>
      <c r="B43" s="19"/>
      <c r="C43" s="19"/>
      <c r="D43" s="19"/>
      <c r="E43" s="19"/>
      <c r="F43" s="19"/>
      <c r="G43" s="19"/>
      <c r="H43" s="19"/>
      <c r="I43" s="19"/>
      <c r="J43" s="19"/>
      <c r="K43" s="19"/>
      <c r="L43" s="19"/>
      <c r="M43" s="19"/>
      <c r="N43" s="19"/>
      <c r="O43" s="19"/>
      <c r="P43" s="19"/>
      <c r="Q43" s="19"/>
      <c r="R43" s="20"/>
      <c r="S43" s="20"/>
      <c r="T43" s="20"/>
      <c r="U43" s="20"/>
      <c r="V43" s="19"/>
      <c r="W43" s="19"/>
      <c r="X43" s="19"/>
      <c r="Y43" s="19"/>
      <c r="Z43" s="21"/>
      <c r="AA43" s="19"/>
      <c r="AB43" s="19"/>
      <c r="AC43" s="19"/>
      <c r="AD43" s="19"/>
      <c r="AE43" s="19"/>
      <c r="AF43" s="19"/>
      <c r="AG43" s="19"/>
      <c r="AH43" s="19"/>
    </row>
    <row r="44" spans="1:34" ht="20.25" customHeight="1">
      <c r="A44" s="1" t="s">
        <v>0</v>
      </c>
      <c r="B44" s="1" t="s">
        <v>1</v>
      </c>
      <c r="C44" s="2" t="s">
        <v>2</v>
      </c>
      <c r="D44" s="2" t="s">
        <v>2</v>
      </c>
      <c r="E44" s="2" t="s">
        <v>2</v>
      </c>
      <c r="F44" s="2" t="s">
        <v>3</v>
      </c>
      <c r="G44" s="2" t="s">
        <v>4</v>
      </c>
      <c r="H44" s="2" t="s">
        <v>5</v>
      </c>
      <c r="I44" s="2" t="s">
        <v>6</v>
      </c>
      <c r="J44" s="2" t="s">
        <v>7</v>
      </c>
      <c r="K44" s="2" t="s">
        <v>8</v>
      </c>
      <c r="L44" s="2" t="s">
        <v>9</v>
      </c>
      <c r="M44" s="2" t="s">
        <v>10</v>
      </c>
      <c r="N44" s="2" t="s">
        <v>11</v>
      </c>
      <c r="O44" s="2" t="s">
        <v>12</v>
      </c>
      <c r="P44" s="2" t="s">
        <v>13</v>
      </c>
      <c r="Q44" s="2" t="s">
        <v>14</v>
      </c>
      <c r="R44" s="22" t="s">
        <v>15</v>
      </c>
      <c r="S44" s="22" t="s">
        <v>15</v>
      </c>
      <c r="T44" s="22" t="s">
        <v>15</v>
      </c>
      <c r="U44" s="22" t="s">
        <v>15</v>
      </c>
      <c r="V44" s="23" t="s">
        <v>16</v>
      </c>
      <c r="W44" s="23" t="s">
        <v>16</v>
      </c>
      <c r="X44" s="23" t="s">
        <v>16</v>
      </c>
      <c r="Y44" s="23" t="s">
        <v>16</v>
      </c>
      <c r="Z44" s="24" t="s">
        <v>17</v>
      </c>
      <c r="AA44" s="6"/>
      <c r="AB44" s="6"/>
      <c r="AC44" s="6"/>
      <c r="AD44" s="6"/>
      <c r="AE44" s="6"/>
      <c r="AF44" s="6"/>
      <c r="AG44" s="6"/>
      <c r="AH44" s="6"/>
    </row>
    <row r="45" spans="1:34" ht="12.75">
      <c r="A45" s="2" t="s">
        <v>18</v>
      </c>
      <c r="B45" s="2" t="s">
        <v>19</v>
      </c>
      <c r="C45" s="2" t="s">
        <v>20</v>
      </c>
      <c r="D45" s="2" t="s">
        <v>21</v>
      </c>
      <c r="E45" s="2" t="s">
        <v>22</v>
      </c>
      <c r="F45" s="3" t="s">
        <v>23</v>
      </c>
      <c r="G45" s="2" t="s">
        <v>24</v>
      </c>
      <c r="H45" s="2" t="s">
        <v>24</v>
      </c>
      <c r="I45" s="2" t="s">
        <v>25</v>
      </c>
      <c r="J45" s="2" t="s">
        <v>19</v>
      </c>
      <c r="K45" s="2" t="s">
        <v>19</v>
      </c>
      <c r="L45" s="2" t="s">
        <v>19</v>
      </c>
      <c r="M45" s="2" t="s">
        <v>19</v>
      </c>
      <c r="N45" s="2" t="s">
        <v>19</v>
      </c>
      <c r="O45" s="2" t="s">
        <v>19</v>
      </c>
      <c r="P45" s="2" t="s">
        <v>19</v>
      </c>
      <c r="Q45" s="2" t="s">
        <v>19</v>
      </c>
      <c r="R45" s="22" t="s">
        <v>20</v>
      </c>
      <c r="S45" s="22" t="s">
        <v>26</v>
      </c>
      <c r="T45" s="22" t="s">
        <v>27</v>
      </c>
      <c r="U45" s="22" t="s">
        <v>28</v>
      </c>
      <c r="V45" s="23" t="s">
        <v>29</v>
      </c>
      <c r="W45" s="23" t="s">
        <v>30</v>
      </c>
      <c r="X45" s="23" t="s">
        <v>20</v>
      </c>
      <c r="Y45" s="23" t="s">
        <v>21</v>
      </c>
      <c r="Z45" s="24" t="s">
        <v>31</v>
      </c>
      <c r="AA45" s="6"/>
      <c r="AB45" s="6"/>
      <c r="AC45" s="6"/>
      <c r="AD45" s="6"/>
      <c r="AE45" s="6"/>
      <c r="AF45" s="6"/>
      <c r="AG45" s="6"/>
      <c r="AH45" s="6"/>
    </row>
    <row r="46" spans="1:34" ht="12.75">
      <c r="A46" s="26" t="s">
        <v>53</v>
      </c>
      <c r="B46" s="26">
        <v>8</v>
      </c>
      <c r="C46" s="26">
        <v>2</v>
      </c>
      <c r="D46" s="26">
        <v>3</v>
      </c>
      <c r="E46" s="26">
        <v>2</v>
      </c>
      <c r="F46" s="17">
        <v>20646</v>
      </c>
      <c r="G46" s="15">
        <f>5317/F46</f>
        <v>0.25753172527366075</v>
      </c>
      <c r="H46" s="15">
        <f>1170/F46</f>
        <v>5.6669572798605058E-2</v>
      </c>
      <c r="I46" s="15">
        <f>2581/1854</f>
        <v>1.3921251348435815</v>
      </c>
      <c r="J46" s="26">
        <v>0</v>
      </c>
      <c r="K46" s="26">
        <v>0</v>
      </c>
      <c r="L46" s="26">
        <v>2</v>
      </c>
      <c r="M46" s="26">
        <v>2</v>
      </c>
      <c r="N46" s="26">
        <v>3</v>
      </c>
      <c r="O46" s="26">
        <v>1</v>
      </c>
      <c r="P46" s="26">
        <v>0</v>
      </c>
      <c r="Q46" s="26">
        <v>0</v>
      </c>
      <c r="R46" s="27">
        <v>2.62635</v>
      </c>
      <c r="S46" s="27">
        <v>3.1704349999999999</v>
      </c>
      <c r="T46" s="27">
        <v>2.9052595000000001</v>
      </c>
      <c r="U46" s="27">
        <f t="shared" ref="U46:U48" si="6">S46-R46</f>
        <v>0.54408499999999993</v>
      </c>
      <c r="V46" s="14">
        <v>68.400000000000006</v>
      </c>
      <c r="W46" s="14">
        <v>67.275000000000006</v>
      </c>
      <c r="X46" s="14">
        <v>50.7</v>
      </c>
      <c r="Y46" s="14">
        <v>78.900000000000006</v>
      </c>
      <c r="Z46" s="30">
        <v>0.62680000000000002</v>
      </c>
      <c r="AA46" s="12"/>
      <c r="AB46" s="12"/>
      <c r="AC46" s="12"/>
      <c r="AD46" s="12"/>
      <c r="AE46" s="12"/>
      <c r="AF46" s="12"/>
      <c r="AG46" s="12"/>
      <c r="AH46" s="12"/>
    </row>
    <row r="47" spans="1:34" ht="12.75">
      <c r="A47" s="26" t="s">
        <v>63</v>
      </c>
      <c r="B47" s="26">
        <v>10</v>
      </c>
      <c r="C47" s="26">
        <v>1</v>
      </c>
      <c r="D47" s="26">
        <v>6</v>
      </c>
      <c r="E47" s="26">
        <v>2</v>
      </c>
      <c r="F47" s="17">
        <v>24935</v>
      </c>
      <c r="G47" s="15">
        <f>6234/F47</f>
        <v>0.25001002606777623</v>
      </c>
      <c r="H47" s="15">
        <f>1521/F47</f>
        <v>6.099859635051133E-2</v>
      </c>
      <c r="I47" s="15">
        <f>2494/1854</f>
        <v>1.3451995685005393</v>
      </c>
      <c r="J47" s="26">
        <v>0</v>
      </c>
      <c r="K47" s="26">
        <v>0</v>
      </c>
      <c r="L47" s="26">
        <v>0</v>
      </c>
      <c r="M47" s="26">
        <v>2</v>
      </c>
      <c r="N47" s="26">
        <v>4</v>
      </c>
      <c r="O47" s="26">
        <v>4</v>
      </c>
      <c r="P47" s="26">
        <v>0</v>
      </c>
      <c r="Q47" s="26">
        <v>0</v>
      </c>
      <c r="R47" s="27">
        <v>2.6174390000000001</v>
      </c>
      <c r="S47" s="27">
        <v>3.1704349999999999</v>
      </c>
      <c r="T47" s="27">
        <v>2.8096559999999999</v>
      </c>
      <c r="U47" s="27">
        <f t="shared" si="6"/>
        <v>0.55299599999999982</v>
      </c>
      <c r="V47" s="14">
        <v>62.400000000000006</v>
      </c>
      <c r="W47" s="14">
        <v>64.689999999999984</v>
      </c>
      <c r="X47" s="14">
        <v>58.4</v>
      </c>
      <c r="Y47" s="14">
        <v>78</v>
      </c>
      <c r="Z47" s="30">
        <v>0.61670000000000003</v>
      </c>
      <c r="AA47" s="12"/>
      <c r="AB47" s="12"/>
      <c r="AC47" s="12"/>
      <c r="AD47" s="12"/>
      <c r="AE47" s="12"/>
      <c r="AF47" s="12"/>
      <c r="AG47" s="12"/>
      <c r="AH47" s="12"/>
    </row>
    <row r="48" spans="1:34" ht="12.75">
      <c r="A48" s="26" t="s">
        <v>86</v>
      </c>
      <c r="B48" s="26">
        <v>7</v>
      </c>
      <c r="C48" s="26">
        <v>2</v>
      </c>
      <c r="D48" s="26">
        <v>5</v>
      </c>
      <c r="E48" s="26">
        <v>3</v>
      </c>
      <c r="F48" s="17">
        <v>18785</v>
      </c>
      <c r="G48" s="15">
        <f>4202/F48</f>
        <v>0.22368911365451158</v>
      </c>
      <c r="H48" s="15">
        <f>1100/F48</f>
        <v>5.8557359595421882E-2</v>
      </c>
      <c r="I48" s="15">
        <f>2684/1854</f>
        <v>1.447680690399137</v>
      </c>
      <c r="J48" s="26">
        <v>0</v>
      </c>
      <c r="K48" s="26">
        <v>0</v>
      </c>
      <c r="L48" s="26">
        <v>0</v>
      </c>
      <c r="M48" s="26">
        <v>2</v>
      </c>
      <c r="N48" s="26">
        <v>1</v>
      </c>
      <c r="O48" s="26">
        <v>2</v>
      </c>
      <c r="P48" s="26">
        <v>2</v>
      </c>
      <c r="Q48" s="26">
        <v>0</v>
      </c>
      <c r="R48" s="27">
        <v>2.6460530000000002</v>
      </c>
      <c r="S48" s="27">
        <v>2.854562</v>
      </c>
      <c r="T48" s="27">
        <v>2.684488</v>
      </c>
      <c r="U48" s="27">
        <f t="shared" si="6"/>
        <v>0.20850899999999983</v>
      </c>
      <c r="V48" s="14">
        <v>61.2</v>
      </c>
      <c r="W48" s="14">
        <v>59.671428571428571</v>
      </c>
      <c r="X48" s="14">
        <v>30.8</v>
      </c>
      <c r="Y48" s="14">
        <v>81.5</v>
      </c>
      <c r="Z48" s="30">
        <v>0.60850000000000004</v>
      </c>
      <c r="AA48" s="12"/>
      <c r="AB48" s="12"/>
      <c r="AC48" s="12"/>
      <c r="AD48" s="12"/>
      <c r="AE48" s="12"/>
      <c r="AF48" s="12"/>
      <c r="AG48" s="12"/>
      <c r="AH48" s="12"/>
    </row>
    <row r="49" spans="1:34" ht="12.75">
      <c r="A49" s="12"/>
      <c r="B49" s="12"/>
      <c r="C49" s="12"/>
      <c r="D49" s="12"/>
      <c r="E49" s="12"/>
      <c r="F49" s="12"/>
      <c r="G49" s="12"/>
      <c r="H49" s="12"/>
      <c r="I49" s="12"/>
      <c r="J49" s="12"/>
      <c r="K49" s="12"/>
      <c r="L49" s="12"/>
      <c r="M49" s="12"/>
      <c r="N49" s="12"/>
      <c r="O49" s="12"/>
      <c r="P49" s="12"/>
      <c r="Q49" s="12"/>
      <c r="R49" s="27"/>
      <c r="S49" s="27"/>
      <c r="T49" s="27"/>
      <c r="U49" s="27"/>
      <c r="V49" s="12"/>
      <c r="W49" s="12"/>
      <c r="X49" s="12"/>
      <c r="Y49" s="12"/>
      <c r="Z49" s="31"/>
      <c r="AA49" s="12"/>
      <c r="AB49" s="12"/>
      <c r="AC49" s="12"/>
      <c r="AD49" s="12"/>
      <c r="AE49" s="12"/>
      <c r="AF49" s="12"/>
      <c r="AG49" s="12"/>
      <c r="AH49" s="12"/>
    </row>
    <row r="50" spans="1:34" ht="12.75">
      <c r="A50" s="12"/>
      <c r="B50" s="12"/>
      <c r="C50" s="12"/>
      <c r="D50" s="12"/>
      <c r="E50" s="12"/>
      <c r="F50" s="12"/>
      <c r="G50" s="12"/>
      <c r="H50" s="12"/>
      <c r="I50" s="12"/>
      <c r="J50" s="12"/>
      <c r="K50" s="12"/>
      <c r="L50" s="12"/>
      <c r="M50" s="12"/>
      <c r="N50" s="12"/>
      <c r="O50" s="12"/>
      <c r="P50" s="12"/>
      <c r="Q50" s="12"/>
      <c r="R50" s="27"/>
      <c r="S50" s="27"/>
      <c r="T50" s="27"/>
      <c r="U50" s="27"/>
      <c r="V50" s="12"/>
      <c r="W50" s="12"/>
      <c r="X50" s="12"/>
      <c r="Y50" s="12"/>
      <c r="Z50" s="31"/>
      <c r="AA50" s="12"/>
      <c r="AB50" s="12"/>
      <c r="AC50" s="12"/>
      <c r="AD50" s="12"/>
      <c r="AE50" s="12"/>
      <c r="AF50" s="12"/>
      <c r="AG50" s="12"/>
      <c r="AH50" s="12"/>
    </row>
    <row r="51" spans="1:34" ht="12.75">
      <c r="A51" s="12"/>
      <c r="B51" s="12"/>
      <c r="C51" s="12"/>
      <c r="D51" s="12"/>
      <c r="E51" s="12"/>
      <c r="F51" s="12"/>
      <c r="G51" s="12"/>
      <c r="H51" s="12"/>
      <c r="I51" s="12"/>
      <c r="J51" s="12"/>
      <c r="K51" s="12"/>
      <c r="L51" s="12"/>
      <c r="M51" s="12"/>
      <c r="N51" s="12"/>
      <c r="O51" s="12"/>
      <c r="P51" s="12"/>
      <c r="Q51" s="12"/>
      <c r="R51" s="27"/>
      <c r="S51" s="27"/>
      <c r="T51" s="27"/>
      <c r="U51" s="27"/>
      <c r="V51" s="12"/>
      <c r="W51" s="12"/>
      <c r="X51" s="12"/>
      <c r="Y51" s="12"/>
      <c r="Z51" s="31"/>
      <c r="AA51" s="12"/>
      <c r="AB51" s="12"/>
      <c r="AC51" s="12"/>
      <c r="AD51" s="12"/>
      <c r="AE51" s="12"/>
      <c r="AF51" s="12"/>
      <c r="AG51" s="12"/>
      <c r="AH51" s="12"/>
    </row>
    <row r="52" spans="1:34" ht="12.75">
      <c r="A52" s="12"/>
      <c r="B52" s="12"/>
      <c r="C52" s="12"/>
      <c r="D52" s="12"/>
      <c r="E52" s="12"/>
      <c r="F52" s="12"/>
      <c r="G52" s="12"/>
      <c r="H52" s="12"/>
      <c r="I52" s="12"/>
      <c r="J52" s="12"/>
      <c r="K52" s="12"/>
      <c r="L52" s="12"/>
      <c r="M52" s="12"/>
      <c r="N52" s="12"/>
      <c r="O52" s="12"/>
      <c r="P52" s="12"/>
      <c r="Q52" s="12"/>
      <c r="R52" s="27"/>
      <c r="S52" s="27"/>
      <c r="T52" s="27"/>
      <c r="U52" s="27"/>
      <c r="V52" s="12"/>
      <c r="W52" s="12"/>
      <c r="X52" s="12"/>
      <c r="Y52" s="12"/>
      <c r="Z52" s="31"/>
      <c r="AA52" s="12"/>
      <c r="AB52" s="12"/>
      <c r="AC52" s="12"/>
      <c r="AD52" s="12"/>
      <c r="AE52" s="12"/>
      <c r="AF52" s="12"/>
      <c r="AG52" s="12"/>
      <c r="AH52" s="12"/>
    </row>
    <row r="53" spans="1:34" ht="12.75">
      <c r="A53" s="12"/>
      <c r="B53" s="12"/>
      <c r="C53" s="12"/>
      <c r="D53" s="12"/>
      <c r="E53" s="12"/>
      <c r="F53" s="12"/>
      <c r="G53" s="12"/>
      <c r="H53" s="12"/>
      <c r="I53" s="12"/>
      <c r="J53" s="12"/>
      <c r="K53" s="12"/>
      <c r="L53" s="12"/>
      <c r="M53" s="12"/>
      <c r="N53" s="12"/>
      <c r="O53" s="12"/>
      <c r="P53" s="12"/>
      <c r="Q53" s="12"/>
      <c r="R53" s="27"/>
      <c r="S53" s="27"/>
      <c r="T53" s="27"/>
      <c r="U53" s="27"/>
      <c r="V53" s="12"/>
      <c r="W53" s="12"/>
      <c r="X53" s="12"/>
      <c r="Y53" s="12"/>
      <c r="Z53" s="31"/>
      <c r="AA53" s="12"/>
      <c r="AB53" s="12"/>
      <c r="AC53" s="12"/>
      <c r="AD53" s="12"/>
      <c r="AE53" s="12"/>
      <c r="AF53" s="12"/>
      <c r="AG53" s="12"/>
      <c r="AH53" s="12"/>
    </row>
    <row r="54" spans="1:34" ht="12.75">
      <c r="A54" s="12"/>
      <c r="B54" s="12"/>
      <c r="C54" s="12"/>
      <c r="D54" s="12"/>
      <c r="E54" s="12"/>
      <c r="F54" s="12"/>
      <c r="G54" s="12"/>
      <c r="H54" s="12"/>
      <c r="I54" s="12"/>
      <c r="J54" s="12"/>
      <c r="K54" s="12"/>
      <c r="L54" s="12"/>
      <c r="M54" s="12"/>
      <c r="N54" s="12"/>
      <c r="O54" s="12"/>
      <c r="P54" s="12"/>
      <c r="Q54" s="12"/>
      <c r="R54" s="27"/>
      <c r="S54" s="27"/>
      <c r="T54" s="27"/>
      <c r="U54" s="27"/>
      <c r="V54" s="12"/>
      <c r="W54" s="12"/>
      <c r="X54" s="12"/>
      <c r="Y54" s="12"/>
      <c r="Z54" s="31"/>
      <c r="AA54" s="12"/>
      <c r="AB54" s="12"/>
      <c r="AC54" s="12"/>
      <c r="AD54" s="12"/>
      <c r="AE54" s="12"/>
      <c r="AF54" s="12"/>
      <c r="AG54" s="12"/>
      <c r="AH54" s="12"/>
    </row>
    <row r="55" spans="1:34" ht="12.75">
      <c r="A55" s="12"/>
      <c r="B55" s="12"/>
      <c r="C55" s="12"/>
      <c r="D55" s="12"/>
      <c r="E55" s="12"/>
      <c r="F55" s="12"/>
      <c r="G55" s="12"/>
      <c r="H55" s="12"/>
      <c r="I55" s="12"/>
      <c r="J55" s="12"/>
      <c r="K55" s="12"/>
      <c r="L55" s="12"/>
      <c r="M55" s="12"/>
      <c r="N55" s="12"/>
      <c r="O55" s="12"/>
      <c r="P55" s="12"/>
      <c r="Q55" s="12"/>
      <c r="R55" s="27"/>
      <c r="S55" s="27"/>
      <c r="T55" s="27"/>
      <c r="U55" s="27"/>
      <c r="V55" s="12"/>
      <c r="W55" s="12"/>
      <c r="X55" s="12"/>
      <c r="Y55" s="12"/>
      <c r="Z55" s="31"/>
      <c r="AA55" s="12"/>
      <c r="AB55" s="12"/>
      <c r="AC55" s="12"/>
      <c r="AD55" s="12"/>
      <c r="AE55" s="12"/>
      <c r="AF55" s="12"/>
      <c r="AG55" s="12"/>
      <c r="AH55" s="12"/>
    </row>
    <row r="56" spans="1:34" ht="12.75">
      <c r="A56" s="12"/>
      <c r="B56" s="12"/>
      <c r="C56" s="12"/>
      <c r="D56" s="12"/>
      <c r="E56" s="12"/>
      <c r="F56" s="12"/>
      <c r="G56" s="12"/>
      <c r="H56" s="12"/>
      <c r="I56" s="12"/>
      <c r="J56" s="12"/>
      <c r="K56" s="12"/>
      <c r="L56" s="12"/>
      <c r="M56" s="12"/>
      <c r="N56" s="12"/>
      <c r="O56" s="12"/>
      <c r="P56" s="12"/>
      <c r="Q56" s="12"/>
      <c r="R56" s="27"/>
      <c r="S56" s="27"/>
      <c r="T56" s="27"/>
      <c r="U56" s="27"/>
      <c r="V56" s="12"/>
      <c r="W56" s="12"/>
      <c r="X56" s="12"/>
      <c r="Y56" s="12"/>
      <c r="Z56" s="31"/>
      <c r="AA56" s="12"/>
      <c r="AB56" s="12"/>
      <c r="AC56" s="12"/>
      <c r="AD56" s="12"/>
      <c r="AE56" s="12"/>
      <c r="AF56" s="12"/>
      <c r="AG56" s="12"/>
      <c r="AH56" s="12"/>
    </row>
    <row r="57" spans="1:34" ht="12.75">
      <c r="A57" s="12"/>
      <c r="B57" s="12"/>
      <c r="C57" s="12"/>
      <c r="D57" s="12"/>
      <c r="E57" s="12"/>
      <c r="F57" s="12"/>
      <c r="G57" s="12"/>
      <c r="H57" s="12"/>
      <c r="I57" s="12"/>
      <c r="J57" s="12"/>
      <c r="K57" s="12"/>
      <c r="L57" s="12"/>
      <c r="M57" s="12"/>
      <c r="N57" s="12"/>
      <c r="O57" s="12"/>
      <c r="P57" s="12"/>
      <c r="Q57" s="12"/>
      <c r="R57" s="27"/>
      <c r="S57" s="27"/>
      <c r="T57" s="27"/>
      <c r="U57" s="27"/>
      <c r="V57" s="12"/>
      <c r="W57" s="12"/>
      <c r="X57" s="12"/>
      <c r="Y57" s="12"/>
      <c r="Z57" s="31"/>
      <c r="AA57" s="12"/>
      <c r="AB57" s="12"/>
      <c r="AC57" s="12"/>
      <c r="AD57" s="12"/>
      <c r="AE57" s="12"/>
      <c r="AF57" s="12"/>
      <c r="AG57" s="12"/>
      <c r="AH57" s="12"/>
    </row>
    <row r="58" spans="1:34" ht="12.75">
      <c r="A58" s="12"/>
      <c r="B58" s="12"/>
      <c r="C58" s="12"/>
      <c r="D58" s="12"/>
      <c r="E58" s="12"/>
      <c r="F58" s="12"/>
      <c r="G58" s="12"/>
      <c r="H58" s="12"/>
      <c r="I58" s="12"/>
      <c r="J58" s="12"/>
      <c r="K58" s="12"/>
      <c r="L58" s="12"/>
      <c r="M58" s="12"/>
      <c r="N58" s="12"/>
      <c r="O58" s="12"/>
      <c r="P58" s="12"/>
      <c r="Q58" s="12"/>
      <c r="R58" s="27"/>
      <c r="S58" s="27"/>
      <c r="T58" s="27"/>
      <c r="U58" s="27"/>
      <c r="V58" s="12"/>
      <c r="W58" s="12"/>
      <c r="X58" s="12"/>
      <c r="Y58" s="12"/>
      <c r="Z58" s="31"/>
      <c r="AA58" s="12"/>
      <c r="AB58" s="12"/>
      <c r="AC58" s="12"/>
      <c r="AD58" s="12"/>
      <c r="AE58" s="12"/>
      <c r="AF58" s="12"/>
      <c r="AG58" s="12"/>
      <c r="AH58" s="12"/>
    </row>
    <row r="59" spans="1:34" ht="12.75">
      <c r="A59" s="12"/>
      <c r="B59" s="12"/>
      <c r="C59" s="12"/>
      <c r="D59" s="12"/>
      <c r="E59" s="12"/>
      <c r="F59" s="12"/>
      <c r="G59" s="12"/>
      <c r="H59" s="12"/>
      <c r="I59" s="12"/>
      <c r="J59" s="12"/>
      <c r="K59" s="12"/>
      <c r="L59" s="12"/>
      <c r="M59" s="12"/>
      <c r="N59" s="12"/>
      <c r="O59" s="12"/>
      <c r="P59" s="12"/>
      <c r="Q59" s="12"/>
      <c r="R59" s="27"/>
      <c r="S59" s="27"/>
      <c r="T59" s="27"/>
      <c r="U59" s="27"/>
      <c r="V59" s="12"/>
      <c r="W59" s="12"/>
      <c r="X59" s="12"/>
      <c r="Y59" s="12"/>
      <c r="Z59" s="31"/>
      <c r="AA59" s="12"/>
      <c r="AB59" s="12"/>
      <c r="AC59" s="12"/>
      <c r="AD59" s="12"/>
      <c r="AE59" s="12"/>
      <c r="AF59" s="12"/>
      <c r="AG59" s="12"/>
      <c r="AH59" s="12"/>
    </row>
    <row r="60" spans="1:34" ht="12.75">
      <c r="A60" s="12"/>
      <c r="B60" s="12"/>
      <c r="C60" s="12"/>
      <c r="D60" s="12"/>
      <c r="E60" s="12"/>
      <c r="F60" s="12"/>
      <c r="G60" s="12"/>
      <c r="H60" s="12"/>
      <c r="I60" s="12"/>
      <c r="J60" s="12"/>
      <c r="K60" s="12"/>
      <c r="L60" s="12"/>
      <c r="M60" s="12"/>
      <c r="N60" s="12"/>
      <c r="O60" s="12"/>
      <c r="P60" s="12"/>
      <c r="Q60" s="12"/>
      <c r="R60" s="27"/>
      <c r="S60" s="27"/>
      <c r="T60" s="27"/>
      <c r="U60" s="27"/>
      <c r="V60" s="12"/>
      <c r="W60" s="12"/>
      <c r="X60" s="12"/>
      <c r="Y60" s="12"/>
      <c r="Z60" s="31"/>
      <c r="AA60" s="12"/>
      <c r="AB60" s="12"/>
      <c r="AC60" s="12"/>
      <c r="AD60" s="12"/>
      <c r="AE60" s="12"/>
      <c r="AF60" s="12"/>
      <c r="AG60" s="12"/>
      <c r="AH60" s="12"/>
    </row>
    <row r="61" spans="1:34" ht="12.75">
      <c r="A61" s="12"/>
      <c r="B61" s="12"/>
      <c r="C61" s="12"/>
      <c r="D61" s="12"/>
      <c r="E61" s="12"/>
      <c r="F61" s="12"/>
      <c r="G61" s="12"/>
      <c r="H61" s="12"/>
      <c r="I61" s="12"/>
      <c r="J61" s="12"/>
      <c r="K61" s="12"/>
      <c r="L61" s="12"/>
      <c r="M61" s="12"/>
      <c r="N61" s="12"/>
      <c r="O61" s="12"/>
      <c r="P61" s="12"/>
      <c r="Q61" s="12"/>
      <c r="R61" s="27"/>
      <c r="S61" s="27"/>
      <c r="T61" s="27"/>
      <c r="U61" s="27"/>
      <c r="V61" s="12"/>
      <c r="W61" s="12"/>
      <c r="X61" s="12"/>
      <c r="Y61" s="12"/>
      <c r="Z61" s="31"/>
      <c r="AA61" s="12"/>
      <c r="AB61" s="12"/>
      <c r="AC61" s="12"/>
      <c r="AD61" s="12"/>
      <c r="AE61" s="12"/>
      <c r="AF61" s="12"/>
      <c r="AG61" s="12"/>
      <c r="AH61" s="12"/>
    </row>
    <row r="62" spans="1:34" ht="12.75">
      <c r="A62" s="12"/>
      <c r="B62" s="12"/>
      <c r="C62" s="12"/>
      <c r="D62" s="12"/>
      <c r="E62" s="12"/>
      <c r="F62" s="12"/>
      <c r="G62" s="12"/>
      <c r="H62" s="12"/>
      <c r="I62" s="12"/>
      <c r="J62" s="12"/>
      <c r="K62" s="12"/>
      <c r="L62" s="12"/>
      <c r="M62" s="12"/>
      <c r="N62" s="12"/>
      <c r="O62" s="12"/>
      <c r="P62" s="12"/>
      <c r="Q62" s="12"/>
      <c r="R62" s="27"/>
      <c r="S62" s="27"/>
      <c r="T62" s="27"/>
      <c r="U62" s="27"/>
      <c r="V62" s="12"/>
      <c r="W62" s="12"/>
      <c r="X62" s="12"/>
      <c r="Y62" s="12"/>
      <c r="Z62" s="31"/>
      <c r="AA62" s="12"/>
      <c r="AB62" s="12"/>
      <c r="AC62" s="12"/>
      <c r="AD62" s="12"/>
      <c r="AE62" s="12"/>
      <c r="AF62" s="12"/>
      <c r="AG62" s="12"/>
      <c r="AH62" s="12"/>
    </row>
    <row r="63" spans="1:34" ht="12.75">
      <c r="A63" s="12"/>
      <c r="B63" s="12"/>
      <c r="C63" s="12"/>
      <c r="D63" s="12"/>
      <c r="E63" s="12"/>
      <c r="F63" s="12"/>
      <c r="G63" s="12"/>
      <c r="H63" s="12"/>
      <c r="I63" s="12"/>
      <c r="J63" s="12"/>
      <c r="K63" s="12"/>
      <c r="L63" s="12"/>
      <c r="M63" s="12"/>
      <c r="N63" s="12"/>
      <c r="O63" s="12"/>
      <c r="P63" s="12"/>
      <c r="Q63" s="12"/>
      <c r="R63" s="27"/>
      <c r="S63" s="27"/>
      <c r="T63" s="27"/>
      <c r="U63" s="27"/>
      <c r="V63" s="12"/>
      <c r="W63" s="12"/>
      <c r="X63" s="12"/>
      <c r="Y63" s="12"/>
      <c r="Z63" s="31"/>
      <c r="AA63" s="12"/>
      <c r="AB63" s="12"/>
      <c r="AC63" s="12"/>
      <c r="AD63" s="12"/>
      <c r="AE63" s="12"/>
      <c r="AF63" s="12"/>
      <c r="AG63" s="12"/>
      <c r="AH63" s="12"/>
    </row>
    <row r="64" spans="1:34" ht="12.75">
      <c r="A64" s="12"/>
      <c r="B64" s="12"/>
      <c r="C64" s="12"/>
      <c r="D64" s="12"/>
      <c r="E64" s="12"/>
      <c r="F64" s="12"/>
      <c r="G64" s="12"/>
      <c r="H64" s="12"/>
      <c r="I64" s="12"/>
      <c r="J64" s="12"/>
      <c r="K64" s="12"/>
      <c r="L64" s="12"/>
      <c r="M64" s="12"/>
      <c r="N64" s="12"/>
      <c r="O64" s="12"/>
      <c r="P64" s="12"/>
      <c r="Q64" s="12"/>
      <c r="R64" s="27"/>
      <c r="S64" s="27"/>
      <c r="T64" s="27"/>
      <c r="U64" s="27"/>
      <c r="V64" s="12"/>
      <c r="W64" s="12"/>
      <c r="X64" s="12"/>
      <c r="Y64" s="12"/>
      <c r="Z64" s="31"/>
      <c r="AA64" s="12"/>
      <c r="AB64" s="12"/>
      <c r="AC64" s="12"/>
      <c r="AD64" s="12"/>
      <c r="AE64" s="12"/>
      <c r="AF64" s="12"/>
      <c r="AG64" s="12"/>
      <c r="AH64" s="12"/>
    </row>
    <row r="65" spans="1:34" ht="12.75">
      <c r="A65" s="12"/>
      <c r="B65" s="12"/>
      <c r="C65" s="12"/>
      <c r="D65" s="12"/>
      <c r="E65" s="12"/>
      <c r="F65" s="12"/>
      <c r="G65" s="12"/>
      <c r="H65" s="12"/>
      <c r="I65" s="12"/>
      <c r="J65" s="12"/>
      <c r="K65" s="12"/>
      <c r="L65" s="12"/>
      <c r="M65" s="12"/>
      <c r="N65" s="12"/>
      <c r="O65" s="12"/>
      <c r="P65" s="12"/>
      <c r="Q65" s="12"/>
      <c r="R65" s="27"/>
      <c r="S65" s="27"/>
      <c r="T65" s="27"/>
      <c r="U65" s="27"/>
      <c r="V65" s="12"/>
      <c r="W65" s="12"/>
      <c r="X65" s="12"/>
      <c r="Y65" s="12"/>
      <c r="Z65" s="31"/>
      <c r="AA65" s="12"/>
      <c r="AB65" s="12"/>
      <c r="AC65" s="12"/>
      <c r="AD65" s="12"/>
      <c r="AE65" s="12"/>
      <c r="AF65" s="12"/>
      <c r="AG65" s="12"/>
      <c r="AH65" s="12"/>
    </row>
    <row r="66" spans="1:34" ht="12.75">
      <c r="A66" s="12"/>
      <c r="B66" s="12"/>
      <c r="C66" s="12"/>
      <c r="D66" s="12"/>
      <c r="E66" s="12"/>
      <c r="F66" s="12"/>
      <c r="G66" s="12"/>
      <c r="H66" s="12"/>
      <c r="I66" s="12"/>
      <c r="J66" s="12"/>
      <c r="K66" s="12"/>
      <c r="L66" s="12"/>
      <c r="M66" s="12"/>
      <c r="N66" s="12"/>
      <c r="O66" s="12"/>
      <c r="P66" s="12"/>
      <c r="Q66" s="12"/>
      <c r="R66" s="27"/>
      <c r="S66" s="27"/>
      <c r="T66" s="27"/>
      <c r="U66" s="27"/>
      <c r="V66" s="12"/>
      <c r="W66" s="12"/>
      <c r="X66" s="12"/>
      <c r="Y66" s="12"/>
      <c r="Z66" s="31"/>
      <c r="AA66" s="12"/>
      <c r="AB66" s="12"/>
      <c r="AC66" s="12"/>
      <c r="AD66" s="12"/>
      <c r="AE66" s="12"/>
      <c r="AF66" s="12"/>
      <c r="AG66" s="12"/>
      <c r="AH66" s="12"/>
    </row>
    <row r="67" spans="1:34" ht="12.75">
      <c r="A67" s="12"/>
      <c r="B67" s="12"/>
      <c r="C67" s="12"/>
      <c r="D67" s="12"/>
      <c r="E67" s="12"/>
      <c r="F67" s="12"/>
      <c r="G67" s="12"/>
      <c r="H67" s="12"/>
      <c r="I67" s="12"/>
      <c r="J67" s="12"/>
      <c r="K67" s="12"/>
      <c r="L67" s="12"/>
      <c r="M67" s="12"/>
      <c r="N67" s="12"/>
      <c r="O67" s="12"/>
      <c r="P67" s="12"/>
      <c r="Q67" s="12"/>
      <c r="R67" s="27"/>
      <c r="S67" s="27"/>
      <c r="T67" s="27"/>
      <c r="U67" s="27"/>
      <c r="V67" s="12"/>
      <c r="W67" s="12"/>
      <c r="X67" s="12"/>
      <c r="Y67" s="12"/>
      <c r="Z67" s="31"/>
      <c r="AA67" s="12"/>
      <c r="AB67" s="12"/>
      <c r="AC67" s="12"/>
      <c r="AD67" s="12"/>
      <c r="AE67" s="12"/>
      <c r="AF67" s="12"/>
      <c r="AG67" s="12"/>
      <c r="AH67" s="12"/>
    </row>
    <row r="68" spans="1:34" ht="12.75">
      <c r="A68" s="12"/>
      <c r="B68" s="12"/>
      <c r="C68" s="12"/>
      <c r="D68" s="12"/>
      <c r="E68" s="12"/>
      <c r="F68" s="12"/>
      <c r="G68" s="12"/>
      <c r="H68" s="12"/>
      <c r="I68" s="12"/>
      <c r="J68" s="12"/>
      <c r="K68" s="12"/>
      <c r="L68" s="12"/>
      <c r="M68" s="12"/>
      <c r="N68" s="12"/>
      <c r="O68" s="12"/>
      <c r="P68" s="12"/>
      <c r="Q68" s="12"/>
      <c r="R68" s="27"/>
      <c r="S68" s="27"/>
      <c r="T68" s="27"/>
      <c r="U68" s="27"/>
      <c r="V68" s="12"/>
      <c r="W68" s="12"/>
      <c r="X68" s="12"/>
      <c r="Y68" s="12"/>
      <c r="Z68" s="31"/>
      <c r="AA68" s="12"/>
      <c r="AB68" s="12"/>
      <c r="AC68" s="12"/>
      <c r="AD68" s="12"/>
      <c r="AE68" s="12"/>
      <c r="AF68" s="12"/>
      <c r="AG68" s="12"/>
      <c r="AH68" s="12"/>
    </row>
    <row r="69" spans="1:34" ht="12.75">
      <c r="A69" s="12"/>
      <c r="B69" s="12"/>
      <c r="C69" s="12"/>
      <c r="D69" s="12"/>
      <c r="E69" s="12"/>
      <c r="F69" s="12"/>
      <c r="G69" s="12"/>
      <c r="H69" s="12"/>
      <c r="I69" s="12"/>
      <c r="J69" s="12"/>
      <c r="K69" s="12"/>
      <c r="L69" s="12"/>
      <c r="M69" s="12"/>
      <c r="N69" s="12"/>
      <c r="O69" s="12"/>
      <c r="P69" s="12"/>
      <c r="Q69" s="12"/>
      <c r="R69" s="27"/>
      <c r="S69" s="27"/>
      <c r="T69" s="27"/>
      <c r="U69" s="27"/>
      <c r="V69" s="12"/>
      <c r="W69" s="12"/>
      <c r="X69" s="12"/>
      <c r="Y69" s="12"/>
      <c r="Z69" s="31"/>
      <c r="AA69" s="12"/>
      <c r="AB69" s="12"/>
      <c r="AC69" s="12"/>
      <c r="AD69" s="12"/>
      <c r="AE69" s="12"/>
      <c r="AF69" s="12"/>
      <c r="AG69" s="12"/>
      <c r="AH69" s="12"/>
    </row>
    <row r="70" spans="1:34" ht="12.75">
      <c r="A70" s="12"/>
      <c r="B70" s="12"/>
      <c r="C70" s="12"/>
      <c r="D70" s="12"/>
      <c r="E70" s="12"/>
      <c r="F70" s="12"/>
      <c r="G70" s="12"/>
      <c r="H70" s="12"/>
      <c r="I70" s="12"/>
      <c r="J70" s="12"/>
      <c r="K70" s="12"/>
      <c r="L70" s="12"/>
      <c r="M70" s="12"/>
      <c r="N70" s="12"/>
      <c r="O70" s="12"/>
      <c r="P70" s="12"/>
      <c r="Q70" s="12"/>
      <c r="R70" s="27"/>
      <c r="S70" s="27"/>
      <c r="T70" s="27"/>
      <c r="U70" s="27"/>
      <c r="V70" s="12"/>
      <c r="W70" s="12"/>
      <c r="X70" s="12"/>
      <c r="Y70" s="12"/>
      <c r="Z70" s="31"/>
      <c r="AA70" s="12"/>
      <c r="AB70" s="12"/>
      <c r="AC70" s="12"/>
      <c r="AD70" s="12"/>
      <c r="AE70" s="12"/>
      <c r="AF70" s="12"/>
      <c r="AG70" s="12"/>
      <c r="AH70" s="12"/>
    </row>
    <row r="71" spans="1:34" ht="12.75">
      <c r="A71" s="12"/>
      <c r="B71" s="12"/>
      <c r="C71" s="12"/>
      <c r="D71" s="12"/>
      <c r="E71" s="12"/>
      <c r="F71" s="12"/>
      <c r="G71" s="12"/>
      <c r="H71" s="12"/>
      <c r="I71" s="12"/>
      <c r="J71" s="12"/>
      <c r="K71" s="12"/>
      <c r="L71" s="12"/>
      <c r="M71" s="12"/>
      <c r="N71" s="12"/>
      <c r="O71" s="12"/>
      <c r="P71" s="12"/>
      <c r="Q71" s="12"/>
      <c r="R71" s="27"/>
      <c r="S71" s="27"/>
      <c r="T71" s="27"/>
      <c r="U71" s="27"/>
      <c r="V71" s="12"/>
      <c r="W71" s="12"/>
      <c r="X71" s="12"/>
      <c r="Y71" s="12"/>
      <c r="Z71" s="31"/>
      <c r="AA71" s="12"/>
      <c r="AB71" s="12"/>
      <c r="AC71" s="12"/>
      <c r="AD71" s="12"/>
      <c r="AE71" s="12"/>
      <c r="AF71" s="12"/>
      <c r="AG71" s="12"/>
      <c r="AH71" s="12"/>
    </row>
    <row r="72" spans="1:34" ht="12.75">
      <c r="A72" s="12"/>
      <c r="B72" s="12"/>
      <c r="C72" s="12"/>
      <c r="D72" s="12"/>
      <c r="E72" s="12"/>
      <c r="F72" s="12"/>
      <c r="G72" s="12"/>
      <c r="H72" s="12"/>
      <c r="I72" s="12"/>
      <c r="J72" s="12"/>
      <c r="K72" s="12"/>
      <c r="L72" s="12"/>
      <c r="M72" s="12"/>
      <c r="N72" s="12"/>
      <c r="O72" s="12"/>
      <c r="P72" s="12"/>
      <c r="Q72" s="12"/>
      <c r="R72" s="27"/>
      <c r="S72" s="27"/>
      <c r="T72" s="27"/>
      <c r="U72" s="27"/>
      <c r="V72" s="12"/>
      <c r="W72" s="12"/>
      <c r="X72" s="12"/>
      <c r="Y72" s="12"/>
      <c r="Z72" s="31"/>
      <c r="AA72" s="12"/>
      <c r="AB72" s="12"/>
      <c r="AC72" s="12"/>
      <c r="AD72" s="12"/>
      <c r="AE72" s="12"/>
      <c r="AF72" s="12"/>
      <c r="AG72" s="12"/>
      <c r="AH72" s="12"/>
    </row>
    <row r="73" spans="1:34" ht="12.75">
      <c r="A73" s="12"/>
      <c r="B73" s="12"/>
      <c r="C73" s="12"/>
      <c r="D73" s="12"/>
      <c r="E73" s="12"/>
      <c r="F73" s="12"/>
      <c r="G73" s="12"/>
      <c r="H73" s="12"/>
      <c r="I73" s="12"/>
      <c r="J73" s="12"/>
      <c r="K73" s="12"/>
      <c r="L73" s="12"/>
      <c r="M73" s="12"/>
      <c r="N73" s="12"/>
      <c r="O73" s="12"/>
      <c r="P73" s="12"/>
      <c r="Q73" s="12"/>
      <c r="R73" s="27"/>
      <c r="S73" s="27"/>
      <c r="T73" s="27"/>
      <c r="U73" s="27"/>
      <c r="V73" s="12"/>
      <c r="W73" s="12"/>
      <c r="X73" s="12"/>
      <c r="Y73" s="12"/>
      <c r="Z73" s="31"/>
      <c r="AA73" s="12"/>
      <c r="AB73" s="12"/>
      <c r="AC73" s="12"/>
      <c r="AD73" s="12"/>
      <c r="AE73" s="12"/>
      <c r="AF73" s="12"/>
      <c r="AG73" s="12"/>
      <c r="AH73" s="12"/>
    </row>
    <row r="74" spans="1:34" ht="12.75">
      <c r="A74" s="12"/>
      <c r="B74" s="12"/>
      <c r="C74" s="12"/>
      <c r="D74" s="12"/>
      <c r="E74" s="12"/>
      <c r="F74" s="12"/>
      <c r="G74" s="12"/>
      <c r="H74" s="12"/>
      <c r="I74" s="12"/>
      <c r="J74" s="12"/>
      <c r="K74" s="12"/>
      <c r="L74" s="12"/>
      <c r="M74" s="12"/>
      <c r="N74" s="12"/>
      <c r="O74" s="12"/>
      <c r="P74" s="12"/>
      <c r="Q74" s="12"/>
      <c r="R74" s="27"/>
      <c r="S74" s="27"/>
      <c r="T74" s="27"/>
      <c r="U74" s="27"/>
      <c r="V74" s="12"/>
      <c r="W74" s="12"/>
      <c r="X74" s="12"/>
      <c r="Y74" s="12"/>
      <c r="Z74" s="31"/>
      <c r="AA74" s="12"/>
      <c r="AB74" s="12"/>
      <c r="AC74" s="12"/>
      <c r="AD74" s="12"/>
      <c r="AE74" s="12"/>
      <c r="AF74" s="12"/>
      <c r="AG74" s="12"/>
      <c r="AH74" s="12"/>
    </row>
    <row r="75" spans="1:34" ht="12.75">
      <c r="A75" s="12"/>
      <c r="B75" s="12"/>
      <c r="C75" s="12"/>
      <c r="D75" s="12"/>
      <c r="E75" s="12"/>
      <c r="F75" s="12"/>
      <c r="G75" s="12"/>
      <c r="H75" s="12"/>
      <c r="I75" s="12"/>
      <c r="J75" s="12"/>
      <c r="K75" s="12"/>
      <c r="L75" s="12"/>
      <c r="M75" s="12"/>
      <c r="N75" s="12"/>
      <c r="O75" s="12"/>
      <c r="P75" s="12"/>
      <c r="Q75" s="12"/>
      <c r="R75" s="27"/>
      <c r="S75" s="27"/>
      <c r="T75" s="27"/>
      <c r="U75" s="27"/>
      <c r="V75" s="12"/>
      <c r="W75" s="12"/>
      <c r="X75" s="12"/>
      <c r="Y75" s="12"/>
      <c r="Z75" s="31"/>
      <c r="AA75" s="12"/>
      <c r="AB75" s="12"/>
      <c r="AC75" s="12"/>
      <c r="AD75" s="12"/>
      <c r="AE75" s="12"/>
      <c r="AF75" s="12"/>
      <c r="AG75" s="12"/>
      <c r="AH75" s="12"/>
    </row>
    <row r="76" spans="1:34" ht="12.75">
      <c r="A76" s="12"/>
      <c r="B76" s="12"/>
      <c r="C76" s="12"/>
      <c r="D76" s="12"/>
      <c r="E76" s="12"/>
      <c r="F76" s="12"/>
      <c r="G76" s="12"/>
      <c r="H76" s="12"/>
      <c r="I76" s="12"/>
      <c r="J76" s="12"/>
      <c r="K76" s="12"/>
      <c r="L76" s="12"/>
      <c r="M76" s="12"/>
      <c r="N76" s="12"/>
      <c r="O76" s="12"/>
      <c r="P76" s="12"/>
      <c r="Q76" s="12"/>
      <c r="R76" s="27"/>
      <c r="S76" s="27"/>
      <c r="T76" s="27"/>
      <c r="U76" s="27"/>
      <c r="V76" s="12"/>
      <c r="W76" s="12"/>
      <c r="X76" s="12"/>
      <c r="Y76" s="12"/>
      <c r="Z76" s="31"/>
      <c r="AA76" s="12"/>
      <c r="AB76" s="12"/>
      <c r="AC76" s="12"/>
      <c r="AD76" s="12"/>
      <c r="AE76" s="12"/>
      <c r="AF76" s="12"/>
      <c r="AG76" s="12"/>
      <c r="AH76" s="12"/>
    </row>
    <row r="77" spans="1:34" ht="12.75">
      <c r="A77" s="12"/>
      <c r="B77" s="12"/>
      <c r="C77" s="12"/>
      <c r="D77" s="12"/>
      <c r="E77" s="12"/>
      <c r="F77" s="12"/>
      <c r="G77" s="12"/>
      <c r="H77" s="12"/>
      <c r="I77" s="12"/>
      <c r="J77" s="12"/>
      <c r="K77" s="12"/>
      <c r="L77" s="12"/>
      <c r="M77" s="12"/>
      <c r="N77" s="12"/>
      <c r="O77" s="12"/>
      <c r="P77" s="12"/>
      <c r="Q77" s="12"/>
      <c r="R77" s="27"/>
      <c r="S77" s="27"/>
      <c r="T77" s="27"/>
      <c r="U77" s="27"/>
      <c r="V77" s="12"/>
      <c r="W77" s="12"/>
      <c r="X77" s="12"/>
      <c r="Y77" s="12"/>
      <c r="Z77" s="31"/>
      <c r="AA77" s="12"/>
      <c r="AB77" s="12"/>
      <c r="AC77" s="12"/>
      <c r="AD77" s="12"/>
      <c r="AE77" s="12"/>
      <c r="AF77" s="12"/>
      <c r="AG77" s="12"/>
      <c r="AH77" s="12"/>
    </row>
    <row r="78" spans="1:34" ht="12.75">
      <c r="A78" s="12"/>
      <c r="B78" s="12"/>
      <c r="C78" s="12"/>
      <c r="D78" s="12"/>
      <c r="E78" s="12"/>
      <c r="F78" s="12"/>
      <c r="G78" s="12"/>
      <c r="H78" s="12"/>
      <c r="I78" s="12"/>
      <c r="J78" s="12"/>
      <c r="K78" s="12"/>
      <c r="L78" s="12"/>
      <c r="M78" s="12"/>
      <c r="N78" s="12"/>
      <c r="O78" s="12"/>
      <c r="P78" s="12"/>
      <c r="Q78" s="12"/>
      <c r="R78" s="27"/>
      <c r="S78" s="27"/>
      <c r="T78" s="27"/>
      <c r="U78" s="27"/>
      <c r="V78" s="12"/>
      <c r="W78" s="12"/>
      <c r="X78" s="12"/>
      <c r="Y78" s="12"/>
      <c r="Z78" s="31"/>
      <c r="AA78" s="12"/>
      <c r="AB78" s="12"/>
      <c r="AC78" s="12"/>
      <c r="AD78" s="12"/>
      <c r="AE78" s="12"/>
      <c r="AF78" s="12"/>
      <c r="AG78" s="12"/>
      <c r="AH78" s="12"/>
    </row>
    <row r="79" spans="1:34" ht="12.75">
      <c r="A79" s="12"/>
      <c r="B79" s="12"/>
      <c r="C79" s="12"/>
      <c r="D79" s="12"/>
      <c r="E79" s="12"/>
      <c r="F79" s="12"/>
      <c r="G79" s="12"/>
      <c r="H79" s="12"/>
      <c r="I79" s="12"/>
      <c r="J79" s="12"/>
      <c r="K79" s="12"/>
      <c r="L79" s="12"/>
      <c r="M79" s="12"/>
      <c r="N79" s="12"/>
      <c r="O79" s="12"/>
      <c r="P79" s="12"/>
      <c r="Q79" s="12"/>
      <c r="R79" s="27"/>
      <c r="S79" s="27"/>
      <c r="T79" s="27"/>
      <c r="U79" s="27"/>
      <c r="V79" s="12"/>
      <c r="W79" s="12"/>
      <c r="X79" s="12"/>
      <c r="Y79" s="12"/>
      <c r="Z79" s="31"/>
      <c r="AA79" s="12"/>
      <c r="AB79" s="12"/>
      <c r="AC79" s="12"/>
      <c r="AD79" s="12"/>
      <c r="AE79" s="12"/>
      <c r="AF79" s="12"/>
      <c r="AG79" s="12"/>
      <c r="AH79" s="12"/>
    </row>
    <row r="80" spans="1:34" ht="12.75">
      <c r="A80" s="12"/>
      <c r="B80" s="12"/>
      <c r="C80" s="12"/>
      <c r="D80" s="12"/>
      <c r="E80" s="12"/>
      <c r="F80" s="12"/>
      <c r="G80" s="12"/>
      <c r="H80" s="12"/>
      <c r="I80" s="12"/>
      <c r="J80" s="12"/>
      <c r="K80" s="12"/>
      <c r="L80" s="12"/>
      <c r="M80" s="12"/>
      <c r="N80" s="12"/>
      <c r="O80" s="12"/>
      <c r="P80" s="12"/>
      <c r="Q80" s="12"/>
      <c r="R80" s="27"/>
      <c r="S80" s="27"/>
      <c r="T80" s="27"/>
      <c r="U80" s="27"/>
      <c r="V80" s="12"/>
      <c r="W80" s="12"/>
      <c r="X80" s="12"/>
      <c r="Y80" s="12"/>
      <c r="Z80" s="31"/>
      <c r="AA80" s="12"/>
      <c r="AB80" s="12"/>
      <c r="AC80" s="12"/>
      <c r="AD80" s="12"/>
      <c r="AE80" s="12"/>
      <c r="AF80" s="12"/>
      <c r="AG80" s="12"/>
      <c r="AH80" s="12"/>
    </row>
    <row r="81" spans="1:34" ht="12.75">
      <c r="A81" s="12"/>
      <c r="B81" s="12"/>
      <c r="C81" s="12"/>
      <c r="D81" s="12"/>
      <c r="E81" s="12"/>
      <c r="F81" s="12"/>
      <c r="G81" s="12"/>
      <c r="H81" s="12"/>
      <c r="I81" s="12"/>
      <c r="J81" s="12"/>
      <c r="K81" s="12"/>
      <c r="L81" s="12"/>
      <c r="M81" s="12"/>
      <c r="N81" s="12"/>
      <c r="O81" s="12"/>
      <c r="P81" s="12"/>
      <c r="Q81" s="12"/>
      <c r="R81" s="27"/>
      <c r="S81" s="27"/>
      <c r="T81" s="27"/>
      <c r="U81" s="27"/>
      <c r="V81" s="12"/>
      <c r="W81" s="12"/>
      <c r="X81" s="12"/>
      <c r="Y81" s="12"/>
      <c r="Z81" s="31"/>
      <c r="AA81" s="12"/>
      <c r="AB81" s="12"/>
      <c r="AC81" s="12"/>
      <c r="AD81" s="12"/>
      <c r="AE81" s="12"/>
      <c r="AF81" s="12"/>
      <c r="AG81" s="12"/>
      <c r="AH81" s="12"/>
    </row>
    <row r="82" spans="1:34" ht="12.75">
      <c r="A82" s="12"/>
      <c r="B82" s="12"/>
      <c r="C82" s="12"/>
      <c r="D82" s="12"/>
      <c r="E82" s="12"/>
      <c r="F82" s="12"/>
      <c r="G82" s="12"/>
      <c r="H82" s="12"/>
      <c r="I82" s="12"/>
      <c r="J82" s="12"/>
      <c r="K82" s="12"/>
      <c r="L82" s="12"/>
      <c r="M82" s="12"/>
      <c r="N82" s="12"/>
      <c r="O82" s="12"/>
      <c r="P82" s="12"/>
      <c r="Q82" s="12"/>
      <c r="R82" s="27"/>
      <c r="S82" s="27"/>
      <c r="T82" s="27"/>
      <c r="U82" s="27"/>
      <c r="V82" s="12"/>
      <c r="W82" s="12"/>
      <c r="X82" s="12"/>
      <c r="Y82" s="12"/>
      <c r="Z82" s="31"/>
      <c r="AA82" s="12"/>
      <c r="AB82" s="12"/>
      <c r="AC82" s="12"/>
      <c r="AD82" s="12"/>
      <c r="AE82" s="12"/>
      <c r="AF82" s="12"/>
      <c r="AG82" s="12"/>
      <c r="AH82" s="12"/>
    </row>
    <row r="83" spans="1:34" ht="12.75">
      <c r="A83" s="12"/>
      <c r="B83" s="12"/>
      <c r="C83" s="12"/>
      <c r="D83" s="12"/>
      <c r="E83" s="12"/>
      <c r="F83" s="12"/>
      <c r="G83" s="12"/>
      <c r="H83" s="12"/>
      <c r="I83" s="12"/>
      <c r="J83" s="12"/>
      <c r="K83" s="12"/>
      <c r="L83" s="12"/>
      <c r="M83" s="12"/>
      <c r="N83" s="12"/>
      <c r="O83" s="12"/>
      <c r="P83" s="12"/>
      <c r="Q83" s="12"/>
      <c r="R83" s="27"/>
      <c r="S83" s="27"/>
      <c r="T83" s="27"/>
      <c r="U83" s="27"/>
      <c r="V83" s="12"/>
      <c r="W83" s="12"/>
      <c r="X83" s="12"/>
      <c r="Y83" s="12"/>
      <c r="Z83" s="31"/>
      <c r="AA83" s="12"/>
      <c r="AB83" s="12"/>
      <c r="AC83" s="12"/>
      <c r="AD83" s="12"/>
      <c r="AE83" s="12"/>
      <c r="AF83" s="12"/>
      <c r="AG83" s="12"/>
      <c r="AH83" s="12"/>
    </row>
    <row r="84" spans="1:34" ht="12.75">
      <c r="A84" s="12"/>
      <c r="B84" s="12"/>
      <c r="C84" s="12"/>
      <c r="D84" s="12"/>
      <c r="E84" s="12"/>
      <c r="F84" s="12"/>
      <c r="G84" s="12"/>
      <c r="H84" s="12"/>
      <c r="I84" s="12"/>
      <c r="J84" s="12"/>
      <c r="K84" s="12"/>
      <c r="L84" s="12"/>
      <c r="M84" s="12"/>
      <c r="N84" s="12"/>
      <c r="O84" s="12"/>
      <c r="P84" s="12"/>
      <c r="Q84" s="12"/>
      <c r="R84" s="27"/>
      <c r="S84" s="27"/>
      <c r="T84" s="27"/>
      <c r="U84" s="27"/>
      <c r="V84" s="12"/>
      <c r="W84" s="12"/>
      <c r="X84" s="12"/>
      <c r="Y84" s="12"/>
      <c r="Z84" s="31"/>
      <c r="AA84" s="12"/>
      <c r="AB84" s="12"/>
      <c r="AC84" s="12"/>
      <c r="AD84" s="12"/>
      <c r="AE84" s="12"/>
      <c r="AF84" s="12"/>
      <c r="AG84" s="12"/>
      <c r="AH84" s="12"/>
    </row>
    <row r="85" spans="1:34" ht="12.75">
      <c r="A85" s="12"/>
      <c r="B85" s="12"/>
      <c r="C85" s="12"/>
      <c r="D85" s="12"/>
      <c r="E85" s="12"/>
      <c r="F85" s="12"/>
      <c r="G85" s="12"/>
      <c r="H85" s="12"/>
      <c r="I85" s="12"/>
      <c r="J85" s="12"/>
      <c r="K85" s="12"/>
      <c r="L85" s="12"/>
      <c r="M85" s="12"/>
      <c r="N85" s="12"/>
      <c r="O85" s="12"/>
      <c r="P85" s="12"/>
      <c r="Q85" s="12"/>
      <c r="R85" s="27"/>
      <c r="S85" s="27"/>
      <c r="T85" s="27"/>
      <c r="U85" s="27"/>
      <c r="V85" s="12"/>
      <c r="W85" s="12"/>
      <c r="X85" s="12"/>
      <c r="Y85" s="12"/>
      <c r="Z85" s="31"/>
      <c r="AA85" s="12"/>
      <c r="AB85" s="12"/>
      <c r="AC85" s="12"/>
      <c r="AD85" s="12"/>
      <c r="AE85" s="12"/>
      <c r="AF85" s="12"/>
      <c r="AG85" s="12"/>
      <c r="AH85" s="12"/>
    </row>
    <row r="86" spans="1:34" ht="12.75">
      <c r="A86" s="12"/>
      <c r="B86" s="12"/>
      <c r="C86" s="12"/>
      <c r="D86" s="12"/>
      <c r="E86" s="12"/>
      <c r="F86" s="12"/>
      <c r="G86" s="12"/>
      <c r="H86" s="12"/>
      <c r="I86" s="12"/>
      <c r="J86" s="12"/>
      <c r="K86" s="12"/>
      <c r="L86" s="12"/>
      <c r="M86" s="12"/>
      <c r="N86" s="12"/>
      <c r="O86" s="12"/>
      <c r="P86" s="12"/>
      <c r="Q86" s="12"/>
      <c r="R86" s="27"/>
      <c r="S86" s="27"/>
      <c r="T86" s="27"/>
      <c r="U86" s="27"/>
      <c r="V86" s="12"/>
      <c r="W86" s="12"/>
      <c r="X86" s="12"/>
      <c r="Y86" s="12"/>
      <c r="Z86" s="31"/>
      <c r="AA86" s="12"/>
      <c r="AB86" s="12"/>
      <c r="AC86" s="12"/>
      <c r="AD86" s="12"/>
      <c r="AE86" s="12"/>
      <c r="AF86" s="12"/>
      <c r="AG86" s="12"/>
      <c r="AH86" s="12"/>
    </row>
    <row r="87" spans="1:34" ht="12.75">
      <c r="A87" s="12"/>
      <c r="B87" s="12"/>
      <c r="C87" s="12"/>
      <c r="D87" s="12"/>
      <c r="E87" s="12"/>
      <c r="F87" s="12"/>
      <c r="G87" s="12"/>
      <c r="H87" s="12"/>
      <c r="I87" s="12"/>
      <c r="J87" s="12"/>
      <c r="K87" s="12"/>
      <c r="L87" s="12"/>
      <c r="M87" s="12"/>
      <c r="N87" s="12"/>
      <c r="O87" s="12"/>
      <c r="P87" s="12"/>
      <c r="Q87" s="12"/>
      <c r="R87" s="27"/>
      <c r="S87" s="27"/>
      <c r="T87" s="27"/>
      <c r="U87" s="27"/>
      <c r="V87" s="12"/>
      <c r="W87" s="12"/>
      <c r="X87" s="12"/>
      <c r="Y87" s="12"/>
      <c r="Z87" s="31"/>
      <c r="AA87" s="12"/>
      <c r="AB87" s="12"/>
      <c r="AC87" s="12"/>
      <c r="AD87" s="12"/>
      <c r="AE87" s="12"/>
      <c r="AF87" s="12"/>
      <c r="AG87" s="12"/>
      <c r="AH87" s="12"/>
    </row>
    <row r="88" spans="1:34" ht="12.75">
      <c r="A88" s="12"/>
      <c r="B88" s="12"/>
      <c r="C88" s="12"/>
      <c r="D88" s="12"/>
      <c r="E88" s="12"/>
      <c r="F88" s="12"/>
      <c r="G88" s="12"/>
      <c r="H88" s="12"/>
      <c r="I88" s="12"/>
      <c r="J88" s="12"/>
      <c r="K88" s="12"/>
      <c r="L88" s="12"/>
      <c r="M88" s="12"/>
      <c r="N88" s="12"/>
      <c r="O88" s="12"/>
      <c r="P88" s="12"/>
      <c r="Q88" s="12"/>
      <c r="R88" s="27"/>
      <c r="S88" s="27"/>
      <c r="T88" s="27"/>
      <c r="U88" s="27"/>
      <c r="V88" s="12"/>
      <c r="W88" s="12"/>
      <c r="X88" s="12"/>
      <c r="Y88" s="12"/>
      <c r="Z88" s="31"/>
      <c r="AA88" s="12"/>
      <c r="AB88" s="12"/>
      <c r="AC88" s="12"/>
      <c r="AD88" s="12"/>
      <c r="AE88" s="12"/>
      <c r="AF88" s="12"/>
      <c r="AG88" s="12"/>
      <c r="AH88" s="12"/>
    </row>
    <row r="89" spans="1:34" ht="12.75">
      <c r="A89" s="12"/>
      <c r="B89" s="12"/>
      <c r="C89" s="12"/>
      <c r="D89" s="12"/>
      <c r="E89" s="12"/>
      <c r="F89" s="12"/>
      <c r="G89" s="12"/>
      <c r="H89" s="12"/>
      <c r="I89" s="12"/>
      <c r="J89" s="12"/>
      <c r="K89" s="12"/>
      <c r="L89" s="12"/>
      <c r="M89" s="12"/>
      <c r="N89" s="12"/>
      <c r="O89" s="12"/>
      <c r="P89" s="12"/>
      <c r="Q89" s="12"/>
      <c r="R89" s="27"/>
      <c r="S89" s="27"/>
      <c r="T89" s="27"/>
      <c r="U89" s="27"/>
      <c r="V89" s="12"/>
      <c r="W89" s="12"/>
      <c r="X89" s="12"/>
      <c r="Y89" s="12"/>
      <c r="Z89" s="31"/>
      <c r="AA89" s="12"/>
      <c r="AB89" s="12"/>
      <c r="AC89" s="12"/>
      <c r="AD89" s="12"/>
      <c r="AE89" s="12"/>
      <c r="AF89" s="12"/>
      <c r="AG89" s="12"/>
      <c r="AH89" s="12"/>
    </row>
    <row r="90" spans="1:34" ht="12.75">
      <c r="A90" s="12"/>
      <c r="B90" s="12"/>
      <c r="C90" s="12"/>
      <c r="D90" s="12"/>
      <c r="E90" s="12"/>
      <c r="F90" s="12"/>
      <c r="G90" s="12"/>
      <c r="H90" s="12"/>
      <c r="I90" s="12"/>
      <c r="J90" s="12"/>
      <c r="K90" s="12"/>
      <c r="L90" s="12"/>
      <c r="M90" s="12"/>
      <c r="N90" s="12"/>
      <c r="O90" s="12"/>
      <c r="P90" s="12"/>
      <c r="Q90" s="12"/>
      <c r="R90" s="27"/>
      <c r="S90" s="27"/>
      <c r="T90" s="27"/>
      <c r="U90" s="27"/>
      <c r="V90" s="12"/>
      <c r="W90" s="12"/>
      <c r="X90" s="12"/>
      <c r="Y90" s="12"/>
      <c r="Z90" s="31"/>
      <c r="AA90" s="12"/>
      <c r="AB90" s="12"/>
      <c r="AC90" s="12"/>
      <c r="AD90" s="12"/>
      <c r="AE90" s="12"/>
      <c r="AF90" s="12"/>
      <c r="AG90" s="12"/>
      <c r="AH90" s="12"/>
    </row>
    <row r="91" spans="1:34" ht="12.75">
      <c r="A91" s="12"/>
      <c r="B91" s="12"/>
      <c r="C91" s="12"/>
      <c r="D91" s="12"/>
      <c r="E91" s="12"/>
      <c r="F91" s="12"/>
      <c r="G91" s="12"/>
      <c r="H91" s="12"/>
      <c r="I91" s="12"/>
      <c r="J91" s="12"/>
      <c r="K91" s="12"/>
      <c r="L91" s="12"/>
      <c r="M91" s="12"/>
      <c r="N91" s="12"/>
      <c r="O91" s="12"/>
      <c r="P91" s="12"/>
      <c r="Q91" s="12"/>
      <c r="R91" s="27"/>
      <c r="S91" s="27"/>
      <c r="T91" s="27"/>
      <c r="U91" s="27"/>
      <c r="V91" s="12"/>
      <c r="W91" s="12"/>
      <c r="X91" s="12"/>
      <c r="Y91" s="12"/>
      <c r="Z91" s="31"/>
      <c r="AA91" s="12"/>
      <c r="AB91" s="12"/>
      <c r="AC91" s="12"/>
      <c r="AD91" s="12"/>
      <c r="AE91" s="12"/>
      <c r="AF91" s="12"/>
      <c r="AG91" s="12"/>
      <c r="AH91" s="12"/>
    </row>
    <row r="92" spans="1:34" ht="12.75">
      <c r="A92" s="12"/>
      <c r="B92" s="12"/>
      <c r="C92" s="12"/>
      <c r="D92" s="12"/>
      <c r="E92" s="12"/>
      <c r="F92" s="12"/>
      <c r="G92" s="12"/>
      <c r="H92" s="12"/>
      <c r="I92" s="12"/>
      <c r="J92" s="12"/>
      <c r="K92" s="12"/>
      <c r="L92" s="12"/>
      <c r="M92" s="12"/>
      <c r="N92" s="12"/>
      <c r="O92" s="12"/>
      <c r="P92" s="12"/>
      <c r="Q92" s="12"/>
      <c r="R92" s="27"/>
      <c r="S92" s="27"/>
      <c r="T92" s="27"/>
      <c r="U92" s="27"/>
      <c r="V92" s="12"/>
      <c r="W92" s="12"/>
      <c r="X92" s="12"/>
      <c r="Y92" s="12"/>
      <c r="Z92" s="31"/>
      <c r="AA92" s="12"/>
      <c r="AB92" s="12"/>
      <c r="AC92" s="12"/>
      <c r="AD92" s="12"/>
      <c r="AE92" s="12"/>
      <c r="AF92" s="12"/>
      <c r="AG92" s="12"/>
      <c r="AH92" s="12"/>
    </row>
    <row r="93" spans="1:34" ht="12.75">
      <c r="A93" s="12"/>
      <c r="B93" s="12"/>
      <c r="C93" s="12"/>
      <c r="D93" s="12"/>
      <c r="E93" s="12"/>
      <c r="F93" s="12"/>
      <c r="G93" s="12"/>
      <c r="H93" s="12"/>
      <c r="I93" s="12"/>
      <c r="J93" s="12"/>
      <c r="K93" s="12"/>
      <c r="L93" s="12"/>
      <c r="M93" s="12"/>
      <c r="N93" s="12"/>
      <c r="O93" s="12"/>
      <c r="P93" s="12"/>
      <c r="Q93" s="12"/>
      <c r="R93" s="27"/>
      <c r="S93" s="27"/>
      <c r="T93" s="27"/>
      <c r="U93" s="27"/>
      <c r="V93" s="12"/>
      <c r="W93" s="12"/>
      <c r="X93" s="12"/>
      <c r="Y93" s="12"/>
      <c r="Z93" s="31"/>
      <c r="AA93" s="12"/>
      <c r="AB93" s="12"/>
      <c r="AC93" s="12"/>
      <c r="AD93" s="12"/>
      <c r="AE93" s="12"/>
      <c r="AF93" s="12"/>
      <c r="AG93" s="12"/>
      <c r="AH93" s="12"/>
    </row>
    <row r="94" spans="1:34" ht="12.75">
      <c r="A94" s="12"/>
      <c r="B94" s="12"/>
      <c r="C94" s="12"/>
      <c r="D94" s="12"/>
      <c r="E94" s="12"/>
      <c r="F94" s="12"/>
      <c r="G94" s="12"/>
      <c r="H94" s="12"/>
      <c r="I94" s="12"/>
      <c r="J94" s="12"/>
      <c r="K94" s="12"/>
      <c r="L94" s="12"/>
      <c r="M94" s="12"/>
      <c r="N94" s="12"/>
      <c r="O94" s="12"/>
      <c r="P94" s="12"/>
      <c r="Q94" s="12"/>
      <c r="R94" s="27"/>
      <c r="S94" s="27"/>
      <c r="T94" s="27"/>
      <c r="U94" s="27"/>
      <c r="V94" s="12"/>
      <c r="W94" s="12"/>
      <c r="X94" s="12"/>
      <c r="Y94" s="12"/>
      <c r="Z94" s="31"/>
      <c r="AA94" s="12"/>
      <c r="AB94" s="12"/>
      <c r="AC94" s="12"/>
      <c r="AD94" s="12"/>
      <c r="AE94" s="12"/>
      <c r="AF94" s="12"/>
      <c r="AG94" s="12"/>
      <c r="AH94" s="12"/>
    </row>
    <row r="95" spans="1:34" ht="12.75">
      <c r="A95" s="12"/>
      <c r="B95" s="12"/>
      <c r="C95" s="12"/>
      <c r="D95" s="12"/>
      <c r="E95" s="12"/>
      <c r="F95" s="12"/>
      <c r="G95" s="12"/>
      <c r="H95" s="12"/>
      <c r="I95" s="12"/>
      <c r="J95" s="12"/>
      <c r="K95" s="12"/>
      <c r="L95" s="12"/>
      <c r="M95" s="12"/>
      <c r="N95" s="12"/>
      <c r="O95" s="12"/>
      <c r="P95" s="12"/>
      <c r="Q95" s="12"/>
      <c r="R95" s="27"/>
      <c r="S95" s="27"/>
      <c r="T95" s="27"/>
      <c r="U95" s="27"/>
      <c r="V95" s="12"/>
      <c r="W95" s="12"/>
      <c r="X95" s="12"/>
      <c r="Y95" s="12"/>
      <c r="Z95" s="31"/>
      <c r="AA95" s="12"/>
      <c r="AB95" s="12"/>
      <c r="AC95" s="12"/>
      <c r="AD95" s="12"/>
      <c r="AE95" s="12"/>
      <c r="AF95" s="12"/>
      <c r="AG95" s="12"/>
      <c r="AH95" s="12"/>
    </row>
    <row r="96" spans="1:34" ht="12.75">
      <c r="A96" s="12"/>
      <c r="B96" s="12"/>
      <c r="C96" s="12"/>
      <c r="D96" s="12"/>
      <c r="E96" s="12"/>
      <c r="F96" s="12"/>
      <c r="G96" s="12"/>
      <c r="H96" s="12"/>
      <c r="I96" s="12"/>
      <c r="J96" s="12"/>
      <c r="K96" s="12"/>
      <c r="L96" s="12"/>
      <c r="M96" s="12"/>
      <c r="N96" s="12"/>
      <c r="O96" s="12"/>
      <c r="P96" s="12"/>
      <c r="Q96" s="12"/>
      <c r="R96" s="27"/>
      <c r="S96" s="27"/>
      <c r="T96" s="27"/>
      <c r="U96" s="27"/>
      <c r="V96" s="12"/>
      <c r="W96" s="12"/>
      <c r="X96" s="12"/>
      <c r="Y96" s="12"/>
      <c r="Z96" s="31"/>
      <c r="AA96" s="12"/>
      <c r="AB96" s="12"/>
      <c r="AC96" s="12"/>
      <c r="AD96" s="12"/>
      <c r="AE96" s="12"/>
      <c r="AF96" s="12"/>
      <c r="AG96" s="12"/>
      <c r="AH96" s="12"/>
    </row>
    <row r="97" spans="1:34" ht="12.75">
      <c r="A97" s="12"/>
      <c r="B97" s="12"/>
      <c r="C97" s="12"/>
      <c r="D97" s="12"/>
      <c r="E97" s="12"/>
      <c r="F97" s="12"/>
      <c r="G97" s="12"/>
      <c r="H97" s="12"/>
      <c r="I97" s="12"/>
      <c r="J97" s="12"/>
      <c r="K97" s="12"/>
      <c r="L97" s="12"/>
      <c r="M97" s="12"/>
      <c r="N97" s="12"/>
      <c r="O97" s="12"/>
      <c r="P97" s="12"/>
      <c r="Q97" s="12"/>
      <c r="R97" s="27"/>
      <c r="S97" s="27"/>
      <c r="T97" s="27"/>
      <c r="U97" s="27"/>
      <c r="V97" s="12"/>
      <c r="W97" s="12"/>
      <c r="X97" s="12"/>
      <c r="Y97" s="12"/>
      <c r="Z97" s="31"/>
      <c r="AA97" s="12"/>
      <c r="AB97" s="12"/>
      <c r="AC97" s="12"/>
      <c r="AD97" s="12"/>
      <c r="AE97" s="12"/>
      <c r="AF97" s="12"/>
      <c r="AG97" s="12"/>
      <c r="AH97" s="12"/>
    </row>
    <row r="98" spans="1:34" ht="12.75">
      <c r="A98" s="12"/>
      <c r="B98" s="12"/>
      <c r="C98" s="12"/>
      <c r="D98" s="12"/>
      <c r="E98" s="12"/>
      <c r="F98" s="12"/>
      <c r="G98" s="12"/>
      <c r="H98" s="12"/>
      <c r="I98" s="12"/>
      <c r="J98" s="12"/>
      <c r="K98" s="12"/>
      <c r="L98" s="12"/>
      <c r="M98" s="12"/>
      <c r="N98" s="12"/>
      <c r="O98" s="12"/>
      <c r="P98" s="12"/>
      <c r="Q98" s="12"/>
      <c r="R98" s="27"/>
      <c r="S98" s="27"/>
      <c r="T98" s="27"/>
      <c r="U98" s="27"/>
      <c r="V98" s="12"/>
      <c r="W98" s="12"/>
      <c r="X98" s="12"/>
      <c r="Y98" s="12"/>
      <c r="Z98" s="31"/>
      <c r="AA98" s="12"/>
      <c r="AB98" s="12"/>
      <c r="AC98" s="12"/>
      <c r="AD98" s="12"/>
      <c r="AE98" s="12"/>
      <c r="AF98" s="12"/>
      <c r="AG98" s="12"/>
      <c r="AH98" s="12"/>
    </row>
    <row r="99" spans="1:34" ht="12.75">
      <c r="A99" s="12"/>
      <c r="B99" s="12"/>
      <c r="C99" s="12"/>
      <c r="D99" s="12"/>
      <c r="E99" s="12"/>
      <c r="F99" s="12"/>
      <c r="G99" s="12"/>
      <c r="H99" s="12"/>
      <c r="I99" s="12"/>
      <c r="J99" s="12"/>
      <c r="K99" s="12"/>
      <c r="L99" s="12"/>
      <c r="M99" s="12"/>
      <c r="N99" s="12"/>
      <c r="O99" s="12"/>
      <c r="P99" s="12"/>
      <c r="Q99" s="12"/>
      <c r="R99" s="27"/>
      <c r="S99" s="27"/>
      <c r="T99" s="27"/>
      <c r="U99" s="27"/>
      <c r="V99" s="12"/>
      <c r="W99" s="12"/>
      <c r="X99" s="12"/>
      <c r="Y99" s="12"/>
      <c r="Z99" s="31"/>
      <c r="AA99" s="12"/>
      <c r="AB99" s="12"/>
      <c r="AC99" s="12"/>
      <c r="AD99" s="12"/>
      <c r="AE99" s="12"/>
      <c r="AF99" s="12"/>
      <c r="AG99" s="12"/>
      <c r="AH99" s="12"/>
    </row>
    <row r="100" spans="1:34" ht="12.75">
      <c r="A100" s="12"/>
      <c r="B100" s="12"/>
      <c r="C100" s="12"/>
      <c r="D100" s="12"/>
      <c r="E100" s="12"/>
      <c r="F100" s="12"/>
      <c r="G100" s="12"/>
      <c r="H100" s="12"/>
      <c r="I100" s="12"/>
      <c r="J100" s="12"/>
      <c r="K100" s="12"/>
      <c r="L100" s="12"/>
      <c r="M100" s="12"/>
      <c r="N100" s="12"/>
      <c r="O100" s="12"/>
      <c r="P100" s="12"/>
      <c r="Q100" s="12"/>
      <c r="R100" s="27"/>
      <c r="S100" s="27"/>
      <c r="T100" s="27"/>
      <c r="U100" s="27"/>
      <c r="V100" s="12"/>
      <c r="W100" s="12"/>
      <c r="X100" s="12"/>
      <c r="Y100" s="12"/>
      <c r="Z100" s="31"/>
      <c r="AA100" s="12"/>
      <c r="AB100" s="12"/>
      <c r="AC100" s="12"/>
      <c r="AD100" s="12"/>
      <c r="AE100" s="12"/>
      <c r="AF100" s="12"/>
      <c r="AG100" s="12"/>
      <c r="AH100" s="12"/>
    </row>
    <row r="101" spans="1:34" ht="12.75">
      <c r="A101" s="12"/>
      <c r="B101" s="12"/>
      <c r="C101" s="12"/>
      <c r="D101" s="12"/>
      <c r="E101" s="12"/>
      <c r="F101" s="12"/>
      <c r="G101" s="12"/>
      <c r="H101" s="12"/>
      <c r="I101" s="12"/>
      <c r="J101" s="12"/>
      <c r="K101" s="12"/>
      <c r="L101" s="12"/>
      <c r="M101" s="12"/>
      <c r="N101" s="12"/>
      <c r="O101" s="12"/>
      <c r="P101" s="12"/>
      <c r="Q101" s="12"/>
      <c r="R101" s="27"/>
      <c r="S101" s="27"/>
      <c r="T101" s="27"/>
      <c r="U101" s="27"/>
      <c r="V101" s="12"/>
      <c r="W101" s="12"/>
      <c r="X101" s="12"/>
      <c r="Y101" s="12"/>
      <c r="Z101" s="31"/>
      <c r="AA101" s="12"/>
      <c r="AB101" s="12"/>
      <c r="AC101" s="12"/>
      <c r="AD101" s="12"/>
      <c r="AE101" s="12"/>
      <c r="AF101" s="12"/>
      <c r="AG101" s="12"/>
      <c r="AH101" s="12"/>
    </row>
    <row r="102" spans="1:34" ht="12.75">
      <c r="A102" s="12"/>
      <c r="B102" s="12"/>
      <c r="C102" s="12"/>
      <c r="D102" s="12"/>
      <c r="E102" s="12"/>
      <c r="F102" s="12"/>
      <c r="G102" s="12"/>
      <c r="H102" s="12"/>
      <c r="I102" s="12"/>
      <c r="J102" s="12"/>
      <c r="K102" s="12"/>
      <c r="L102" s="12"/>
      <c r="M102" s="12"/>
      <c r="N102" s="12"/>
      <c r="O102" s="12"/>
      <c r="P102" s="12"/>
      <c r="Q102" s="12"/>
      <c r="R102" s="27"/>
      <c r="S102" s="27"/>
      <c r="T102" s="27"/>
      <c r="U102" s="27"/>
      <c r="V102" s="12"/>
      <c r="W102" s="12"/>
      <c r="X102" s="12"/>
      <c r="Y102" s="12"/>
      <c r="Z102" s="31"/>
      <c r="AA102" s="12"/>
      <c r="AB102" s="12"/>
      <c r="AC102" s="12"/>
      <c r="AD102" s="12"/>
      <c r="AE102" s="12"/>
      <c r="AF102" s="12"/>
      <c r="AG102" s="12"/>
      <c r="AH102" s="12"/>
    </row>
    <row r="103" spans="1:34" ht="12.75">
      <c r="A103" s="12"/>
      <c r="B103" s="12"/>
      <c r="C103" s="12"/>
      <c r="D103" s="12"/>
      <c r="E103" s="12"/>
      <c r="F103" s="12"/>
      <c r="G103" s="12"/>
      <c r="H103" s="12"/>
      <c r="I103" s="12"/>
      <c r="J103" s="12"/>
      <c r="K103" s="12"/>
      <c r="L103" s="12"/>
      <c r="M103" s="12"/>
      <c r="N103" s="12"/>
      <c r="O103" s="12"/>
      <c r="P103" s="12"/>
      <c r="Q103" s="12"/>
      <c r="R103" s="27"/>
      <c r="S103" s="27"/>
      <c r="T103" s="27"/>
      <c r="U103" s="27"/>
      <c r="V103" s="12"/>
      <c r="W103" s="12"/>
      <c r="X103" s="12"/>
      <c r="Y103" s="12"/>
      <c r="Z103" s="31"/>
      <c r="AA103" s="12"/>
      <c r="AB103" s="12"/>
      <c r="AC103" s="12"/>
      <c r="AD103" s="12"/>
      <c r="AE103" s="12"/>
      <c r="AF103" s="12"/>
      <c r="AG103" s="12"/>
      <c r="AH103" s="12"/>
    </row>
    <row r="104" spans="1:34" ht="12.75">
      <c r="A104" s="12"/>
      <c r="B104" s="12"/>
      <c r="C104" s="12"/>
      <c r="D104" s="12"/>
      <c r="E104" s="12"/>
      <c r="F104" s="12"/>
      <c r="G104" s="12"/>
      <c r="H104" s="12"/>
      <c r="I104" s="12"/>
      <c r="J104" s="12"/>
      <c r="K104" s="12"/>
      <c r="L104" s="12"/>
      <c r="M104" s="12"/>
      <c r="N104" s="12"/>
      <c r="O104" s="12"/>
      <c r="P104" s="12"/>
      <c r="Q104" s="12"/>
      <c r="R104" s="27"/>
      <c r="S104" s="27"/>
      <c r="T104" s="27"/>
      <c r="U104" s="27"/>
      <c r="V104" s="12"/>
      <c r="W104" s="12"/>
      <c r="X104" s="12"/>
      <c r="Y104" s="12"/>
      <c r="Z104" s="31"/>
      <c r="AA104" s="12"/>
      <c r="AB104" s="12"/>
      <c r="AC104" s="12"/>
      <c r="AD104" s="12"/>
      <c r="AE104" s="12"/>
      <c r="AF104" s="12"/>
      <c r="AG104" s="12"/>
      <c r="AH104" s="12"/>
    </row>
    <row r="105" spans="1:34" ht="12.75">
      <c r="A105" s="12"/>
      <c r="B105" s="12"/>
      <c r="C105" s="12"/>
      <c r="D105" s="12"/>
      <c r="E105" s="12"/>
      <c r="F105" s="12"/>
      <c r="G105" s="12"/>
      <c r="H105" s="12"/>
      <c r="I105" s="12"/>
      <c r="J105" s="12"/>
      <c r="K105" s="12"/>
      <c r="L105" s="12"/>
      <c r="M105" s="12"/>
      <c r="N105" s="12"/>
      <c r="O105" s="12"/>
      <c r="P105" s="12"/>
      <c r="Q105" s="12"/>
      <c r="R105" s="27"/>
      <c r="S105" s="27"/>
      <c r="T105" s="27"/>
      <c r="U105" s="27"/>
      <c r="V105" s="12"/>
      <c r="W105" s="12"/>
      <c r="X105" s="12"/>
      <c r="Y105" s="12"/>
      <c r="Z105" s="31"/>
      <c r="AA105" s="12"/>
      <c r="AB105" s="12"/>
      <c r="AC105" s="12"/>
      <c r="AD105" s="12"/>
      <c r="AE105" s="12"/>
      <c r="AF105" s="12"/>
      <c r="AG105" s="12"/>
      <c r="AH105" s="12"/>
    </row>
    <row r="106" spans="1:34" ht="12.75">
      <c r="A106" s="12"/>
      <c r="B106" s="12"/>
      <c r="C106" s="12"/>
      <c r="D106" s="12"/>
      <c r="E106" s="12"/>
      <c r="F106" s="12"/>
      <c r="G106" s="12"/>
      <c r="H106" s="12"/>
      <c r="I106" s="12"/>
      <c r="J106" s="12"/>
      <c r="K106" s="12"/>
      <c r="L106" s="12"/>
      <c r="M106" s="12"/>
      <c r="N106" s="12"/>
      <c r="O106" s="12"/>
      <c r="P106" s="12"/>
      <c r="Q106" s="12"/>
      <c r="R106" s="27"/>
      <c r="S106" s="27"/>
      <c r="T106" s="27"/>
      <c r="U106" s="27"/>
      <c r="V106" s="12"/>
      <c r="W106" s="12"/>
      <c r="X106" s="12"/>
      <c r="Y106" s="12"/>
      <c r="Z106" s="31"/>
      <c r="AA106" s="12"/>
      <c r="AB106" s="12"/>
      <c r="AC106" s="12"/>
      <c r="AD106" s="12"/>
      <c r="AE106" s="12"/>
      <c r="AF106" s="12"/>
      <c r="AG106" s="12"/>
      <c r="AH106" s="12"/>
    </row>
    <row r="107" spans="1:34" ht="12.75">
      <c r="A107" s="12"/>
      <c r="B107" s="12"/>
      <c r="C107" s="12"/>
      <c r="D107" s="12"/>
      <c r="E107" s="12"/>
      <c r="F107" s="12"/>
      <c r="G107" s="12"/>
      <c r="H107" s="12"/>
      <c r="I107" s="12"/>
      <c r="J107" s="12"/>
      <c r="K107" s="12"/>
      <c r="L107" s="12"/>
      <c r="M107" s="12"/>
      <c r="N107" s="12"/>
      <c r="O107" s="12"/>
      <c r="P107" s="12"/>
      <c r="Q107" s="12"/>
      <c r="R107" s="27"/>
      <c r="S107" s="27"/>
      <c r="T107" s="27"/>
      <c r="U107" s="27"/>
      <c r="V107" s="12"/>
      <c r="W107" s="12"/>
      <c r="X107" s="12"/>
      <c r="Y107" s="12"/>
      <c r="Z107" s="31"/>
      <c r="AA107" s="12"/>
      <c r="AB107" s="12"/>
      <c r="AC107" s="12"/>
      <c r="AD107" s="12"/>
      <c r="AE107" s="12"/>
      <c r="AF107" s="12"/>
      <c r="AG107" s="12"/>
      <c r="AH107" s="12"/>
    </row>
    <row r="108" spans="1:34" ht="12.75">
      <c r="A108" s="12"/>
      <c r="B108" s="12"/>
      <c r="C108" s="12"/>
      <c r="D108" s="12"/>
      <c r="E108" s="12"/>
      <c r="F108" s="12"/>
      <c r="G108" s="12"/>
      <c r="H108" s="12"/>
      <c r="I108" s="12"/>
      <c r="J108" s="12"/>
      <c r="K108" s="12"/>
      <c r="L108" s="12"/>
      <c r="M108" s="12"/>
      <c r="N108" s="12"/>
      <c r="O108" s="12"/>
      <c r="P108" s="12"/>
      <c r="Q108" s="12"/>
      <c r="R108" s="27"/>
      <c r="S108" s="27"/>
      <c r="T108" s="27"/>
      <c r="U108" s="27"/>
      <c r="V108" s="12"/>
      <c r="W108" s="12"/>
      <c r="X108" s="12"/>
      <c r="Y108" s="12"/>
      <c r="Z108" s="31"/>
      <c r="AA108" s="12"/>
      <c r="AB108" s="12"/>
      <c r="AC108" s="12"/>
      <c r="AD108" s="12"/>
      <c r="AE108" s="12"/>
      <c r="AF108" s="12"/>
      <c r="AG108" s="12"/>
      <c r="AH108" s="12"/>
    </row>
    <row r="109" spans="1:34" ht="12.75">
      <c r="A109" s="12"/>
      <c r="B109" s="12"/>
      <c r="C109" s="12"/>
      <c r="D109" s="12"/>
      <c r="E109" s="12"/>
      <c r="F109" s="12"/>
      <c r="G109" s="12"/>
      <c r="H109" s="12"/>
      <c r="I109" s="12"/>
      <c r="J109" s="12"/>
      <c r="K109" s="12"/>
      <c r="L109" s="12"/>
      <c r="M109" s="12"/>
      <c r="N109" s="12"/>
      <c r="O109" s="12"/>
      <c r="P109" s="12"/>
      <c r="Q109" s="12"/>
      <c r="R109" s="27"/>
      <c r="S109" s="27"/>
      <c r="T109" s="27"/>
      <c r="U109" s="27"/>
      <c r="V109" s="12"/>
      <c r="W109" s="12"/>
      <c r="X109" s="12"/>
      <c r="Y109" s="12"/>
      <c r="Z109" s="31"/>
      <c r="AA109" s="12"/>
      <c r="AB109" s="12"/>
      <c r="AC109" s="12"/>
      <c r="AD109" s="12"/>
      <c r="AE109" s="12"/>
      <c r="AF109" s="12"/>
      <c r="AG109" s="12"/>
      <c r="AH109" s="12"/>
    </row>
    <row r="110" spans="1:34" ht="12.75">
      <c r="A110" s="12"/>
      <c r="B110" s="12"/>
      <c r="C110" s="12"/>
      <c r="D110" s="12"/>
      <c r="E110" s="12"/>
      <c r="F110" s="12"/>
      <c r="G110" s="12"/>
      <c r="H110" s="12"/>
      <c r="I110" s="12"/>
      <c r="J110" s="12"/>
      <c r="K110" s="12"/>
      <c r="L110" s="12"/>
      <c r="M110" s="12"/>
      <c r="N110" s="12"/>
      <c r="O110" s="12"/>
      <c r="P110" s="12"/>
      <c r="Q110" s="12"/>
      <c r="R110" s="27"/>
      <c r="S110" s="27"/>
      <c r="T110" s="27"/>
      <c r="U110" s="27"/>
      <c r="V110" s="12"/>
      <c r="W110" s="12"/>
      <c r="X110" s="12"/>
      <c r="Y110" s="12"/>
      <c r="Z110" s="31"/>
      <c r="AA110" s="12"/>
      <c r="AB110" s="12"/>
      <c r="AC110" s="12"/>
      <c r="AD110" s="12"/>
      <c r="AE110" s="12"/>
      <c r="AF110" s="12"/>
      <c r="AG110" s="12"/>
      <c r="AH110" s="12"/>
    </row>
    <row r="111" spans="1:34" ht="12.75">
      <c r="A111" s="12"/>
      <c r="B111" s="12"/>
      <c r="C111" s="12"/>
      <c r="D111" s="12"/>
      <c r="E111" s="12"/>
      <c r="F111" s="12"/>
      <c r="G111" s="12"/>
      <c r="H111" s="12"/>
      <c r="I111" s="12"/>
      <c r="J111" s="12"/>
      <c r="K111" s="12"/>
      <c r="L111" s="12"/>
      <c r="M111" s="12"/>
      <c r="N111" s="12"/>
      <c r="O111" s="12"/>
      <c r="P111" s="12"/>
      <c r="Q111" s="12"/>
      <c r="R111" s="27"/>
      <c r="S111" s="27"/>
      <c r="T111" s="27"/>
      <c r="U111" s="27"/>
      <c r="V111" s="12"/>
      <c r="W111" s="12"/>
      <c r="X111" s="12"/>
      <c r="Y111" s="12"/>
      <c r="Z111" s="31"/>
      <c r="AA111" s="12"/>
      <c r="AB111" s="12"/>
      <c r="AC111" s="12"/>
      <c r="AD111" s="12"/>
      <c r="AE111" s="12"/>
      <c r="AF111" s="12"/>
      <c r="AG111" s="12"/>
      <c r="AH111" s="12"/>
    </row>
    <row r="112" spans="1:34" ht="12.75">
      <c r="A112" s="12"/>
      <c r="B112" s="12"/>
      <c r="C112" s="12"/>
      <c r="D112" s="12"/>
      <c r="E112" s="12"/>
      <c r="F112" s="12"/>
      <c r="G112" s="12"/>
      <c r="H112" s="12"/>
      <c r="I112" s="12"/>
      <c r="J112" s="12"/>
      <c r="K112" s="12"/>
      <c r="L112" s="12"/>
      <c r="M112" s="12"/>
      <c r="N112" s="12"/>
      <c r="O112" s="12"/>
      <c r="P112" s="12"/>
      <c r="Q112" s="12"/>
      <c r="R112" s="27"/>
      <c r="S112" s="27"/>
      <c r="T112" s="27"/>
      <c r="U112" s="27"/>
      <c r="V112" s="12"/>
      <c r="W112" s="12"/>
      <c r="X112" s="12"/>
      <c r="Y112" s="12"/>
      <c r="Z112" s="31"/>
      <c r="AA112" s="12"/>
      <c r="AB112" s="12"/>
      <c r="AC112" s="12"/>
      <c r="AD112" s="12"/>
      <c r="AE112" s="12"/>
      <c r="AF112" s="12"/>
      <c r="AG112" s="12"/>
      <c r="AH112" s="12"/>
    </row>
    <row r="113" spans="1:34" ht="12.75">
      <c r="A113" s="12"/>
      <c r="B113" s="12"/>
      <c r="C113" s="12"/>
      <c r="D113" s="12"/>
      <c r="E113" s="12"/>
      <c r="F113" s="12"/>
      <c r="G113" s="12"/>
      <c r="H113" s="12"/>
      <c r="I113" s="12"/>
      <c r="J113" s="12"/>
      <c r="K113" s="12"/>
      <c r="L113" s="12"/>
      <c r="M113" s="12"/>
      <c r="N113" s="12"/>
      <c r="O113" s="12"/>
      <c r="P113" s="12"/>
      <c r="Q113" s="12"/>
      <c r="R113" s="27"/>
      <c r="S113" s="27"/>
      <c r="T113" s="27"/>
      <c r="U113" s="27"/>
      <c r="V113" s="12"/>
      <c r="W113" s="12"/>
      <c r="X113" s="12"/>
      <c r="Y113" s="12"/>
      <c r="Z113" s="31"/>
      <c r="AA113" s="12"/>
      <c r="AB113" s="12"/>
      <c r="AC113" s="12"/>
      <c r="AD113" s="12"/>
      <c r="AE113" s="12"/>
      <c r="AF113" s="12"/>
      <c r="AG113" s="12"/>
      <c r="AH113" s="12"/>
    </row>
    <row r="114" spans="1:34" ht="12.75">
      <c r="A114" s="12"/>
      <c r="B114" s="12"/>
      <c r="C114" s="12"/>
      <c r="D114" s="12"/>
      <c r="E114" s="12"/>
      <c r="F114" s="12"/>
      <c r="G114" s="12"/>
      <c r="H114" s="12"/>
      <c r="I114" s="12"/>
      <c r="J114" s="12"/>
      <c r="K114" s="12"/>
      <c r="L114" s="12"/>
      <c r="M114" s="12"/>
      <c r="N114" s="12"/>
      <c r="O114" s="12"/>
      <c r="P114" s="12"/>
      <c r="Q114" s="12"/>
      <c r="R114" s="27"/>
      <c r="S114" s="27"/>
      <c r="T114" s="27"/>
      <c r="U114" s="27"/>
      <c r="V114" s="12"/>
      <c r="W114" s="12"/>
      <c r="X114" s="12"/>
      <c r="Y114" s="12"/>
      <c r="Z114" s="31"/>
      <c r="AA114" s="12"/>
      <c r="AB114" s="12"/>
      <c r="AC114" s="12"/>
      <c r="AD114" s="12"/>
      <c r="AE114" s="12"/>
      <c r="AF114" s="12"/>
      <c r="AG114" s="12"/>
      <c r="AH114" s="12"/>
    </row>
    <row r="115" spans="1:34" ht="12.75">
      <c r="A115" s="12"/>
      <c r="B115" s="12"/>
      <c r="C115" s="12"/>
      <c r="D115" s="12"/>
      <c r="E115" s="12"/>
      <c r="F115" s="12"/>
      <c r="G115" s="12"/>
      <c r="H115" s="12"/>
      <c r="I115" s="12"/>
      <c r="J115" s="12"/>
      <c r="K115" s="12"/>
      <c r="L115" s="12"/>
      <c r="M115" s="12"/>
      <c r="N115" s="12"/>
      <c r="O115" s="12"/>
      <c r="P115" s="12"/>
      <c r="Q115" s="12"/>
      <c r="R115" s="27"/>
      <c r="S115" s="27"/>
      <c r="T115" s="27"/>
      <c r="U115" s="27"/>
      <c r="V115" s="12"/>
      <c r="W115" s="12"/>
      <c r="X115" s="12"/>
      <c r="Y115" s="12"/>
      <c r="Z115" s="31"/>
      <c r="AA115" s="12"/>
      <c r="AB115" s="12"/>
      <c r="AC115" s="12"/>
      <c r="AD115" s="12"/>
      <c r="AE115" s="12"/>
      <c r="AF115" s="12"/>
      <c r="AG115" s="12"/>
      <c r="AH115" s="12"/>
    </row>
    <row r="116" spans="1:34" ht="12.75">
      <c r="A116" s="12"/>
      <c r="B116" s="12"/>
      <c r="C116" s="12"/>
      <c r="D116" s="12"/>
      <c r="E116" s="12"/>
      <c r="F116" s="12"/>
      <c r="G116" s="12"/>
      <c r="H116" s="12"/>
      <c r="I116" s="12"/>
      <c r="J116" s="12"/>
      <c r="K116" s="12"/>
      <c r="L116" s="12"/>
      <c r="M116" s="12"/>
      <c r="N116" s="12"/>
      <c r="O116" s="12"/>
      <c r="P116" s="12"/>
      <c r="Q116" s="12"/>
      <c r="R116" s="27"/>
      <c r="S116" s="27"/>
      <c r="T116" s="27"/>
      <c r="U116" s="27"/>
      <c r="V116" s="12"/>
      <c r="W116" s="12"/>
      <c r="X116" s="12"/>
      <c r="Y116" s="12"/>
      <c r="Z116" s="31"/>
      <c r="AA116" s="12"/>
      <c r="AB116" s="12"/>
      <c r="AC116" s="12"/>
      <c r="AD116" s="12"/>
      <c r="AE116" s="12"/>
      <c r="AF116" s="12"/>
      <c r="AG116" s="12"/>
      <c r="AH116" s="12"/>
    </row>
    <row r="117" spans="1:34" ht="12.75">
      <c r="A117" s="12"/>
      <c r="B117" s="12"/>
      <c r="C117" s="12"/>
      <c r="D117" s="12"/>
      <c r="E117" s="12"/>
      <c r="F117" s="12"/>
      <c r="G117" s="12"/>
      <c r="H117" s="12"/>
      <c r="I117" s="12"/>
      <c r="J117" s="12"/>
      <c r="K117" s="12"/>
      <c r="L117" s="12"/>
      <c r="M117" s="12"/>
      <c r="N117" s="12"/>
      <c r="O117" s="12"/>
      <c r="P117" s="12"/>
      <c r="Q117" s="12"/>
      <c r="R117" s="27"/>
      <c r="S117" s="27"/>
      <c r="T117" s="27"/>
      <c r="U117" s="27"/>
      <c r="V117" s="12"/>
      <c r="W117" s="12"/>
      <c r="X117" s="12"/>
      <c r="Y117" s="12"/>
      <c r="Z117" s="31"/>
      <c r="AA117" s="12"/>
      <c r="AB117" s="12"/>
      <c r="AC117" s="12"/>
      <c r="AD117" s="12"/>
      <c r="AE117" s="12"/>
      <c r="AF117" s="12"/>
      <c r="AG117" s="12"/>
      <c r="AH117" s="12"/>
    </row>
    <row r="118" spans="1:34" ht="12.75">
      <c r="A118" s="12"/>
      <c r="B118" s="12"/>
      <c r="C118" s="12"/>
      <c r="D118" s="12"/>
      <c r="E118" s="12"/>
      <c r="F118" s="12"/>
      <c r="G118" s="12"/>
      <c r="H118" s="12"/>
      <c r="I118" s="12"/>
      <c r="J118" s="12"/>
      <c r="K118" s="12"/>
      <c r="L118" s="12"/>
      <c r="M118" s="12"/>
      <c r="N118" s="12"/>
      <c r="O118" s="12"/>
      <c r="P118" s="12"/>
      <c r="Q118" s="12"/>
      <c r="R118" s="27"/>
      <c r="S118" s="27"/>
      <c r="T118" s="27"/>
      <c r="U118" s="27"/>
      <c r="V118" s="12"/>
      <c r="W118" s="12"/>
      <c r="X118" s="12"/>
      <c r="Y118" s="12"/>
      <c r="Z118" s="31"/>
      <c r="AA118" s="12"/>
      <c r="AB118" s="12"/>
      <c r="AC118" s="12"/>
      <c r="AD118" s="12"/>
      <c r="AE118" s="12"/>
      <c r="AF118" s="12"/>
      <c r="AG118" s="12"/>
      <c r="AH118" s="12"/>
    </row>
    <row r="119" spans="1:34" ht="12.75">
      <c r="A119" s="12"/>
      <c r="B119" s="12"/>
      <c r="C119" s="12"/>
      <c r="D119" s="12"/>
      <c r="E119" s="12"/>
      <c r="F119" s="12"/>
      <c r="G119" s="12"/>
      <c r="H119" s="12"/>
      <c r="I119" s="12"/>
      <c r="J119" s="12"/>
      <c r="K119" s="12"/>
      <c r="L119" s="12"/>
      <c r="M119" s="12"/>
      <c r="N119" s="12"/>
      <c r="O119" s="12"/>
      <c r="P119" s="12"/>
      <c r="Q119" s="12"/>
      <c r="R119" s="27"/>
      <c r="S119" s="27"/>
      <c r="T119" s="27"/>
      <c r="U119" s="27"/>
      <c r="V119" s="12"/>
      <c r="W119" s="12"/>
      <c r="X119" s="12"/>
      <c r="Y119" s="12"/>
      <c r="Z119" s="31"/>
      <c r="AA119" s="12"/>
      <c r="AB119" s="12"/>
      <c r="AC119" s="12"/>
      <c r="AD119" s="12"/>
      <c r="AE119" s="12"/>
      <c r="AF119" s="12"/>
      <c r="AG119" s="12"/>
      <c r="AH119" s="12"/>
    </row>
    <row r="120" spans="1:34" ht="12.75">
      <c r="A120" s="12"/>
      <c r="B120" s="12"/>
      <c r="C120" s="12"/>
      <c r="D120" s="12"/>
      <c r="E120" s="12"/>
      <c r="F120" s="12"/>
      <c r="G120" s="12"/>
      <c r="H120" s="12"/>
      <c r="I120" s="12"/>
      <c r="J120" s="12"/>
      <c r="K120" s="12"/>
      <c r="L120" s="12"/>
      <c r="M120" s="12"/>
      <c r="N120" s="12"/>
      <c r="O120" s="12"/>
      <c r="P120" s="12"/>
      <c r="Q120" s="12"/>
      <c r="R120" s="27"/>
      <c r="S120" s="27"/>
      <c r="T120" s="27"/>
      <c r="U120" s="27"/>
      <c r="V120" s="12"/>
      <c r="W120" s="12"/>
      <c r="X120" s="12"/>
      <c r="Y120" s="12"/>
      <c r="Z120" s="31"/>
      <c r="AA120" s="12"/>
      <c r="AB120" s="12"/>
      <c r="AC120" s="12"/>
      <c r="AD120" s="12"/>
      <c r="AE120" s="12"/>
      <c r="AF120" s="12"/>
      <c r="AG120" s="12"/>
      <c r="AH120" s="12"/>
    </row>
    <row r="121" spans="1:34" ht="12.75">
      <c r="A121" s="12"/>
      <c r="B121" s="12"/>
      <c r="C121" s="12"/>
      <c r="D121" s="12"/>
      <c r="E121" s="12"/>
      <c r="F121" s="12"/>
      <c r="G121" s="12"/>
      <c r="H121" s="12"/>
      <c r="I121" s="12"/>
      <c r="J121" s="12"/>
      <c r="K121" s="12"/>
      <c r="L121" s="12"/>
      <c r="M121" s="12"/>
      <c r="N121" s="12"/>
      <c r="O121" s="12"/>
      <c r="P121" s="12"/>
      <c r="Q121" s="12"/>
      <c r="R121" s="27"/>
      <c r="S121" s="27"/>
      <c r="T121" s="27"/>
      <c r="U121" s="27"/>
      <c r="V121" s="12"/>
      <c r="W121" s="12"/>
      <c r="X121" s="12"/>
      <c r="Y121" s="12"/>
      <c r="Z121" s="31"/>
      <c r="AA121" s="12"/>
      <c r="AB121" s="12"/>
      <c r="AC121" s="12"/>
      <c r="AD121" s="12"/>
      <c r="AE121" s="12"/>
      <c r="AF121" s="12"/>
      <c r="AG121" s="12"/>
      <c r="AH121" s="12"/>
    </row>
    <row r="122" spans="1:34" ht="12.75">
      <c r="A122" s="12"/>
      <c r="B122" s="12"/>
      <c r="C122" s="12"/>
      <c r="D122" s="12"/>
      <c r="E122" s="12"/>
      <c r="F122" s="12"/>
      <c r="G122" s="12"/>
      <c r="H122" s="12"/>
      <c r="I122" s="12"/>
      <c r="J122" s="12"/>
      <c r="K122" s="12"/>
      <c r="L122" s="12"/>
      <c r="M122" s="12"/>
      <c r="N122" s="12"/>
      <c r="O122" s="12"/>
      <c r="P122" s="12"/>
      <c r="Q122" s="12"/>
      <c r="R122" s="27"/>
      <c r="S122" s="27"/>
      <c r="T122" s="27"/>
      <c r="U122" s="27"/>
      <c r="V122" s="12"/>
      <c r="W122" s="12"/>
      <c r="X122" s="12"/>
      <c r="Y122" s="12"/>
      <c r="Z122" s="31"/>
      <c r="AA122" s="12"/>
      <c r="AB122" s="12"/>
      <c r="AC122" s="12"/>
      <c r="AD122" s="12"/>
      <c r="AE122" s="12"/>
      <c r="AF122" s="12"/>
      <c r="AG122" s="12"/>
      <c r="AH122" s="12"/>
    </row>
    <row r="123" spans="1:34" ht="12.75">
      <c r="A123" s="12"/>
      <c r="B123" s="12"/>
      <c r="C123" s="12"/>
      <c r="D123" s="12"/>
      <c r="E123" s="12"/>
      <c r="F123" s="12"/>
      <c r="G123" s="12"/>
      <c r="H123" s="12"/>
      <c r="I123" s="12"/>
      <c r="J123" s="12"/>
      <c r="K123" s="12"/>
      <c r="L123" s="12"/>
      <c r="M123" s="12"/>
      <c r="N123" s="12"/>
      <c r="O123" s="12"/>
      <c r="P123" s="12"/>
      <c r="Q123" s="12"/>
      <c r="R123" s="27"/>
      <c r="S123" s="27"/>
      <c r="T123" s="27"/>
      <c r="U123" s="27"/>
      <c r="V123" s="12"/>
      <c r="W123" s="12"/>
      <c r="X123" s="12"/>
      <c r="Y123" s="12"/>
      <c r="Z123" s="31"/>
      <c r="AA123" s="12"/>
      <c r="AB123" s="12"/>
      <c r="AC123" s="12"/>
      <c r="AD123" s="12"/>
      <c r="AE123" s="12"/>
      <c r="AF123" s="12"/>
      <c r="AG123" s="12"/>
      <c r="AH123" s="12"/>
    </row>
    <row r="124" spans="1:34" ht="12.75">
      <c r="A124" s="12"/>
      <c r="B124" s="12"/>
      <c r="C124" s="12"/>
      <c r="D124" s="12"/>
      <c r="E124" s="12"/>
      <c r="F124" s="12"/>
      <c r="G124" s="12"/>
      <c r="H124" s="12"/>
      <c r="I124" s="12"/>
      <c r="J124" s="12"/>
      <c r="K124" s="12"/>
      <c r="L124" s="12"/>
      <c r="M124" s="12"/>
      <c r="N124" s="12"/>
      <c r="O124" s="12"/>
      <c r="P124" s="12"/>
      <c r="Q124" s="12"/>
      <c r="R124" s="27"/>
      <c r="S124" s="27"/>
      <c r="T124" s="27"/>
      <c r="U124" s="27"/>
      <c r="V124" s="12"/>
      <c r="W124" s="12"/>
      <c r="X124" s="12"/>
      <c r="Y124" s="12"/>
      <c r="Z124" s="31"/>
      <c r="AA124" s="12"/>
      <c r="AB124" s="12"/>
      <c r="AC124" s="12"/>
      <c r="AD124" s="12"/>
      <c r="AE124" s="12"/>
      <c r="AF124" s="12"/>
      <c r="AG124" s="12"/>
      <c r="AH124" s="12"/>
    </row>
    <row r="125" spans="1:34" ht="12.75">
      <c r="A125" s="12"/>
      <c r="B125" s="12"/>
      <c r="C125" s="12"/>
      <c r="D125" s="12"/>
      <c r="E125" s="12"/>
      <c r="F125" s="12"/>
      <c r="G125" s="12"/>
      <c r="H125" s="12"/>
      <c r="I125" s="12"/>
      <c r="J125" s="12"/>
      <c r="K125" s="12"/>
      <c r="L125" s="12"/>
      <c r="M125" s="12"/>
      <c r="N125" s="12"/>
      <c r="O125" s="12"/>
      <c r="P125" s="12"/>
      <c r="Q125" s="12"/>
      <c r="R125" s="27"/>
      <c r="S125" s="27"/>
      <c r="T125" s="27"/>
      <c r="U125" s="27"/>
      <c r="V125" s="12"/>
      <c r="W125" s="12"/>
      <c r="X125" s="12"/>
      <c r="Y125" s="12"/>
      <c r="Z125" s="31"/>
      <c r="AA125" s="12"/>
      <c r="AB125" s="12"/>
      <c r="AC125" s="12"/>
      <c r="AD125" s="12"/>
      <c r="AE125" s="12"/>
      <c r="AF125" s="12"/>
      <c r="AG125" s="12"/>
      <c r="AH125" s="12"/>
    </row>
    <row r="126" spans="1:34" ht="12.75">
      <c r="A126" s="12"/>
      <c r="B126" s="12"/>
      <c r="C126" s="12"/>
      <c r="D126" s="12"/>
      <c r="E126" s="12"/>
      <c r="F126" s="12"/>
      <c r="G126" s="12"/>
      <c r="H126" s="12"/>
      <c r="I126" s="12"/>
      <c r="J126" s="12"/>
      <c r="K126" s="12"/>
      <c r="L126" s="12"/>
      <c r="M126" s="12"/>
      <c r="N126" s="12"/>
      <c r="O126" s="12"/>
      <c r="P126" s="12"/>
      <c r="Q126" s="12"/>
      <c r="R126" s="27"/>
      <c r="S126" s="27"/>
      <c r="T126" s="27"/>
      <c r="U126" s="27"/>
      <c r="V126" s="12"/>
      <c r="W126" s="12"/>
      <c r="X126" s="12"/>
      <c r="Y126" s="12"/>
      <c r="Z126" s="31"/>
      <c r="AA126" s="12"/>
      <c r="AB126" s="12"/>
      <c r="AC126" s="12"/>
      <c r="AD126" s="12"/>
      <c r="AE126" s="12"/>
      <c r="AF126" s="12"/>
      <c r="AG126" s="12"/>
      <c r="AH126" s="12"/>
    </row>
    <row r="127" spans="1:34" ht="12.75">
      <c r="A127" s="12"/>
      <c r="B127" s="12"/>
      <c r="C127" s="12"/>
      <c r="D127" s="12"/>
      <c r="E127" s="12"/>
      <c r="F127" s="12"/>
      <c r="G127" s="12"/>
      <c r="H127" s="12"/>
      <c r="I127" s="12"/>
      <c r="J127" s="12"/>
      <c r="K127" s="12"/>
      <c r="L127" s="12"/>
      <c r="M127" s="12"/>
      <c r="N127" s="12"/>
      <c r="O127" s="12"/>
      <c r="P127" s="12"/>
      <c r="Q127" s="12"/>
      <c r="R127" s="27"/>
      <c r="S127" s="27"/>
      <c r="T127" s="27"/>
      <c r="U127" s="27"/>
      <c r="V127" s="12"/>
      <c r="W127" s="12"/>
      <c r="X127" s="12"/>
      <c r="Y127" s="12"/>
      <c r="Z127" s="31"/>
      <c r="AA127" s="12"/>
      <c r="AB127" s="12"/>
      <c r="AC127" s="12"/>
      <c r="AD127" s="12"/>
      <c r="AE127" s="12"/>
      <c r="AF127" s="12"/>
      <c r="AG127" s="12"/>
      <c r="AH127" s="12"/>
    </row>
    <row r="128" spans="1:34" ht="12.75">
      <c r="A128" s="12"/>
      <c r="B128" s="12"/>
      <c r="C128" s="12"/>
      <c r="D128" s="12"/>
      <c r="E128" s="12"/>
      <c r="F128" s="12"/>
      <c r="G128" s="12"/>
      <c r="H128" s="12"/>
      <c r="I128" s="12"/>
      <c r="J128" s="12"/>
      <c r="K128" s="12"/>
      <c r="L128" s="12"/>
      <c r="M128" s="12"/>
      <c r="N128" s="12"/>
      <c r="O128" s="12"/>
      <c r="P128" s="12"/>
      <c r="Q128" s="12"/>
      <c r="R128" s="27"/>
      <c r="S128" s="27"/>
      <c r="T128" s="27"/>
      <c r="U128" s="27"/>
      <c r="V128" s="12"/>
      <c r="W128" s="12"/>
      <c r="X128" s="12"/>
      <c r="Y128" s="12"/>
      <c r="Z128" s="31"/>
      <c r="AA128" s="12"/>
      <c r="AB128" s="12"/>
      <c r="AC128" s="12"/>
      <c r="AD128" s="12"/>
      <c r="AE128" s="12"/>
      <c r="AF128" s="12"/>
      <c r="AG128" s="12"/>
      <c r="AH128" s="12"/>
    </row>
    <row r="129" spans="1:34" ht="12.75">
      <c r="A129" s="12"/>
      <c r="B129" s="12"/>
      <c r="C129" s="12"/>
      <c r="D129" s="12"/>
      <c r="E129" s="12"/>
      <c r="F129" s="12"/>
      <c r="G129" s="12"/>
      <c r="H129" s="12"/>
      <c r="I129" s="12"/>
      <c r="J129" s="12"/>
      <c r="K129" s="12"/>
      <c r="L129" s="12"/>
      <c r="M129" s="12"/>
      <c r="N129" s="12"/>
      <c r="O129" s="12"/>
      <c r="P129" s="12"/>
      <c r="Q129" s="12"/>
      <c r="R129" s="27"/>
      <c r="S129" s="27"/>
      <c r="T129" s="27"/>
      <c r="U129" s="27"/>
      <c r="V129" s="12"/>
      <c r="W129" s="12"/>
      <c r="X129" s="12"/>
      <c r="Y129" s="12"/>
      <c r="Z129" s="31"/>
      <c r="AA129" s="12"/>
      <c r="AB129" s="12"/>
      <c r="AC129" s="12"/>
      <c r="AD129" s="12"/>
      <c r="AE129" s="12"/>
      <c r="AF129" s="12"/>
      <c r="AG129" s="12"/>
      <c r="AH129" s="12"/>
    </row>
    <row r="130" spans="1:34" ht="12.75">
      <c r="A130" s="12"/>
      <c r="B130" s="12"/>
      <c r="C130" s="12"/>
      <c r="D130" s="12"/>
      <c r="E130" s="12"/>
      <c r="F130" s="12"/>
      <c r="G130" s="12"/>
      <c r="H130" s="12"/>
      <c r="I130" s="12"/>
      <c r="J130" s="12"/>
      <c r="K130" s="12"/>
      <c r="L130" s="12"/>
      <c r="M130" s="12"/>
      <c r="N130" s="12"/>
      <c r="O130" s="12"/>
      <c r="P130" s="12"/>
      <c r="Q130" s="12"/>
      <c r="R130" s="27"/>
      <c r="S130" s="27"/>
      <c r="T130" s="27"/>
      <c r="U130" s="27"/>
      <c r="V130" s="12"/>
      <c r="W130" s="12"/>
      <c r="X130" s="12"/>
      <c r="Y130" s="12"/>
      <c r="Z130" s="31"/>
      <c r="AA130" s="12"/>
      <c r="AB130" s="12"/>
      <c r="AC130" s="12"/>
      <c r="AD130" s="12"/>
      <c r="AE130" s="12"/>
      <c r="AF130" s="12"/>
      <c r="AG130" s="12"/>
      <c r="AH130" s="12"/>
    </row>
    <row r="131" spans="1:34" ht="12.75">
      <c r="A131" s="12"/>
      <c r="B131" s="12"/>
      <c r="C131" s="12"/>
      <c r="D131" s="12"/>
      <c r="E131" s="12"/>
      <c r="F131" s="12"/>
      <c r="G131" s="12"/>
      <c r="H131" s="12"/>
      <c r="I131" s="12"/>
      <c r="J131" s="12"/>
      <c r="K131" s="12"/>
      <c r="L131" s="12"/>
      <c r="M131" s="12"/>
      <c r="N131" s="12"/>
      <c r="O131" s="12"/>
      <c r="P131" s="12"/>
      <c r="Q131" s="12"/>
      <c r="R131" s="27"/>
      <c r="S131" s="27"/>
      <c r="T131" s="27"/>
      <c r="U131" s="27"/>
      <c r="V131" s="12"/>
      <c r="W131" s="12"/>
      <c r="X131" s="12"/>
      <c r="Y131" s="12"/>
      <c r="Z131" s="31"/>
      <c r="AA131" s="12"/>
      <c r="AB131" s="12"/>
      <c r="AC131" s="12"/>
      <c r="AD131" s="12"/>
      <c r="AE131" s="12"/>
      <c r="AF131" s="12"/>
      <c r="AG131" s="12"/>
      <c r="AH131" s="12"/>
    </row>
    <row r="132" spans="1:34" ht="12.75">
      <c r="A132" s="12"/>
      <c r="B132" s="12"/>
      <c r="C132" s="12"/>
      <c r="D132" s="12"/>
      <c r="E132" s="12"/>
      <c r="F132" s="12"/>
      <c r="G132" s="12"/>
      <c r="H132" s="12"/>
      <c r="I132" s="12"/>
      <c r="J132" s="12"/>
      <c r="K132" s="12"/>
      <c r="L132" s="12"/>
      <c r="M132" s="12"/>
      <c r="N132" s="12"/>
      <c r="O132" s="12"/>
      <c r="P132" s="12"/>
      <c r="Q132" s="12"/>
      <c r="R132" s="27"/>
      <c r="S132" s="27"/>
      <c r="T132" s="27"/>
      <c r="U132" s="27"/>
      <c r="V132" s="12"/>
      <c r="W132" s="12"/>
      <c r="X132" s="12"/>
      <c r="Y132" s="12"/>
      <c r="Z132" s="31"/>
      <c r="AA132" s="12"/>
      <c r="AB132" s="12"/>
      <c r="AC132" s="12"/>
      <c r="AD132" s="12"/>
      <c r="AE132" s="12"/>
      <c r="AF132" s="12"/>
      <c r="AG132" s="12"/>
      <c r="AH132" s="12"/>
    </row>
    <row r="133" spans="1:34" ht="12.75">
      <c r="A133" s="12"/>
      <c r="B133" s="12"/>
      <c r="C133" s="12"/>
      <c r="D133" s="12"/>
      <c r="E133" s="12"/>
      <c r="F133" s="12"/>
      <c r="G133" s="12"/>
      <c r="H133" s="12"/>
      <c r="I133" s="12"/>
      <c r="J133" s="12"/>
      <c r="K133" s="12"/>
      <c r="L133" s="12"/>
      <c r="M133" s="12"/>
      <c r="N133" s="12"/>
      <c r="O133" s="12"/>
      <c r="P133" s="12"/>
      <c r="Q133" s="12"/>
      <c r="R133" s="27"/>
      <c r="S133" s="27"/>
      <c r="T133" s="27"/>
      <c r="U133" s="27"/>
      <c r="V133" s="12"/>
      <c r="W133" s="12"/>
      <c r="X133" s="12"/>
      <c r="Y133" s="12"/>
      <c r="Z133" s="31"/>
      <c r="AA133" s="12"/>
      <c r="AB133" s="12"/>
      <c r="AC133" s="12"/>
      <c r="AD133" s="12"/>
      <c r="AE133" s="12"/>
      <c r="AF133" s="12"/>
      <c r="AG133" s="12"/>
      <c r="AH133" s="12"/>
    </row>
    <row r="134" spans="1:34" ht="12.75">
      <c r="A134" s="12"/>
      <c r="B134" s="12"/>
      <c r="C134" s="12"/>
      <c r="D134" s="12"/>
      <c r="E134" s="12"/>
      <c r="F134" s="12"/>
      <c r="G134" s="12"/>
      <c r="H134" s="12"/>
      <c r="I134" s="12"/>
      <c r="J134" s="12"/>
      <c r="K134" s="12"/>
      <c r="L134" s="12"/>
      <c r="M134" s="12"/>
      <c r="N134" s="12"/>
      <c r="O134" s="12"/>
      <c r="P134" s="12"/>
      <c r="Q134" s="12"/>
      <c r="R134" s="27"/>
      <c r="S134" s="27"/>
      <c r="T134" s="27"/>
      <c r="U134" s="27"/>
      <c r="V134" s="12"/>
      <c r="W134" s="12"/>
      <c r="X134" s="12"/>
      <c r="Y134" s="12"/>
      <c r="Z134" s="31"/>
      <c r="AA134" s="12"/>
      <c r="AB134" s="12"/>
      <c r="AC134" s="12"/>
      <c r="AD134" s="12"/>
      <c r="AE134" s="12"/>
      <c r="AF134" s="12"/>
      <c r="AG134" s="12"/>
      <c r="AH134" s="12"/>
    </row>
    <row r="135" spans="1:34" ht="12.75">
      <c r="A135" s="12"/>
      <c r="B135" s="12"/>
      <c r="C135" s="12"/>
      <c r="D135" s="12"/>
      <c r="E135" s="12"/>
      <c r="F135" s="12"/>
      <c r="G135" s="12"/>
      <c r="H135" s="12"/>
      <c r="I135" s="12"/>
      <c r="J135" s="12"/>
      <c r="K135" s="12"/>
      <c r="L135" s="12"/>
      <c r="M135" s="12"/>
      <c r="N135" s="12"/>
      <c r="O135" s="12"/>
      <c r="P135" s="12"/>
      <c r="Q135" s="12"/>
      <c r="R135" s="27"/>
      <c r="S135" s="27"/>
      <c r="T135" s="27"/>
      <c r="U135" s="27"/>
      <c r="V135" s="12"/>
      <c r="W135" s="12"/>
      <c r="X135" s="12"/>
      <c r="Y135" s="12"/>
      <c r="Z135" s="31"/>
      <c r="AA135" s="12"/>
      <c r="AB135" s="12"/>
      <c r="AC135" s="12"/>
      <c r="AD135" s="12"/>
      <c r="AE135" s="12"/>
      <c r="AF135" s="12"/>
      <c r="AG135" s="12"/>
      <c r="AH135" s="12"/>
    </row>
    <row r="136" spans="1:34" ht="12.75">
      <c r="A136" s="12"/>
      <c r="B136" s="12"/>
      <c r="C136" s="12"/>
      <c r="D136" s="12"/>
      <c r="E136" s="12"/>
      <c r="F136" s="12"/>
      <c r="G136" s="12"/>
      <c r="H136" s="12"/>
      <c r="I136" s="12"/>
      <c r="J136" s="12"/>
      <c r="K136" s="12"/>
      <c r="L136" s="12"/>
      <c r="M136" s="12"/>
      <c r="N136" s="12"/>
      <c r="O136" s="12"/>
      <c r="P136" s="12"/>
      <c r="Q136" s="12"/>
      <c r="R136" s="27"/>
      <c r="S136" s="27"/>
      <c r="T136" s="27"/>
      <c r="U136" s="27"/>
      <c r="V136" s="12"/>
      <c r="W136" s="12"/>
      <c r="X136" s="12"/>
      <c r="Y136" s="12"/>
      <c r="Z136" s="31"/>
      <c r="AA136" s="12"/>
      <c r="AB136" s="12"/>
      <c r="AC136" s="12"/>
      <c r="AD136" s="12"/>
      <c r="AE136" s="12"/>
      <c r="AF136" s="12"/>
      <c r="AG136" s="12"/>
      <c r="AH136" s="12"/>
    </row>
    <row r="137" spans="1:34" ht="12.75">
      <c r="A137" s="12"/>
      <c r="B137" s="12"/>
      <c r="C137" s="12"/>
      <c r="D137" s="12"/>
      <c r="E137" s="12"/>
      <c r="F137" s="12"/>
      <c r="G137" s="12"/>
      <c r="H137" s="12"/>
      <c r="I137" s="12"/>
      <c r="J137" s="12"/>
      <c r="K137" s="12"/>
      <c r="L137" s="12"/>
      <c r="M137" s="12"/>
      <c r="N137" s="12"/>
      <c r="O137" s="12"/>
      <c r="P137" s="12"/>
      <c r="Q137" s="12"/>
      <c r="R137" s="27"/>
      <c r="S137" s="27"/>
      <c r="T137" s="27"/>
      <c r="U137" s="27"/>
      <c r="V137" s="12"/>
      <c r="W137" s="12"/>
      <c r="X137" s="12"/>
      <c r="Y137" s="12"/>
      <c r="Z137" s="31"/>
      <c r="AA137" s="12"/>
      <c r="AB137" s="12"/>
      <c r="AC137" s="12"/>
      <c r="AD137" s="12"/>
      <c r="AE137" s="12"/>
      <c r="AF137" s="12"/>
      <c r="AG137" s="12"/>
      <c r="AH137" s="12"/>
    </row>
    <row r="138" spans="1:34" ht="12.75">
      <c r="A138" s="12"/>
      <c r="B138" s="12"/>
      <c r="C138" s="12"/>
      <c r="D138" s="12"/>
      <c r="E138" s="12"/>
      <c r="F138" s="12"/>
      <c r="G138" s="12"/>
      <c r="H138" s="12"/>
      <c r="I138" s="12"/>
      <c r="J138" s="12"/>
      <c r="K138" s="12"/>
      <c r="L138" s="12"/>
      <c r="M138" s="12"/>
      <c r="N138" s="12"/>
      <c r="O138" s="12"/>
      <c r="P138" s="12"/>
      <c r="Q138" s="12"/>
      <c r="R138" s="27"/>
      <c r="S138" s="27"/>
      <c r="T138" s="27"/>
      <c r="U138" s="27"/>
      <c r="V138" s="12"/>
      <c r="W138" s="12"/>
      <c r="X138" s="12"/>
      <c r="Y138" s="12"/>
      <c r="Z138" s="31"/>
      <c r="AA138" s="12"/>
      <c r="AB138" s="12"/>
      <c r="AC138" s="12"/>
      <c r="AD138" s="12"/>
      <c r="AE138" s="12"/>
      <c r="AF138" s="12"/>
      <c r="AG138" s="12"/>
      <c r="AH138" s="12"/>
    </row>
    <row r="139" spans="1:34" ht="12.75">
      <c r="A139" s="12"/>
      <c r="B139" s="12"/>
      <c r="C139" s="12"/>
      <c r="D139" s="12"/>
      <c r="E139" s="12"/>
      <c r="F139" s="12"/>
      <c r="G139" s="12"/>
      <c r="H139" s="12"/>
      <c r="I139" s="12"/>
      <c r="J139" s="12"/>
      <c r="K139" s="12"/>
      <c r="L139" s="12"/>
      <c r="M139" s="12"/>
      <c r="N139" s="12"/>
      <c r="O139" s="12"/>
      <c r="P139" s="12"/>
      <c r="Q139" s="12"/>
      <c r="R139" s="27"/>
      <c r="S139" s="27"/>
      <c r="T139" s="27"/>
      <c r="U139" s="27"/>
      <c r="V139" s="12"/>
      <c r="W139" s="12"/>
      <c r="X139" s="12"/>
      <c r="Y139" s="12"/>
      <c r="Z139" s="31"/>
      <c r="AA139" s="12"/>
      <c r="AB139" s="12"/>
      <c r="AC139" s="12"/>
      <c r="AD139" s="12"/>
      <c r="AE139" s="12"/>
      <c r="AF139" s="12"/>
      <c r="AG139" s="12"/>
      <c r="AH139" s="12"/>
    </row>
    <row r="140" spans="1:34" ht="12.75">
      <c r="A140" s="12"/>
      <c r="B140" s="12"/>
      <c r="C140" s="12"/>
      <c r="D140" s="12"/>
      <c r="E140" s="12"/>
      <c r="F140" s="12"/>
      <c r="G140" s="12"/>
      <c r="H140" s="12"/>
      <c r="I140" s="12"/>
      <c r="J140" s="12"/>
      <c r="K140" s="12"/>
      <c r="L140" s="12"/>
      <c r="M140" s="12"/>
      <c r="N140" s="12"/>
      <c r="O140" s="12"/>
      <c r="P140" s="12"/>
      <c r="Q140" s="12"/>
      <c r="R140" s="27"/>
      <c r="S140" s="27"/>
      <c r="T140" s="27"/>
      <c r="U140" s="27"/>
      <c r="V140" s="12"/>
      <c r="W140" s="12"/>
      <c r="X140" s="12"/>
      <c r="Y140" s="12"/>
      <c r="Z140" s="31"/>
      <c r="AA140" s="12"/>
      <c r="AB140" s="12"/>
      <c r="AC140" s="12"/>
      <c r="AD140" s="12"/>
      <c r="AE140" s="12"/>
      <c r="AF140" s="12"/>
      <c r="AG140" s="12"/>
      <c r="AH140" s="12"/>
    </row>
    <row r="141" spans="1:34" ht="12.75">
      <c r="A141" s="12"/>
      <c r="B141" s="12"/>
      <c r="C141" s="12"/>
      <c r="D141" s="12"/>
      <c r="E141" s="12"/>
      <c r="F141" s="12"/>
      <c r="G141" s="12"/>
      <c r="H141" s="12"/>
      <c r="I141" s="12"/>
      <c r="J141" s="12"/>
      <c r="K141" s="12"/>
      <c r="L141" s="12"/>
      <c r="M141" s="12"/>
      <c r="N141" s="12"/>
      <c r="O141" s="12"/>
      <c r="P141" s="12"/>
      <c r="Q141" s="12"/>
      <c r="R141" s="27"/>
      <c r="S141" s="27"/>
      <c r="T141" s="27"/>
      <c r="U141" s="27"/>
      <c r="V141" s="12"/>
      <c r="W141" s="12"/>
      <c r="X141" s="12"/>
      <c r="Y141" s="12"/>
      <c r="Z141" s="31"/>
      <c r="AA141" s="12"/>
      <c r="AB141" s="12"/>
      <c r="AC141" s="12"/>
      <c r="AD141" s="12"/>
      <c r="AE141" s="12"/>
      <c r="AF141" s="12"/>
      <c r="AG141" s="12"/>
      <c r="AH141" s="12"/>
    </row>
    <row r="142" spans="1:34" ht="12.75">
      <c r="A142" s="12"/>
      <c r="B142" s="12"/>
      <c r="C142" s="12"/>
      <c r="D142" s="12"/>
      <c r="E142" s="12"/>
      <c r="F142" s="12"/>
      <c r="G142" s="12"/>
      <c r="H142" s="12"/>
      <c r="I142" s="12"/>
      <c r="J142" s="12"/>
      <c r="K142" s="12"/>
      <c r="L142" s="12"/>
      <c r="M142" s="12"/>
      <c r="N142" s="12"/>
      <c r="O142" s="12"/>
      <c r="P142" s="12"/>
      <c r="Q142" s="12"/>
      <c r="R142" s="27"/>
      <c r="S142" s="27"/>
      <c r="T142" s="27"/>
      <c r="U142" s="27"/>
      <c r="V142" s="12"/>
      <c r="W142" s="12"/>
      <c r="X142" s="12"/>
      <c r="Y142" s="12"/>
      <c r="Z142" s="31"/>
      <c r="AA142" s="12"/>
      <c r="AB142" s="12"/>
      <c r="AC142" s="12"/>
      <c r="AD142" s="12"/>
      <c r="AE142" s="12"/>
      <c r="AF142" s="12"/>
      <c r="AG142" s="12"/>
      <c r="AH142" s="12"/>
    </row>
    <row r="143" spans="1:34" ht="12.75">
      <c r="A143" s="12"/>
      <c r="B143" s="12"/>
      <c r="C143" s="12"/>
      <c r="D143" s="12"/>
      <c r="E143" s="12"/>
      <c r="F143" s="12"/>
      <c r="G143" s="12"/>
      <c r="H143" s="12"/>
      <c r="I143" s="12"/>
      <c r="J143" s="12"/>
      <c r="K143" s="12"/>
      <c r="L143" s="12"/>
      <c r="M143" s="12"/>
      <c r="N143" s="12"/>
      <c r="O143" s="12"/>
      <c r="P143" s="12"/>
      <c r="Q143" s="12"/>
      <c r="R143" s="27"/>
      <c r="S143" s="27"/>
      <c r="T143" s="27"/>
      <c r="U143" s="27"/>
      <c r="V143" s="12"/>
      <c r="W143" s="12"/>
      <c r="X143" s="12"/>
      <c r="Y143" s="12"/>
      <c r="Z143" s="31"/>
      <c r="AA143" s="12"/>
      <c r="AB143" s="12"/>
      <c r="AC143" s="12"/>
      <c r="AD143" s="12"/>
      <c r="AE143" s="12"/>
      <c r="AF143" s="12"/>
      <c r="AG143" s="12"/>
      <c r="AH143" s="12"/>
    </row>
    <row r="144" spans="1:34" ht="12.75">
      <c r="A144" s="12"/>
      <c r="B144" s="12"/>
      <c r="C144" s="12"/>
      <c r="D144" s="12"/>
      <c r="E144" s="12"/>
      <c r="F144" s="12"/>
      <c r="G144" s="12"/>
      <c r="H144" s="12"/>
      <c r="I144" s="12"/>
      <c r="J144" s="12"/>
      <c r="K144" s="12"/>
      <c r="L144" s="12"/>
      <c r="M144" s="12"/>
      <c r="N144" s="12"/>
      <c r="O144" s="12"/>
      <c r="P144" s="12"/>
      <c r="Q144" s="12"/>
      <c r="R144" s="27"/>
      <c r="S144" s="27"/>
      <c r="T144" s="27"/>
      <c r="U144" s="27"/>
      <c r="V144" s="12"/>
      <c r="W144" s="12"/>
      <c r="X144" s="12"/>
      <c r="Y144" s="12"/>
      <c r="Z144" s="31"/>
      <c r="AA144" s="12"/>
      <c r="AB144" s="12"/>
      <c r="AC144" s="12"/>
      <c r="AD144" s="12"/>
      <c r="AE144" s="12"/>
      <c r="AF144" s="12"/>
      <c r="AG144" s="12"/>
      <c r="AH144" s="12"/>
    </row>
    <row r="145" spans="1:34" ht="12.75">
      <c r="A145" s="12"/>
      <c r="B145" s="12"/>
      <c r="C145" s="12"/>
      <c r="D145" s="12"/>
      <c r="E145" s="12"/>
      <c r="F145" s="12"/>
      <c r="G145" s="12"/>
      <c r="H145" s="12"/>
      <c r="I145" s="12"/>
      <c r="J145" s="12"/>
      <c r="K145" s="12"/>
      <c r="L145" s="12"/>
      <c r="M145" s="12"/>
      <c r="N145" s="12"/>
      <c r="O145" s="12"/>
      <c r="P145" s="12"/>
      <c r="Q145" s="12"/>
      <c r="R145" s="27"/>
      <c r="S145" s="27"/>
      <c r="T145" s="27"/>
      <c r="U145" s="27"/>
      <c r="V145" s="12"/>
      <c r="W145" s="12"/>
      <c r="X145" s="12"/>
      <c r="Y145" s="12"/>
      <c r="Z145" s="31"/>
      <c r="AA145" s="12"/>
      <c r="AB145" s="12"/>
      <c r="AC145" s="12"/>
      <c r="AD145" s="12"/>
      <c r="AE145" s="12"/>
      <c r="AF145" s="12"/>
      <c r="AG145" s="12"/>
      <c r="AH145" s="12"/>
    </row>
    <row r="146" spans="1:34" ht="12.75">
      <c r="A146" s="12"/>
      <c r="B146" s="12"/>
      <c r="C146" s="12"/>
      <c r="D146" s="12"/>
      <c r="E146" s="12"/>
      <c r="F146" s="12"/>
      <c r="G146" s="12"/>
      <c r="H146" s="12"/>
      <c r="I146" s="12"/>
      <c r="J146" s="12"/>
      <c r="K146" s="12"/>
      <c r="L146" s="12"/>
      <c r="M146" s="12"/>
      <c r="N146" s="12"/>
      <c r="O146" s="12"/>
      <c r="P146" s="12"/>
      <c r="Q146" s="12"/>
      <c r="R146" s="27"/>
      <c r="S146" s="27"/>
      <c r="T146" s="27"/>
      <c r="U146" s="27"/>
      <c r="V146" s="12"/>
      <c r="W146" s="12"/>
      <c r="X146" s="12"/>
      <c r="Y146" s="12"/>
      <c r="Z146" s="31"/>
      <c r="AA146" s="12"/>
      <c r="AB146" s="12"/>
      <c r="AC146" s="12"/>
      <c r="AD146" s="12"/>
      <c r="AE146" s="12"/>
      <c r="AF146" s="12"/>
      <c r="AG146" s="12"/>
      <c r="AH146" s="12"/>
    </row>
    <row r="147" spans="1:34" ht="12.75">
      <c r="A147" s="12"/>
      <c r="B147" s="12"/>
      <c r="C147" s="12"/>
      <c r="D147" s="12"/>
      <c r="E147" s="12"/>
      <c r="F147" s="12"/>
      <c r="G147" s="12"/>
      <c r="H147" s="12"/>
      <c r="I147" s="12"/>
      <c r="J147" s="12"/>
      <c r="K147" s="12"/>
      <c r="L147" s="12"/>
      <c r="M147" s="12"/>
      <c r="N147" s="12"/>
      <c r="O147" s="12"/>
      <c r="P147" s="12"/>
      <c r="Q147" s="12"/>
      <c r="R147" s="27"/>
      <c r="S147" s="27"/>
      <c r="T147" s="27"/>
      <c r="U147" s="27"/>
      <c r="V147" s="12"/>
      <c r="W147" s="12"/>
      <c r="X147" s="12"/>
      <c r="Y147" s="12"/>
      <c r="Z147" s="31"/>
      <c r="AA147" s="12"/>
      <c r="AB147" s="12"/>
      <c r="AC147" s="12"/>
      <c r="AD147" s="12"/>
      <c r="AE147" s="12"/>
      <c r="AF147" s="12"/>
      <c r="AG147" s="12"/>
      <c r="AH147" s="12"/>
    </row>
    <row r="148" spans="1:34" ht="12.75">
      <c r="A148" s="12"/>
      <c r="B148" s="12"/>
      <c r="C148" s="12"/>
      <c r="D148" s="12"/>
      <c r="E148" s="12"/>
      <c r="F148" s="12"/>
      <c r="G148" s="12"/>
      <c r="H148" s="12"/>
      <c r="I148" s="12"/>
      <c r="J148" s="12"/>
      <c r="K148" s="12"/>
      <c r="L148" s="12"/>
      <c r="M148" s="12"/>
      <c r="N148" s="12"/>
      <c r="O148" s="12"/>
      <c r="P148" s="12"/>
      <c r="Q148" s="12"/>
      <c r="R148" s="27"/>
      <c r="S148" s="27"/>
      <c r="T148" s="27"/>
      <c r="U148" s="27"/>
      <c r="V148" s="12"/>
      <c r="W148" s="12"/>
      <c r="X148" s="12"/>
      <c r="Y148" s="12"/>
      <c r="Z148" s="31"/>
      <c r="AA148" s="12"/>
      <c r="AB148" s="12"/>
      <c r="AC148" s="12"/>
      <c r="AD148" s="12"/>
      <c r="AE148" s="12"/>
      <c r="AF148" s="12"/>
      <c r="AG148" s="12"/>
      <c r="AH148" s="12"/>
    </row>
    <row r="149" spans="1:34" ht="12.75">
      <c r="A149" s="12"/>
      <c r="B149" s="12"/>
      <c r="C149" s="12"/>
      <c r="D149" s="12"/>
      <c r="E149" s="12"/>
      <c r="F149" s="12"/>
      <c r="G149" s="12"/>
      <c r="H149" s="12"/>
      <c r="I149" s="12"/>
      <c r="J149" s="12"/>
      <c r="K149" s="12"/>
      <c r="L149" s="12"/>
      <c r="M149" s="12"/>
      <c r="N149" s="12"/>
      <c r="O149" s="12"/>
      <c r="P149" s="12"/>
      <c r="Q149" s="12"/>
      <c r="R149" s="27"/>
      <c r="S149" s="27"/>
      <c r="T149" s="27"/>
      <c r="U149" s="27"/>
      <c r="V149" s="12"/>
      <c r="W149" s="12"/>
      <c r="X149" s="12"/>
      <c r="Y149" s="12"/>
      <c r="Z149" s="31"/>
      <c r="AA149" s="12"/>
      <c r="AB149" s="12"/>
      <c r="AC149" s="12"/>
      <c r="AD149" s="12"/>
      <c r="AE149" s="12"/>
      <c r="AF149" s="12"/>
      <c r="AG149" s="12"/>
      <c r="AH149" s="12"/>
    </row>
    <row r="150" spans="1:34" ht="12.75">
      <c r="A150" s="12"/>
      <c r="B150" s="12"/>
      <c r="C150" s="12"/>
      <c r="D150" s="12"/>
      <c r="E150" s="12"/>
      <c r="F150" s="12"/>
      <c r="G150" s="12"/>
      <c r="H150" s="12"/>
      <c r="I150" s="12"/>
      <c r="J150" s="12"/>
      <c r="K150" s="12"/>
      <c r="L150" s="12"/>
      <c r="M150" s="12"/>
      <c r="N150" s="12"/>
      <c r="O150" s="12"/>
      <c r="P150" s="12"/>
      <c r="Q150" s="12"/>
      <c r="R150" s="27"/>
      <c r="S150" s="27"/>
      <c r="T150" s="27"/>
      <c r="U150" s="27"/>
      <c r="V150" s="12"/>
      <c r="W150" s="12"/>
      <c r="X150" s="12"/>
      <c r="Y150" s="12"/>
      <c r="Z150" s="31"/>
      <c r="AA150" s="12"/>
      <c r="AB150" s="12"/>
      <c r="AC150" s="12"/>
      <c r="AD150" s="12"/>
      <c r="AE150" s="12"/>
      <c r="AF150" s="12"/>
      <c r="AG150" s="12"/>
      <c r="AH150" s="12"/>
    </row>
    <row r="151" spans="1:34" ht="12.75">
      <c r="A151" s="12"/>
      <c r="B151" s="12"/>
      <c r="C151" s="12"/>
      <c r="D151" s="12"/>
      <c r="E151" s="12"/>
      <c r="F151" s="12"/>
      <c r="G151" s="12"/>
      <c r="H151" s="12"/>
      <c r="I151" s="12"/>
      <c r="J151" s="12"/>
      <c r="K151" s="12"/>
      <c r="L151" s="12"/>
      <c r="M151" s="12"/>
      <c r="N151" s="12"/>
      <c r="O151" s="12"/>
      <c r="P151" s="12"/>
      <c r="Q151" s="12"/>
      <c r="R151" s="27"/>
      <c r="S151" s="27"/>
      <c r="T151" s="27"/>
      <c r="U151" s="27"/>
      <c r="V151" s="12"/>
      <c r="W151" s="12"/>
      <c r="X151" s="12"/>
      <c r="Y151" s="12"/>
      <c r="Z151" s="31"/>
      <c r="AA151" s="12"/>
      <c r="AB151" s="12"/>
      <c r="AC151" s="12"/>
      <c r="AD151" s="12"/>
      <c r="AE151" s="12"/>
      <c r="AF151" s="12"/>
      <c r="AG151" s="12"/>
      <c r="AH151" s="12"/>
    </row>
    <row r="152" spans="1:34" ht="12.75">
      <c r="A152" s="12"/>
      <c r="B152" s="12"/>
      <c r="C152" s="12"/>
      <c r="D152" s="12"/>
      <c r="E152" s="12"/>
      <c r="F152" s="12"/>
      <c r="G152" s="12"/>
      <c r="H152" s="12"/>
      <c r="I152" s="12"/>
      <c r="J152" s="12"/>
      <c r="K152" s="12"/>
      <c r="L152" s="12"/>
      <c r="M152" s="12"/>
      <c r="N152" s="12"/>
      <c r="O152" s="12"/>
      <c r="P152" s="12"/>
      <c r="Q152" s="12"/>
      <c r="R152" s="27"/>
      <c r="S152" s="27"/>
      <c r="T152" s="27"/>
      <c r="U152" s="27"/>
      <c r="V152" s="12"/>
      <c r="W152" s="12"/>
      <c r="X152" s="12"/>
      <c r="Y152" s="12"/>
      <c r="Z152" s="31"/>
      <c r="AA152" s="12"/>
      <c r="AB152" s="12"/>
      <c r="AC152" s="12"/>
      <c r="AD152" s="12"/>
      <c r="AE152" s="12"/>
      <c r="AF152" s="12"/>
      <c r="AG152" s="12"/>
      <c r="AH152" s="12"/>
    </row>
    <row r="153" spans="1:34" ht="12.75">
      <c r="A153" s="12"/>
      <c r="B153" s="12"/>
      <c r="C153" s="12"/>
      <c r="D153" s="12"/>
      <c r="E153" s="12"/>
      <c r="F153" s="12"/>
      <c r="G153" s="12"/>
      <c r="H153" s="12"/>
      <c r="I153" s="12"/>
      <c r="J153" s="12"/>
      <c r="K153" s="12"/>
      <c r="L153" s="12"/>
      <c r="M153" s="12"/>
      <c r="N153" s="12"/>
      <c r="O153" s="12"/>
      <c r="P153" s="12"/>
      <c r="Q153" s="12"/>
      <c r="R153" s="27"/>
      <c r="S153" s="27"/>
      <c r="T153" s="27"/>
      <c r="U153" s="27"/>
      <c r="V153" s="12"/>
      <c r="W153" s="12"/>
      <c r="X153" s="12"/>
      <c r="Y153" s="12"/>
      <c r="Z153" s="31"/>
      <c r="AA153" s="12"/>
      <c r="AB153" s="12"/>
      <c r="AC153" s="12"/>
      <c r="AD153" s="12"/>
      <c r="AE153" s="12"/>
      <c r="AF153" s="12"/>
      <c r="AG153" s="12"/>
      <c r="AH153" s="12"/>
    </row>
    <row r="154" spans="1:34" ht="12.75">
      <c r="A154" s="12"/>
      <c r="B154" s="12"/>
      <c r="C154" s="12"/>
      <c r="D154" s="12"/>
      <c r="E154" s="12"/>
      <c r="F154" s="12"/>
      <c r="G154" s="12"/>
      <c r="H154" s="12"/>
      <c r="I154" s="12"/>
      <c r="J154" s="12"/>
      <c r="K154" s="12"/>
      <c r="L154" s="12"/>
      <c r="M154" s="12"/>
      <c r="N154" s="12"/>
      <c r="O154" s="12"/>
      <c r="P154" s="12"/>
      <c r="Q154" s="12"/>
      <c r="R154" s="27"/>
      <c r="S154" s="27"/>
      <c r="T154" s="27"/>
      <c r="U154" s="27"/>
      <c r="V154" s="12"/>
      <c r="W154" s="12"/>
      <c r="X154" s="12"/>
      <c r="Y154" s="12"/>
      <c r="Z154" s="31"/>
      <c r="AA154" s="12"/>
      <c r="AB154" s="12"/>
      <c r="AC154" s="12"/>
      <c r="AD154" s="12"/>
      <c r="AE154" s="12"/>
      <c r="AF154" s="12"/>
      <c r="AG154" s="12"/>
      <c r="AH154" s="12"/>
    </row>
    <row r="155" spans="1:34" ht="12.75">
      <c r="A155" s="12"/>
      <c r="B155" s="12"/>
      <c r="C155" s="12"/>
      <c r="D155" s="12"/>
      <c r="E155" s="12"/>
      <c r="F155" s="12"/>
      <c r="G155" s="12"/>
      <c r="H155" s="12"/>
      <c r="I155" s="12"/>
      <c r="J155" s="12"/>
      <c r="K155" s="12"/>
      <c r="L155" s="12"/>
      <c r="M155" s="12"/>
      <c r="N155" s="12"/>
      <c r="O155" s="12"/>
      <c r="P155" s="12"/>
      <c r="Q155" s="12"/>
      <c r="R155" s="27"/>
      <c r="S155" s="27"/>
      <c r="T155" s="27"/>
      <c r="U155" s="27"/>
      <c r="V155" s="12"/>
      <c r="W155" s="12"/>
      <c r="X155" s="12"/>
      <c r="Y155" s="12"/>
      <c r="Z155" s="31"/>
      <c r="AA155" s="12"/>
      <c r="AB155" s="12"/>
      <c r="AC155" s="12"/>
      <c r="AD155" s="12"/>
      <c r="AE155" s="12"/>
      <c r="AF155" s="12"/>
      <c r="AG155" s="12"/>
      <c r="AH155" s="12"/>
    </row>
    <row r="156" spans="1:34" ht="12.75">
      <c r="A156" s="12"/>
      <c r="B156" s="12"/>
      <c r="C156" s="12"/>
      <c r="D156" s="12"/>
      <c r="E156" s="12"/>
      <c r="F156" s="12"/>
      <c r="G156" s="12"/>
      <c r="H156" s="12"/>
      <c r="I156" s="12"/>
      <c r="J156" s="12"/>
      <c r="K156" s="12"/>
      <c r="L156" s="12"/>
      <c r="M156" s="12"/>
      <c r="N156" s="12"/>
      <c r="O156" s="12"/>
      <c r="P156" s="12"/>
      <c r="Q156" s="12"/>
      <c r="R156" s="27"/>
      <c r="S156" s="27"/>
      <c r="T156" s="27"/>
      <c r="U156" s="27"/>
      <c r="V156" s="12"/>
      <c r="W156" s="12"/>
      <c r="X156" s="12"/>
      <c r="Y156" s="12"/>
      <c r="Z156" s="31"/>
      <c r="AA156" s="12"/>
      <c r="AB156" s="12"/>
      <c r="AC156" s="12"/>
      <c r="AD156" s="12"/>
      <c r="AE156" s="12"/>
      <c r="AF156" s="12"/>
      <c r="AG156" s="12"/>
      <c r="AH156" s="12"/>
    </row>
    <row r="157" spans="1:34" ht="12.75">
      <c r="A157" s="12"/>
      <c r="B157" s="12"/>
      <c r="C157" s="12"/>
      <c r="D157" s="12"/>
      <c r="E157" s="12"/>
      <c r="F157" s="12"/>
      <c r="G157" s="12"/>
      <c r="H157" s="12"/>
      <c r="I157" s="12"/>
      <c r="J157" s="12"/>
      <c r="K157" s="12"/>
      <c r="L157" s="12"/>
      <c r="M157" s="12"/>
      <c r="N157" s="12"/>
      <c r="O157" s="12"/>
      <c r="P157" s="12"/>
      <c r="Q157" s="12"/>
      <c r="R157" s="27"/>
      <c r="S157" s="27"/>
      <c r="T157" s="27"/>
      <c r="U157" s="27"/>
      <c r="V157" s="12"/>
      <c r="W157" s="12"/>
      <c r="X157" s="12"/>
      <c r="Y157" s="12"/>
      <c r="Z157" s="31"/>
      <c r="AA157" s="12"/>
      <c r="AB157" s="12"/>
      <c r="AC157" s="12"/>
      <c r="AD157" s="12"/>
      <c r="AE157" s="12"/>
      <c r="AF157" s="12"/>
      <c r="AG157" s="12"/>
      <c r="AH157" s="12"/>
    </row>
    <row r="158" spans="1:34" ht="12.75">
      <c r="A158" s="12"/>
      <c r="B158" s="12"/>
      <c r="C158" s="12"/>
      <c r="D158" s="12"/>
      <c r="E158" s="12"/>
      <c r="F158" s="12"/>
      <c r="G158" s="12"/>
      <c r="H158" s="12"/>
      <c r="I158" s="12"/>
      <c r="J158" s="12"/>
      <c r="K158" s="12"/>
      <c r="L158" s="12"/>
      <c r="M158" s="12"/>
      <c r="N158" s="12"/>
      <c r="O158" s="12"/>
      <c r="P158" s="12"/>
      <c r="Q158" s="12"/>
      <c r="R158" s="27"/>
      <c r="S158" s="27"/>
      <c r="T158" s="27"/>
      <c r="U158" s="27"/>
      <c r="V158" s="12"/>
      <c r="W158" s="12"/>
      <c r="X158" s="12"/>
      <c r="Y158" s="12"/>
      <c r="Z158" s="31"/>
      <c r="AA158" s="12"/>
      <c r="AB158" s="12"/>
      <c r="AC158" s="12"/>
      <c r="AD158" s="12"/>
      <c r="AE158" s="12"/>
      <c r="AF158" s="12"/>
      <c r="AG158" s="12"/>
      <c r="AH158" s="12"/>
    </row>
    <row r="159" spans="1:34" ht="12.75">
      <c r="A159" s="12"/>
      <c r="B159" s="12"/>
      <c r="C159" s="12"/>
      <c r="D159" s="12"/>
      <c r="E159" s="12"/>
      <c r="F159" s="12"/>
      <c r="G159" s="12"/>
      <c r="H159" s="12"/>
      <c r="I159" s="12"/>
      <c r="J159" s="12"/>
      <c r="K159" s="12"/>
      <c r="L159" s="12"/>
      <c r="M159" s="12"/>
      <c r="N159" s="12"/>
      <c r="O159" s="12"/>
      <c r="P159" s="12"/>
      <c r="Q159" s="12"/>
      <c r="R159" s="27"/>
      <c r="S159" s="27"/>
      <c r="T159" s="27"/>
      <c r="U159" s="27"/>
      <c r="V159" s="12"/>
      <c r="W159" s="12"/>
      <c r="X159" s="12"/>
      <c r="Y159" s="12"/>
      <c r="Z159" s="31"/>
      <c r="AA159" s="12"/>
      <c r="AB159" s="12"/>
      <c r="AC159" s="12"/>
      <c r="AD159" s="12"/>
      <c r="AE159" s="12"/>
      <c r="AF159" s="12"/>
      <c r="AG159" s="12"/>
      <c r="AH159" s="12"/>
    </row>
    <row r="160" spans="1:34" ht="12.75">
      <c r="A160" s="12"/>
      <c r="B160" s="12"/>
      <c r="C160" s="12"/>
      <c r="D160" s="12"/>
      <c r="E160" s="12"/>
      <c r="F160" s="12"/>
      <c r="G160" s="12"/>
      <c r="H160" s="12"/>
      <c r="I160" s="12"/>
      <c r="J160" s="12"/>
      <c r="K160" s="12"/>
      <c r="L160" s="12"/>
      <c r="M160" s="12"/>
      <c r="N160" s="12"/>
      <c r="O160" s="12"/>
      <c r="P160" s="12"/>
      <c r="Q160" s="12"/>
      <c r="R160" s="27"/>
      <c r="S160" s="27"/>
      <c r="T160" s="27"/>
      <c r="U160" s="27"/>
      <c r="V160" s="12"/>
      <c r="W160" s="12"/>
      <c r="X160" s="12"/>
      <c r="Y160" s="12"/>
      <c r="Z160" s="31"/>
      <c r="AA160" s="12"/>
      <c r="AB160" s="12"/>
      <c r="AC160" s="12"/>
      <c r="AD160" s="12"/>
      <c r="AE160" s="12"/>
      <c r="AF160" s="12"/>
      <c r="AG160" s="12"/>
      <c r="AH160" s="12"/>
    </row>
    <row r="161" spans="1:34" ht="12.75">
      <c r="A161" s="12"/>
      <c r="B161" s="12"/>
      <c r="C161" s="12"/>
      <c r="D161" s="12"/>
      <c r="E161" s="12"/>
      <c r="F161" s="12"/>
      <c r="G161" s="12"/>
      <c r="H161" s="12"/>
      <c r="I161" s="12"/>
      <c r="J161" s="12"/>
      <c r="K161" s="12"/>
      <c r="L161" s="12"/>
      <c r="M161" s="12"/>
      <c r="N161" s="12"/>
      <c r="O161" s="12"/>
      <c r="P161" s="12"/>
      <c r="Q161" s="12"/>
      <c r="R161" s="27"/>
      <c r="S161" s="27"/>
      <c r="T161" s="27"/>
      <c r="U161" s="27"/>
      <c r="V161" s="12"/>
      <c r="W161" s="12"/>
      <c r="X161" s="12"/>
      <c r="Y161" s="12"/>
      <c r="Z161" s="31"/>
      <c r="AA161" s="12"/>
      <c r="AB161" s="12"/>
      <c r="AC161" s="12"/>
      <c r="AD161" s="12"/>
      <c r="AE161" s="12"/>
      <c r="AF161" s="12"/>
      <c r="AG161" s="12"/>
      <c r="AH161" s="12"/>
    </row>
    <row r="162" spans="1:34" ht="12.75">
      <c r="A162" s="12"/>
      <c r="B162" s="12"/>
      <c r="C162" s="12"/>
      <c r="D162" s="12"/>
      <c r="E162" s="12"/>
      <c r="F162" s="12"/>
      <c r="G162" s="12"/>
      <c r="H162" s="12"/>
      <c r="I162" s="12"/>
      <c r="J162" s="12"/>
      <c r="K162" s="12"/>
      <c r="L162" s="12"/>
      <c r="M162" s="12"/>
      <c r="N162" s="12"/>
      <c r="O162" s="12"/>
      <c r="P162" s="12"/>
      <c r="Q162" s="12"/>
      <c r="R162" s="27"/>
      <c r="S162" s="27"/>
      <c r="T162" s="27"/>
      <c r="U162" s="27"/>
      <c r="V162" s="12"/>
      <c r="W162" s="12"/>
      <c r="X162" s="12"/>
      <c r="Y162" s="12"/>
      <c r="Z162" s="31"/>
      <c r="AA162" s="12"/>
      <c r="AB162" s="12"/>
      <c r="AC162" s="12"/>
      <c r="AD162" s="12"/>
      <c r="AE162" s="12"/>
      <c r="AF162" s="12"/>
      <c r="AG162" s="12"/>
      <c r="AH162" s="12"/>
    </row>
    <row r="163" spans="1:34" ht="12.75">
      <c r="A163" s="12"/>
      <c r="B163" s="12"/>
      <c r="C163" s="12"/>
      <c r="D163" s="12"/>
      <c r="E163" s="12"/>
      <c r="F163" s="12"/>
      <c r="G163" s="12"/>
      <c r="H163" s="12"/>
      <c r="I163" s="12"/>
      <c r="J163" s="12"/>
      <c r="K163" s="12"/>
      <c r="L163" s="12"/>
      <c r="M163" s="12"/>
      <c r="N163" s="12"/>
      <c r="O163" s="12"/>
      <c r="P163" s="12"/>
      <c r="Q163" s="12"/>
      <c r="R163" s="27"/>
      <c r="S163" s="27"/>
      <c r="T163" s="27"/>
      <c r="U163" s="27"/>
      <c r="V163" s="12"/>
      <c r="W163" s="12"/>
      <c r="X163" s="12"/>
      <c r="Y163" s="12"/>
      <c r="Z163" s="31"/>
      <c r="AA163" s="12"/>
      <c r="AB163" s="12"/>
      <c r="AC163" s="12"/>
      <c r="AD163" s="12"/>
      <c r="AE163" s="12"/>
      <c r="AF163" s="12"/>
      <c r="AG163" s="12"/>
      <c r="AH163" s="12"/>
    </row>
    <row r="164" spans="1:34" ht="12.75">
      <c r="A164" s="12"/>
      <c r="B164" s="12"/>
      <c r="C164" s="12"/>
      <c r="D164" s="12"/>
      <c r="E164" s="12"/>
      <c r="F164" s="12"/>
      <c r="G164" s="12"/>
      <c r="H164" s="12"/>
      <c r="I164" s="12"/>
      <c r="J164" s="12"/>
      <c r="K164" s="12"/>
      <c r="L164" s="12"/>
      <c r="M164" s="12"/>
      <c r="N164" s="12"/>
      <c r="O164" s="12"/>
      <c r="P164" s="12"/>
      <c r="Q164" s="12"/>
      <c r="R164" s="27"/>
      <c r="S164" s="27"/>
      <c r="T164" s="27"/>
      <c r="U164" s="27"/>
      <c r="V164" s="12"/>
      <c r="W164" s="12"/>
      <c r="X164" s="12"/>
      <c r="Y164" s="12"/>
      <c r="Z164" s="31"/>
      <c r="AA164" s="12"/>
      <c r="AB164" s="12"/>
      <c r="AC164" s="12"/>
      <c r="AD164" s="12"/>
      <c r="AE164" s="12"/>
      <c r="AF164" s="12"/>
      <c r="AG164" s="12"/>
      <c r="AH164" s="12"/>
    </row>
    <row r="165" spans="1:34" ht="12.75">
      <c r="A165" s="12"/>
      <c r="B165" s="12"/>
      <c r="C165" s="12"/>
      <c r="D165" s="12"/>
      <c r="E165" s="12"/>
      <c r="F165" s="12"/>
      <c r="G165" s="12"/>
      <c r="H165" s="12"/>
      <c r="I165" s="12"/>
      <c r="J165" s="12"/>
      <c r="K165" s="12"/>
      <c r="L165" s="12"/>
      <c r="M165" s="12"/>
      <c r="N165" s="12"/>
      <c r="O165" s="12"/>
      <c r="P165" s="12"/>
      <c r="Q165" s="12"/>
      <c r="R165" s="27"/>
      <c r="S165" s="27"/>
      <c r="T165" s="27"/>
      <c r="U165" s="27"/>
      <c r="V165" s="12"/>
      <c r="W165" s="12"/>
      <c r="X165" s="12"/>
      <c r="Y165" s="12"/>
      <c r="Z165" s="31"/>
      <c r="AA165" s="12"/>
      <c r="AB165" s="12"/>
      <c r="AC165" s="12"/>
      <c r="AD165" s="12"/>
      <c r="AE165" s="12"/>
      <c r="AF165" s="12"/>
      <c r="AG165" s="12"/>
      <c r="AH165" s="12"/>
    </row>
    <row r="166" spans="1:34" ht="12.75">
      <c r="A166" s="12"/>
      <c r="B166" s="12"/>
      <c r="C166" s="12"/>
      <c r="D166" s="12"/>
      <c r="E166" s="12"/>
      <c r="F166" s="12"/>
      <c r="G166" s="12"/>
      <c r="H166" s="12"/>
      <c r="I166" s="12"/>
      <c r="J166" s="12"/>
      <c r="K166" s="12"/>
      <c r="L166" s="12"/>
      <c r="M166" s="12"/>
      <c r="N166" s="12"/>
      <c r="O166" s="12"/>
      <c r="P166" s="12"/>
      <c r="Q166" s="12"/>
      <c r="R166" s="27"/>
      <c r="S166" s="27"/>
      <c r="T166" s="27"/>
      <c r="U166" s="27"/>
      <c r="V166" s="12"/>
      <c r="W166" s="12"/>
      <c r="X166" s="12"/>
      <c r="Y166" s="12"/>
      <c r="Z166" s="31"/>
      <c r="AA166" s="12"/>
      <c r="AB166" s="12"/>
      <c r="AC166" s="12"/>
      <c r="AD166" s="12"/>
      <c r="AE166" s="12"/>
      <c r="AF166" s="12"/>
      <c r="AG166" s="12"/>
      <c r="AH166" s="12"/>
    </row>
    <row r="167" spans="1:34" ht="12.75">
      <c r="A167" s="12"/>
      <c r="B167" s="12"/>
      <c r="C167" s="12"/>
      <c r="D167" s="12"/>
      <c r="E167" s="12"/>
      <c r="F167" s="12"/>
      <c r="G167" s="12"/>
      <c r="H167" s="12"/>
      <c r="I167" s="12"/>
      <c r="J167" s="12"/>
      <c r="K167" s="12"/>
      <c r="L167" s="12"/>
      <c r="M167" s="12"/>
      <c r="N167" s="12"/>
      <c r="O167" s="12"/>
      <c r="P167" s="12"/>
      <c r="Q167" s="12"/>
      <c r="R167" s="27"/>
      <c r="S167" s="27"/>
      <c r="T167" s="27"/>
      <c r="U167" s="27"/>
      <c r="V167" s="12"/>
      <c r="W167" s="12"/>
      <c r="X167" s="12"/>
      <c r="Y167" s="12"/>
      <c r="Z167" s="31"/>
      <c r="AA167" s="12"/>
      <c r="AB167" s="12"/>
      <c r="AC167" s="12"/>
      <c r="AD167" s="12"/>
      <c r="AE167" s="12"/>
      <c r="AF167" s="12"/>
      <c r="AG167" s="12"/>
      <c r="AH167" s="12"/>
    </row>
    <row r="168" spans="1:34" ht="12.75">
      <c r="A168" s="12"/>
      <c r="B168" s="12"/>
      <c r="C168" s="12"/>
      <c r="D168" s="12"/>
      <c r="E168" s="12"/>
      <c r="F168" s="12"/>
      <c r="G168" s="12"/>
      <c r="H168" s="12"/>
      <c r="I168" s="12"/>
      <c r="J168" s="12"/>
      <c r="K168" s="12"/>
      <c r="L168" s="12"/>
      <c r="M168" s="12"/>
      <c r="N168" s="12"/>
      <c r="O168" s="12"/>
      <c r="P168" s="12"/>
      <c r="Q168" s="12"/>
      <c r="R168" s="27"/>
      <c r="S168" s="27"/>
      <c r="T168" s="27"/>
      <c r="U168" s="27"/>
      <c r="V168" s="12"/>
      <c r="W168" s="12"/>
      <c r="X168" s="12"/>
      <c r="Y168" s="12"/>
      <c r="Z168" s="31"/>
      <c r="AA168" s="12"/>
      <c r="AB168" s="12"/>
      <c r="AC168" s="12"/>
      <c r="AD168" s="12"/>
      <c r="AE168" s="12"/>
      <c r="AF168" s="12"/>
      <c r="AG168" s="12"/>
      <c r="AH168" s="12"/>
    </row>
    <row r="169" spans="1:34" ht="12.75">
      <c r="A169" s="12"/>
      <c r="B169" s="12"/>
      <c r="C169" s="12"/>
      <c r="D169" s="12"/>
      <c r="E169" s="12"/>
      <c r="F169" s="12"/>
      <c r="G169" s="12"/>
      <c r="H169" s="12"/>
      <c r="I169" s="12"/>
      <c r="J169" s="12"/>
      <c r="K169" s="12"/>
      <c r="L169" s="12"/>
      <c r="M169" s="12"/>
      <c r="N169" s="12"/>
      <c r="O169" s="12"/>
      <c r="P169" s="12"/>
      <c r="Q169" s="12"/>
      <c r="R169" s="27"/>
      <c r="S169" s="27"/>
      <c r="T169" s="27"/>
      <c r="U169" s="27"/>
      <c r="V169" s="12"/>
      <c r="W169" s="12"/>
      <c r="X169" s="12"/>
      <c r="Y169" s="12"/>
      <c r="Z169" s="31"/>
      <c r="AA169" s="12"/>
      <c r="AB169" s="12"/>
      <c r="AC169" s="12"/>
      <c r="AD169" s="12"/>
      <c r="AE169" s="12"/>
      <c r="AF169" s="12"/>
      <c r="AG169" s="12"/>
      <c r="AH169" s="12"/>
    </row>
    <row r="170" spans="1:34" ht="12.75">
      <c r="A170" s="12"/>
      <c r="B170" s="12"/>
      <c r="C170" s="12"/>
      <c r="D170" s="12"/>
      <c r="E170" s="12"/>
      <c r="F170" s="12"/>
      <c r="G170" s="12"/>
      <c r="H170" s="12"/>
      <c r="I170" s="12"/>
      <c r="J170" s="12"/>
      <c r="K170" s="12"/>
      <c r="L170" s="12"/>
      <c r="M170" s="12"/>
      <c r="N170" s="12"/>
      <c r="O170" s="12"/>
      <c r="P170" s="12"/>
      <c r="Q170" s="12"/>
      <c r="R170" s="27"/>
      <c r="S170" s="27"/>
      <c r="T170" s="27"/>
      <c r="U170" s="27"/>
      <c r="V170" s="12"/>
      <c r="W170" s="12"/>
      <c r="X170" s="12"/>
      <c r="Y170" s="12"/>
      <c r="Z170" s="31"/>
      <c r="AA170" s="12"/>
      <c r="AB170" s="12"/>
      <c r="AC170" s="12"/>
      <c r="AD170" s="12"/>
      <c r="AE170" s="12"/>
      <c r="AF170" s="12"/>
      <c r="AG170" s="12"/>
      <c r="AH170" s="12"/>
    </row>
    <row r="171" spans="1:34" ht="12.75">
      <c r="A171" s="12"/>
      <c r="B171" s="12"/>
      <c r="C171" s="12"/>
      <c r="D171" s="12"/>
      <c r="E171" s="12"/>
      <c r="F171" s="12"/>
      <c r="G171" s="12"/>
      <c r="H171" s="12"/>
      <c r="I171" s="12"/>
      <c r="J171" s="12"/>
      <c r="K171" s="12"/>
      <c r="L171" s="12"/>
      <c r="M171" s="12"/>
      <c r="N171" s="12"/>
      <c r="O171" s="12"/>
      <c r="P171" s="12"/>
      <c r="Q171" s="12"/>
      <c r="R171" s="27"/>
      <c r="S171" s="27"/>
      <c r="T171" s="27"/>
      <c r="U171" s="27"/>
      <c r="V171" s="12"/>
      <c r="W171" s="12"/>
      <c r="X171" s="12"/>
      <c r="Y171" s="12"/>
      <c r="Z171" s="31"/>
      <c r="AA171" s="12"/>
      <c r="AB171" s="12"/>
      <c r="AC171" s="12"/>
      <c r="AD171" s="12"/>
      <c r="AE171" s="12"/>
      <c r="AF171" s="12"/>
      <c r="AG171" s="12"/>
      <c r="AH171" s="12"/>
    </row>
    <row r="172" spans="1:34" ht="12.75">
      <c r="A172" s="12"/>
      <c r="B172" s="12"/>
      <c r="C172" s="12"/>
      <c r="D172" s="12"/>
      <c r="E172" s="12"/>
      <c r="F172" s="12"/>
      <c r="G172" s="12"/>
      <c r="H172" s="12"/>
      <c r="I172" s="12"/>
      <c r="J172" s="12"/>
      <c r="K172" s="12"/>
      <c r="L172" s="12"/>
      <c r="M172" s="12"/>
      <c r="N172" s="12"/>
      <c r="O172" s="12"/>
      <c r="P172" s="12"/>
      <c r="Q172" s="12"/>
      <c r="R172" s="27"/>
      <c r="S172" s="27"/>
      <c r="T172" s="27"/>
      <c r="U172" s="27"/>
      <c r="V172" s="12"/>
      <c r="W172" s="12"/>
      <c r="X172" s="12"/>
      <c r="Y172" s="12"/>
      <c r="Z172" s="31"/>
      <c r="AA172" s="12"/>
      <c r="AB172" s="12"/>
      <c r="AC172" s="12"/>
      <c r="AD172" s="12"/>
      <c r="AE172" s="12"/>
      <c r="AF172" s="12"/>
      <c r="AG172" s="12"/>
      <c r="AH172" s="12"/>
    </row>
    <row r="173" spans="1:34" ht="12.75">
      <c r="A173" s="12"/>
      <c r="B173" s="12"/>
      <c r="C173" s="12"/>
      <c r="D173" s="12"/>
      <c r="E173" s="12"/>
      <c r="F173" s="12"/>
      <c r="G173" s="12"/>
      <c r="H173" s="12"/>
      <c r="I173" s="12"/>
      <c r="J173" s="12"/>
      <c r="K173" s="12"/>
      <c r="L173" s="12"/>
      <c r="M173" s="12"/>
      <c r="N173" s="12"/>
      <c r="O173" s="12"/>
      <c r="P173" s="12"/>
      <c r="Q173" s="12"/>
      <c r="R173" s="27"/>
      <c r="S173" s="27"/>
      <c r="T173" s="27"/>
      <c r="U173" s="27"/>
      <c r="V173" s="12"/>
      <c r="W173" s="12"/>
      <c r="X173" s="12"/>
      <c r="Y173" s="12"/>
      <c r="Z173" s="31"/>
      <c r="AA173" s="12"/>
      <c r="AB173" s="12"/>
      <c r="AC173" s="12"/>
      <c r="AD173" s="12"/>
      <c r="AE173" s="12"/>
      <c r="AF173" s="12"/>
      <c r="AG173" s="12"/>
      <c r="AH173" s="12"/>
    </row>
    <row r="174" spans="1:34" ht="12.75">
      <c r="A174" s="12"/>
      <c r="B174" s="12"/>
      <c r="C174" s="12"/>
      <c r="D174" s="12"/>
      <c r="E174" s="12"/>
      <c r="F174" s="12"/>
      <c r="G174" s="12"/>
      <c r="H174" s="12"/>
      <c r="I174" s="12"/>
      <c r="J174" s="12"/>
      <c r="K174" s="12"/>
      <c r="L174" s="12"/>
      <c r="M174" s="12"/>
      <c r="N174" s="12"/>
      <c r="O174" s="12"/>
      <c r="P174" s="12"/>
      <c r="Q174" s="12"/>
      <c r="R174" s="27"/>
      <c r="S174" s="27"/>
      <c r="T174" s="27"/>
      <c r="U174" s="27"/>
      <c r="V174" s="12"/>
      <c r="W174" s="12"/>
      <c r="X174" s="12"/>
      <c r="Y174" s="12"/>
      <c r="Z174" s="31"/>
      <c r="AA174" s="12"/>
      <c r="AB174" s="12"/>
      <c r="AC174" s="12"/>
      <c r="AD174" s="12"/>
      <c r="AE174" s="12"/>
      <c r="AF174" s="12"/>
      <c r="AG174" s="12"/>
      <c r="AH174" s="12"/>
    </row>
    <row r="175" spans="1:34" ht="12.75">
      <c r="A175" s="12"/>
      <c r="B175" s="12"/>
      <c r="C175" s="12"/>
      <c r="D175" s="12"/>
      <c r="E175" s="12"/>
      <c r="F175" s="12"/>
      <c r="G175" s="12"/>
      <c r="H175" s="12"/>
      <c r="I175" s="12"/>
      <c r="J175" s="12"/>
      <c r="K175" s="12"/>
      <c r="L175" s="12"/>
      <c r="M175" s="12"/>
      <c r="N175" s="12"/>
      <c r="O175" s="12"/>
      <c r="P175" s="12"/>
      <c r="Q175" s="12"/>
      <c r="R175" s="27"/>
      <c r="S175" s="27"/>
      <c r="T175" s="27"/>
      <c r="U175" s="27"/>
      <c r="V175" s="12"/>
      <c r="W175" s="12"/>
      <c r="X175" s="12"/>
      <c r="Y175" s="12"/>
      <c r="Z175" s="31"/>
      <c r="AA175" s="12"/>
      <c r="AB175" s="12"/>
      <c r="AC175" s="12"/>
      <c r="AD175" s="12"/>
      <c r="AE175" s="12"/>
      <c r="AF175" s="12"/>
      <c r="AG175" s="12"/>
      <c r="AH175" s="12"/>
    </row>
    <row r="176" spans="1:34" ht="12.75">
      <c r="A176" s="12"/>
      <c r="B176" s="12"/>
      <c r="C176" s="12"/>
      <c r="D176" s="12"/>
      <c r="E176" s="12"/>
      <c r="F176" s="12"/>
      <c r="G176" s="12"/>
      <c r="H176" s="12"/>
      <c r="I176" s="12"/>
      <c r="J176" s="12"/>
      <c r="K176" s="12"/>
      <c r="L176" s="12"/>
      <c r="M176" s="12"/>
      <c r="N176" s="12"/>
      <c r="O176" s="12"/>
      <c r="P176" s="12"/>
      <c r="Q176" s="12"/>
      <c r="R176" s="27"/>
      <c r="S176" s="27"/>
      <c r="T176" s="27"/>
      <c r="U176" s="27"/>
      <c r="V176" s="12"/>
      <c r="W176" s="12"/>
      <c r="X176" s="12"/>
      <c r="Y176" s="12"/>
      <c r="Z176" s="31"/>
      <c r="AA176" s="12"/>
      <c r="AB176" s="12"/>
      <c r="AC176" s="12"/>
      <c r="AD176" s="12"/>
      <c r="AE176" s="12"/>
      <c r="AF176" s="12"/>
      <c r="AG176" s="12"/>
      <c r="AH176" s="12"/>
    </row>
    <row r="177" spans="1:34" ht="12.75">
      <c r="A177" s="12"/>
      <c r="B177" s="12"/>
      <c r="C177" s="12"/>
      <c r="D177" s="12"/>
      <c r="E177" s="12"/>
      <c r="F177" s="12"/>
      <c r="G177" s="12"/>
      <c r="H177" s="12"/>
      <c r="I177" s="12"/>
      <c r="J177" s="12"/>
      <c r="K177" s="12"/>
      <c r="L177" s="12"/>
      <c r="M177" s="12"/>
      <c r="N177" s="12"/>
      <c r="O177" s="12"/>
      <c r="P177" s="12"/>
      <c r="Q177" s="12"/>
      <c r="R177" s="27"/>
      <c r="S177" s="27"/>
      <c r="T177" s="27"/>
      <c r="U177" s="27"/>
      <c r="V177" s="12"/>
      <c r="W177" s="12"/>
      <c r="X177" s="12"/>
      <c r="Y177" s="12"/>
      <c r="Z177" s="31"/>
      <c r="AA177" s="12"/>
      <c r="AB177" s="12"/>
      <c r="AC177" s="12"/>
      <c r="AD177" s="12"/>
      <c r="AE177" s="12"/>
      <c r="AF177" s="12"/>
      <c r="AG177" s="12"/>
      <c r="AH177" s="12"/>
    </row>
    <row r="178" spans="1:34" ht="12.75">
      <c r="A178" s="12"/>
      <c r="B178" s="12"/>
      <c r="C178" s="12"/>
      <c r="D178" s="12"/>
      <c r="E178" s="12"/>
      <c r="F178" s="12"/>
      <c r="G178" s="12"/>
      <c r="H178" s="12"/>
      <c r="I178" s="12"/>
      <c r="J178" s="12"/>
      <c r="K178" s="12"/>
      <c r="L178" s="12"/>
      <c r="M178" s="12"/>
      <c r="N178" s="12"/>
      <c r="O178" s="12"/>
      <c r="P178" s="12"/>
      <c r="Q178" s="12"/>
      <c r="R178" s="27"/>
      <c r="S178" s="27"/>
      <c r="T178" s="27"/>
      <c r="U178" s="27"/>
      <c r="V178" s="12"/>
      <c r="W178" s="12"/>
      <c r="X178" s="12"/>
      <c r="Y178" s="12"/>
      <c r="Z178" s="31"/>
      <c r="AA178" s="12"/>
      <c r="AB178" s="12"/>
      <c r="AC178" s="12"/>
      <c r="AD178" s="12"/>
      <c r="AE178" s="12"/>
      <c r="AF178" s="12"/>
      <c r="AG178" s="12"/>
      <c r="AH178" s="12"/>
    </row>
    <row r="179" spans="1:34" ht="12.75">
      <c r="A179" s="12"/>
      <c r="B179" s="12"/>
      <c r="C179" s="12"/>
      <c r="D179" s="12"/>
      <c r="E179" s="12"/>
      <c r="F179" s="12"/>
      <c r="G179" s="12"/>
      <c r="H179" s="12"/>
      <c r="I179" s="12"/>
      <c r="J179" s="12"/>
      <c r="K179" s="12"/>
      <c r="L179" s="12"/>
      <c r="M179" s="12"/>
      <c r="N179" s="12"/>
      <c r="O179" s="12"/>
      <c r="P179" s="12"/>
      <c r="Q179" s="12"/>
      <c r="R179" s="27"/>
      <c r="S179" s="27"/>
      <c r="T179" s="27"/>
      <c r="U179" s="27"/>
      <c r="V179" s="12"/>
      <c r="W179" s="12"/>
      <c r="X179" s="12"/>
      <c r="Y179" s="12"/>
      <c r="Z179" s="31"/>
      <c r="AA179" s="12"/>
      <c r="AB179" s="12"/>
      <c r="AC179" s="12"/>
      <c r="AD179" s="12"/>
      <c r="AE179" s="12"/>
      <c r="AF179" s="12"/>
      <c r="AG179" s="12"/>
      <c r="AH179" s="12"/>
    </row>
    <row r="180" spans="1:34" ht="12.75">
      <c r="A180" s="12"/>
      <c r="B180" s="12"/>
      <c r="C180" s="12"/>
      <c r="D180" s="12"/>
      <c r="E180" s="12"/>
      <c r="F180" s="12"/>
      <c r="G180" s="12"/>
      <c r="H180" s="12"/>
      <c r="I180" s="12"/>
      <c r="J180" s="12"/>
      <c r="K180" s="12"/>
      <c r="L180" s="12"/>
      <c r="M180" s="12"/>
      <c r="N180" s="12"/>
      <c r="O180" s="12"/>
      <c r="P180" s="12"/>
      <c r="Q180" s="12"/>
      <c r="R180" s="27"/>
      <c r="S180" s="27"/>
      <c r="T180" s="27"/>
      <c r="U180" s="27"/>
      <c r="V180" s="12"/>
      <c r="W180" s="12"/>
      <c r="X180" s="12"/>
      <c r="Y180" s="12"/>
      <c r="Z180" s="31"/>
      <c r="AA180" s="12"/>
      <c r="AB180" s="12"/>
      <c r="AC180" s="12"/>
      <c r="AD180" s="12"/>
      <c r="AE180" s="12"/>
      <c r="AF180" s="12"/>
      <c r="AG180" s="12"/>
      <c r="AH180" s="12"/>
    </row>
    <row r="181" spans="1:34" ht="12.75">
      <c r="A181" s="12"/>
      <c r="B181" s="12"/>
      <c r="C181" s="12"/>
      <c r="D181" s="12"/>
      <c r="E181" s="12"/>
      <c r="F181" s="12"/>
      <c r="G181" s="12"/>
      <c r="H181" s="12"/>
      <c r="I181" s="12"/>
      <c r="J181" s="12"/>
      <c r="K181" s="12"/>
      <c r="L181" s="12"/>
      <c r="M181" s="12"/>
      <c r="N181" s="12"/>
      <c r="O181" s="12"/>
      <c r="P181" s="12"/>
      <c r="Q181" s="12"/>
      <c r="R181" s="27"/>
      <c r="S181" s="27"/>
      <c r="T181" s="27"/>
      <c r="U181" s="27"/>
      <c r="V181" s="12"/>
      <c r="W181" s="12"/>
      <c r="X181" s="12"/>
      <c r="Y181" s="12"/>
      <c r="Z181" s="31"/>
      <c r="AA181" s="12"/>
      <c r="AB181" s="12"/>
      <c r="AC181" s="12"/>
      <c r="AD181" s="12"/>
      <c r="AE181" s="12"/>
      <c r="AF181" s="12"/>
      <c r="AG181" s="12"/>
      <c r="AH181" s="12"/>
    </row>
    <row r="182" spans="1:34" ht="12.75">
      <c r="A182" s="12"/>
      <c r="B182" s="12"/>
      <c r="C182" s="12"/>
      <c r="D182" s="12"/>
      <c r="E182" s="12"/>
      <c r="F182" s="12"/>
      <c r="G182" s="12"/>
      <c r="H182" s="12"/>
      <c r="I182" s="12"/>
      <c r="J182" s="12"/>
      <c r="K182" s="12"/>
      <c r="L182" s="12"/>
      <c r="M182" s="12"/>
      <c r="N182" s="12"/>
      <c r="O182" s="12"/>
      <c r="P182" s="12"/>
      <c r="Q182" s="12"/>
      <c r="R182" s="27"/>
      <c r="S182" s="27"/>
      <c r="T182" s="27"/>
      <c r="U182" s="27"/>
      <c r="V182" s="12"/>
      <c r="W182" s="12"/>
      <c r="X182" s="12"/>
      <c r="Y182" s="12"/>
      <c r="Z182" s="31"/>
      <c r="AA182" s="12"/>
      <c r="AB182" s="12"/>
      <c r="AC182" s="12"/>
      <c r="AD182" s="12"/>
      <c r="AE182" s="12"/>
      <c r="AF182" s="12"/>
      <c r="AG182" s="12"/>
      <c r="AH182" s="12"/>
    </row>
    <row r="183" spans="1:34" ht="12.75">
      <c r="A183" s="12"/>
      <c r="B183" s="12"/>
      <c r="C183" s="12"/>
      <c r="D183" s="12"/>
      <c r="E183" s="12"/>
      <c r="F183" s="12"/>
      <c r="G183" s="12"/>
      <c r="H183" s="12"/>
      <c r="I183" s="12"/>
      <c r="J183" s="12"/>
      <c r="K183" s="12"/>
      <c r="L183" s="12"/>
      <c r="M183" s="12"/>
      <c r="N183" s="12"/>
      <c r="O183" s="12"/>
      <c r="P183" s="12"/>
      <c r="Q183" s="12"/>
      <c r="R183" s="27"/>
      <c r="S183" s="27"/>
      <c r="T183" s="27"/>
      <c r="U183" s="27"/>
      <c r="V183" s="12"/>
      <c r="W183" s="12"/>
      <c r="X183" s="12"/>
      <c r="Y183" s="12"/>
      <c r="Z183" s="31"/>
      <c r="AA183" s="12"/>
      <c r="AB183" s="12"/>
      <c r="AC183" s="12"/>
      <c r="AD183" s="12"/>
      <c r="AE183" s="12"/>
      <c r="AF183" s="12"/>
      <c r="AG183" s="12"/>
      <c r="AH183" s="12"/>
    </row>
    <row r="184" spans="1:34" ht="12.75">
      <c r="A184" s="12"/>
      <c r="B184" s="12"/>
      <c r="C184" s="12"/>
      <c r="D184" s="12"/>
      <c r="E184" s="12"/>
      <c r="F184" s="12"/>
      <c r="G184" s="12"/>
      <c r="H184" s="12"/>
      <c r="I184" s="12"/>
      <c r="J184" s="12"/>
      <c r="K184" s="12"/>
      <c r="L184" s="12"/>
      <c r="M184" s="12"/>
      <c r="N184" s="12"/>
      <c r="O184" s="12"/>
      <c r="P184" s="12"/>
      <c r="Q184" s="12"/>
      <c r="R184" s="27"/>
      <c r="S184" s="27"/>
      <c r="T184" s="27"/>
      <c r="U184" s="27"/>
      <c r="V184" s="12"/>
      <c r="W184" s="12"/>
      <c r="X184" s="12"/>
      <c r="Y184" s="12"/>
      <c r="Z184" s="31"/>
      <c r="AA184" s="12"/>
      <c r="AB184" s="12"/>
      <c r="AC184" s="12"/>
      <c r="AD184" s="12"/>
      <c r="AE184" s="12"/>
      <c r="AF184" s="12"/>
      <c r="AG184" s="12"/>
      <c r="AH184" s="12"/>
    </row>
    <row r="185" spans="1:34" ht="12.75">
      <c r="A185" s="12"/>
      <c r="B185" s="12"/>
      <c r="C185" s="12"/>
      <c r="D185" s="12"/>
      <c r="E185" s="12"/>
      <c r="F185" s="12"/>
      <c r="G185" s="12"/>
      <c r="H185" s="12"/>
      <c r="I185" s="12"/>
      <c r="J185" s="12"/>
      <c r="K185" s="12"/>
      <c r="L185" s="12"/>
      <c r="M185" s="12"/>
      <c r="N185" s="12"/>
      <c r="O185" s="12"/>
      <c r="P185" s="12"/>
      <c r="Q185" s="12"/>
      <c r="R185" s="27"/>
      <c r="S185" s="27"/>
      <c r="T185" s="27"/>
      <c r="U185" s="27"/>
      <c r="V185" s="12"/>
      <c r="W185" s="12"/>
      <c r="X185" s="12"/>
      <c r="Y185" s="12"/>
      <c r="Z185" s="31"/>
      <c r="AA185" s="12"/>
      <c r="AB185" s="12"/>
      <c r="AC185" s="12"/>
      <c r="AD185" s="12"/>
      <c r="AE185" s="12"/>
      <c r="AF185" s="12"/>
      <c r="AG185" s="12"/>
      <c r="AH185" s="12"/>
    </row>
    <row r="186" spans="1:34" ht="12.75">
      <c r="A186" s="12"/>
      <c r="B186" s="12"/>
      <c r="C186" s="12"/>
      <c r="D186" s="12"/>
      <c r="E186" s="12"/>
      <c r="F186" s="12"/>
      <c r="G186" s="12"/>
      <c r="H186" s="12"/>
      <c r="I186" s="12"/>
      <c r="J186" s="12"/>
      <c r="K186" s="12"/>
      <c r="L186" s="12"/>
      <c r="M186" s="12"/>
      <c r="N186" s="12"/>
      <c r="O186" s="12"/>
      <c r="P186" s="12"/>
      <c r="Q186" s="12"/>
      <c r="R186" s="27"/>
      <c r="S186" s="27"/>
      <c r="T186" s="27"/>
      <c r="U186" s="27"/>
      <c r="V186" s="12"/>
      <c r="W186" s="12"/>
      <c r="X186" s="12"/>
      <c r="Y186" s="12"/>
      <c r="Z186" s="31"/>
      <c r="AA186" s="12"/>
      <c r="AB186" s="12"/>
      <c r="AC186" s="12"/>
      <c r="AD186" s="12"/>
      <c r="AE186" s="12"/>
      <c r="AF186" s="12"/>
      <c r="AG186" s="12"/>
      <c r="AH186" s="12"/>
    </row>
    <row r="187" spans="1:34" ht="12.75">
      <c r="A187" s="12"/>
      <c r="B187" s="12"/>
      <c r="C187" s="12"/>
      <c r="D187" s="12"/>
      <c r="E187" s="12"/>
      <c r="F187" s="12"/>
      <c r="G187" s="12"/>
      <c r="H187" s="12"/>
      <c r="I187" s="12"/>
      <c r="J187" s="12"/>
      <c r="K187" s="12"/>
      <c r="L187" s="12"/>
      <c r="M187" s="12"/>
      <c r="N187" s="12"/>
      <c r="O187" s="12"/>
      <c r="P187" s="12"/>
      <c r="Q187" s="12"/>
      <c r="R187" s="27"/>
      <c r="S187" s="27"/>
      <c r="T187" s="27"/>
      <c r="U187" s="27"/>
      <c r="V187" s="12"/>
      <c r="W187" s="12"/>
      <c r="X187" s="12"/>
      <c r="Y187" s="12"/>
      <c r="Z187" s="31"/>
      <c r="AA187" s="12"/>
      <c r="AB187" s="12"/>
      <c r="AC187" s="12"/>
      <c r="AD187" s="12"/>
      <c r="AE187" s="12"/>
      <c r="AF187" s="12"/>
      <c r="AG187" s="12"/>
      <c r="AH187" s="12"/>
    </row>
    <row r="188" spans="1:34" ht="12.75">
      <c r="A188" s="12"/>
      <c r="B188" s="12"/>
      <c r="C188" s="12"/>
      <c r="D188" s="12"/>
      <c r="E188" s="12"/>
      <c r="F188" s="12"/>
      <c r="G188" s="12"/>
      <c r="H188" s="12"/>
      <c r="I188" s="12"/>
      <c r="J188" s="12"/>
      <c r="K188" s="12"/>
      <c r="L188" s="12"/>
      <c r="M188" s="12"/>
      <c r="N188" s="12"/>
      <c r="O188" s="12"/>
      <c r="P188" s="12"/>
      <c r="Q188" s="12"/>
      <c r="R188" s="27"/>
      <c r="S188" s="27"/>
      <c r="T188" s="27"/>
      <c r="U188" s="27"/>
      <c r="V188" s="12"/>
      <c r="W188" s="12"/>
      <c r="X188" s="12"/>
      <c r="Y188" s="12"/>
      <c r="Z188" s="31"/>
      <c r="AA188" s="12"/>
      <c r="AB188" s="12"/>
      <c r="AC188" s="12"/>
      <c r="AD188" s="12"/>
      <c r="AE188" s="12"/>
      <c r="AF188" s="12"/>
      <c r="AG188" s="12"/>
      <c r="AH188" s="12"/>
    </row>
    <row r="189" spans="1:34" ht="12.75">
      <c r="A189" s="12"/>
      <c r="B189" s="12"/>
      <c r="C189" s="12"/>
      <c r="D189" s="12"/>
      <c r="E189" s="12"/>
      <c r="F189" s="12"/>
      <c r="G189" s="12"/>
      <c r="H189" s="12"/>
      <c r="I189" s="12"/>
      <c r="J189" s="12"/>
      <c r="K189" s="12"/>
      <c r="L189" s="12"/>
      <c r="M189" s="12"/>
      <c r="N189" s="12"/>
      <c r="O189" s="12"/>
      <c r="P189" s="12"/>
      <c r="Q189" s="12"/>
      <c r="R189" s="27"/>
      <c r="S189" s="27"/>
      <c r="T189" s="27"/>
      <c r="U189" s="27"/>
      <c r="V189" s="12"/>
      <c r="W189" s="12"/>
      <c r="X189" s="12"/>
      <c r="Y189" s="12"/>
      <c r="Z189" s="31"/>
      <c r="AA189" s="12"/>
      <c r="AB189" s="12"/>
      <c r="AC189" s="12"/>
      <c r="AD189" s="12"/>
      <c r="AE189" s="12"/>
      <c r="AF189" s="12"/>
      <c r="AG189" s="12"/>
      <c r="AH189" s="12"/>
    </row>
    <row r="190" spans="1:34" ht="12.75">
      <c r="A190" s="12"/>
      <c r="B190" s="12"/>
      <c r="C190" s="12"/>
      <c r="D190" s="12"/>
      <c r="E190" s="12"/>
      <c r="F190" s="12"/>
      <c r="G190" s="12"/>
      <c r="H190" s="12"/>
      <c r="I190" s="12"/>
      <c r="J190" s="12"/>
      <c r="K190" s="12"/>
      <c r="L190" s="12"/>
      <c r="M190" s="12"/>
      <c r="N190" s="12"/>
      <c r="O190" s="12"/>
      <c r="P190" s="12"/>
      <c r="Q190" s="12"/>
      <c r="R190" s="27"/>
      <c r="S190" s="27"/>
      <c r="T190" s="27"/>
      <c r="U190" s="27"/>
      <c r="V190" s="12"/>
      <c r="W190" s="12"/>
      <c r="X190" s="12"/>
      <c r="Y190" s="12"/>
      <c r="Z190" s="31"/>
      <c r="AA190" s="12"/>
      <c r="AB190" s="12"/>
      <c r="AC190" s="12"/>
      <c r="AD190" s="12"/>
      <c r="AE190" s="12"/>
      <c r="AF190" s="12"/>
      <c r="AG190" s="12"/>
      <c r="AH190" s="12"/>
    </row>
    <row r="191" spans="1:34" ht="12.75">
      <c r="A191" s="12"/>
      <c r="B191" s="12"/>
      <c r="C191" s="12"/>
      <c r="D191" s="12"/>
      <c r="E191" s="12"/>
      <c r="F191" s="12"/>
      <c r="G191" s="12"/>
      <c r="H191" s="12"/>
      <c r="I191" s="12"/>
      <c r="J191" s="12"/>
      <c r="K191" s="12"/>
      <c r="L191" s="12"/>
      <c r="M191" s="12"/>
      <c r="N191" s="12"/>
      <c r="O191" s="12"/>
      <c r="P191" s="12"/>
      <c r="Q191" s="12"/>
      <c r="R191" s="27"/>
      <c r="S191" s="27"/>
      <c r="T191" s="27"/>
      <c r="U191" s="27"/>
      <c r="V191" s="12"/>
      <c r="W191" s="12"/>
      <c r="X191" s="12"/>
      <c r="Y191" s="12"/>
      <c r="Z191" s="31"/>
      <c r="AA191" s="12"/>
      <c r="AB191" s="12"/>
      <c r="AC191" s="12"/>
      <c r="AD191" s="12"/>
      <c r="AE191" s="12"/>
      <c r="AF191" s="12"/>
      <c r="AG191" s="12"/>
      <c r="AH191" s="12"/>
    </row>
    <row r="192" spans="1:34" ht="12.75">
      <c r="A192" s="12"/>
      <c r="B192" s="12"/>
      <c r="C192" s="12"/>
      <c r="D192" s="12"/>
      <c r="E192" s="12"/>
      <c r="F192" s="12"/>
      <c r="G192" s="12"/>
      <c r="H192" s="12"/>
      <c r="I192" s="12"/>
      <c r="J192" s="12"/>
      <c r="K192" s="12"/>
      <c r="L192" s="12"/>
      <c r="M192" s="12"/>
      <c r="N192" s="12"/>
      <c r="O192" s="12"/>
      <c r="P192" s="12"/>
      <c r="Q192" s="12"/>
      <c r="R192" s="27"/>
      <c r="S192" s="27"/>
      <c r="T192" s="27"/>
      <c r="U192" s="27"/>
      <c r="V192" s="12"/>
      <c r="W192" s="12"/>
      <c r="X192" s="12"/>
      <c r="Y192" s="12"/>
      <c r="Z192" s="31"/>
      <c r="AA192" s="12"/>
      <c r="AB192" s="12"/>
      <c r="AC192" s="12"/>
      <c r="AD192" s="12"/>
      <c r="AE192" s="12"/>
      <c r="AF192" s="12"/>
      <c r="AG192" s="12"/>
      <c r="AH192" s="12"/>
    </row>
    <row r="193" spans="1:34" ht="12.75">
      <c r="A193" s="12"/>
      <c r="B193" s="12"/>
      <c r="C193" s="12"/>
      <c r="D193" s="12"/>
      <c r="E193" s="12"/>
      <c r="F193" s="12"/>
      <c r="G193" s="12"/>
      <c r="H193" s="12"/>
      <c r="I193" s="12"/>
      <c r="J193" s="12"/>
      <c r="K193" s="12"/>
      <c r="L193" s="12"/>
      <c r="M193" s="12"/>
      <c r="N193" s="12"/>
      <c r="O193" s="12"/>
      <c r="P193" s="12"/>
      <c r="Q193" s="12"/>
      <c r="R193" s="27"/>
      <c r="S193" s="27"/>
      <c r="T193" s="27"/>
      <c r="U193" s="27"/>
      <c r="V193" s="12"/>
      <c r="W193" s="12"/>
      <c r="X193" s="12"/>
      <c r="Y193" s="12"/>
      <c r="Z193" s="31"/>
      <c r="AA193" s="12"/>
      <c r="AB193" s="12"/>
      <c r="AC193" s="12"/>
      <c r="AD193" s="12"/>
      <c r="AE193" s="12"/>
      <c r="AF193" s="12"/>
      <c r="AG193" s="12"/>
      <c r="AH193" s="12"/>
    </row>
    <row r="194" spans="1:34" ht="12.75">
      <c r="A194" s="12"/>
      <c r="B194" s="12"/>
      <c r="C194" s="12"/>
      <c r="D194" s="12"/>
      <c r="E194" s="12"/>
      <c r="F194" s="12"/>
      <c r="G194" s="12"/>
      <c r="H194" s="12"/>
      <c r="I194" s="12"/>
      <c r="J194" s="12"/>
      <c r="K194" s="12"/>
      <c r="L194" s="12"/>
      <c r="M194" s="12"/>
      <c r="N194" s="12"/>
      <c r="O194" s="12"/>
      <c r="P194" s="12"/>
      <c r="Q194" s="12"/>
      <c r="R194" s="27"/>
      <c r="S194" s="27"/>
      <c r="T194" s="27"/>
      <c r="U194" s="27"/>
      <c r="V194" s="12"/>
      <c r="W194" s="12"/>
      <c r="X194" s="12"/>
      <c r="Y194" s="12"/>
      <c r="Z194" s="31"/>
      <c r="AA194" s="12"/>
      <c r="AB194" s="12"/>
      <c r="AC194" s="12"/>
      <c r="AD194" s="12"/>
      <c r="AE194" s="12"/>
      <c r="AF194" s="12"/>
      <c r="AG194" s="12"/>
      <c r="AH194" s="12"/>
    </row>
    <row r="195" spans="1:34" ht="12.75">
      <c r="A195" s="12"/>
      <c r="B195" s="12"/>
      <c r="C195" s="12"/>
      <c r="D195" s="12"/>
      <c r="E195" s="12"/>
      <c r="F195" s="12"/>
      <c r="G195" s="12"/>
      <c r="H195" s="12"/>
      <c r="I195" s="12"/>
      <c r="J195" s="12"/>
      <c r="K195" s="12"/>
      <c r="L195" s="12"/>
      <c r="M195" s="12"/>
      <c r="N195" s="12"/>
      <c r="O195" s="12"/>
      <c r="P195" s="12"/>
      <c r="Q195" s="12"/>
      <c r="R195" s="27"/>
      <c r="S195" s="27"/>
      <c r="T195" s="27"/>
      <c r="U195" s="27"/>
      <c r="V195" s="12"/>
      <c r="W195" s="12"/>
      <c r="X195" s="12"/>
      <c r="Y195" s="12"/>
      <c r="Z195" s="31"/>
      <c r="AA195" s="12"/>
      <c r="AB195" s="12"/>
      <c r="AC195" s="12"/>
      <c r="AD195" s="12"/>
      <c r="AE195" s="12"/>
      <c r="AF195" s="12"/>
      <c r="AG195" s="12"/>
      <c r="AH195" s="12"/>
    </row>
    <row r="196" spans="1:34" ht="12.75">
      <c r="A196" s="12"/>
      <c r="B196" s="12"/>
      <c r="C196" s="12"/>
      <c r="D196" s="12"/>
      <c r="E196" s="12"/>
      <c r="F196" s="12"/>
      <c r="G196" s="12"/>
      <c r="H196" s="12"/>
      <c r="I196" s="12"/>
      <c r="J196" s="12"/>
      <c r="K196" s="12"/>
      <c r="L196" s="12"/>
      <c r="M196" s="12"/>
      <c r="N196" s="12"/>
      <c r="O196" s="12"/>
      <c r="P196" s="12"/>
      <c r="Q196" s="12"/>
      <c r="R196" s="27"/>
      <c r="S196" s="27"/>
      <c r="T196" s="27"/>
      <c r="U196" s="27"/>
      <c r="V196" s="12"/>
      <c r="W196" s="12"/>
      <c r="X196" s="12"/>
      <c r="Y196" s="12"/>
      <c r="Z196" s="31"/>
      <c r="AA196" s="12"/>
      <c r="AB196" s="12"/>
      <c r="AC196" s="12"/>
      <c r="AD196" s="12"/>
      <c r="AE196" s="12"/>
      <c r="AF196" s="12"/>
      <c r="AG196" s="12"/>
      <c r="AH196" s="12"/>
    </row>
    <row r="197" spans="1:34" ht="12.75">
      <c r="A197" s="12"/>
      <c r="B197" s="12"/>
      <c r="C197" s="12"/>
      <c r="D197" s="12"/>
      <c r="E197" s="12"/>
      <c r="F197" s="12"/>
      <c r="G197" s="12"/>
      <c r="H197" s="12"/>
      <c r="I197" s="12"/>
      <c r="J197" s="12"/>
      <c r="K197" s="12"/>
      <c r="L197" s="12"/>
      <c r="M197" s="12"/>
      <c r="N197" s="12"/>
      <c r="O197" s="12"/>
      <c r="P197" s="12"/>
      <c r="Q197" s="12"/>
      <c r="R197" s="27"/>
      <c r="S197" s="27"/>
      <c r="T197" s="27"/>
      <c r="U197" s="27"/>
      <c r="V197" s="12"/>
      <c r="W197" s="12"/>
      <c r="X197" s="12"/>
      <c r="Y197" s="12"/>
      <c r="Z197" s="31"/>
      <c r="AA197" s="12"/>
      <c r="AB197" s="12"/>
      <c r="AC197" s="12"/>
      <c r="AD197" s="12"/>
      <c r="AE197" s="12"/>
      <c r="AF197" s="12"/>
      <c r="AG197" s="12"/>
      <c r="AH197" s="12"/>
    </row>
    <row r="198" spans="1:34" ht="12.75">
      <c r="A198" s="12"/>
      <c r="B198" s="12"/>
      <c r="C198" s="12"/>
      <c r="D198" s="12"/>
      <c r="E198" s="12"/>
      <c r="F198" s="12"/>
      <c r="G198" s="12"/>
      <c r="H198" s="12"/>
      <c r="I198" s="12"/>
      <c r="J198" s="12"/>
      <c r="K198" s="12"/>
      <c r="L198" s="12"/>
      <c r="M198" s="12"/>
      <c r="N198" s="12"/>
      <c r="O198" s="12"/>
      <c r="P198" s="12"/>
      <c r="Q198" s="12"/>
      <c r="R198" s="27"/>
      <c r="S198" s="27"/>
      <c r="T198" s="27"/>
      <c r="U198" s="27"/>
      <c r="V198" s="12"/>
      <c r="W198" s="12"/>
      <c r="X198" s="12"/>
      <c r="Y198" s="12"/>
      <c r="Z198" s="31"/>
      <c r="AA198" s="12"/>
      <c r="AB198" s="12"/>
      <c r="AC198" s="12"/>
      <c r="AD198" s="12"/>
      <c r="AE198" s="12"/>
      <c r="AF198" s="12"/>
      <c r="AG198" s="12"/>
      <c r="AH198" s="12"/>
    </row>
    <row r="199" spans="1:34" ht="12.75">
      <c r="A199" s="12"/>
      <c r="B199" s="12"/>
      <c r="C199" s="12"/>
      <c r="D199" s="12"/>
      <c r="E199" s="12"/>
      <c r="F199" s="12"/>
      <c r="G199" s="12"/>
      <c r="H199" s="12"/>
      <c r="I199" s="12"/>
      <c r="J199" s="12"/>
      <c r="K199" s="12"/>
      <c r="L199" s="12"/>
      <c r="M199" s="12"/>
      <c r="N199" s="12"/>
      <c r="O199" s="12"/>
      <c r="P199" s="12"/>
      <c r="Q199" s="12"/>
      <c r="R199" s="27"/>
      <c r="S199" s="27"/>
      <c r="T199" s="27"/>
      <c r="U199" s="27"/>
      <c r="V199" s="12"/>
      <c r="W199" s="12"/>
      <c r="X199" s="12"/>
      <c r="Y199" s="12"/>
      <c r="Z199" s="31"/>
      <c r="AA199" s="12"/>
      <c r="AB199" s="12"/>
      <c r="AC199" s="12"/>
      <c r="AD199" s="12"/>
      <c r="AE199" s="12"/>
      <c r="AF199" s="12"/>
      <c r="AG199" s="12"/>
      <c r="AH199" s="12"/>
    </row>
    <row r="200" spans="1:34" ht="12.75">
      <c r="A200" s="12"/>
      <c r="B200" s="12"/>
      <c r="C200" s="12"/>
      <c r="D200" s="12"/>
      <c r="E200" s="12"/>
      <c r="F200" s="12"/>
      <c r="G200" s="12"/>
      <c r="H200" s="12"/>
      <c r="I200" s="12"/>
      <c r="J200" s="12"/>
      <c r="K200" s="12"/>
      <c r="L200" s="12"/>
      <c r="M200" s="12"/>
      <c r="N200" s="12"/>
      <c r="O200" s="12"/>
      <c r="P200" s="12"/>
      <c r="Q200" s="12"/>
      <c r="R200" s="27"/>
      <c r="S200" s="27"/>
      <c r="T200" s="27"/>
      <c r="U200" s="27"/>
      <c r="V200" s="12"/>
      <c r="W200" s="12"/>
      <c r="X200" s="12"/>
      <c r="Y200" s="12"/>
      <c r="Z200" s="31"/>
      <c r="AA200" s="12"/>
      <c r="AB200" s="12"/>
      <c r="AC200" s="12"/>
      <c r="AD200" s="12"/>
      <c r="AE200" s="12"/>
      <c r="AF200" s="12"/>
      <c r="AG200" s="12"/>
      <c r="AH200" s="12"/>
    </row>
    <row r="201" spans="1:34" ht="12.75">
      <c r="A201" s="12"/>
      <c r="B201" s="12"/>
      <c r="C201" s="12"/>
      <c r="D201" s="12"/>
      <c r="E201" s="12"/>
      <c r="F201" s="12"/>
      <c r="G201" s="12"/>
      <c r="H201" s="12"/>
      <c r="I201" s="12"/>
      <c r="J201" s="12"/>
      <c r="K201" s="12"/>
      <c r="L201" s="12"/>
      <c r="M201" s="12"/>
      <c r="N201" s="12"/>
      <c r="O201" s="12"/>
      <c r="P201" s="12"/>
      <c r="Q201" s="12"/>
      <c r="R201" s="27"/>
      <c r="S201" s="27"/>
      <c r="T201" s="27"/>
      <c r="U201" s="27"/>
      <c r="V201" s="12"/>
      <c r="W201" s="12"/>
      <c r="X201" s="12"/>
      <c r="Y201" s="12"/>
      <c r="Z201" s="31"/>
      <c r="AA201" s="12"/>
      <c r="AB201" s="12"/>
      <c r="AC201" s="12"/>
      <c r="AD201" s="12"/>
      <c r="AE201" s="12"/>
      <c r="AF201" s="12"/>
      <c r="AG201" s="12"/>
      <c r="AH201" s="12"/>
    </row>
    <row r="202" spans="1:34" ht="12.75">
      <c r="A202" s="12"/>
      <c r="B202" s="12"/>
      <c r="C202" s="12"/>
      <c r="D202" s="12"/>
      <c r="E202" s="12"/>
      <c r="F202" s="12"/>
      <c r="G202" s="12"/>
      <c r="H202" s="12"/>
      <c r="I202" s="12"/>
      <c r="J202" s="12"/>
      <c r="K202" s="12"/>
      <c r="L202" s="12"/>
      <c r="M202" s="12"/>
      <c r="N202" s="12"/>
      <c r="O202" s="12"/>
      <c r="P202" s="12"/>
      <c r="Q202" s="12"/>
      <c r="R202" s="27"/>
      <c r="S202" s="27"/>
      <c r="T202" s="27"/>
      <c r="U202" s="27"/>
      <c r="V202" s="12"/>
      <c r="W202" s="12"/>
      <c r="X202" s="12"/>
      <c r="Y202" s="12"/>
      <c r="Z202" s="31"/>
      <c r="AA202" s="12"/>
      <c r="AB202" s="12"/>
      <c r="AC202" s="12"/>
      <c r="AD202" s="12"/>
      <c r="AE202" s="12"/>
      <c r="AF202" s="12"/>
      <c r="AG202" s="12"/>
      <c r="AH202" s="12"/>
    </row>
    <row r="203" spans="1:34" ht="12.75">
      <c r="A203" s="12"/>
      <c r="B203" s="12"/>
      <c r="C203" s="12"/>
      <c r="D203" s="12"/>
      <c r="E203" s="12"/>
      <c r="F203" s="12"/>
      <c r="G203" s="12"/>
      <c r="H203" s="12"/>
      <c r="I203" s="12"/>
      <c r="J203" s="12"/>
      <c r="K203" s="12"/>
      <c r="L203" s="12"/>
      <c r="M203" s="12"/>
      <c r="N203" s="12"/>
      <c r="O203" s="12"/>
      <c r="P203" s="12"/>
      <c r="Q203" s="12"/>
      <c r="R203" s="27"/>
      <c r="S203" s="27"/>
      <c r="T203" s="27"/>
      <c r="U203" s="27"/>
      <c r="V203" s="12"/>
      <c r="W203" s="12"/>
      <c r="X203" s="12"/>
      <c r="Y203" s="12"/>
      <c r="Z203" s="31"/>
      <c r="AA203" s="12"/>
      <c r="AB203" s="12"/>
      <c r="AC203" s="12"/>
      <c r="AD203" s="12"/>
      <c r="AE203" s="12"/>
      <c r="AF203" s="12"/>
      <c r="AG203" s="12"/>
      <c r="AH203" s="12"/>
    </row>
    <row r="204" spans="1:34" ht="12.75">
      <c r="A204" s="12"/>
      <c r="B204" s="12"/>
      <c r="C204" s="12"/>
      <c r="D204" s="12"/>
      <c r="E204" s="12"/>
      <c r="F204" s="12"/>
      <c r="G204" s="12"/>
      <c r="H204" s="12"/>
      <c r="I204" s="12"/>
      <c r="J204" s="12"/>
      <c r="K204" s="12"/>
      <c r="L204" s="12"/>
      <c r="M204" s="12"/>
      <c r="N204" s="12"/>
      <c r="O204" s="12"/>
      <c r="P204" s="12"/>
      <c r="Q204" s="12"/>
      <c r="R204" s="27"/>
      <c r="S204" s="27"/>
      <c r="T204" s="27"/>
      <c r="U204" s="27"/>
      <c r="V204" s="12"/>
      <c r="W204" s="12"/>
      <c r="X204" s="12"/>
      <c r="Y204" s="12"/>
      <c r="Z204" s="31"/>
      <c r="AA204" s="12"/>
      <c r="AB204" s="12"/>
      <c r="AC204" s="12"/>
      <c r="AD204" s="12"/>
      <c r="AE204" s="12"/>
      <c r="AF204" s="12"/>
      <c r="AG204" s="12"/>
      <c r="AH204" s="12"/>
    </row>
    <row r="205" spans="1:34" ht="12.75">
      <c r="A205" s="12"/>
      <c r="B205" s="12"/>
      <c r="C205" s="12"/>
      <c r="D205" s="12"/>
      <c r="E205" s="12"/>
      <c r="F205" s="12"/>
      <c r="G205" s="12"/>
      <c r="H205" s="12"/>
      <c r="I205" s="12"/>
      <c r="J205" s="12"/>
      <c r="K205" s="12"/>
      <c r="L205" s="12"/>
      <c r="M205" s="12"/>
      <c r="N205" s="12"/>
      <c r="O205" s="12"/>
      <c r="P205" s="12"/>
      <c r="Q205" s="12"/>
      <c r="R205" s="27"/>
      <c r="S205" s="27"/>
      <c r="T205" s="27"/>
      <c r="U205" s="27"/>
      <c r="V205" s="12"/>
      <c r="W205" s="12"/>
      <c r="X205" s="12"/>
      <c r="Y205" s="12"/>
      <c r="Z205" s="31"/>
      <c r="AA205" s="12"/>
      <c r="AB205" s="12"/>
      <c r="AC205" s="12"/>
      <c r="AD205" s="12"/>
      <c r="AE205" s="12"/>
      <c r="AF205" s="12"/>
      <c r="AG205" s="12"/>
      <c r="AH205" s="12"/>
    </row>
    <row r="206" spans="1:34" ht="12.75">
      <c r="A206" s="12"/>
      <c r="B206" s="12"/>
      <c r="C206" s="12"/>
      <c r="D206" s="12"/>
      <c r="E206" s="12"/>
      <c r="F206" s="12"/>
      <c r="G206" s="12"/>
      <c r="H206" s="12"/>
      <c r="I206" s="12"/>
      <c r="J206" s="12"/>
      <c r="K206" s="12"/>
      <c r="L206" s="12"/>
      <c r="M206" s="12"/>
      <c r="N206" s="12"/>
      <c r="O206" s="12"/>
      <c r="P206" s="12"/>
      <c r="Q206" s="12"/>
      <c r="R206" s="27"/>
      <c r="S206" s="27"/>
      <c r="T206" s="27"/>
      <c r="U206" s="27"/>
      <c r="V206" s="12"/>
      <c r="W206" s="12"/>
      <c r="X206" s="12"/>
      <c r="Y206" s="12"/>
      <c r="Z206" s="31"/>
      <c r="AA206" s="12"/>
      <c r="AB206" s="12"/>
      <c r="AC206" s="12"/>
      <c r="AD206" s="12"/>
      <c r="AE206" s="12"/>
      <c r="AF206" s="12"/>
      <c r="AG206" s="12"/>
      <c r="AH206" s="12"/>
    </row>
    <row r="207" spans="1:34" ht="12.75">
      <c r="A207" s="12"/>
      <c r="B207" s="12"/>
      <c r="C207" s="12"/>
      <c r="D207" s="12"/>
      <c r="E207" s="12"/>
      <c r="F207" s="12"/>
      <c r="G207" s="12"/>
      <c r="H207" s="12"/>
      <c r="I207" s="12"/>
      <c r="J207" s="12"/>
      <c r="K207" s="12"/>
      <c r="L207" s="12"/>
      <c r="M207" s="12"/>
      <c r="N207" s="12"/>
      <c r="O207" s="12"/>
      <c r="P207" s="12"/>
      <c r="Q207" s="12"/>
      <c r="R207" s="27"/>
      <c r="S207" s="27"/>
      <c r="T207" s="27"/>
      <c r="U207" s="27"/>
      <c r="V207" s="12"/>
      <c r="W207" s="12"/>
      <c r="X207" s="12"/>
      <c r="Y207" s="12"/>
      <c r="Z207" s="31"/>
      <c r="AA207" s="12"/>
      <c r="AB207" s="12"/>
      <c r="AC207" s="12"/>
      <c r="AD207" s="12"/>
      <c r="AE207" s="12"/>
      <c r="AF207" s="12"/>
      <c r="AG207" s="12"/>
      <c r="AH207" s="12"/>
    </row>
    <row r="208" spans="1:34" ht="12.75">
      <c r="A208" s="12"/>
      <c r="B208" s="12"/>
      <c r="C208" s="12"/>
      <c r="D208" s="12"/>
      <c r="E208" s="12"/>
      <c r="F208" s="12"/>
      <c r="G208" s="12"/>
      <c r="H208" s="12"/>
      <c r="I208" s="12"/>
      <c r="J208" s="12"/>
      <c r="K208" s="12"/>
      <c r="L208" s="12"/>
      <c r="M208" s="12"/>
      <c r="N208" s="12"/>
      <c r="O208" s="12"/>
      <c r="P208" s="12"/>
      <c r="Q208" s="12"/>
      <c r="R208" s="27"/>
      <c r="S208" s="27"/>
      <c r="T208" s="27"/>
      <c r="U208" s="27"/>
      <c r="V208" s="12"/>
      <c r="W208" s="12"/>
      <c r="X208" s="12"/>
      <c r="Y208" s="12"/>
      <c r="Z208" s="31"/>
      <c r="AA208" s="12"/>
      <c r="AB208" s="12"/>
      <c r="AC208" s="12"/>
      <c r="AD208" s="12"/>
      <c r="AE208" s="12"/>
      <c r="AF208" s="12"/>
      <c r="AG208" s="12"/>
      <c r="AH208" s="12"/>
    </row>
    <row r="209" spans="1:34" ht="12.75">
      <c r="A209" s="12"/>
      <c r="B209" s="12"/>
      <c r="C209" s="12"/>
      <c r="D209" s="12"/>
      <c r="E209" s="12"/>
      <c r="F209" s="12"/>
      <c r="G209" s="12"/>
      <c r="H209" s="12"/>
      <c r="I209" s="12"/>
      <c r="J209" s="12"/>
      <c r="K209" s="12"/>
      <c r="L209" s="12"/>
      <c r="M209" s="12"/>
      <c r="N209" s="12"/>
      <c r="O209" s="12"/>
      <c r="P209" s="12"/>
      <c r="Q209" s="12"/>
      <c r="R209" s="27"/>
      <c r="S209" s="27"/>
      <c r="T209" s="27"/>
      <c r="U209" s="27"/>
      <c r="V209" s="12"/>
      <c r="W209" s="12"/>
      <c r="X209" s="12"/>
      <c r="Y209" s="12"/>
      <c r="Z209" s="31"/>
      <c r="AA209" s="12"/>
      <c r="AB209" s="12"/>
      <c r="AC209" s="12"/>
      <c r="AD209" s="12"/>
      <c r="AE209" s="12"/>
      <c r="AF209" s="12"/>
      <c r="AG209" s="12"/>
      <c r="AH209" s="12"/>
    </row>
    <row r="210" spans="1:34" ht="12.75">
      <c r="A210" s="12"/>
      <c r="B210" s="12"/>
      <c r="C210" s="12"/>
      <c r="D210" s="12"/>
      <c r="E210" s="12"/>
      <c r="F210" s="12"/>
      <c r="G210" s="12"/>
      <c r="H210" s="12"/>
      <c r="I210" s="12"/>
      <c r="J210" s="12"/>
      <c r="K210" s="12"/>
      <c r="L210" s="12"/>
      <c r="M210" s="12"/>
      <c r="N210" s="12"/>
      <c r="O210" s="12"/>
      <c r="P210" s="12"/>
      <c r="Q210" s="12"/>
      <c r="R210" s="27"/>
      <c r="S210" s="27"/>
      <c r="T210" s="27"/>
      <c r="U210" s="27"/>
      <c r="V210" s="12"/>
      <c r="W210" s="12"/>
      <c r="X210" s="12"/>
      <c r="Y210" s="12"/>
      <c r="Z210" s="31"/>
      <c r="AA210" s="12"/>
      <c r="AB210" s="12"/>
      <c r="AC210" s="12"/>
      <c r="AD210" s="12"/>
      <c r="AE210" s="12"/>
      <c r="AF210" s="12"/>
      <c r="AG210" s="12"/>
      <c r="AH210" s="12"/>
    </row>
    <row r="211" spans="1:34" ht="12.75">
      <c r="A211" s="12"/>
      <c r="B211" s="12"/>
      <c r="C211" s="12"/>
      <c r="D211" s="12"/>
      <c r="E211" s="12"/>
      <c r="F211" s="12"/>
      <c r="G211" s="12"/>
      <c r="H211" s="12"/>
      <c r="I211" s="12"/>
      <c r="J211" s="12"/>
      <c r="K211" s="12"/>
      <c r="L211" s="12"/>
      <c r="M211" s="12"/>
      <c r="N211" s="12"/>
      <c r="O211" s="12"/>
      <c r="P211" s="12"/>
      <c r="Q211" s="12"/>
      <c r="R211" s="27"/>
      <c r="S211" s="27"/>
      <c r="T211" s="27"/>
      <c r="U211" s="27"/>
      <c r="V211" s="12"/>
      <c r="W211" s="12"/>
      <c r="X211" s="12"/>
      <c r="Y211" s="12"/>
      <c r="Z211" s="31"/>
      <c r="AA211" s="12"/>
      <c r="AB211" s="12"/>
      <c r="AC211" s="12"/>
      <c r="AD211" s="12"/>
      <c r="AE211" s="12"/>
      <c r="AF211" s="12"/>
      <c r="AG211" s="12"/>
      <c r="AH211" s="12"/>
    </row>
    <row r="212" spans="1:34" ht="12.75">
      <c r="A212" s="12"/>
      <c r="B212" s="12"/>
      <c r="C212" s="12"/>
      <c r="D212" s="12"/>
      <c r="E212" s="12"/>
      <c r="F212" s="12"/>
      <c r="G212" s="12"/>
      <c r="H212" s="12"/>
      <c r="I212" s="12"/>
      <c r="J212" s="12"/>
      <c r="K212" s="12"/>
      <c r="L212" s="12"/>
      <c r="M212" s="12"/>
      <c r="N212" s="12"/>
      <c r="O212" s="12"/>
      <c r="P212" s="12"/>
      <c r="Q212" s="12"/>
      <c r="R212" s="27"/>
      <c r="S212" s="27"/>
      <c r="T212" s="27"/>
      <c r="U212" s="27"/>
      <c r="V212" s="12"/>
      <c r="W212" s="12"/>
      <c r="X212" s="12"/>
      <c r="Y212" s="12"/>
      <c r="Z212" s="31"/>
      <c r="AA212" s="12"/>
      <c r="AB212" s="12"/>
      <c r="AC212" s="12"/>
      <c r="AD212" s="12"/>
      <c r="AE212" s="12"/>
      <c r="AF212" s="12"/>
      <c r="AG212" s="12"/>
      <c r="AH212" s="12"/>
    </row>
    <row r="213" spans="1:34" ht="12.75">
      <c r="A213" s="12"/>
      <c r="B213" s="12"/>
      <c r="C213" s="12"/>
      <c r="D213" s="12"/>
      <c r="E213" s="12"/>
      <c r="F213" s="12"/>
      <c r="G213" s="12"/>
      <c r="H213" s="12"/>
      <c r="I213" s="12"/>
      <c r="J213" s="12"/>
      <c r="K213" s="12"/>
      <c r="L213" s="12"/>
      <c r="M213" s="12"/>
      <c r="N213" s="12"/>
      <c r="O213" s="12"/>
      <c r="P213" s="12"/>
      <c r="Q213" s="12"/>
      <c r="R213" s="27"/>
      <c r="S213" s="27"/>
      <c r="T213" s="27"/>
      <c r="U213" s="27"/>
      <c r="V213" s="12"/>
      <c r="W213" s="12"/>
      <c r="X213" s="12"/>
      <c r="Y213" s="12"/>
      <c r="Z213" s="31"/>
      <c r="AA213" s="12"/>
      <c r="AB213" s="12"/>
      <c r="AC213" s="12"/>
      <c r="AD213" s="12"/>
      <c r="AE213" s="12"/>
      <c r="AF213" s="12"/>
      <c r="AG213" s="12"/>
      <c r="AH213" s="12"/>
    </row>
    <row r="214" spans="1:34" ht="12.75">
      <c r="A214" s="12"/>
      <c r="B214" s="12"/>
      <c r="C214" s="12"/>
      <c r="D214" s="12"/>
      <c r="E214" s="12"/>
      <c r="F214" s="12"/>
      <c r="G214" s="12"/>
      <c r="H214" s="12"/>
      <c r="I214" s="12"/>
      <c r="J214" s="12"/>
      <c r="K214" s="12"/>
      <c r="L214" s="12"/>
      <c r="M214" s="12"/>
      <c r="N214" s="12"/>
      <c r="O214" s="12"/>
      <c r="P214" s="12"/>
      <c r="Q214" s="12"/>
      <c r="R214" s="27"/>
      <c r="S214" s="27"/>
      <c r="T214" s="27"/>
      <c r="U214" s="27"/>
      <c r="V214" s="12"/>
      <c r="W214" s="12"/>
      <c r="X214" s="12"/>
      <c r="Y214" s="12"/>
      <c r="Z214" s="31"/>
      <c r="AA214" s="12"/>
      <c r="AB214" s="12"/>
      <c r="AC214" s="12"/>
      <c r="AD214" s="12"/>
      <c r="AE214" s="12"/>
      <c r="AF214" s="12"/>
      <c r="AG214" s="12"/>
      <c r="AH214" s="12"/>
    </row>
    <row r="215" spans="1:34" ht="12.75">
      <c r="A215" s="12"/>
      <c r="B215" s="12"/>
      <c r="C215" s="12"/>
      <c r="D215" s="12"/>
      <c r="E215" s="12"/>
      <c r="F215" s="12"/>
      <c r="G215" s="12"/>
      <c r="H215" s="12"/>
      <c r="I215" s="12"/>
      <c r="J215" s="12"/>
      <c r="K215" s="12"/>
      <c r="L215" s="12"/>
      <c r="M215" s="12"/>
      <c r="N215" s="12"/>
      <c r="O215" s="12"/>
      <c r="P215" s="12"/>
      <c r="Q215" s="12"/>
      <c r="R215" s="27"/>
      <c r="S215" s="27"/>
      <c r="T215" s="27"/>
      <c r="U215" s="27"/>
      <c r="V215" s="12"/>
      <c r="W215" s="12"/>
      <c r="X215" s="12"/>
      <c r="Y215" s="12"/>
      <c r="Z215" s="31"/>
      <c r="AA215" s="12"/>
      <c r="AB215" s="12"/>
      <c r="AC215" s="12"/>
      <c r="AD215" s="12"/>
      <c r="AE215" s="12"/>
      <c r="AF215" s="12"/>
      <c r="AG215" s="12"/>
      <c r="AH215" s="12"/>
    </row>
    <row r="216" spans="1:34" ht="12.75">
      <c r="A216" s="12"/>
      <c r="B216" s="12"/>
      <c r="C216" s="12"/>
      <c r="D216" s="12"/>
      <c r="E216" s="12"/>
      <c r="F216" s="12"/>
      <c r="G216" s="12"/>
      <c r="H216" s="12"/>
      <c r="I216" s="12"/>
      <c r="J216" s="12"/>
      <c r="K216" s="12"/>
      <c r="L216" s="12"/>
      <c r="M216" s="12"/>
      <c r="N216" s="12"/>
      <c r="O216" s="12"/>
      <c r="P216" s="12"/>
      <c r="Q216" s="12"/>
      <c r="R216" s="27"/>
      <c r="S216" s="27"/>
      <c r="T216" s="27"/>
      <c r="U216" s="27"/>
      <c r="V216" s="12"/>
      <c r="W216" s="12"/>
      <c r="X216" s="12"/>
      <c r="Y216" s="12"/>
      <c r="Z216" s="31"/>
      <c r="AA216" s="12"/>
      <c r="AB216" s="12"/>
      <c r="AC216" s="12"/>
      <c r="AD216" s="12"/>
      <c r="AE216" s="12"/>
      <c r="AF216" s="12"/>
      <c r="AG216" s="12"/>
      <c r="AH216" s="12"/>
    </row>
    <row r="217" spans="1:34" ht="12.75">
      <c r="A217" s="12"/>
      <c r="B217" s="12"/>
      <c r="C217" s="12"/>
      <c r="D217" s="12"/>
      <c r="E217" s="12"/>
      <c r="F217" s="12"/>
      <c r="G217" s="12"/>
      <c r="H217" s="12"/>
      <c r="I217" s="12"/>
      <c r="J217" s="12"/>
      <c r="K217" s="12"/>
      <c r="L217" s="12"/>
      <c r="M217" s="12"/>
      <c r="N217" s="12"/>
      <c r="O217" s="12"/>
      <c r="P217" s="12"/>
      <c r="Q217" s="12"/>
      <c r="R217" s="27"/>
      <c r="S217" s="27"/>
      <c r="T217" s="27"/>
      <c r="U217" s="27"/>
      <c r="V217" s="12"/>
      <c r="W217" s="12"/>
      <c r="X217" s="12"/>
      <c r="Y217" s="12"/>
      <c r="Z217" s="31"/>
      <c r="AA217" s="12"/>
      <c r="AB217" s="12"/>
      <c r="AC217" s="12"/>
      <c r="AD217" s="12"/>
      <c r="AE217" s="12"/>
      <c r="AF217" s="12"/>
      <c r="AG217" s="12"/>
      <c r="AH217" s="12"/>
    </row>
    <row r="218" spans="1:34" ht="12.75">
      <c r="A218" s="12"/>
      <c r="B218" s="12"/>
      <c r="C218" s="12"/>
      <c r="D218" s="12"/>
      <c r="E218" s="12"/>
      <c r="F218" s="12"/>
      <c r="G218" s="12"/>
      <c r="H218" s="12"/>
      <c r="I218" s="12"/>
      <c r="J218" s="12"/>
      <c r="K218" s="12"/>
      <c r="L218" s="12"/>
      <c r="M218" s="12"/>
      <c r="N218" s="12"/>
      <c r="O218" s="12"/>
      <c r="P218" s="12"/>
      <c r="Q218" s="12"/>
      <c r="R218" s="27"/>
      <c r="S218" s="27"/>
      <c r="T218" s="27"/>
      <c r="U218" s="27"/>
      <c r="V218" s="12"/>
      <c r="W218" s="12"/>
      <c r="X218" s="12"/>
      <c r="Y218" s="12"/>
      <c r="Z218" s="31"/>
      <c r="AA218" s="12"/>
      <c r="AB218" s="12"/>
      <c r="AC218" s="12"/>
      <c r="AD218" s="12"/>
      <c r="AE218" s="12"/>
      <c r="AF218" s="12"/>
      <c r="AG218" s="12"/>
      <c r="AH218" s="12"/>
    </row>
    <row r="219" spans="1:34" ht="12.75">
      <c r="A219" s="12"/>
      <c r="B219" s="12"/>
      <c r="C219" s="12"/>
      <c r="D219" s="12"/>
      <c r="E219" s="12"/>
      <c r="F219" s="12"/>
      <c r="G219" s="12"/>
      <c r="H219" s="12"/>
      <c r="I219" s="12"/>
      <c r="J219" s="12"/>
      <c r="K219" s="12"/>
      <c r="L219" s="12"/>
      <c r="M219" s="12"/>
      <c r="N219" s="12"/>
      <c r="O219" s="12"/>
      <c r="P219" s="12"/>
      <c r="Q219" s="12"/>
      <c r="R219" s="27"/>
      <c r="S219" s="27"/>
      <c r="T219" s="27"/>
      <c r="U219" s="27"/>
      <c r="V219" s="12"/>
      <c r="W219" s="12"/>
      <c r="X219" s="12"/>
      <c r="Y219" s="12"/>
      <c r="Z219" s="31"/>
      <c r="AA219" s="12"/>
      <c r="AB219" s="12"/>
      <c r="AC219" s="12"/>
      <c r="AD219" s="12"/>
      <c r="AE219" s="12"/>
      <c r="AF219" s="12"/>
      <c r="AG219" s="12"/>
      <c r="AH219" s="12"/>
    </row>
    <row r="220" spans="1:34" ht="12.75">
      <c r="A220" s="12"/>
      <c r="B220" s="12"/>
      <c r="C220" s="12"/>
      <c r="D220" s="12"/>
      <c r="E220" s="12"/>
      <c r="F220" s="12"/>
      <c r="G220" s="12"/>
      <c r="H220" s="12"/>
      <c r="I220" s="12"/>
      <c r="J220" s="12"/>
      <c r="K220" s="12"/>
      <c r="L220" s="12"/>
      <c r="M220" s="12"/>
      <c r="N220" s="12"/>
      <c r="O220" s="12"/>
      <c r="P220" s="12"/>
      <c r="Q220" s="12"/>
      <c r="R220" s="27"/>
      <c r="S220" s="27"/>
      <c r="T220" s="27"/>
      <c r="U220" s="27"/>
      <c r="V220" s="12"/>
      <c r="W220" s="12"/>
      <c r="X220" s="12"/>
      <c r="Y220" s="12"/>
      <c r="Z220" s="31"/>
      <c r="AA220" s="12"/>
      <c r="AB220" s="12"/>
      <c r="AC220" s="12"/>
      <c r="AD220" s="12"/>
      <c r="AE220" s="12"/>
      <c r="AF220" s="12"/>
      <c r="AG220" s="12"/>
      <c r="AH220" s="12"/>
    </row>
    <row r="221" spans="1:34" ht="12.75">
      <c r="A221" s="12"/>
      <c r="B221" s="12"/>
      <c r="C221" s="12"/>
      <c r="D221" s="12"/>
      <c r="E221" s="12"/>
      <c r="F221" s="12"/>
      <c r="G221" s="12"/>
      <c r="H221" s="12"/>
      <c r="I221" s="12"/>
      <c r="J221" s="12"/>
      <c r="K221" s="12"/>
      <c r="L221" s="12"/>
      <c r="M221" s="12"/>
      <c r="N221" s="12"/>
      <c r="O221" s="12"/>
      <c r="P221" s="12"/>
      <c r="Q221" s="12"/>
      <c r="R221" s="27"/>
      <c r="S221" s="27"/>
      <c r="T221" s="27"/>
      <c r="U221" s="27"/>
      <c r="V221" s="12"/>
      <c r="W221" s="12"/>
      <c r="X221" s="12"/>
      <c r="Y221" s="12"/>
      <c r="Z221" s="31"/>
      <c r="AA221" s="12"/>
      <c r="AB221" s="12"/>
      <c r="AC221" s="12"/>
      <c r="AD221" s="12"/>
      <c r="AE221" s="12"/>
      <c r="AF221" s="12"/>
      <c r="AG221" s="12"/>
      <c r="AH221" s="12"/>
    </row>
    <row r="222" spans="1:34" ht="12.75">
      <c r="A222" s="12"/>
      <c r="B222" s="12"/>
      <c r="C222" s="12"/>
      <c r="D222" s="12"/>
      <c r="E222" s="12"/>
      <c r="F222" s="12"/>
      <c r="G222" s="12"/>
      <c r="H222" s="12"/>
      <c r="I222" s="12"/>
      <c r="J222" s="12"/>
      <c r="K222" s="12"/>
      <c r="L222" s="12"/>
      <c r="M222" s="12"/>
      <c r="N222" s="12"/>
      <c r="O222" s="12"/>
      <c r="P222" s="12"/>
      <c r="Q222" s="12"/>
      <c r="R222" s="27"/>
      <c r="S222" s="27"/>
      <c r="T222" s="27"/>
      <c r="U222" s="27"/>
      <c r="V222" s="12"/>
      <c r="W222" s="12"/>
      <c r="X222" s="12"/>
      <c r="Y222" s="12"/>
      <c r="Z222" s="31"/>
      <c r="AA222" s="12"/>
      <c r="AB222" s="12"/>
      <c r="AC222" s="12"/>
      <c r="AD222" s="12"/>
      <c r="AE222" s="12"/>
      <c r="AF222" s="12"/>
      <c r="AG222" s="12"/>
      <c r="AH222" s="12"/>
    </row>
    <row r="223" spans="1:34" ht="12.75">
      <c r="A223" s="12"/>
      <c r="B223" s="12"/>
      <c r="C223" s="12"/>
      <c r="D223" s="12"/>
      <c r="E223" s="12"/>
      <c r="F223" s="12"/>
      <c r="G223" s="12"/>
      <c r="H223" s="12"/>
      <c r="I223" s="12"/>
      <c r="J223" s="12"/>
      <c r="K223" s="12"/>
      <c r="L223" s="12"/>
      <c r="M223" s="12"/>
      <c r="N223" s="12"/>
      <c r="O223" s="12"/>
      <c r="P223" s="12"/>
      <c r="Q223" s="12"/>
      <c r="R223" s="27"/>
      <c r="S223" s="27"/>
      <c r="T223" s="27"/>
      <c r="U223" s="27"/>
      <c r="V223" s="12"/>
      <c r="W223" s="12"/>
      <c r="X223" s="12"/>
      <c r="Y223" s="12"/>
      <c r="Z223" s="31"/>
      <c r="AA223" s="12"/>
      <c r="AB223" s="12"/>
      <c r="AC223" s="12"/>
      <c r="AD223" s="12"/>
      <c r="AE223" s="12"/>
      <c r="AF223" s="12"/>
      <c r="AG223" s="12"/>
      <c r="AH223" s="12"/>
    </row>
    <row r="224" spans="1:34" ht="12.75">
      <c r="A224" s="12"/>
      <c r="B224" s="12"/>
      <c r="C224" s="12"/>
      <c r="D224" s="12"/>
      <c r="E224" s="12"/>
      <c r="F224" s="12"/>
      <c r="G224" s="12"/>
      <c r="H224" s="12"/>
      <c r="I224" s="12"/>
      <c r="J224" s="12"/>
      <c r="K224" s="12"/>
      <c r="L224" s="12"/>
      <c r="M224" s="12"/>
      <c r="N224" s="12"/>
      <c r="O224" s="12"/>
      <c r="P224" s="12"/>
      <c r="Q224" s="12"/>
      <c r="R224" s="27"/>
      <c r="S224" s="27"/>
      <c r="T224" s="27"/>
      <c r="U224" s="27"/>
      <c r="V224" s="12"/>
      <c r="W224" s="12"/>
      <c r="X224" s="12"/>
      <c r="Y224" s="12"/>
      <c r="Z224" s="31"/>
      <c r="AA224" s="12"/>
      <c r="AB224" s="12"/>
      <c r="AC224" s="12"/>
      <c r="AD224" s="12"/>
      <c r="AE224" s="12"/>
      <c r="AF224" s="12"/>
      <c r="AG224" s="12"/>
      <c r="AH224" s="12"/>
    </row>
    <row r="225" spans="1:34" ht="12.75">
      <c r="A225" s="12"/>
      <c r="B225" s="12"/>
      <c r="C225" s="12"/>
      <c r="D225" s="12"/>
      <c r="E225" s="12"/>
      <c r="F225" s="12"/>
      <c r="G225" s="12"/>
      <c r="H225" s="12"/>
      <c r="I225" s="12"/>
      <c r="J225" s="12"/>
      <c r="K225" s="12"/>
      <c r="L225" s="12"/>
      <c r="M225" s="12"/>
      <c r="N225" s="12"/>
      <c r="O225" s="12"/>
      <c r="P225" s="12"/>
      <c r="Q225" s="12"/>
      <c r="R225" s="27"/>
      <c r="S225" s="27"/>
      <c r="T225" s="27"/>
      <c r="U225" s="27"/>
      <c r="V225" s="12"/>
      <c r="W225" s="12"/>
      <c r="X225" s="12"/>
      <c r="Y225" s="12"/>
      <c r="Z225" s="31"/>
      <c r="AA225" s="12"/>
      <c r="AB225" s="12"/>
      <c r="AC225" s="12"/>
      <c r="AD225" s="12"/>
      <c r="AE225" s="12"/>
      <c r="AF225" s="12"/>
      <c r="AG225" s="12"/>
      <c r="AH225" s="12"/>
    </row>
    <row r="226" spans="1:34" ht="12.75">
      <c r="A226" s="12"/>
      <c r="B226" s="12"/>
      <c r="C226" s="12"/>
      <c r="D226" s="12"/>
      <c r="E226" s="12"/>
      <c r="F226" s="12"/>
      <c r="G226" s="12"/>
      <c r="H226" s="12"/>
      <c r="I226" s="12"/>
      <c r="J226" s="12"/>
      <c r="K226" s="12"/>
      <c r="L226" s="12"/>
      <c r="M226" s="12"/>
      <c r="N226" s="12"/>
      <c r="O226" s="12"/>
      <c r="P226" s="12"/>
      <c r="Q226" s="12"/>
      <c r="R226" s="27"/>
      <c r="S226" s="27"/>
      <c r="T226" s="27"/>
      <c r="U226" s="27"/>
      <c r="V226" s="12"/>
      <c r="W226" s="12"/>
      <c r="X226" s="12"/>
      <c r="Y226" s="12"/>
      <c r="Z226" s="31"/>
      <c r="AA226" s="12"/>
      <c r="AB226" s="12"/>
      <c r="AC226" s="12"/>
      <c r="AD226" s="12"/>
      <c r="AE226" s="12"/>
      <c r="AF226" s="12"/>
      <c r="AG226" s="12"/>
      <c r="AH226" s="12"/>
    </row>
    <row r="227" spans="1:34" ht="12.75">
      <c r="A227" s="12"/>
      <c r="B227" s="12"/>
      <c r="C227" s="12"/>
      <c r="D227" s="12"/>
      <c r="E227" s="12"/>
      <c r="F227" s="12"/>
      <c r="G227" s="12"/>
      <c r="H227" s="12"/>
      <c r="I227" s="12"/>
      <c r="J227" s="12"/>
      <c r="K227" s="12"/>
      <c r="L227" s="12"/>
      <c r="M227" s="12"/>
      <c r="N227" s="12"/>
      <c r="O227" s="12"/>
      <c r="P227" s="12"/>
      <c r="Q227" s="12"/>
      <c r="R227" s="27"/>
      <c r="S227" s="27"/>
      <c r="T227" s="27"/>
      <c r="U227" s="27"/>
      <c r="V227" s="12"/>
      <c r="W227" s="12"/>
      <c r="X227" s="12"/>
      <c r="Y227" s="12"/>
      <c r="Z227" s="31"/>
      <c r="AA227" s="12"/>
      <c r="AB227" s="12"/>
      <c r="AC227" s="12"/>
      <c r="AD227" s="12"/>
      <c r="AE227" s="12"/>
      <c r="AF227" s="12"/>
      <c r="AG227" s="12"/>
      <c r="AH227" s="12"/>
    </row>
    <row r="228" spans="1:34" ht="12.75">
      <c r="A228" s="12"/>
      <c r="B228" s="12"/>
      <c r="C228" s="12"/>
      <c r="D228" s="12"/>
      <c r="E228" s="12"/>
      <c r="F228" s="12"/>
      <c r="G228" s="12"/>
      <c r="H228" s="12"/>
      <c r="I228" s="12"/>
      <c r="J228" s="12"/>
      <c r="K228" s="12"/>
      <c r="L228" s="12"/>
      <c r="M228" s="12"/>
      <c r="N228" s="12"/>
      <c r="O228" s="12"/>
      <c r="P228" s="12"/>
      <c r="Q228" s="12"/>
      <c r="R228" s="27"/>
      <c r="S228" s="27"/>
      <c r="T228" s="27"/>
      <c r="U228" s="27"/>
      <c r="V228" s="12"/>
      <c r="W228" s="12"/>
      <c r="X228" s="12"/>
      <c r="Y228" s="12"/>
      <c r="Z228" s="31"/>
      <c r="AA228" s="12"/>
      <c r="AB228" s="12"/>
      <c r="AC228" s="12"/>
      <c r="AD228" s="12"/>
      <c r="AE228" s="12"/>
      <c r="AF228" s="12"/>
      <c r="AG228" s="12"/>
      <c r="AH228" s="12"/>
    </row>
    <row r="229" spans="1:34" ht="12.75">
      <c r="A229" s="12"/>
      <c r="B229" s="12"/>
      <c r="C229" s="12"/>
      <c r="D229" s="12"/>
      <c r="E229" s="12"/>
      <c r="F229" s="12"/>
      <c r="G229" s="12"/>
      <c r="H229" s="12"/>
      <c r="I229" s="12"/>
      <c r="J229" s="12"/>
      <c r="K229" s="12"/>
      <c r="L229" s="12"/>
      <c r="M229" s="12"/>
      <c r="N229" s="12"/>
      <c r="O229" s="12"/>
      <c r="P229" s="12"/>
      <c r="Q229" s="12"/>
      <c r="R229" s="27"/>
      <c r="S229" s="27"/>
      <c r="T229" s="27"/>
      <c r="U229" s="27"/>
      <c r="V229" s="12"/>
      <c r="W229" s="12"/>
      <c r="X229" s="12"/>
      <c r="Y229" s="12"/>
      <c r="Z229" s="31"/>
      <c r="AA229" s="12"/>
      <c r="AB229" s="12"/>
      <c r="AC229" s="12"/>
      <c r="AD229" s="12"/>
      <c r="AE229" s="12"/>
      <c r="AF229" s="12"/>
      <c r="AG229" s="12"/>
      <c r="AH229" s="12"/>
    </row>
    <row r="230" spans="1:34" ht="12.75">
      <c r="A230" s="12"/>
      <c r="B230" s="12"/>
      <c r="C230" s="12"/>
      <c r="D230" s="12"/>
      <c r="E230" s="12"/>
      <c r="F230" s="12"/>
      <c r="G230" s="12"/>
      <c r="H230" s="12"/>
      <c r="I230" s="12"/>
      <c r="J230" s="12"/>
      <c r="K230" s="12"/>
      <c r="L230" s="12"/>
      <c r="M230" s="12"/>
      <c r="N230" s="12"/>
      <c r="O230" s="12"/>
      <c r="P230" s="12"/>
      <c r="Q230" s="12"/>
      <c r="R230" s="27"/>
      <c r="S230" s="27"/>
      <c r="T230" s="27"/>
      <c r="U230" s="27"/>
      <c r="V230" s="12"/>
      <c r="W230" s="12"/>
      <c r="X230" s="12"/>
      <c r="Y230" s="12"/>
      <c r="Z230" s="31"/>
      <c r="AA230" s="12"/>
      <c r="AB230" s="12"/>
      <c r="AC230" s="12"/>
      <c r="AD230" s="12"/>
      <c r="AE230" s="12"/>
      <c r="AF230" s="12"/>
      <c r="AG230" s="12"/>
      <c r="AH230" s="12"/>
    </row>
    <row r="231" spans="1:34" ht="12.75">
      <c r="A231" s="12"/>
      <c r="B231" s="12"/>
      <c r="C231" s="12"/>
      <c r="D231" s="12"/>
      <c r="E231" s="12"/>
      <c r="F231" s="12"/>
      <c r="G231" s="12"/>
      <c r="H231" s="12"/>
      <c r="I231" s="12"/>
      <c r="J231" s="12"/>
      <c r="K231" s="12"/>
      <c r="L231" s="12"/>
      <c r="M231" s="12"/>
      <c r="N231" s="12"/>
      <c r="O231" s="12"/>
      <c r="P231" s="12"/>
      <c r="Q231" s="12"/>
      <c r="R231" s="27"/>
      <c r="S231" s="27"/>
      <c r="T231" s="27"/>
      <c r="U231" s="27"/>
      <c r="V231" s="12"/>
      <c r="W231" s="12"/>
      <c r="X231" s="12"/>
      <c r="Y231" s="12"/>
      <c r="Z231" s="31"/>
      <c r="AA231" s="12"/>
      <c r="AB231" s="12"/>
      <c r="AC231" s="12"/>
      <c r="AD231" s="12"/>
      <c r="AE231" s="12"/>
      <c r="AF231" s="12"/>
      <c r="AG231" s="12"/>
      <c r="AH231" s="12"/>
    </row>
    <row r="232" spans="1:34" ht="12.75">
      <c r="A232" s="12"/>
      <c r="B232" s="12"/>
      <c r="C232" s="12"/>
      <c r="D232" s="12"/>
      <c r="E232" s="12"/>
      <c r="F232" s="12"/>
      <c r="G232" s="12"/>
      <c r="H232" s="12"/>
      <c r="I232" s="12"/>
      <c r="J232" s="12"/>
      <c r="K232" s="12"/>
      <c r="L232" s="12"/>
      <c r="M232" s="12"/>
      <c r="N232" s="12"/>
      <c r="O232" s="12"/>
      <c r="P232" s="12"/>
      <c r="Q232" s="12"/>
      <c r="R232" s="27"/>
      <c r="S232" s="27"/>
      <c r="T232" s="27"/>
      <c r="U232" s="27"/>
      <c r="V232" s="12"/>
      <c r="W232" s="12"/>
      <c r="X232" s="12"/>
      <c r="Y232" s="12"/>
      <c r="Z232" s="31"/>
      <c r="AA232" s="12"/>
      <c r="AB232" s="12"/>
      <c r="AC232" s="12"/>
      <c r="AD232" s="12"/>
      <c r="AE232" s="12"/>
      <c r="AF232" s="12"/>
      <c r="AG232" s="12"/>
      <c r="AH232" s="12"/>
    </row>
    <row r="233" spans="1:34" ht="12.75">
      <c r="A233" s="12"/>
      <c r="B233" s="12"/>
      <c r="C233" s="12"/>
      <c r="D233" s="12"/>
      <c r="E233" s="12"/>
      <c r="F233" s="12"/>
      <c r="G233" s="12"/>
      <c r="H233" s="12"/>
      <c r="I233" s="12"/>
      <c r="J233" s="12"/>
      <c r="K233" s="12"/>
      <c r="L233" s="12"/>
      <c r="M233" s="12"/>
      <c r="N233" s="12"/>
      <c r="O233" s="12"/>
      <c r="P233" s="12"/>
      <c r="Q233" s="12"/>
      <c r="R233" s="27"/>
      <c r="S233" s="27"/>
      <c r="T233" s="27"/>
      <c r="U233" s="27"/>
      <c r="V233" s="12"/>
      <c r="W233" s="12"/>
      <c r="X233" s="12"/>
      <c r="Y233" s="12"/>
      <c r="Z233" s="31"/>
      <c r="AA233" s="12"/>
      <c r="AB233" s="12"/>
      <c r="AC233" s="12"/>
      <c r="AD233" s="12"/>
      <c r="AE233" s="12"/>
      <c r="AF233" s="12"/>
      <c r="AG233" s="12"/>
      <c r="AH233" s="12"/>
    </row>
    <row r="234" spans="1:34" ht="12.75">
      <c r="A234" s="12"/>
      <c r="B234" s="12"/>
      <c r="C234" s="12"/>
      <c r="D234" s="12"/>
      <c r="E234" s="12"/>
      <c r="F234" s="12"/>
      <c r="G234" s="12"/>
      <c r="H234" s="12"/>
      <c r="I234" s="12"/>
      <c r="J234" s="12"/>
      <c r="K234" s="12"/>
      <c r="L234" s="12"/>
      <c r="M234" s="12"/>
      <c r="N234" s="12"/>
      <c r="O234" s="12"/>
      <c r="P234" s="12"/>
      <c r="Q234" s="12"/>
      <c r="R234" s="27"/>
      <c r="S234" s="27"/>
      <c r="T234" s="27"/>
      <c r="U234" s="27"/>
      <c r="V234" s="12"/>
      <c r="W234" s="12"/>
      <c r="X234" s="12"/>
      <c r="Y234" s="12"/>
      <c r="Z234" s="31"/>
      <c r="AA234" s="12"/>
      <c r="AB234" s="12"/>
      <c r="AC234" s="12"/>
      <c r="AD234" s="12"/>
      <c r="AE234" s="12"/>
      <c r="AF234" s="12"/>
      <c r="AG234" s="12"/>
      <c r="AH234" s="12"/>
    </row>
    <row r="235" spans="1:34" ht="12.75">
      <c r="A235" s="12"/>
      <c r="B235" s="12"/>
      <c r="C235" s="12"/>
      <c r="D235" s="12"/>
      <c r="E235" s="12"/>
      <c r="F235" s="12"/>
      <c r="G235" s="12"/>
      <c r="H235" s="12"/>
      <c r="I235" s="12"/>
      <c r="J235" s="12"/>
      <c r="K235" s="12"/>
      <c r="L235" s="12"/>
      <c r="M235" s="12"/>
      <c r="N235" s="12"/>
      <c r="O235" s="12"/>
      <c r="P235" s="12"/>
      <c r="Q235" s="12"/>
      <c r="R235" s="27"/>
      <c r="S235" s="27"/>
      <c r="T235" s="27"/>
      <c r="U235" s="27"/>
      <c r="V235" s="12"/>
      <c r="W235" s="12"/>
      <c r="X235" s="12"/>
      <c r="Y235" s="12"/>
      <c r="Z235" s="31"/>
      <c r="AA235" s="12"/>
      <c r="AB235" s="12"/>
      <c r="AC235" s="12"/>
      <c r="AD235" s="12"/>
      <c r="AE235" s="12"/>
      <c r="AF235" s="12"/>
      <c r="AG235" s="12"/>
      <c r="AH235" s="12"/>
    </row>
    <row r="236" spans="1:34" ht="12.75">
      <c r="A236" s="12"/>
      <c r="B236" s="12"/>
      <c r="C236" s="12"/>
      <c r="D236" s="12"/>
      <c r="E236" s="12"/>
      <c r="F236" s="12"/>
      <c r="G236" s="12"/>
      <c r="H236" s="12"/>
      <c r="I236" s="12"/>
      <c r="J236" s="12"/>
      <c r="K236" s="12"/>
      <c r="L236" s="12"/>
      <c r="M236" s="12"/>
      <c r="N236" s="12"/>
      <c r="O236" s="12"/>
      <c r="P236" s="12"/>
      <c r="Q236" s="12"/>
      <c r="R236" s="27"/>
      <c r="S236" s="27"/>
      <c r="T236" s="27"/>
      <c r="U236" s="27"/>
      <c r="V236" s="12"/>
      <c r="W236" s="12"/>
      <c r="X236" s="12"/>
      <c r="Y236" s="12"/>
      <c r="Z236" s="31"/>
      <c r="AA236" s="12"/>
      <c r="AB236" s="12"/>
      <c r="AC236" s="12"/>
      <c r="AD236" s="12"/>
      <c r="AE236" s="12"/>
      <c r="AF236" s="12"/>
      <c r="AG236" s="12"/>
      <c r="AH236" s="12"/>
    </row>
    <row r="237" spans="1:34" ht="12.75">
      <c r="A237" s="12"/>
      <c r="B237" s="12"/>
      <c r="C237" s="12"/>
      <c r="D237" s="12"/>
      <c r="E237" s="12"/>
      <c r="F237" s="12"/>
      <c r="G237" s="12"/>
      <c r="H237" s="12"/>
      <c r="I237" s="12"/>
      <c r="J237" s="12"/>
      <c r="K237" s="12"/>
      <c r="L237" s="12"/>
      <c r="M237" s="12"/>
      <c r="N237" s="12"/>
      <c r="O237" s="12"/>
      <c r="P237" s="12"/>
      <c r="Q237" s="12"/>
      <c r="R237" s="27"/>
      <c r="S237" s="27"/>
      <c r="T237" s="27"/>
      <c r="U237" s="27"/>
      <c r="V237" s="12"/>
      <c r="W237" s="12"/>
      <c r="X237" s="12"/>
      <c r="Y237" s="12"/>
      <c r="Z237" s="31"/>
      <c r="AA237" s="12"/>
      <c r="AB237" s="12"/>
      <c r="AC237" s="12"/>
      <c r="AD237" s="12"/>
      <c r="AE237" s="12"/>
      <c r="AF237" s="12"/>
      <c r="AG237" s="12"/>
      <c r="AH237" s="12"/>
    </row>
    <row r="238" spans="1:34" ht="12.75">
      <c r="A238" s="12"/>
      <c r="B238" s="12"/>
      <c r="C238" s="12"/>
      <c r="D238" s="12"/>
      <c r="E238" s="12"/>
      <c r="F238" s="12"/>
      <c r="G238" s="12"/>
      <c r="H238" s="12"/>
      <c r="I238" s="12"/>
      <c r="J238" s="12"/>
      <c r="K238" s="12"/>
      <c r="L238" s="12"/>
      <c r="M238" s="12"/>
      <c r="N238" s="12"/>
      <c r="O238" s="12"/>
      <c r="P238" s="12"/>
      <c r="Q238" s="12"/>
      <c r="R238" s="27"/>
      <c r="S238" s="27"/>
      <c r="T238" s="27"/>
      <c r="U238" s="27"/>
      <c r="V238" s="12"/>
      <c r="W238" s="12"/>
      <c r="X238" s="12"/>
      <c r="Y238" s="12"/>
      <c r="Z238" s="31"/>
      <c r="AA238" s="12"/>
      <c r="AB238" s="12"/>
      <c r="AC238" s="12"/>
      <c r="AD238" s="12"/>
      <c r="AE238" s="12"/>
      <c r="AF238" s="12"/>
      <c r="AG238" s="12"/>
      <c r="AH238" s="12"/>
    </row>
    <row r="239" spans="1:34" ht="12.75">
      <c r="A239" s="12"/>
      <c r="B239" s="12"/>
      <c r="C239" s="12"/>
      <c r="D239" s="12"/>
      <c r="E239" s="12"/>
      <c r="F239" s="12"/>
      <c r="G239" s="12"/>
      <c r="H239" s="12"/>
      <c r="I239" s="12"/>
      <c r="J239" s="12"/>
      <c r="K239" s="12"/>
      <c r="L239" s="12"/>
      <c r="M239" s="12"/>
      <c r="N239" s="12"/>
      <c r="O239" s="12"/>
      <c r="P239" s="12"/>
      <c r="Q239" s="12"/>
      <c r="R239" s="27"/>
      <c r="S239" s="27"/>
      <c r="T239" s="27"/>
      <c r="U239" s="27"/>
      <c r="V239" s="12"/>
      <c r="W239" s="12"/>
      <c r="X239" s="12"/>
      <c r="Y239" s="12"/>
      <c r="Z239" s="31"/>
      <c r="AA239" s="12"/>
      <c r="AB239" s="12"/>
      <c r="AC239" s="12"/>
      <c r="AD239" s="12"/>
      <c r="AE239" s="12"/>
      <c r="AF239" s="12"/>
      <c r="AG239" s="12"/>
      <c r="AH239" s="12"/>
    </row>
    <row r="240" spans="1:34" ht="12.75">
      <c r="A240" s="12"/>
      <c r="B240" s="12"/>
      <c r="C240" s="12"/>
      <c r="D240" s="12"/>
      <c r="E240" s="12"/>
      <c r="F240" s="12"/>
      <c r="G240" s="12"/>
      <c r="H240" s="12"/>
      <c r="I240" s="12"/>
      <c r="J240" s="12"/>
      <c r="K240" s="12"/>
      <c r="L240" s="12"/>
      <c r="M240" s="12"/>
      <c r="N240" s="12"/>
      <c r="O240" s="12"/>
      <c r="P240" s="12"/>
      <c r="Q240" s="12"/>
      <c r="R240" s="27"/>
      <c r="S240" s="27"/>
      <c r="T240" s="27"/>
      <c r="U240" s="27"/>
      <c r="V240" s="12"/>
      <c r="W240" s="12"/>
      <c r="X240" s="12"/>
      <c r="Y240" s="12"/>
      <c r="Z240" s="31"/>
      <c r="AA240" s="12"/>
      <c r="AB240" s="12"/>
      <c r="AC240" s="12"/>
      <c r="AD240" s="12"/>
      <c r="AE240" s="12"/>
      <c r="AF240" s="12"/>
      <c r="AG240" s="12"/>
      <c r="AH240" s="12"/>
    </row>
    <row r="241" spans="1:34" ht="12.75">
      <c r="A241" s="12"/>
      <c r="B241" s="12"/>
      <c r="C241" s="12"/>
      <c r="D241" s="12"/>
      <c r="E241" s="12"/>
      <c r="F241" s="12"/>
      <c r="G241" s="12"/>
      <c r="H241" s="12"/>
      <c r="I241" s="12"/>
      <c r="J241" s="12"/>
      <c r="K241" s="12"/>
      <c r="L241" s="12"/>
      <c r="M241" s="12"/>
      <c r="N241" s="12"/>
      <c r="O241" s="12"/>
      <c r="P241" s="12"/>
      <c r="Q241" s="12"/>
      <c r="R241" s="27"/>
      <c r="S241" s="27"/>
      <c r="T241" s="27"/>
      <c r="U241" s="27"/>
      <c r="V241" s="12"/>
      <c r="W241" s="12"/>
      <c r="X241" s="12"/>
      <c r="Y241" s="12"/>
      <c r="Z241" s="31"/>
      <c r="AA241" s="12"/>
      <c r="AB241" s="12"/>
      <c r="AC241" s="12"/>
      <c r="AD241" s="12"/>
      <c r="AE241" s="12"/>
      <c r="AF241" s="12"/>
      <c r="AG241" s="12"/>
      <c r="AH241" s="12"/>
    </row>
    <row r="242" spans="1:34" ht="12.75">
      <c r="A242" s="12"/>
      <c r="B242" s="12"/>
      <c r="C242" s="12"/>
      <c r="D242" s="12"/>
      <c r="E242" s="12"/>
      <c r="F242" s="12"/>
      <c r="G242" s="12"/>
      <c r="H242" s="12"/>
      <c r="I242" s="12"/>
      <c r="J242" s="12"/>
      <c r="K242" s="12"/>
      <c r="L242" s="12"/>
      <c r="M242" s="12"/>
      <c r="N242" s="12"/>
      <c r="O242" s="12"/>
      <c r="P242" s="12"/>
      <c r="Q242" s="12"/>
      <c r="R242" s="27"/>
      <c r="S242" s="27"/>
      <c r="T242" s="27"/>
      <c r="U242" s="27"/>
      <c r="V242" s="12"/>
      <c r="W242" s="12"/>
      <c r="X242" s="12"/>
      <c r="Y242" s="12"/>
      <c r="Z242" s="31"/>
      <c r="AA242" s="12"/>
      <c r="AB242" s="12"/>
      <c r="AC242" s="12"/>
      <c r="AD242" s="12"/>
      <c r="AE242" s="12"/>
      <c r="AF242" s="12"/>
      <c r="AG242" s="12"/>
      <c r="AH242" s="12"/>
    </row>
    <row r="243" spans="1:34" ht="12.75">
      <c r="A243" s="12"/>
      <c r="B243" s="12"/>
      <c r="C243" s="12"/>
      <c r="D243" s="12"/>
      <c r="E243" s="12"/>
      <c r="F243" s="12"/>
      <c r="G243" s="12"/>
      <c r="H243" s="12"/>
      <c r="I243" s="12"/>
      <c r="J243" s="12"/>
      <c r="K243" s="12"/>
      <c r="L243" s="12"/>
      <c r="M243" s="12"/>
      <c r="N243" s="12"/>
      <c r="O243" s="12"/>
      <c r="P243" s="12"/>
      <c r="Q243" s="12"/>
      <c r="R243" s="27"/>
      <c r="S243" s="27"/>
      <c r="T243" s="27"/>
      <c r="U243" s="27"/>
      <c r="V243" s="12"/>
      <c r="W243" s="12"/>
      <c r="X243" s="12"/>
      <c r="Y243" s="12"/>
      <c r="Z243" s="31"/>
      <c r="AA243" s="12"/>
      <c r="AB243" s="12"/>
      <c r="AC243" s="12"/>
      <c r="AD243" s="12"/>
      <c r="AE243" s="12"/>
      <c r="AF243" s="12"/>
      <c r="AG243" s="12"/>
      <c r="AH243" s="12"/>
    </row>
    <row r="244" spans="1:34" ht="12.75">
      <c r="A244" s="12"/>
      <c r="B244" s="12"/>
      <c r="C244" s="12"/>
      <c r="D244" s="12"/>
      <c r="E244" s="12"/>
      <c r="F244" s="12"/>
      <c r="G244" s="12"/>
      <c r="H244" s="12"/>
      <c r="I244" s="12"/>
      <c r="J244" s="12"/>
      <c r="K244" s="12"/>
      <c r="L244" s="12"/>
      <c r="M244" s="12"/>
      <c r="N244" s="12"/>
      <c r="O244" s="12"/>
      <c r="P244" s="12"/>
      <c r="Q244" s="12"/>
      <c r="R244" s="27"/>
      <c r="S244" s="27"/>
      <c r="T244" s="27"/>
      <c r="U244" s="27"/>
      <c r="V244" s="12"/>
      <c r="W244" s="12"/>
      <c r="X244" s="12"/>
      <c r="Y244" s="12"/>
      <c r="Z244" s="31"/>
      <c r="AA244" s="12"/>
      <c r="AB244" s="12"/>
      <c r="AC244" s="12"/>
      <c r="AD244" s="12"/>
      <c r="AE244" s="12"/>
      <c r="AF244" s="12"/>
      <c r="AG244" s="12"/>
      <c r="AH244" s="12"/>
    </row>
    <row r="245" spans="1:34" ht="12.75">
      <c r="A245" s="12"/>
      <c r="B245" s="12"/>
      <c r="C245" s="12"/>
      <c r="D245" s="12"/>
      <c r="E245" s="12"/>
      <c r="F245" s="12"/>
      <c r="G245" s="12"/>
      <c r="H245" s="12"/>
      <c r="I245" s="12"/>
      <c r="J245" s="12"/>
      <c r="K245" s="12"/>
      <c r="L245" s="12"/>
      <c r="M245" s="12"/>
      <c r="N245" s="12"/>
      <c r="O245" s="12"/>
      <c r="P245" s="12"/>
      <c r="Q245" s="12"/>
      <c r="R245" s="27"/>
      <c r="S245" s="27"/>
      <c r="T245" s="27"/>
      <c r="U245" s="27"/>
      <c r="V245" s="12"/>
      <c r="W245" s="12"/>
      <c r="X245" s="12"/>
      <c r="Y245" s="12"/>
      <c r="Z245" s="31"/>
      <c r="AA245" s="12"/>
      <c r="AB245" s="12"/>
      <c r="AC245" s="12"/>
      <c r="AD245" s="12"/>
      <c r="AE245" s="12"/>
      <c r="AF245" s="12"/>
      <c r="AG245" s="12"/>
      <c r="AH245" s="12"/>
    </row>
    <row r="246" spans="1:34" ht="12.75">
      <c r="A246" s="12"/>
      <c r="B246" s="12"/>
      <c r="C246" s="12"/>
      <c r="D246" s="12"/>
      <c r="E246" s="12"/>
      <c r="F246" s="12"/>
      <c r="G246" s="12"/>
      <c r="H246" s="12"/>
      <c r="I246" s="12"/>
      <c r="J246" s="12"/>
      <c r="K246" s="12"/>
      <c r="L246" s="12"/>
      <c r="M246" s="12"/>
      <c r="N246" s="12"/>
      <c r="O246" s="12"/>
      <c r="P246" s="12"/>
      <c r="Q246" s="12"/>
      <c r="R246" s="27"/>
      <c r="S246" s="27"/>
      <c r="T246" s="27"/>
      <c r="U246" s="27"/>
      <c r="V246" s="12"/>
      <c r="W246" s="12"/>
      <c r="X246" s="12"/>
      <c r="Y246" s="12"/>
      <c r="Z246" s="31"/>
      <c r="AA246" s="12"/>
      <c r="AB246" s="12"/>
      <c r="AC246" s="12"/>
      <c r="AD246" s="12"/>
      <c r="AE246" s="12"/>
      <c r="AF246" s="12"/>
      <c r="AG246" s="12"/>
      <c r="AH246" s="12"/>
    </row>
    <row r="247" spans="1:34" ht="12.75">
      <c r="A247" s="12"/>
      <c r="B247" s="12"/>
      <c r="C247" s="12"/>
      <c r="D247" s="12"/>
      <c r="E247" s="12"/>
      <c r="F247" s="12"/>
      <c r="G247" s="12"/>
      <c r="H247" s="12"/>
      <c r="I247" s="12"/>
      <c r="J247" s="12"/>
      <c r="K247" s="12"/>
      <c r="L247" s="12"/>
      <c r="M247" s="12"/>
      <c r="N247" s="12"/>
      <c r="O247" s="12"/>
      <c r="P247" s="12"/>
      <c r="Q247" s="12"/>
      <c r="R247" s="27"/>
      <c r="S247" s="27"/>
      <c r="T247" s="27"/>
      <c r="U247" s="27"/>
      <c r="V247" s="12"/>
      <c r="W247" s="12"/>
      <c r="X247" s="12"/>
      <c r="Y247" s="12"/>
      <c r="Z247" s="31"/>
      <c r="AA247" s="12"/>
      <c r="AB247" s="12"/>
      <c r="AC247" s="12"/>
      <c r="AD247" s="12"/>
      <c r="AE247" s="12"/>
      <c r="AF247" s="12"/>
      <c r="AG247" s="12"/>
      <c r="AH247" s="12"/>
    </row>
    <row r="248" spans="1:34" ht="12.75">
      <c r="A248" s="12"/>
      <c r="B248" s="12"/>
      <c r="C248" s="12"/>
      <c r="D248" s="12"/>
      <c r="E248" s="12"/>
      <c r="F248" s="12"/>
      <c r="G248" s="12"/>
      <c r="H248" s="12"/>
      <c r="I248" s="12"/>
      <c r="J248" s="12"/>
      <c r="K248" s="12"/>
      <c r="L248" s="12"/>
      <c r="M248" s="12"/>
      <c r="N248" s="12"/>
      <c r="O248" s="12"/>
      <c r="P248" s="12"/>
      <c r="Q248" s="12"/>
      <c r="R248" s="27"/>
      <c r="S248" s="27"/>
      <c r="T248" s="27"/>
      <c r="U248" s="27"/>
      <c r="V248" s="12"/>
      <c r="W248" s="12"/>
      <c r="X248" s="12"/>
      <c r="Y248" s="12"/>
      <c r="Z248" s="31"/>
      <c r="AA248" s="12"/>
      <c r="AB248" s="12"/>
      <c r="AC248" s="12"/>
      <c r="AD248" s="12"/>
      <c r="AE248" s="12"/>
      <c r="AF248" s="12"/>
      <c r="AG248" s="12"/>
      <c r="AH248" s="12"/>
    </row>
    <row r="249" spans="1:34" ht="12.75">
      <c r="A249" s="12"/>
      <c r="B249" s="12"/>
      <c r="C249" s="12"/>
      <c r="D249" s="12"/>
      <c r="E249" s="12"/>
      <c r="F249" s="12"/>
      <c r="G249" s="12"/>
      <c r="H249" s="12"/>
      <c r="I249" s="12"/>
      <c r="J249" s="12"/>
      <c r="K249" s="12"/>
      <c r="L249" s="12"/>
      <c r="M249" s="12"/>
      <c r="N249" s="12"/>
      <c r="O249" s="12"/>
      <c r="P249" s="12"/>
      <c r="Q249" s="12"/>
      <c r="R249" s="27"/>
      <c r="S249" s="27"/>
      <c r="T249" s="27"/>
      <c r="U249" s="27"/>
      <c r="V249" s="12"/>
      <c r="W249" s="12"/>
      <c r="X249" s="12"/>
      <c r="Y249" s="12"/>
      <c r="Z249" s="31"/>
      <c r="AA249" s="12"/>
      <c r="AB249" s="12"/>
      <c r="AC249" s="12"/>
      <c r="AD249" s="12"/>
      <c r="AE249" s="12"/>
      <c r="AF249" s="12"/>
      <c r="AG249" s="12"/>
      <c r="AH249" s="12"/>
    </row>
    <row r="250" spans="1:34" ht="12.75">
      <c r="A250" s="12"/>
      <c r="B250" s="12"/>
      <c r="C250" s="12"/>
      <c r="D250" s="12"/>
      <c r="E250" s="12"/>
      <c r="F250" s="12"/>
      <c r="G250" s="12"/>
      <c r="H250" s="12"/>
      <c r="I250" s="12"/>
      <c r="J250" s="12"/>
      <c r="K250" s="12"/>
      <c r="L250" s="12"/>
      <c r="M250" s="12"/>
      <c r="N250" s="12"/>
      <c r="O250" s="12"/>
      <c r="P250" s="12"/>
      <c r="Q250" s="12"/>
      <c r="R250" s="27"/>
      <c r="S250" s="27"/>
      <c r="T250" s="27"/>
      <c r="U250" s="27"/>
      <c r="V250" s="12"/>
      <c r="W250" s="12"/>
      <c r="X250" s="12"/>
      <c r="Y250" s="12"/>
      <c r="Z250" s="31"/>
      <c r="AA250" s="12"/>
      <c r="AB250" s="12"/>
      <c r="AC250" s="12"/>
      <c r="AD250" s="12"/>
      <c r="AE250" s="12"/>
      <c r="AF250" s="12"/>
      <c r="AG250" s="12"/>
      <c r="AH250" s="12"/>
    </row>
    <row r="251" spans="1:34" ht="12.75">
      <c r="A251" s="12"/>
      <c r="B251" s="12"/>
      <c r="C251" s="12"/>
      <c r="D251" s="12"/>
      <c r="E251" s="12"/>
      <c r="F251" s="12"/>
      <c r="G251" s="12"/>
      <c r="H251" s="12"/>
      <c r="I251" s="12"/>
      <c r="J251" s="12"/>
      <c r="K251" s="12"/>
      <c r="L251" s="12"/>
      <c r="M251" s="12"/>
      <c r="N251" s="12"/>
      <c r="O251" s="12"/>
      <c r="P251" s="12"/>
      <c r="Q251" s="12"/>
      <c r="R251" s="27"/>
      <c r="S251" s="27"/>
      <c r="T251" s="27"/>
      <c r="U251" s="27"/>
      <c r="V251" s="12"/>
      <c r="W251" s="12"/>
      <c r="X251" s="12"/>
      <c r="Y251" s="12"/>
      <c r="Z251" s="31"/>
      <c r="AA251" s="12"/>
      <c r="AB251" s="12"/>
      <c r="AC251" s="12"/>
      <c r="AD251" s="12"/>
      <c r="AE251" s="12"/>
      <c r="AF251" s="12"/>
      <c r="AG251" s="12"/>
      <c r="AH251" s="12"/>
    </row>
    <row r="252" spans="1:34" ht="12.75">
      <c r="A252" s="12"/>
      <c r="B252" s="12"/>
      <c r="C252" s="12"/>
      <c r="D252" s="12"/>
      <c r="E252" s="12"/>
      <c r="F252" s="12"/>
      <c r="G252" s="12"/>
      <c r="H252" s="12"/>
      <c r="I252" s="12"/>
      <c r="J252" s="12"/>
      <c r="K252" s="12"/>
      <c r="L252" s="12"/>
      <c r="M252" s="12"/>
      <c r="N252" s="12"/>
      <c r="O252" s="12"/>
      <c r="P252" s="12"/>
      <c r="Q252" s="12"/>
      <c r="R252" s="27"/>
      <c r="S252" s="27"/>
      <c r="T252" s="27"/>
      <c r="U252" s="27"/>
      <c r="V252" s="12"/>
      <c r="W252" s="12"/>
      <c r="X252" s="12"/>
      <c r="Y252" s="12"/>
      <c r="Z252" s="31"/>
      <c r="AA252" s="12"/>
      <c r="AB252" s="12"/>
      <c r="AC252" s="12"/>
      <c r="AD252" s="12"/>
      <c r="AE252" s="12"/>
      <c r="AF252" s="12"/>
      <c r="AG252" s="12"/>
      <c r="AH252" s="12"/>
    </row>
    <row r="253" spans="1:34" ht="12.75">
      <c r="A253" s="12"/>
      <c r="B253" s="12"/>
      <c r="C253" s="12"/>
      <c r="D253" s="12"/>
      <c r="E253" s="12"/>
      <c r="F253" s="12"/>
      <c r="G253" s="12"/>
      <c r="H253" s="12"/>
      <c r="I253" s="12"/>
      <c r="J253" s="12"/>
      <c r="K253" s="12"/>
      <c r="L253" s="12"/>
      <c r="M253" s="12"/>
      <c r="N253" s="12"/>
      <c r="O253" s="12"/>
      <c r="P253" s="12"/>
      <c r="Q253" s="12"/>
      <c r="R253" s="27"/>
      <c r="S253" s="27"/>
      <c r="T253" s="27"/>
      <c r="U253" s="27"/>
      <c r="V253" s="12"/>
      <c r="W253" s="12"/>
      <c r="X253" s="12"/>
      <c r="Y253" s="12"/>
      <c r="Z253" s="31"/>
      <c r="AA253" s="12"/>
      <c r="AB253" s="12"/>
      <c r="AC253" s="12"/>
      <c r="AD253" s="12"/>
      <c r="AE253" s="12"/>
      <c r="AF253" s="12"/>
      <c r="AG253" s="12"/>
      <c r="AH253" s="12"/>
    </row>
    <row r="254" spans="1:34" ht="12.75">
      <c r="A254" s="12"/>
      <c r="B254" s="12"/>
      <c r="C254" s="12"/>
      <c r="D254" s="12"/>
      <c r="E254" s="12"/>
      <c r="F254" s="12"/>
      <c r="G254" s="12"/>
      <c r="H254" s="12"/>
      <c r="I254" s="12"/>
      <c r="J254" s="12"/>
      <c r="K254" s="12"/>
      <c r="L254" s="12"/>
      <c r="M254" s="12"/>
      <c r="N254" s="12"/>
      <c r="O254" s="12"/>
      <c r="P254" s="12"/>
      <c r="Q254" s="12"/>
      <c r="R254" s="27"/>
      <c r="S254" s="27"/>
      <c r="T254" s="27"/>
      <c r="U254" s="27"/>
      <c r="V254" s="12"/>
      <c r="W254" s="12"/>
      <c r="X254" s="12"/>
      <c r="Y254" s="12"/>
      <c r="Z254" s="31"/>
      <c r="AA254" s="12"/>
      <c r="AB254" s="12"/>
      <c r="AC254" s="12"/>
      <c r="AD254" s="12"/>
      <c r="AE254" s="12"/>
      <c r="AF254" s="12"/>
      <c r="AG254" s="12"/>
      <c r="AH254" s="12"/>
    </row>
    <row r="255" spans="1:34" ht="12.75">
      <c r="A255" s="12"/>
      <c r="B255" s="12"/>
      <c r="C255" s="12"/>
      <c r="D255" s="12"/>
      <c r="E255" s="12"/>
      <c r="F255" s="12"/>
      <c r="G255" s="12"/>
      <c r="H255" s="12"/>
      <c r="I255" s="12"/>
      <c r="J255" s="12"/>
      <c r="K255" s="12"/>
      <c r="L255" s="12"/>
      <c r="M255" s="12"/>
      <c r="N255" s="12"/>
      <c r="O255" s="12"/>
      <c r="P255" s="12"/>
      <c r="Q255" s="12"/>
      <c r="R255" s="27"/>
      <c r="S255" s="27"/>
      <c r="T255" s="27"/>
      <c r="U255" s="27"/>
      <c r="V255" s="12"/>
      <c r="W255" s="12"/>
      <c r="X255" s="12"/>
      <c r="Y255" s="12"/>
      <c r="Z255" s="31"/>
      <c r="AA255" s="12"/>
      <c r="AB255" s="12"/>
      <c r="AC255" s="12"/>
      <c r="AD255" s="12"/>
      <c r="AE255" s="12"/>
      <c r="AF255" s="12"/>
      <c r="AG255" s="12"/>
      <c r="AH255" s="12"/>
    </row>
    <row r="256" spans="1:34" ht="12.75">
      <c r="A256" s="12"/>
      <c r="B256" s="12"/>
      <c r="C256" s="12"/>
      <c r="D256" s="12"/>
      <c r="E256" s="12"/>
      <c r="F256" s="12"/>
      <c r="G256" s="12"/>
      <c r="H256" s="12"/>
      <c r="I256" s="12"/>
      <c r="J256" s="12"/>
      <c r="K256" s="12"/>
      <c r="L256" s="12"/>
      <c r="M256" s="12"/>
      <c r="N256" s="12"/>
      <c r="O256" s="12"/>
      <c r="P256" s="12"/>
      <c r="Q256" s="12"/>
      <c r="R256" s="27"/>
      <c r="S256" s="27"/>
      <c r="T256" s="27"/>
      <c r="U256" s="27"/>
      <c r="V256" s="12"/>
      <c r="W256" s="12"/>
      <c r="X256" s="12"/>
      <c r="Y256" s="12"/>
      <c r="Z256" s="31"/>
      <c r="AA256" s="12"/>
      <c r="AB256" s="12"/>
      <c r="AC256" s="12"/>
      <c r="AD256" s="12"/>
      <c r="AE256" s="12"/>
      <c r="AF256" s="12"/>
      <c r="AG256" s="12"/>
      <c r="AH256" s="12"/>
    </row>
    <row r="257" spans="1:34" ht="12.75">
      <c r="A257" s="12"/>
      <c r="B257" s="12"/>
      <c r="C257" s="12"/>
      <c r="D257" s="12"/>
      <c r="E257" s="12"/>
      <c r="F257" s="12"/>
      <c r="G257" s="12"/>
      <c r="H257" s="12"/>
      <c r="I257" s="12"/>
      <c r="J257" s="12"/>
      <c r="K257" s="12"/>
      <c r="L257" s="12"/>
      <c r="M257" s="12"/>
      <c r="N257" s="12"/>
      <c r="O257" s="12"/>
      <c r="P257" s="12"/>
      <c r="Q257" s="12"/>
      <c r="R257" s="27"/>
      <c r="S257" s="27"/>
      <c r="T257" s="27"/>
      <c r="U257" s="27"/>
      <c r="V257" s="12"/>
      <c r="W257" s="12"/>
      <c r="X257" s="12"/>
      <c r="Y257" s="12"/>
      <c r="Z257" s="31"/>
      <c r="AA257" s="12"/>
      <c r="AB257" s="12"/>
      <c r="AC257" s="12"/>
      <c r="AD257" s="12"/>
      <c r="AE257" s="12"/>
      <c r="AF257" s="12"/>
      <c r="AG257" s="12"/>
      <c r="AH257" s="12"/>
    </row>
    <row r="258" spans="1:34" ht="12.75">
      <c r="A258" s="12"/>
      <c r="B258" s="12"/>
      <c r="C258" s="12"/>
      <c r="D258" s="12"/>
      <c r="E258" s="12"/>
      <c r="F258" s="12"/>
      <c r="G258" s="12"/>
      <c r="H258" s="12"/>
      <c r="I258" s="12"/>
      <c r="J258" s="12"/>
      <c r="K258" s="12"/>
      <c r="L258" s="12"/>
      <c r="M258" s="12"/>
      <c r="N258" s="12"/>
      <c r="O258" s="12"/>
      <c r="P258" s="12"/>
      <c r="Q258" s="12"/>
      <c r="R258" s="27"/>
      <c r="S258" s="27"/>
      <c r="T258" s="27"/>
      <c r="U258" s="27"/>
      <c r="V258" s="12"/>
      <c r="W258" s="12"/>
      <c r="X258" s="12"/>
      <c r="Y258" s="12"/>
      <c r="Z258" s="31"/>
      <c r="AA258" s="12"/>
      <c r="AB258" s="12"/>
      <c r="AC258" s="12"/>
      <c r="AD258" s="12"/>
      <c r="AE258" s="12"/>
      <c r="AF258" s="12"/>
      <c r="AG258" s="12"/>
      <c r="AH258" s="12"/>
    </row>
    <row r="259" spans="1:34" ht="12.75">
      <c r="A259" s="12"/>
      <c r="B259" s="12"/>
      <c r="C259" s="12"/>
      <c r="D259" s="12"/>
      <c r="E259" s="12"/>
      <c r="F259" s="12"/>
      <c r="G259" s="12"/>
      <c r="H259" s="12"/>
      <c r="I259" s="12"/>
      <c r="J259" s="12"/>
      <c r="K259" s="12"/>
      <c r="L259" s="12"/>
      <c r="M259" s="12"/>
      <c r="N259" s="12"/>
      <c r="O259" s="12"/>
      <c r="P259" s="12"/>
      <c r="Q259" s="12"/>
      <c r="R259" s="27"/>
      <c r="S259" s="27"/>
      <c r="T259" s="27"/>
      <c r="U259" s="27"/>
      <c r="V259" s="12"/>
      <c r="W259" s="12"/>
      <c r="X259" s="12"/>
      <c r="Y259" s="12"/>
      <c r="Z259" s="31"/>
      <c r="AA259" s="12"/>
      <c r="AB259" s="12"/>
      <c r="AC259" s="12"/>
      <c r="AD259" s="12"/>
      <c r="AE259" s="12"/>
      <c r="AF259" s="12"/>
      <c r="AG259" s="12"/>
      <c r="AH259" s="12"/>
    </row>
    <row r="260" spans="1:34" ht="12.75">
      <c r="A260" s="12"/>
      <c r="B260" s="12"/>
      <c r="C260" s="12"/>
      <c r="D260" s="12"/>
      <c r="E260" s="12"/>
      <c r="F260" s="12"/>
      <c r="G260" s="12"/>
      <c r="H260" s="12"/>
      <c r="I260" s="12"/>
      <c r="J260" s="12"/>
      <c r="K260" s="12"/>
      <c r="L260" s="12"/>
      <c r="M260" s="12"/>
      <c r="N260" s="12"/>
      <c r="O260" s="12"/>
      <c r="P260" s="12"/>
      <c r="Q260" s="12"/>
      <c r="R260" s="27"/>
      <c r="S260" s="27"/>
      <c r="T260" s="27"/>
      <c r="U260" s="27"/>
      <c r="V260" s="12"/>
      <c r="W260" s="12"/>
      <c r="X260" s="12"/>
      <c r="Y260" s="12"/>
      <c r="Z260" s="31"/>
      <c r="AA260" s="12"/>
      <c r="AB260" s="12"/>
      <c r="AC260" s="12"/>
      <c r="AD260" s="12"/>
      <c r="AE260" s="12"/>
      <c r="AF260" s="12"/>
      <c r="AG260" s="12"/>
      <c r="AH260" s="12"/>
    </row>
    <row r="261" spans="1:34" ht="12.75">
      <c r="A261" s="12"/>
      <c r="B261" s="12"/>
      <c r="C261" s="12"/>
      <c r="D261" s="12"/>
      <c r="E261" s="12"/>
      <c r="F261" s="12"/>
      <c r="G261" s="12"/>
      <c r="H261" s="12"/>
      <c r="I261" s="12"/>
      <c r="J261" s="12"/>
      <c r="K261" s="12"/>
      <c r="L261" s="12"/>
      <c r="M261" s="12"/>
      <c r="N261" s="12"/>
      <c r="O261" s="12"/>
      <c r="P261" s="12"/>
      <c r="Q261" s="12"/>
      <c r="R261" s="27"/>
      <c r="S261" s="27"/>
      <c r="T261" s="27"/>
      <c r="U261" s="27"/>
      <c r="V261" s="12"/>
      <c r="W261" s="12"/>
      <c r="X261" s="12"/>
      <c r="Y261" s="12"/>
      <c r="Z261" s="31"/>
      <c r="AA261" s="12"/>
      <c r="AB261" s="12"/>
      <c r="AC261" s="12"/>
      <c r="AD261" s="12"/>
      <c r="AE261" s="12"/>
      <c r="AF261" s="12"/>
      <c r="AG261" s="12"/>
      <c r="AH261" s="12"/>
    </row>
    <row r="262" spans="1:34" ht="12.75">
      <c r="A262" s="12"/>
      <c r="B262" s="12"/>
      <c r="C262" s="12"/>
      <c r="D262" s="12"/>
      <c r="E262" s="12"/>
      <c r="F262" s="12"/>
      <c r="G262" s="12"/>
      <c r="H262" s="12"/>
      <c r="I262" s="12"/>
      <c r="J262" s="12"/>
      <c r="K262" s="12"/>
      <c r="L262" s="12"/>
      <c r="M262" s="12"/>
      <c r="N262" s="12"/>
      <c r="O262" s="12"/>
      <c r="P262" s="12"/>
      <c r="Q262" s="12"/>
      <c r="R262" s="27"/>
      <c r="S262" s="27"/>
      <c r="T262" s="27"/>
      <c r="U262" s="27"/>
      <c r="V262" s="12"/>
      <c r="W262" s="12"/>
      <c r="X262" s="12"/>
      <c r="Y262" s="12"/>
      <c r="Z262" s="31"/>
      <c r="AA262" s="12"/>
      <c r="AB262" s="12"/>
      <c r="AC262" s="12"/>
      <c r="AD262" s="12"/>
      <c r="AE262" s="12"/>
      <c r="AF262" s="12"/>
      <c r="AG262" s="12"/>
      <c r="AH262" s="12"/>
    </row>
    <row r="263" spans="1:34" ht="12.75">
      <c r="A263" s="12"/>
      <c r="B263" s="12"/>
      <c r="C263" s="12"/>
      <c r="D263" s="12"/>
      <c r="E263" s="12"/>
      <c r="F263" s="12"/>
      <c r="G263" s="12"/>
      <c r="H263" s="12"/>
      <c r="I263" s="12"/>
      <c r="J263" s="12"/>
      <c r="K263" s="12"/>
      <c r="L263" s="12"/>
      <c r="M263" s="12"/>
      <c r="N263" s="12"/>
      <c r="O263" s="12"/>
      <c r="P263" s="12"/>
      <c r="Q263" s="12"/>
      <c r="R263" s="27"/>
      <c r="S263" s="27"/>
      <c r="T263" s="27"/>
      <c r="U263" s="27"/>
      <c r="V263" s="12"/>
      <c r="W263" s="12"/>
      <c r="X263" s="12"/>
      <c r="Y263" s="12"/>
      <c r="Z263" s="31"/>
      <c r="AA263" s="12"/>
      <c r="AB263" s="12"/>
      <c r="AC263" s="12"/>
      <c r="AD263" s="12"/>
      <c r="AE263" s="12"/>
      <c r="AF263" s="12"/>
      <c r="AG263" s="12"/>
      <c r="AH263" s="12"/>
    </row>
    <row r="264" spans="1:34" ht="12.75">
      <c r="A264" s="12"/>
      <c r="B264" s="12"/>
      <c r="C264" s="12"/>
      <c r="D264" s="12"/>
      <c r="E264" s="12"/>
      <c r="F264" s="12"/>
      <c r="G264" s="12"/>
      <c r="H264" s="12"/>
      <c r="I264" s="12"/>
      <c r="J264" s="12"/>
      <c r="K264" s="12"/>
      <c r="L264" s="12"/>
      <c r="M264" s="12"/>
      <c r="N264" s="12"/>
      <c r="O264" s="12"/>
      <c r="P264" s="12"/>
      <c r="Q264" s="12"/>
      <c r="R264" s="27"/>
      <c r="S264" s="27"/>
      <c r="T264" s="27"/>
      <c r="U264" s="27"/>
      <c r="V264" s="12"/>
      <c r="W264" s="12"/>
      <c r="X264" s="12"/>
      <c r="Y264" s="12"/>
      <c r="Z264" s="31"/>
      <c r="AA264" s="12"/>
      <c r="AB264" s="12"/>
      <c r="AC264" s="12"/>
      <c r="AD264" s="12"/>
      <c r="AE264" s="12"/>
      <c r="AF264" s="12"/>
      <c r="AG264" s="12"/>
      <c r="AH264" s="12"/>
    </row>
    <row r="265" spans="1:34" ht="12.75">
      <c r="A265" s="12"/>
      <c r="B265" s="12"/>
      <c r="C265" s="12"/>
      <c r="D265" s="12"/>
      <c r="E265" s="12"/>
      <c r="F265" s="12"/>
      <c r="G265" s="12"/>
      <c r="H265" s="12"/>
      <c r="I265" s="12"/>
      <c r="J265" s="12"/>
      <c r="K265" s="12"/>
      <c r="L265" s="12"/>
      <c r="M265" s="12"/>
      <c r="N265" s="12"/>
      <c r="O265" s="12"/>
      <c r="P265" s="12"/>
      <c r="Q265" s="12"/>
      <c r="R265" s="27"/>
      <c r="S265" s="27"/>
      <c r="T265" s="27"/>
      <c r="U265" s="27"/>
      <c r="V265" s="12"/>
      <c r="W265" s="12"/>
      <c r="X265" s="12"/>
      <c r="Y265" s="12"/>
      <c r="Z265" s="31"/>
      <c r="AA265" s="12"/>
      <c r="AB265" s="12"/>
      <c r="AC265" s="12"/>
      <c r="AD265" s="12"/>
      <c r="AE265" s="12"/>
      <c r="AF265" s="12"/>
      <c r="AG265" s="12"/>
      <c r="AH265" s="12"/>
    </row>
    <row r="266" spans="1:34" ht="12.75">
      <c r="A266" s="12"/>
      <c r="B266" s="12"/>
      <c r="C266" s="12"/>
      <c r="D266" s="12"/>
      <c r="E266" s="12"/>
      <c r="F266" s="12"/>
      <c r="G266" s="12"/>
      <c r="H266" s="12"/>
      <c r="I266" s="12"/>
      <c r="J266" s="12"/>
      <c r="K266" s="12"/>
      <c r="L266" s="12"/>
      <c r="M266" s="12"/>
      <c r="N266" s="12"/>
      <c r="O266" s="12"/>
      <c r="P266" s="12"/>
      <c r="Q266" s="12"/>
      <c r="R266" s="27"/>
      <c r="S266" s="27"/>
      <c r="T266" s="27"/>
      <c r="U266" s="27"/>
      <c r="V266" s="12"/>
      <c r="W266" s="12"/>
      <c r="X266" s="12"/>
      <c r="Y266" s="12"/>
      <c r="Z266" s="31"/>
      <c r="AA266" s="12"/>
      <c r="AB266" s="12"/>
      <c r="AC266" s="12"/>
      <c r="AD266" s="12"/>
      <c r="AE266" s="12"/>
      <c r="AF266" s="12"/>
      <c r="AG266" s="12"/>
      <c r="AH266" s="12"/>
    </row>
    <row r="267" spans="1:34" ht="12.75">
      <c r="A267" s="12"/>
      <c r="B267" s="12"/>
      <c r="C267" s="12"/>
      <c r="D267" s="12"/>
      <c r="E267" s="12"/>
      <c r="F267" s="12"/>
      <c r="G267" s="12"/>
      <c r="H267" s="12"/>
      <c r="I267" s="12"/>
      <c r="J267" s="12"/>
      <c r="K267" s="12"/>
      <c r="L267" s="12"/>
      <c r="M267" s="12"/>
      <c r="N267" s="12"/>
      <c r="O267" s="12"/>
      <c r="P267" s="12"/>
      <c r="Q267" s="12"/>
      <c r="R267" s="27"/>
      <c r="S267" s="27"/>
      <c r="T267" s="27"/>
      <c r="U267" s="27"/>
      <c r="V267" s="12"/>
      <c r="W267" s="12"/>
      <c r="X267" s="12"/>
      <c r="Y267" s="12"/>
      <c r="Z267" s="31"/>
      <c r="AA267" s="12"/>
      <c r="AB267" s="12"/>
      <c r="AC267" s="12"/>
      <c r="AD267" s="12"/>
      <c r="AE267" s="12"/>
      <c r="AF267" s="12"/>
      <c r="AG267" s="12"/>
      <c r="AH267" s="12"/>
    </row>
    <row r="268" spans="1:34" ht="12.75">
      <c r="A268" s="12"/>
      <c r="B268" s="12"/>
      <c r="C268" s="12"/>
      <c r="D268" s="12"/>
      <c r="E268" s="12"/>
      <c r="F268" s="12"/>
      <c r="G268" s="12"/>
      <c r="H268" s="12"/>
      <c r="I268" s="12"/>
      <c r="J268" s="12"/>
      <c r="K268" s="12"/>
      <c r="L268" s="12"/>
      <c r="M268" s="12"/>
      <c r="N268" s="12"/>
      <c r="O268" s="12"/>
      <c r="P268" s="12"/>
      <c r="Q268" s="12"/>
      <c r="R268" s="27"/>
      <c r="S268" s="27"/>
      <c r="T268" s="27"/>
      <c r="U268" s="27"/>
      <c r="V268" s="12"/>
      <c r="W268" s="12"/>
      <c r="X268" s="12"/>
      <c r="Y268" s="12"/>
      <c r="Z268" s="31"/>
      <c r="AA268" s="12"/>
      <c r="AB268" s="12"/>
      <c r="AC268" s="12"/>
      <c r="AD268" s="12"/>
      <c r="AE268" s="12"/>
      <c r="AF268" s="12"/>
      <c r="AG268" s="12"/>
      <c r="AH268" s="12"/>
    </row>
    <row r="269" spans="1:34" ht="12.75">
      <c r="A269" s="12"/>
      <c r="B269" s="12"/>
      <c r="C269" s="12"/>
      <c r="D269" s="12"/>
      <c r="E269" s="12"/>
      <c r="F269" s="12"/>
      <c r="G269" s="12"/>
      <c r="H269" s="12"/>
      <c r="I269" s="12"/>
      <c r="J269" s="12"/>
      <c r="K269" s="12"/>
      <c r="L269" s="12"/>
      <c r="M269" s="12"/>
      <c r="N269" s="12"/>
      <c r="O269" s="12"/>
      <c r="P269" s="12"/>
      <c r="Q269" s="12"/>
      <c r="R269" s="27"/>
      <c r="S269" s="27"/>
      <c r="T269" s="27"/>
      <c r="U269" s="27"/>
      <c r="V269" s="12"/>
      <c r="W269" s="12"/>
      <c r="X269" s="12"/>
      <c r="Y269" s="12"/>
      <c r="Z269" s="31"/>
      <c r="AA269" s="12"/>
      <c r="AB269" s="12"/>
      <c r="AC269" s="12"/>
      <c r="AD269" s="12"/>
      <c r="AE269" s="12"/>
      <c r="AF269" s="12"/>
      <c r="AG269" s="12"/>
      <c r="AH269" s="12"/>
    </row>
    <row r="270" spans="1:34" ht="12.75">
      <c r="A270" s="12"/>
      <c r="B270" s="12"/>
      <c r="C270" s="12"/>
      <c r="D270" s="12"/>
      <c r="E270" s="12"/>
      <c r="F270" s="12"/>
      <c r="G270" s="12"/>
      <c r="H270" s="12"/>
      <c r="I270" s="12"/>
      <c r="J270" s="12"/>
      <c r="K270" s="12"/>
      <c r="L270" s="12"/>
      <c r="M270" s="12"/>
      <c r="N270" s="12"/>
      <c r="O270" s="12"/>
      <c r="P270" s="12"/>
      <c r="Q270" s="12"/>
      <c r="R270" s="27"/>
      <c r="S270" s="27"/>
      <c r="T270" s="27"/>
      <c r="U270" s="27"/>
      <c r="V270" s="12"/>
      <c r="W270" s="12"/>
      <c r="X270" s="12"/>
      <c r="Y270" s="12"/>
      <c r="Z270" s="31"/>
      <c r="AA270" s="12"/>
      <c r="AB270" s="12"/>
      <c r="AC270" s="12"/>
      <c r="AD270" s="12"/>
      <c r="AE270" s="12"/>
      <c r="AF270" s="12"/>
      <c r="AG270" s="12"/>
      <c r="AH270" s="12"/>
    </row>
    <row r="271" spans="1:34" ht="12.75">
      <c r="A271" s="12"/>
      <c r="B271" s="12"/>
      <c r="C271" s="12"/>
      <c r="D271" s="12"/>
      <c r="E271" s="12"/>
      <c r="F271" s="12"/>
      <c r="G271" s="12"/>
      <c r="H271" s="12"/>
      <c r="I271" s="12"/>
      <c r="J271" s="12"/>
      <c r="K271" s="12"/>
      <c r="L271" s="12"/>
      <c r="M271" s="12"/>
      <c r="N271" s="12"/>
      <c r="O271" s="12"/>
      <c r="P271" s="12"/>
      <c r="Q271" s="12"/>
      <c r="R271" s="27"/>
      <c r="S271" s="27"/>
      <c r="T271" s="27"/>
      <c r="U271" s="27"/>
      <c r="V271" s="12"/>
      <c r="W271" s="12"/>
      <c r="X271" s="12"/>
      <c r="Y271" s="12"/>
      <c r="Z271" s="31"/>
      <c r="AA271" s="12"/>
      <c r="AB271" s="12"/>
      <c r="AC271" s="12"/>
      <c r="AD271" s="12"/>
      <c r="AE271" s="12"/>
      <c r="AF271" s="12"/>
      <c r="AG271" s="12"/>
      <c r="AH271" s="12"/>
    </row>
    <row r="272" spans="1:34" ht="12.75">
      <c r="A272" s="12"/>
      <c r="B272" s="12"/>
      <c r="C272" s="12"/>
      <c r="D272" s="12"/>
      <c r="E272" s="12"/>
      <c r="F272" s="12"/>
      <c r="G272" s="12"/>
      <c r="H272" s="12"/>
      <c r="I272" s="12"/>
      <c r="J272" s="12"/>
      <c r="K272" s="12"/>
      <c r="L272" s="12"/>
      <c r="M272" s="12"/>
      <c r="N272" s="12"/>
      <c r="O272" s="12"/>
      <c r="P272" s="12"/>
      <c r="Q272" s="12"/>
      <c r="R272" s="27"/>
      <c r="S272" s="27"/>
      <c r="T272" s="27"/>
      <c r="U272" s="27"/>
      <c r="V272" s="12"/>
      <c r="W272" s="12"/>
      <c r="X272" s="12"/>
      <c r="Y272" s="12"/>
      <c r="Z272" s="31"/>
      <c r="AA272" s="12"/>
      <c r="AB272" s="12"/>
      <c r="AC272" s="12"/>
      <c r="AD272" s="12"/>
      <c r="AE272" s="12"/>
      <c r="AF272" s="12"/>
      <c r="AG272" s="12"/>
      <c r="AH272" s="12"/>
    </row>
    <row r="273" spans="1:34" ht="12.75">
      <c r="A273" s="12"/>
      <c r="B273" s="12"/>
      <c r="C273" s="12"/>
      <c r="D273" s="12"/>
      <c r="E273" s="12"/>
      <c r="F273" s="12"/>
      <c r="G273" s="12"/>
      <c r="H273" s="12"/>
      <c r="I273" s="12"/>
      <c r="J273" s="12"/>
      <c r="K273" s="12"/>
      <c r="L273" s="12"/>
      <c r="M273" s="12"/>
      <c r="N273" s="12"/>
      <c r="O273" s="12"/>
      <c r="P273" s="12"/>
      <c r="Q273" s="12"/>
      <c r="R273" s="27"/>
      <c r="S273" s="27"/>
      <c r="T273" s="27"/>
      <c r="U273" s="27"/>
      <c r="V273" s="12"/>
      <c r="W273" s="12"/>
      <c r="X273" s="12"/>
      <c r="Y273" s="12"/>
      <c r="Z273" s="31"/>
      <c r="AA273" s="12"/>
      <c r="AB273" s="12"/>
      <c r="AC273" s="12"/>
      <c r="AD273" s="12"/>
      <c r="AE273" s="12"/>
      <c r="AF273" s="12"/>
      <c r="AG273" s="12"/>
      <c r="AH273" s="12"/>
    </row>
    <row r="274" spans="1:34" ht="12.75">
      <c r="A274" s="12"/>
      <c r="B274" s="12"/>
      <c r="C274" s="12"/>
      <c r="D274" s="12"/>
      <c r="E274" s="12"/>
      <c r="F274" s="12"/>
      <c r="G274" s="12"/>
      <c r="H274" s="12"/>
      <c r="I274" s="12"/>
      <c r="J274" s="12"/>
      <c r="K274" s="12"/>
      <c r="L274" s="12"/>
      <c r="M274" s="12"/>
      <c r="N274" s="12"/>
      <c r="O274" s="12"/>
      <c r="P274" s="12"/>
      <c r="Q274" s="12"/>
      <c r="R274" s="27"/>
      <c r="S274" s="27"/>
      <c r="T274" s="27"/>
      <c r="U274" s="27"/>
      <c r="V274" s="12"/>
      <c r="W274" s="12"/>
      <c r="X274" s="12"/>
      <c r="Y274" s="12"/>
      <c r="Z274" s="31"/>
      <c r="AA274" s="12"/>
      <c r="AB274" s="12"/>
      <c r="AC274" s="12"/>
      <c r="AD274" s="12"/>
      <c r="AE274" s="12"/>
      <c r="AF274" s="12"/>
      <c r="AG274" s="12"/>
      <c r="AH274" s="12"/>
    </row>
    <row r="275" spans="1:34" ht="12.75">
      <c r="A275" s="12"/>
      <c r="B275" s="12"/>
      <c r="C275" s="12"/>
      <c r="D275" s="12"/>
      <c r="E275" s="12"/>
      <c r="F275" s="12"/>
      <c r="G275" s="12"/>
      <c r="H275" s="12"/>
      <c r="I275" s="12"/>
      <c r="J275" s="12"/>
      <c r="K275" s="12"/>
      <c r="L275" s="12"/>
      <c r="M275" s="12"/>
      <c r="N275" s="12"/>
      <c r="O275" s="12"/>
      <c r="P275" s="12"/>
      <c r="Q275" s="12"/>
      <c r="R275" s="27"/>
      <c r="S275" s="27"/>
      <c r="T275" s="27"/>
      <c r="U275" s="27"/>
      <c r="V275" s="12"/>
      <c r="W275" s="12"/>
      <c r="X275" s="12"/>
      <c r="Y275" s="12"/>
      <c r="Z275" s="31"/>
      <c r="AA275" s="12"/>
      <c r="AB275" s="12"/>
      <c r="AC275" s="12"/>
      <c r="AD275" s="12"/>
      <c r="AE275" s="12"/>
      <c r="AF275" s="12"/>
      <c r="AG275" s="12"/>
      <c r="AH275" s="12"/>
    </row>
    <row r="276" spans="1:34" ht="12.75">
      <c r="A276" s="12"/>
      <c r="B276" s="12"/>
      <c r="C276" s="12"/>
      <c r="D276" s="12"/>
      <c r="E276" s="12"/>
      <c r="F276" s="12"/>
      <c r="G276" s="12"/>
      <c r="H276" s="12"/>
      <c r="I276" s="12"/>
      <c r="J276" s="12"/>
      <c r="K276" s="12"/>
      <c r="L276" s="12"/>
      <c r="M276" s="12"/>
      <c r="N276" s="12"/>
      <c r="O276" s="12"/>
      <c r="P276" s="12"/>
      <c r="Q276" s="12"/>
      <c r="R276" s="27"/>
      <c r="S276" s="27"/>
      <c r="T276" s="27"/>
      <c r="U276" s="27"/>
      <c r="V276" s="12"/>
      <c r="W276" s="12"/>
      <c r="X276" s="12"/>
      <c r="Y276" s="12"/>
      <c r="Z276" s="31"/>
      <c r="AA276" s="12"/>
      <c r="AB276" s="12"/>
      <c r="AC276" s="12"/>
      <c r="AD276" s="12"/>
      <c r="AE276" s="12"/>
      <c r="AF276" s="12"/>
      <c r="AG276" s="12"/>
      <c r="AH276" s="12"/>
    </row>
    <row r="277" spans="1:34" ht="12.75">
      <c r="A277" s="12"/>
      <c r="B277" s="12"/>
      <c r="C277" s="12"/>
      <c r="D277" s="12"/>
      <c r="E277" s="12"/>
      <c r="F277" s="12"/>
      <c r="G277" s="12"/>
      <c r="H277" s="12"/>
      <c r="I277" s="12"/>
      <c r="J277" s="12"/>
      <c r="K277" s="12"/>
      <c r="L277" s="12"/>
      <c r="M277" s="12"/>
      <c r="N277" s="12"/>
      <c r="O277" s="12"/>
      <c r="P277" s="12"/>
      <c r="Q277" s="12"/>
      <c r="R277" s="27"/>
      <c r="S277" s="27"/>
      <c r="T277" s="27"/>
      <c r="U277" s="27"/>
      <c r="V277" s="12"/>
      <c r="W277" s="12"/>
      <c r="X277" s="12"/>
      <c r="Y277" s="12"/>
      <c r="Z277" s="31"/>
      <c r="AA277" s="12"/>
      <c r="AB277" s="12"/>
      <c r="AC277" s="12"/>
      <c r="AD277" s="12"/>
      <c r="AE277" s="12"/>
      <c r="AF277" s="12"/>
      <c r="AG277" s="12"/>
      <c r="AH277" s="12"/>
    </row>
    <row r="278" spans="1:34" ht="12.75">
      <c r="A278" s="12"/>
      <c r="B278" s="12"/>
      <c r="C278" s="12"/>
      <c r="D278" s="12"/>
      <c r="E278" s="12"/>
      <c r="F278" s="12"/>
      <c r="G278" s="12"/>
      <c r="H278" s="12"/>
      <c r="I278" s="12"/>
      <c r="J278" s="12"/>
      <c r="K278" s="12"/>
      <c r="L278" s="12"/>
      <c r="M278" s="12"/>
      <c r="N278" s="12"/>
      <c r="O278" s="12"/>
      <c r="P278" s="12"/>
      <c r="Q278" s="12"/>
      <c r="R278" s="27"/>
      <c r="S278" s="27"/>
      <c r="T278" s="27"/>
      <c r="U278" s="27"/>
      <c r="V278" s="12"/>
      <c r="W278" s="12"/>
      <c r="X278" s="12"/>
      <c r="Y278" s="12"/>
      <c r="Z278" s="31"/>
      <c r="AA278" s="12"/>
      <c r="AB278" s="12"/>
      <c r="AC278" s="12"/>
      <c r="AD278" s="12"/>
      <c r="AE278" s="12"/>
      <c r="AF278" s="12"/>
      <c r="AG278" s="12"/>
      <c r="AH278" s="12"/>
    </row>
    <row r="279" spans="1:34" ht="12.75">
      <c r="A279" s="12"/>
      <c r="B279" s="12"/>
      <c r="C279" s="12"/>
      <c r="D279" s="12"/>
      <c r="E279" s="12"/>
      <c r="F279" s="12"/>
      <c r="G279" s="12"/>
      <c r="H279" s="12"/>
      <c r="I279" s="12"/>
      <c r="J279" s="12"/>
      <c r="K279" s="12"/>
      <c r="L279" s="12"/>
      <c r="M279" s="12"/>
      <c r="N279" s="12"/>
      <c r="O279" s="12"/>
      <c r="P279" s="12"/>
      <c r="Q279" s="12"/>
      <c r="R279" s="27"/>
      <c r="S279" s="27"/>
      <c r="T279" s="27"/>
      <c r="U279" s="27"/>
      <c r="V279" s="12"/>
      <c r="W279" s="12"/>
      <c r="X279" s="12"/>
      <c r="Y279" s="12"/>
      <c r="Z279" s="31"/>
      <c r="AA279" s="12"/>
      <c r="AB279" s="12"/>
      <c r="AC279" s="12"/>
      <c r="AD279" s="12"/>
      <c r="AE279" s="12"/>
      <c r="AF279" s="12"/>
      <c r="AG279" s="12"/>
      <c r="AH279" s="12"/>
    </row>
    <row r="280" spans="1:34" ht="12.75">
      <c r="A280" s="12"/>
      <c r="B280" s="12"/>
      <c r="C280" s="12"/>
      <c r="D280" s="12"/>
      <c r="E280" s="12"/>
      <c r="F280" s="12"/>
      <c r="G280" s="12"/>
      <c r="H280" s="12"/>
      <c r="I280" s="12"/>
      <c r="J280" s="12"/>
      <c r="K280" s="12"/>
      <c r="L280" s="12"/>
      <c r="M280" s="12"/>
      <c r="N280" s="12"/>
      <c r="O280" s="12"/>
      <c r="P280" s="12"/>
      <c r="Q280" s="12"/>
      <c r="R280" s="27"/>
      <c r="S280" s="27"/>
      <c r="T280" s="27"/>
      <c r="U280" s="27"/>
      <c r="V280" s="12"/>
      <c r="W280" s="12"/>
      <c r="X280" s="12"/>
      <c r="Y280" s="12"/>
      <c r="Z280" s="31"/>
      <c r="AA280" s="12"/>
      <c r="AB280" s="12"/>
      <c r="AC280" s="12"/>
      <c r="AD280" s="12"/>
      <c r="AE280" s="12"/>
      <c r="AF280" s="12"/>
      <c r="AG280" s="12"/>
      <c r="AH280" s="12"/>
    </row>
    <row r="281" spans="1:34" ht="12.75">
      <c r="A281" s="12"/>
      <c r="B281" s="12"/>
      <c r="C281" s="12"/>
      <c r="D281" s="12"/>
      <c r="E281" s="12"/>
      <c r="F281" s="12"/>
      <c r="G281" s="12"/>
      <c r="H281" s="12"/>
      <c r="I281" s="12"/>
      <c r="J281" s="12"/>
      <c r="K281" s="12"/>
      <c r="L281" s="12"/>
      <c r="M281" s="12"/>
      <c r="N281" s="12"/>
      <c r="O281" s="12"/>
      <c r="P281" s="12"/>
      <c r="Q281" s="12"/>
      <c r="R281" s="27"/>
      <c r="S281" s="27"/>
      <c r="T281" s="27"/>
      <c r="U281" s="27"/>
      <c r="V281" s="12"/>
      <c r="W281" s="12"/>
      <c r="X281" s="12"/>
      <c r="Y281" s="12"/>
      <c r="Z281" s="31"/>
      <c r="AA281" s="12"/>
      <c r="AB281" s="12"/>
      <c r="AC281" s="12"/>
      <c r="AD281" s="12"/>
      <c r="AE281" s="12"/>
      <c r="AF281" s="12"/>
      <c r="AG281" s="12"/>
      <c r="AH281" s="12"/>
    </row>
    <row r="282" spans="1:34" ht="12.75">
      <c r="A282" s="12"/>
      <c r="B282" s="12"/>
      <c r="C282" s="12"/>
      <c r="D282" s="12"/>
      <c r="E282" s="12"/>
      <c r="F282" s="12"/>
      <c r="G282" s="12"/>
      <c r="H282" s="12"/>
      <c r="I282" s="12"/>
      <c r="J282" s="12"/>
      <c r="K282" s="12"/>
      <c r="L282" s="12"/>
      <c r="M282" s="12"/>
      <c r="N282" s="12"/>
      <c r="O282" s="12"/>
      <c r="P282" s="12"/>
      <c r="Q282" s="12"/>
      <c r="R282" s="27"/>
      <c r="S282" s="27"/>
      <c r="T282" s="27"/>
      <c r="U282" s="27"/>
      <c r="V282" s="12"/>
      <c r="W282" s="12"/>
      <c r="X282" s="12"/>
      <c r="Y282" s="12"/>
      <c r="Z282" s="31"/>
      <c r="AA282" s="12"/>
      <c r="AB282" s="12"/>
      <c r="AC282" s="12"/>
      <c r="AD282" s="12"/>
      <c r="AE282" s="12"/>
      <c r="AF282" s="12"/>
      <c r="AG282" s="12"/>
      <c r="AH282" s="12"/>
    </row>
    <row r="283" spans="1:34" ht="12.75">
      <c r="A283" s="12"/>
      <c r="B283" s="12"/>
      <c r="C283" s="12"/>
      <c r="D283" s="12"/>
      <c r="E283" s="12"/>
      <c r="F283" s="12"/>
      <c r="G283" s="12"/>
      <c r="H283" s="12"/>
      <c r="I283" s="12"/>
      <c r="J283" s="12"/>
      <c r="K283" s="12"/>
      <c r="L283" s="12"/>
      <c r="M283" s="12"/>
      <c r="N283" s="12"/>
      <c r="O283" s="12"/>
      <c r="P283" s="12"/>
      <c r="Q283" s="12"/>
      <c r="R283" s="27"/>
      <c r="S283" s="27"/>
      <c r="T283" s="27"/>
      <c r="U283" s="27"/>
      <c r="V283" s="12"/>
      <c r="W283" s="12"/>
      <c r="X283" s="12"/>
      <c r="Y283" s="12"/>
      <c r="Z283" s="31"/>
      <c r="AA283" s="12"/>
      <c r="AB283" s="12"/>
      <c r="AC283" s="12"/>
      <c r="AD283" s="12"/>
      <c r="AE283" s="12"/>
      <c r="AF283" s="12"/>
      <c r="AG283" s="12"/>
      <c r="AH283" s="12"/>
    </row>
    <row r="284" spans="1:34" ht="12.75">
      <c r="A284" s="12"/>
      <c r="B284" s="12"/>
      <c r="C284" s="12"/>
      <c r="D284" s="12"/>
      <c r="E284" s="12"/>
      <c r="F284" s="12"/>
      <c r="G284" s="12"/>
      <c r="H284" s="12"/>
      <c r="I284" s="12"/>
      <c r="J284" s="12"/>
      <c r="K284" s="12"/>
      <c r="L284" s="12"/>
      <c r="M284" s="12"/>
      <c r="N284" s="12"/>
      <c r="O284" s="12"/>
      <c r="P284" s="12"/>
      <c r="Q284" s="12"/>
      <c r="R284" s="27"/>
      <c r="S284" s="27"/>
      <c r="T284" s="27"/>
      <c r="U284" s="27"/>
      <c r="V284" s="12"/>
      <c r="W284" s="12"/>
      <c r="X284" s="12"/>
      <c r="Y284" s="12"/>
      <c r="Z284" s="31"/>
      <c r="AA284" s="12"/>
      <c r="AB284" s="12"/>
      <c r="AC284" s="12"/>
      <c r="AD284" s="12"/>
      <c r="AE284" s="12"/>
      <c r="AF284" s="12"/>
      <c r="AG284" s="12"/>
      <c r="AH284" s="12"/>
    </row>
    <row r="285" spans="1:34" ht="12.75">
      <c r="A285" s="12"/>
      <c r="B285" s="12"/>
      <c r="C285" s="12"/>
      <c r="D285" s="12"/>
      <c r="E285" s="12"/>
      <c r="F285" s="12"/>
      <c r="G285" s="12"/>
      <c r="H285" s="12"/>
      <c r="I285" s="12"/>
      <c r="J285" s="12"/>
      <c r="K285" s="12"/>
      <c r="L285" s="12"/>
      <c r="M285" s="12"/>
      <c r="N285" s="12"/>
      <c r="O285" s="12"/>
      <c r="P285" s="12"/>
      <c r="Q285" s="12"/>
      <c r="R285" s="27"/>
      <c r="S285" s="27"/>
      <c r="T285" s="27"/>
      <c r="U285" s="27"/>
      <c r="V285" s="12"/>
      <c r="W285" s="12"/>
      <c r="X285" s="12"/>
      <c r="Y285" s="12"/>
      <c r="Z285" s="31"/>
      <c r="AA285" s="12"/>
      <c r="AB285" s="12"/>
      <c r="AC285" s="12"/>
      <c r="AD285" s="12"/>
      <c r="AE285" s="12"/>
      <c r="AF285" s="12"/>
      <c r="AG285" s="12"/>
      <c r="AH285" s="12"/>
    </row>
    <row r="286" spans="1:34" ht="12.75">
      <c r="A286" s="12"/>
      <c r="B286" s="12"/>
      <c r="C286" s="12"/>
      <c r="D286" s="12"/>
      <c r="E286" s="12"/>
      <c r="F286" s="12"/>
      <c r="G286" s="12"/>
      <c r="H286" s="12"/>
      <c r="I286" s="12"/>
      <c r="J286" s="12"/>
      <c r="K286" s="12"/>
      <c r="L286" s="12"/>
      <c r="M286" s="12"/>
      <c r="N286" s="12"/>
      <c r="O286" s="12"/>
      <c r="P286" s="12"/>
      <c r="Q286" s="12"/>
      <c r="R286" s="27"/>
      <c r="S286" s="27"/>
      <c r="T286" s="27"/>
      <c r="U286" s="27"/>
      <c r="V286" s="12"/>
      <c r="W286" s="12"/>
      <c r="X286" s="12"/>
      <c r="Y286" s="12"/>
      <c r="Z286" s="31"/>
      <c r="AA286" s="12"/>
      <c r="AB286" s="12"/>
      <c r="AC286" s="12"/>
      <c r="AD286" s="12"/>
      <c r="AE286" s="12"/>
      <c r="AF286" s="12"/>
      <c r="AG286" s="12"/>
      <c r="AH286" s="12"/>
    </row>
    <row r="287" spans="1:34" ht="12.75">
      <c r="A287" s="12"/>
      <c r="B287" s="12"/>
      <c r="C287" s="12"/>
      <c r="D287" s="12"/>
      <c r="E287" s="12"/>
      <c r="F287" s="12"/>
      <c r="G287" s="12"/>
      <c r="H287" s="12"/>
      <c r="I287" s="12"/>
      <c r="J287" s="12"/>
      <c r="K287" s="12"/>
      <c r="L287" s="12"/>
      <c r="M287" s="12"/>
      <c r="N287" s="12"/>
      <c r="O287" s="12"/>
      <c r="P287" s="12"/>
      <c r="Q287" s="12"/>
      <c r="R287" s="27"/>
      <c r="S287" s="27"/>
      <c r="T287" s="27"/>
      <c r="U287" s="27"/>
      <c r="V287" s="12"/>
      <c r="W287" s="12"/>
      <c r="X287" s="12"/>
      <c r="Y287" s="12"/>
      <c r="Z287" s="31"/>
      <c r="AA287" s="12"/>
      <c r="AB287" s="12"/>
      <c r="AC287" s="12"/>
      <c r="AD287" s="12"/>
      <c r="AE287" s="12"/>
      <c r="AF287" s="12"/>
      <c r="AG287" s="12"/>
      <c r="AH287" s="12"/>
    </row>
    <row r="288" spans="1:34" ht="12.75">
      <c r="A288" s="12"/>
      <c r="B288" s="12"/>
      <c r="C288" s="12"/>
      <c r="D288" s="12"/>
      <c r="E288" s="12"/>
      <c r="F288" s="12"/>
      <c r="G288" s="12"/>
      <c r="H288" s="12"/>
      <c r="I288" s="12"/>
      <c r="J288" s="12"/>
      <c r="K288" s="12"/>
      <c r="L288" s="12"/>
      <c r="M288" s="12"/>
      <c r="N288" s="12"/>
      <c r="O288" s="12"/>
      <c r="P288" s="12"/>
      <c r="Q288" s="12"/>
      <c r="R288" s="27"/>
      <c r="S288" s="27"/>
      <c r="T288" s="27"/>
      <c r="U288" s="27"/>
      <c r="V288" s="12"/>
      <c r="W288" s="12"/>
      <c r="X288" s="12"/>
      <c r="Y288" s="12"/>
      <c r="Z288" s="31"/>
      <c r="AA288" s="12"/>
      <c r="AB288" s="12"/>
      <c r="AC288" s="12"/>
      <c r="AD288" s="12"/>
      <c r="AE288" s="12"/>
      <c r="AF288" s="12"/>
      <c r="AG288" s="12"/>
      <c r="AH288" s="12"/>
    </row>
    <row r="289" spans="1:34" ht="12.75">
      <c r="A289" s="12"/>
      <c r="B289" s="12"/>
      <c r="C289" s="12"/>
      <c r="D289" s="12"/>
      <c r="E289" s="12"/>
      <c r="F289" s="12"/>
      <c r="G289" s="12"/>
      <c r="H289" s="12"/>
      <c r="I289" s="12"/>
      <c r="J289" s="12"/>
      <c r="K289" s="12"/>
      <c r="L289" s="12"/>
      <c r="M289" s="12"/>
      <c r="N289" s="12"/>
      <c r="O289" s="12"/>
      <c r="P289" s="12"/>
      <c r="Q289" s="12"/>
      <c r="R289" s="27"/>
      <c r="S289" s="27"/>
      <c r="T289" s="27"/>
      <c r="U289" s="27"/>
      <c r="V289" s="12"/>
      <c r="W289" s="12"/>
      <c r="X289" s="12"/>
      <c r="Y289" s="12"/>
      <c r="Z289" s="31"/>
      <c r="AA289" s="12"/>
      <c r="AB289" s="12"/>
      <c r="AC289" s="12"/>
      <c r="AD289" s="12"/>
      <c r="AE289" s="12"/>
      <c r="AF289" s="12"/>
      <c r="AG289" s="12"/>
      <c r="AH289" s="12"/>
    </row>
    <row r="290" spans="1:34" ht="12.75">
      <c r="A290" s="12"/>
      <c r="B290" s="12"/>
      <c r="C290" s="12"/>
      <c r="D290" s="12"/>
      <c r="E290" s="12"/>
      <c r="F290" s="12"/>
      <c r="G290" s="12"/>
      <c r="H290" s="12"/>
      <c r="I290" s="12"/>
      <c r="J290" s="12"/>
      <c r="K290" s="12"/>
      <c r="L290" s="12"/>
      <c r="M290" s="12"/>
      <c r="N290" s="12"/>
      <c r="O290" s="12"/>
      <c r="P290" s="12"/>
      <c r="Q290" s="12"/>
      <c r="R290" s="27"/>
      <c r="S290" s="27"/>
      <c r="T290" s="27"/>
      <c r="U290" s="27"/>
      <c r="V290" s="12"/>
      <c r="W290" s="12"/>
      <c r="X290" s="12"/>
      <c r="Y290" s="12"/>
      <c r="Z290" s="31"/>
      <c r="AA290" s="12"/>
      <c r="AB290" s="12"/>
      <c r="AC290" s="12"/>
      <c r="AD290" s="12"/>
      <c r="AE290" s="12"/>
      <c r="AF290" s="12"/>
      <c r="AG290" s="12"/>
      <c r="AH290" s="12"/>
    </row>
    <row r="291" spans="1:34" ht="12.75">
      <c r="A291" s="12"/>
      <c r="B291" s="12"/>
      <c r="C291" s="12"/>
      <c r="D291" s="12"/>
      <c r="E291" s="12"/>
      <c r="F291" s="12"/>
      <c r="G291" s="12"/>
      <c r="H291" s="12"/>
      <c r="I291" s="12"/>
      <c r="J291" s="12"/>
      <c r="K291" s="12"/>
      <c r="L291" s="12"/>
      <c r="M291" s="12"/>
      <c r="N291" s="12"/>
      <c r="O291" s="12"/>
      <c r="P291" s="12"/>
      <c r="Q291" s="12"/>
      <c r="R291" s="27"/>
      <c r="S291" s="27"/>
      <c r="T291" s="27"/>
      <c r="U291" s="27"/>
      <c r="V291" s="12"/>
      <c r="W291" s="12"/>
      <c r="X291" s="12"/>
      <c r="Y291" s="12"/>
      <c r="Z291" s="31"/>
      <c r="AA291" s="12"/>
      <c r="AB291" s="12"/>
      <c r="AC291" s="12"/>
      <c r="AD291" s="12"/>
      <c r="AE291" s="12"/>
      <c r="AF291" s="12"/>
      <c r="AG291" s="12"/>
      <c r="AH291" s="12"/>
    </row>
    <row r="292" spans="1:34" ht="12.75">
      <c r="A292" s="12"/>
      <c r="B292" s="12"/>
      <c r="C292" s="12"/>
      <c r="D292" s="12"/>
      <c r="E292" s="12"/>
      <c r="F292" s="12"/>
      <c r="G292" s="12"/>
      <c r="H292" s="12"/>
      <c r="I292" s="12"/>
      <c r="J292" s="12"/>
      <c r="K292" s="12"/>
      <c r="L292" s="12"/>
      <c r="M292" s="12"/>
      <c r="N292" s="12"/>
      <c r="O292" s="12"/>
      <c r="P292" s="12"/>
      <c r="Q292" s="12"/>
      <c r="R292" s="27"/>
      <c r="S292" s="27"/>
      <c r="T292" s="27"/>
      <c r="U292" s="27"/>
      <c r="V292" s="12"/>
      <c r="W292" s="12"/>
      <c r="X292" s="12"/>
      <c r="Y292" s="12"/>
      <c r="Z292" s="31"/>
      <c r="AA292" s="12"/>
      <c r="AB292" s="12"/>
      <c r="AC292" s="12"/>
      <c r="AD292" s="12"/>
      <c r="AE292" s="12"/>
      <c r="AF292" s="12"/>
      <c r="AG292" s="12"/>
      <c r="AH292" s="12"/>
    </row>
    <row r="293" spans="1:34" ht="12.75">
      <c r="A293" s="12"/>
      <c r="B293" s="12"/>
      <c r="C293" s="12"/>
      <c r="D293" s="12"/>
      <c r="E293" s="12"/>
      <c r="F293" s="12"/>
      <c r="G293" s="12"/>
      <c r="H293" s="12"/>
      <c r="I293" s="12"/>
      <c r="J293" s="12"/>
      <c r="K293" s="12"/>
      <c r="L293" s="12"/>
      <c r="M293" s="12"/>
      <c r="N293" s="12"/>
      <c r="O293" s="12"/>
      <c r="P293" s="12"/>
      <c r="Q293" s="12"/>
      <c r="R293" s="27"/>
      <c r="S293" s="27"/>
      <c r="T293" s="27"/>
      <c r="U293" s="27"/>
      <c r="V293" s="12"/>
      <c r="W293" s="12"/>
      <c r="X293" s="12"/>
      <c r="Y293" s="12"/>
      <c r="Z293" s="31"/>
      <c r="AA293" s="12"/>
      <c r="AB293" s="12"/>
      <c r="AC293" s="12"/>
      <c r="AD293" s="12"/>
      <c r="AE293" s="12"/>
      <c r="AF293" s="12"/>
      <c r="AG293" s="12"/>
      <c r="AH293" s="12"/>
    </row>
    <row r="294" spans="1:34" ht="12.75">
      <c r="A294" s="12"/>
      <c r="B294" s="12"/>
      <c r="C294" s="12"/>
      <c r="D294" s="12"/>
      <c r="E294" s="12"/>
      <c r="F294" s="12"/>
      <c r="G294" s="12"/>
      <c r="H294" s="12"/>
      <c r="I294" s="12"/>
      <c r="J294" s="12"/>
      <c r="K294" s="12"/>
      <c r="L294" s="12"/>
      <c r="M294" s="12"/>
      <c r="N294" s="12"/>
      <c r="O294" s="12"/>
      <c r="P294" s="12"/>
      <c r="Q294" s="12"/>
      <c r="R294" s="27"/>
      <c r="S294" s="27"/>
      <c r="T294" s="27"/>
      <c r="U294" s="27"/>
      <c r="V294" s="12"/>
      <c r="W294" s="12"/>
      <c r="X294" s="12"/>
      <c r="Y294" s="12"/>
      <c r="Z294" s="31"/>
      <c r="AA294" s="12"/>
      <c r="AB294" s="12"/>
      <c r="AC294" s="12"/>
      <c r="AD294" s="12"/>
      <c r="AE294" s="12"/>
      <c r="AF294" s="12"/>
      <c r="AG294" s="12"/>
      <c r="AH294" s="12"/>
    </row>
    <row r="295" spans="1:34" ht="12.75">
      <c r="A295" s="12"/>
      <c r="B295" s="12"/>
      <c r="C295" s="12"/>
      <c r="D295" s="12"/>
      <c r="E295" s="12"/>
      <c r="F295" s="12"/>
      <c r="G295" s="12"/>
      <c r="H295" s="12"/>
      <c r="I295" s="12"/>
      <c r="J295" s="12"/>
      <c r="K295" s="12"/>
      <c r="L295" s="12"/>
      <c r="M295" s="12"/>
      <c r="N295" s="12"/>
      <c r="O295" s="12"/>
      <c r="P295" s="12"/>
      <c r="Q295" s="12"/>
      <c r="R295" s="27"/>
      <c r="S295" s="27"/>
      <c r="T295" s="27"/>
      <c r="U295" s="27"/>
      <c r="V295" s="12"/>
      <c r="W295" s="12"/>
      <c r="X295" s="12"/>
      <c r="Y295" s="12"/>
      <c r="Z295" s="31"/>
      <c r="AA295" s="12"/>
      <c r="AB295" s="12"/>
      <c r="AC295" s="12"/>
      <c r="AD295" s="12"/>
      <c r="AE295" s="12"/>
      <c r="AF295" s="12"/>
      <c r="AG295" s="12"/>
      <c r="AH295" s="12"/>
    </row>
    <row r="296" spans="1:34" ht="12.75">
      <c r="A296" s="12"/>
      <c r="B296" s="12"/>
      <c r="C296" s="12"/>
      <c r="D296" s="12"/>
      <c r="E296" s="12"/>
      <c r="F296" s="12"/>
      <c r="G296" s="12"/>
      <c r="H296" s="12"/>
      <c r="I296" s="12"/>
      <c r="J296" s="12"/>
      <c r="K296" s="12"/>
      <c r="L296" s="12"/>
      <c r="M296" s="12"/>
      <c r="N296" s="12"/>
      <c r="O296" s="12"/>
      <c r="P296" s="12"/>
      <c r="Q296" s="12"/>
      <c r="R296" s="27"/>
      <c r="S296" s="27"/>
      <c r="T296" s="27"/>
      <c r="U296" s="27"/>
      <c r="V296" s="12"/>
      <c r="W296" s="12"/>
      <c r="X296" s="12"/>
      <c r="Y296" s="12"/>
      <c r="Z296" s="31"/>
      <c r="AA296" s="12"/>
      <c r="AB296" s="12"/>
      <c r="AC296" s="12"/>
      <c r="AD296" s="12"/>
      <c r="AE296" s="12"/>
      <c r="AF296" s="12"/>
      <c r="AG296" s="12"/>
      <c r="AH296" s="12"/>
    </row>
    <row r="297" spans="1:34" ht="12.75">
      <c r="A297" s="12"/>
      <c r="B297" s="12"/>
      <c r="C297" s="12"/>
      <c r="D297" s="12"/>
      <c r="E297" s="12"/>
      <c r="F297" s="12"/>
      <c r="G297" s="12"/>
      <c r="H297" s="12"/>
      <c r="I297" s="12"/>
      <c r="J297" s="12"/>
      <c r="K297" s="12"/>
      <c r="L297" s="12"/>
      <c r="M297" s="12"/>
      <c r="N297" s="12"/>
      <c r="O297" s="12"/>
      <c r="P297" s="12"/>
      <c r="Q297" s="12"/>
      <c r="R297" s="27"/>
      <c r="S297" s="27"/>
      <c r="T297" s="27"/>
      <c r="U297" s="27"/>
      <c r="V297" s="12"/>
      <c r="W297" s="12"/>
      <c r="X297" s="12"/>
      <c r="Y297" s="12"/>
      <c r="Z297" s="31"/>
      <c r="AA297" s="12"/>
      <c r="AB297" s="12"/>
      <c r="AC297" s="12"/>
      <c r="AD297" s="12"/>
      <c r="AE297" s="12"/>
      <c r="AF297" s="12"/>
      <c r="AG297" s="12"/>
      <c r="AH297" s="12"/>
    </row>
    <row r="298" spans="1:34" ht="12.75">
      <c r="A298" s="12"/>
      <c r="B298" s="12"/>
      <c r="C298" s="12"/>
      <c r="D298" s="12"/>
      <c r="E298" s="12"/>
      <c r="F298" s="12"/>
      <c r="G298" s="12"/>
      <c r="H298" s="12"/>
      <c r="I298" s="12"/>
      <c r="J298" s="12"/>
      <c r="K298" s="12"/>
      <c r="L298" s="12"/>
      <c r="M298" s="12"/>
      <c r="N298" s="12"/>
      <c r="O298" s="12"/>
      <c r="P298" s="12"/>
      <c r="Q298" s="12"/>
      <c r="R298" s="27"/>
      <c r="S298" s="27"/>
      <c r="T298" s="27"/>
      <c r="U298" s="27"/>
      <c r="V298" s="12"/>
      <c r="W298" s="12"/>
      <c r="X298" s="12"/>
      <c r="Y298" s="12"/>
      <c r="Z298" s="31"/>
      <c r="AA298" s="12"/>
      <c r="AB298" s="12"/>
      <c r="AC298" s="12"/>
      <c r="AD298" s="12"/>
      <c r="AE298" s="12"/>
      <c r="AF298" s="12"/>
      <c r="AG298" s="12"/>
      <c r="AH298" s="12"/>
    </row>
    <row r="299" spans="1:34" ht="12.75">
      <c r="A299" s="12"/>
      <c r="B299" s="12"/>
      <c r="C299" s="12"/>
      <c r="D299" s="12"/>
      <c r="E299" s="12"/>
      <c r="F299" s="12"/>
      <c r="G299" s="12"/>
      <c r="H299" s="12"/>
      <c r="I299" s="12"/>
      <c r="J299" s="12"/>
      <c r="K299" s="12"/>
      <c r="L299" s="12"/>
      <c r="M299" s="12"/>
      <c r="N299" s="12"/>
      <c r="O299" s="12"/>
      <c r="P299" s="12"/>
      <c r="Q299" s="12"/>
      <c r="R299" s="27"/>
      <c r="S299" s="27"/>
      <c r="T299" s="27"/>
      <c r="U299" s="27"/>
      <c r="V299" s="12"/>
      <c r="W299" s="12"/>
      <c r="X299" s="12"/>
      <c r="Y299" s="12"/>
      <c r="Z299" s="31"/>
      <c r="AA299" s="12"/>
      <c r="AB299" s="12"/>
      <c r="AC299" s="12"/>
      <c r="AD299" s="12"/>
      <c r="AE299" s="12"/>
      <c r="AF299" s="12"/>
      <c r="AG299" s="12"/>
      <c r="AH299" s="12"/>
    </row>
    <row r="300" spans="1:34" ht="12.75">
      <c r="A300" s="12"/>
      <c r="B300" s="12"/>
      <c r="C300" s="12"/>
      <c r="D300" s="12"/>
      <c r="E300" s="12"/>
      <c r="F300" s="12"/>
      <c r="G300" s="12"/>
      <c r="H300" s="12"/>
      <c r="I300" s="12"/>
      <c r="J300" s="12"/>
      <c r="K300" s="12"/>
      <c r="L300" s="12"/>
      <c r="M300" s="12"/>
      <c r="N300" s="12"/>
      <c r="O300" s="12"/>
      <c r="P300" s="12"/>
      <c r="Q300" s="12"/>
      <c r="R300" s="27"/>
      <c r="S300" s="27"/>
      <c r="T300" s="27"/>
      <c r="U300" s="27"/>
      <c r="V300" s="12"/>
      <c r="W300" s="12"/>
      <c r="X300" s="12"/>
      <c r="Y300" s="12"/>
      <c r="Z300" s="31"/>
      <c r="AA300" s="12"/>
      <c r="AB300" s="12"/>
      <c r="AC300" s="12"/>
      <c r="AD300" s="12"/>
      <c r="AE300" s="12"/>
      <c r="AF300" s="12"/>
      <c r="AG300" s="12"/>
      <c r="AH300" s="12"/>
    </row>
    <row r="301" spans="1:34" ht="12.75">
      <c r="A301" s="12"/>
      <c r="B301" s="12"/>
      <c r="C301" s="12"/>
      <c r="D301" s="12"/>
      <c r="E301" s="12"/>
      <c r="F301" s="12"/>
      <c r="G301" s="12"/>
      <c r="H301" s="12"/>
      <c r="I301" s="12"/>
      <c r="J301" s="12"/>
      <c r="K301" s="12"/>
      <c r="L301" s="12"/>
      <c r="M301" s="12"/>
      <c r="N301" s="12"/>
      <c r="O301" s="12"/>
      <c r="P301" s="12"/>
      <c r="Q301" s="12"/>
      <c r="R301" s="27"/>
      <c r="S301" s="27"/>
      <c r="T301" s="27"/>
      <c r="U301" s="27"/>
      <c r="V301" s="12"/>
      <c r="W301" s="12"/>
      <c r="X301" s="12"/>
      <c r="Y301" s="12"/>
      <c r="Z301" s="31"/>
      <c r="AA301" s="12"/>
      <c r="AB301" s="12"/>
      <c r="AC301" s="12"/>
      <c r="AD301" s="12"/>
      <c r="AE301" s="12"/>
      <c r="AF301" s="12"/>
      <c r="AG301" s="12"/>
      <c r="AH301" s="12"/>
    </row>
    <row r="302" spans="1:34" ht="12.75">
      <c r="A302" s="12"/>
      <c r="B302" s="12"/>
      <c r="C302" s="12"/>
      <c r="D302" s="12"/>
      <c r="E302" s="12"/>
      <c r="F302" s="12"/>
      <c r="G302" s="12"/>
      <c r="H302" s="12"/>
      <c r="I302" s="12"/>
      <c r="J302" s="12"/>
      <c r="K302" s="12"/>
      <c r="L302" s="12"/>
      <c r="M302" s="12"/>
      <c r="N302" s="12"/>
      <c r="O302" s="12"/>
      <c r="P302" s="12"/>
      <c r="Q302" s="12"/>
      <c r="R302" s="27"/>
      <c r="S302" s="27"/>
      <c r="T302" s="27"/>
      <c r="U302" s="27"/>
      <c r="V302" s="12"/>
      <c r="W302" s="12"/>
      <c r="X302" s="12"/>
      <c r="Y302" s="12"/>
      <c r="Z302" s="31"/>
      <c r="AA302" s="12"/>
      <c r="AB302" s="12"/>
      <c r="AC302" s="12"/>
      <c r="AD302" s="12"/>
      <c r="AE302" s="12"/>
      <c r="AF302" s="12"/>
      <c r="AG302" s="12"/>
      <c r="AH302" s="12"/>
    </row>
    <row r="303" spans="1:34" ht="12.75">
      <c r="A303" s="12"/>
      <c r="B303" s="12"/>
      <c r="C303" s="12"/>
      <c r="D303" s="12"/>
      <c r="E303" s="12"/>
      <c r="F303" s="12"/>
      <c r="G303" s="12"/>
      <c r="H303" s="12"/>
      <c r="I303" s="12"/>
      <c r="J303" s="12"/>
      <c r="K303" s="12"/>
      <c r="L303" s="12"/>
      <c r="M303" s="12"/>
      <c r="N303" s="12"/>
      <c r="O303" s="12"/>
      <c r="P303" s="12"/>
      <c r="Q303" s="12"/>
      <c r="R303" s="27"/>
      <c r="S303" s="27"/>
      <c r="T303" s="27"/>
      <c r="U303" s="27"/>
      <c r="V303" s="12"/>
      <c r="W303" s="12"/>
      <c r="X303" s="12"/>
      <c r="Y303" s="12"/>
      <c r="Z303" s="31"/>
      <c r="AA303" s="12"/>
      <c r="AB303" s="12"/>
      <c r="AC303" s="12"/>
      <c r="AD303" s="12"/>
      <c r="AE303" s="12"/>
      <c r="AF303" s="12"/>
      <c r="AG303" s="12"/>
      <c r="AH303" s="12"/>
    </row>
    <row r="304" spans="1:34" ht="12.75">
      <c r="A304" s="12"/>
      <c r="B304" s="12"/>
      <c r="C304" s="12"/>
      <c r="D304" s="12"/>
      <c r="E304" s="12"/>
      <c r="F304" s="12"/>
      <c r="G304" s="12"/>
      <c r="H304" s="12"/>
      <c r="I304" s="12"/>
      <c r="J304" s="12"/>
      <c r="K304" s="12"/>
      <c r="L304" s="12"/>
      <c r="M304" s="12"/>
      <c r="N304" s="12"/>
      <c r="O304" s="12"/>
      <c r="P304" s="12"/>
      <c r="Q304" s="12"/>
      <c r="R304" s="27"/>
      <c r="S304" s="27"/>
      <c r="T304" s="27"/>
      <c r="U304" s="27"/>
      <c r="V304" s="12"/>
      <c r="W304" s="12"/>
      <c r="X304" s="12"/>
      <c r="Y304" s="12"/>
      <c r="Z304" s="31"/>
      <c r="AA304" s="12"/>
      <c r="AB304" s="12"/>
      <c r="AC304" s="12"/>
      <c r="AD304" s="12"/>
      <c r="AE304" s="12"/>
      <c r="AF304" s="12"/>
      <c r="AG304" s="12"/>
      <c r="AH304" s="12"/>
    </row>
    <row r="305" spans="1:34" ht="12.75">
      <c r="A305" s="12"/>
      <c r="B305" s="12"/>
      <c r="C305" s="12"/>
      <c r="D305" s="12"/>
      <c r="E305" s="12"/>
      <c r="F305" s="12"/>
      <c r="G305" s="12"/>
      <c r="H305" s="12"/>
      <c r="I305" s="12"/>
      <c r="J305" s="12"/>
      <c r="K305" s="12"/>
      <c r="L305" s="12"/>
      <c r="M305" s="12"/>
      <c r="N305" s="12"/>
      <c r="O305" s="12"/>
      <c r="P305" s="12"/>
      <c r="Q305" s="12"/>
      <c r="R305" s="27"/>
      <c r="S305" s="27"/>
      <c r="T305" s="27"/>
      <c r="U305" s="27"/>
      <c r="V305" s="12"/>
      <c r="W305" s="12"/>
      <c r="X305" s="12"/>
      <c r="Y305" s="12"/>
      <c r="Z305" s="31"/>
      <c r="AA305" s="12"/>
      <c r="AB305" s="12"/>
      <c r="AC305" s="12"/>
      <c r="AD305" s="12"/>
      <c r="AE305" s="12"/>
      <c r="AF305" s="12"/>
      <c r="AG305" s="12"/>
      <c r="AH305" s="12"/>
    </row>
    <row r="306" spans="1:34" ht="12.75">
      <c r="A306" s="12"/>
      <c r="B306" s="12"/>
      <c r="C306" s="12"/>
      <c r="D306" s="12"/>
      <c r="E306" s="12"/>
      <c r="F306" s="12"/>
      <c r="G306" s="12"/>
      <c r="H306" s="12"/>
      <c r="I306" s="12"/>
      <c r="J306" s="12"/>
      <c r="K306" s="12"/>
      <c r="L306" s="12"/>
      <c r="M306" s="12"/>
      <c r="N306" s="12"/>
      <c r="O306" s="12"/>
      <c r="P306" s="12"/>
      <c r="Q306" s="12"/>
      <c r="R306" s="27"/>
      <c r="S306" s="27"/>
      <c r="T306" s="27"/>
      <c r="U306" s="27"/>
      <c r="V306" s="12"/>
      <c r="W306" s="12"/>
      <c r="X306" s="12"/>
      <c r="Y306" s="12"/>
      <c r="Z306" s="31"/>
      <c r="AA306" s="12"/>
      <c r="AB306" s="12"/>
      <c r="AC306" s="12"/>
      <c r="AD306" s="12"/>
      <c r="AE306" s="12"/>
      <c r="AF306" s="12"/>
      <c r="AG306" s="12"/>
      <c r="AH306" s="12"/>
    </row>
    <row r="307" spans="1:34" ht="12.75">
      <c r="A307" s="12"/>
      <c r="B307" s="12"/>
      <c r="C307" s="12"/>
      <c r="D307" s="12"/>
      <c r="E307" s="12"/>
      <c r="F307" s="12"/>
      <c r="G307" s="12"/>
      <c r="H307" s="12"/>
      <c r="I307" s="12"/>
      <c r="J307" s="12"/>
      <c r="K307" s="12"/>
      <c r="L307" s="12"/>
      <c r="M307" s="12"/>
      <c r="N307" s="12"/>
      <c r="O307" s="12"/>
      <c r="P307" s="12"/>
      <c r="Q307" s="12"/>
      <c r="R307" s="27"/>
      <c r="S307" s="27"/>
      <c r="T307" s="27"/>
      <c r="U307" s="27"/>
      <c r="V307" s="12"/>
      <c r="W307" s="12"/>
      <c r="X307" s="12"/>
      <c r="Y307" s="12"/>
      <c r="Z307" s="31"/>
      <c r="AA307" s="12"/>
      <c r="AB307" s="12"/>
      <c r="AC307" s="12"/>
      <c r="AD307" s="12"/>
      <c r="AE307" s="12"/>
      <c r="AF307" s="12"/>
      <c r="AG307" s="12"/>
      <c r="AH307" s="12"/>
    </row>
    <row r="308" spans="1:34" ht="12.75">
      <c r="A308" s="12"/>
      <c r="B308" s="12"/>
      <c r="C308" s="12"/>
      <c r="D308" s="12"/>
      <c r="E308" s="12"/>
      <c r="F308" s="12"/>
      <c r="G308" s="12"/>
      <c r="H308" s="12"/>
      <c r="I308" s="12"/>
      <c r="J308" s="12"/>
      <c r="K308" s="12"/>
      <c r="L308" s="12"/>
      <c r="M308" s="12"/>
      <c r="N308" s="12"/>
      <c r="O308" s="12"/>
      <c r="P308" s="12"/>
      <c r="Q308" s="12"/>
      <c r="R308" s="27"/>
      <c r="S308" s="27"/>
      <c r="T308" s="27"/>
      <c r="U308" s="27"/>
      <c r="V308" s="12"/>
      <c r="W308" s="12"/>
      <c r="X308" s="12"/>
      <c r="Y308" s="12"/>
      <c r="Z308" s="31"/>
      <c r="AA308" s="12"/>
      <c r="AB308" s="12"/>
      <c r="AC308" s="12"/>
      <c r="AD308" s="12"/>
      <c r="AE308" s="12"/>
      <c r="AF308" s="12"/>
      <c r="AG308" s="12"/>
      <c r="AH308" s="12"/>
    </row>
    <row r="309" spans="1:34" ht="12.75">
      <c r="A309" s="12"/>
      <c r="B309" s="12"/>
      <c r="C309" s="12"/>
      <c r="D309" s="12"/>
      <c r="E309" s="12"/>
      <c r="F309" s="12"/>
      <c r="G309" s="12"/>
      <c r="H309" s="12"/>
      <c r="I309" s="12"/>
      <c r="J309" s="12"/>
      <c r="K309" s="12"/>
      <c r="L309" s="12"/>
      <c r="M309" s="12"/>
      <c r="N309" s="12"/>
      <c r="O309" s="12"/>
      <c r="P309" s="12"/>
      <c r="Q309" s="12"/>
      <c r="R309" s="27"/>
      <c r="S309" s="27"/>
      <c r="T309" s="27"/>
      <c r="U309" s="27"/>
      <c r="V309" s="12"/>
      <c r="W309" s="12"/>
      <c r="X309" s="12"/>
      <c r="Y309" s="12"/>
      <c r="Z309" s="31"/>
      <c r="AA309" s="12"/>
      <c r="AB309" s="12"/>
      <c r="AC309" s="12"/>
      <c r="AD309" s="12"/>
      <c r="AE309" s="12"/>
      <c r="AF309" s="12"/>
      <c r="AG309" s="12"/>
      <c r="AH309" s="12"/>
    </row>
    <row r="310" spans="1:34" ht="12.75">
      <c r="A310" s="12"/>
      <c r="B310" s="12"/>
      <c r="C310" s="12"/>
      <c r="D310" s="12"/>
      <c r="E310" s="12"/>
      <c r="F310" s="12"/>
      <c r="G310" s="12"/>
      <c r="H310" s="12"/>
      <c r="I310" s="12"/>
      <c r="J310" s="12"/>
      <c r="K310" s="12"/>
      <c r="L310" s="12"/>
      <c r="M310" s="12"/>
      <c r="N310" s="12"/>
      <c r="O310" s="12"/>
      <c r="P310" s="12"/>
      <c r="Q310" s="12"/>
      <c r="R310" s="27"/>
      <c r="S310" s="27"/>
      <c r="T310" s="27"/>
      <c r="U310" s="27"/>
      <c r="V310" s="12"/>
      <c r="W310" s="12"/>
      <c r="X310" s="12"/>
      <c r="Y310" s="12"/>
      <c r="Z310" s="31"/>
      <c r="AA310" s="12"/>
      <c r="AB310" s="12"/>
      <c r="AC310" s="12"/>
      <c r="AD310" s="12"/>
      <c r="AE310" s="12"/>
      <c r="AF310" s="12"/>
      <c r="AG310" s="12"/>
      <c r="AH310" s="12"/>
    </row>
    <row r="311" spans="1:34" ht="12.75">
      <c r="A311" s="12"/>
      <c r="B311" s="12"/>
      <c r="C311" s="12"/>
      <c r="D311" s="12"/>
      <c r="E311" s="12"/>
      <c r="F311" s="12"/>
      <c r="G311" s="12"/>
      <c r="H311" s="12"/>
      <c r="I311" s="12"/>
      <c r="J311" s="12"/>
      <c r="K311" s="12"/>
      <c r="L311" s="12"/>
      <c r="M311" s="12"/>
      <c r="N311" s="12"/>
      <c r="O311" s="12"/>
      <c r="P311" s="12"/>
      <c r="Q311" s="12"/>
      <c r="R311" s="27"/>
      <c r="S311" s="27"/>
      <c r="T311" s="27"/>
      <c r="U311" s="27"/>
      <c r="V311" s="12"/>
      <c r="W311" s="12"/>
      <c r="X311" s="12"/>
      <c r="Y311" s="12"/>
      <c r="Z311" s="31"/>
      <c r="AA311" s="12"/>
      <c r="AB311" s="12"/>
      <c r="AC311" s="12"/>
      <c r="AD311" s="12"/>
      <c r="AE311" s="12"/>
      <c r="AF311" s="12"/>
      <c r="AG311" s="12"/>
      <c r="AH311" s="12"/>
    </row>
    <row r="312" spans="1:34" ht="12.75">
      <c r="A312" s="12"/>
      <c r="B312" s="12"/>
      <c r="C312" s="12"/>
      <c r="D312" s="12"/>
      <c r="E312" s="12"/>
      <c r="F312" s="12"/>
      <c r="G312" s="12"/>
      <c r="H312" s="12"/>
      <c r="I312" s="12"/>
      <c r="J312" s="12"/>
      <c r="K312" s="12"/>
      <c r="L312" s="12"/>
      <c r="M312" s="12"/>
      <c r="N312" s="12"/>
      <c r="O312" s="12"/>
      <c r="P312" s="12"/>
      <c r="Q312" s="12"/>
      <c r="R312" s="27"/>
      <c r="S312" s="27"/>
      <c r="T312" s="27"/>
      <c r="U312" s="27"/>
      <c r="V312" s="12"/>
      <c r="W312" s="12"/>
      <c r="X312" s="12"/>
      <c r="Y312" s="12"/>
      <c r="Z312" s="31"/>
      <c r="AA312" s="12"/>
      <c r="AB312" s="12"/>
      <c r="AC312" s="12"/>
      <c r="AD312" s="12"/>
      <c r="AE312" s="12"/>
      <c r="AF312" s="12"/>
      <c r="AG312" s="12"/>
      <c r="AH312" s="12"/>
    </row>
    <row r="313" spans="1:34" ht="12.75">
      <c r="A313" s="12"/>
      <c r="B313" s="12"/>
      <c r="C313" s="12"/>
      <c r="D313" s="12"/>
      <c r="E313" s="12"/>
      <c r="F313" s="12"/>
      <c r="G313" s="12"/>
      <c r="H313" s="12"/>
      <c r="I313" s="12"/>
      <c r="J313" s="12"/>
      <c r="K313" s="12"/>
      <c r="L313" s="12"/>
      <c r="M313" s="12"/>
      <c r="N313" s="12"/>
      <c r="O313" s="12"/>
      <c r="P313" s="12"/>
      <c r="Q313" s="12"/>
      <c r="R313" s="27"/>
      <c r="S313" s="27"/>
      <c r="T313" s="27"/>
      <c r="U313" s="27"/>
      <c r="V313" s="12"/>
      <c r="W313" s="12"/>
      <c r="X313" s="12"/>
      <c r="Y313" s="12"/>
      <c r="Z313" s="31"/>
      <c r="AA313" s="12"/>
      <c r="AB313" s="12"/>
      <c r="AC313" s="12"/>
      <c r="AD313" s="12"/>
      <c r="AE313" s="12"/>
      <c r="AF313" s="12"/>
      <c r="AG313" s="12"/>
      <c r="AH313" s="12"/>
    </row>
    <row r="314" spans="1:34" ht="12.75">
      <c r="A314" s="12"/>
      <c r="B314" s="12"/>
      <c r="C314" s="12"/>
      <c r="D314" s="12"/>
      <c r="E314" s="12"/>
      <c r="F314" s="12"/>
      <c r="G314" s="12"/>
      <c r="H314" s="12"/>
      <c r="I314" s="12"/>
      <c r="J314" s="12"/>
      <c r="K314" s="12"/>
      <c r="L314" s="12"/>
      <c r="M314" s="12"/>
      <c r="N314" s="12"/>
      <c r="O314" s="12"/>
      <c r="P314" s="12"/>
      <c r="Q314" s="12"/>
      <c r="R314" s="27"/>
      <c r="S314" s="27"/>
      <c r="T314" s="27"/>
      <c r="U314" s="27"/>
      <c r="V314" s="12"/>
      <c r="W314" s="12"/>
      <c r="X314" s="12"/>
      <c r="Y314" s="12"/>
      <c r="Z314" s="31"/>
      <c r="AA314" s="12"/>
      <c r="AB314" s="12"/>
      <c r="AC314" s="12"/>
      <c r="AD314" s="12"/>
      <c r="AE314" s="12"/>
      <c r="AF314" s="12"/>
      <c r="AG314" s="12"/>
      <c r="AH314" s="12"/>
    </row>
    <row r="315" spans="1:34" ht="12.75">
      <c r="A315" s="12"/>
      <c r="B315" s="12"/>
      <c r="C315" s="12"/>
      <c r="D315" s="12"/>
      <c r="E315" s="12"/>
      <c r="F315" s="12"/>
      <c r="G315" s="12"/>
      <c r="H315" s="12"/>
      <c r="I315" s="12"/>
      <c r="J315" s="12"/>
      <c r="K315" s="12"/>
      <c r="L315" s="12"/>
      <c r="M315" s="12"/>
      <c r="N315" s="12"/>
      <c r="O315" s="12"/>
      <c r="P315" s="12"/>
      <c r="Q315" s="12"/>
      <c r="R315" s="27"/>
      <c r="S315" s="27"/>
      <c r="T315" s="27"/>
      <c r="U315" s="27"/>
      <c r="V315" s="12"/>
      <c r="W315" s="12"/>
      <c r="X315" s="12"/>
      <c r="Y315" s="12"/>
      <c r="Z315" s="31"/>
      <c r="AA315" s="12"/>
      <c r="AB315" s="12"/>
      <c r="AC315" s="12"/>
      <c r="AD315" s="12"/>
      <c r="AE315" s="12"/>
      <c r="AF315" s="12"/>
      <c r="AG315" s="12"/>
      <c r="AH315" s="12"/>
    </row>
    <row r="316" spans="1:34" ht="12.75">
      <c r="A316" s="12"/>
      <c r="B316" s="12"/>
      <c r="C316" s="12"/>
      <c r="D316" s="12"/>
      <c r="E316" s="12"/>
      <c r="F316" s="12"/>
      <c r="G316" s="12"/>
      <c r="H316" s="12"/>
      <c r="I316" s="12"/>
      <c r="J316" s="12"/>
      <c r="K316" s="12"/>
      <c r="L316" s="12"/>
      <c r="M316" s="12"/>
      <c r="N316" s="12"/>
      <c r="O316" s="12"/>
      <c r="P316" s="12"/>
      <c r="Q316" s="12"/>
      <c r="R316" s="27"/>
      <c r="S316" s="27"/>
      <c r="T316" s="27"/>
      <c r="U316" s="27"/>
      <c r="V316" s="12"/>
      <c r="W316" s="12"/>
      <c r="X316" s="12"/>
      <c r="Y316" s="12"/>
      <c r="Z316" s="31"/>
      <c r="AA316" s="12"/>
      <c r="AB316" s="12"/>
      <c r="AC316" s="12"/>
      <c r="AD316" s="12"/>
      <c r="AE316" s="12"/>
      <c r="AF316" s="12"/>
      <c r="AG316" s="12"/>
      <c r="AH316" s="12"/>
    </row>
    <row r="317" spans="1:34" ht="12.75">
      <c r="A317" s="12"/>
      <c r="B317" s="12"/>
      <c r="C317" s="12"/>
      <c r="D317" s="12"/>
      <c r="E317" s="12"/>
      <c r="F317" s="12"/>
      <c r="G317" s="12"/>
      <c r="H317" s="12"/>
      <c r="I317" s="12"/>
      <c r="J317" s="12"/>
      <c r="K317" s="12"/>
      <c r="L317" s="12"/>
      <c r="M317" s="12"/>
      <c r="N317" s="12"/>
      <c r="O317" s="12"/>
      <c r="P317" s="12"/>
      <c r="Q317" s="12"/>
      <c r="R317" s="27"/>
      <c r="S317" s="27"/>
      <c r="T317" s="27"/>
      <c r="U317" s="27"/>
      <c r="V317" s="12"/>
      <c r="W317" s="12"/>
      <c r="X317" s="12"/>
      <c r="Y317" s="12"/>
      <c r="Z317" s="31"/>
      <c r="AA317" s="12"/>
      <c r="AB317" s="12"/>
      <c r="AC317" s="12"/>
      <c r="AD317" s="12"/>
      <c r="AE317" s="12"/>
      <c r="AF317" s="12"/>
      <c r="AG317" s="12"/>
      <c r="AH317" s="12"/>
    </row>
    <row r="318" spans="1:34" ht="12.75">
      <c r="A318" s="12"/>
      <c r="B318" s="12"/>
      <c r="C318" s="12"/>
      <c r="D318" s="12"/>
      <c r="E318" s="12"/>
      <c r="F318" s="12"/>
      <c r="G318" s="12"/>
      <c r="H318" s="12"/>
      <c r="I318" s="12"/>
      <c r="J318" s="12"/>
      <c r="K318" s="12"/>
      <c r="L318" s="12"/>
      <c r="M318" s="12"/>
      <c r="N318" s="12"/>
      <c r="O318" s="12"/>
      <c r="P318" s="12"/>
      <c r="Q318" s="12"/>
      <c r="R318" s="27"/>
      <c r="S318" s="27"/>
      <c r="T318" s="27"/>
      <c r="U318" s="27"/>
      <c r="V318" s="12"/>
      <c r="W318" s="12"/>
      <c r="X318" s="12"/>
      <c r="Y318" s="12"/>
      <c r="Z318" s="31"/>
      <c r="AA318" s="12"/>
      <c r="AB318" s="12"/>
      <c r="AC318" s="12"/>
      <c r="AD318" s="12"/>
      <c r="AE318" s="12"/>
      <c r="AF318" s="12"/>
      <c r="AG318" s="12"/>
      <c r="AH318" s="12"/>
    </row>
    <row r="319" spans="1:34" ht="12.75">
      <c r="A319" s="12"/>
      <c r="B319" s="12"/>
      <c r="C319" s="12"/>
      <c r="D319" s="12"/>
      <c r="E319" s="12"/>
      <c r="F319" s="12"/>
      <c r="G319" s="12"/>
      <c r="H319" s="12"/>
      <c r="I319" s="12"/>
      <c r="J319" s="12"/>
      <c r="K319" s="12"/>
      <c r="L319" s="12"/>
      <c r="M319" s="12"/>
      <c r="N319" s="12"/>
      <c r="O319" s="12"/>
      <c r="P319" s="12"/>
      <c r="Q319" s="12"/>
      <c r="R319" s="27"/>
      <c r="S319" s="27"/>
      <c r="T319" s="27"/>
      <c r="U319" s="27"/>
      <c r="V319" s="12"/>
      <c r="W319" s="12"/>
      <c r="X319" s="12"/>
      <c r="Y319" s="12"/>
      <c r="Z319" s="31"/>
      <c r="AA319" s="12"/>
      <c r="AB319" s="12"/>
      <c r="AC319" s="12"/>
      <c r="AD319" s="12"/>
      <c r="AE319" s="12"/>
      <c r="AF319" s="12"/>
      <c r="AG319" s="12"/>
      <c r="AH319" s="12"/>
    </row>
    <row r="320" spans="1:34" ht="12.75">
      <c r="A320" s="12"/>
      <c r="B320" s="12"/>
      <c r="C320" s="12"/>
      <c r="D320" s="12"/>
      <c r="E320" s="12"/>
      <c r="F320" s="12"/>
      <c r="G320" s="12"/>
      <c r="H320" s="12"/>
      <c r="I320" s="12"/>
      <c r="J320" s="12"/>
      <c r="K320" s="12"/>
      <c r="L320" s="12"/>
      <c r="M320" s="12"/>
      <c r="N320" s="12"/>
      <c r="O320" s="12"/>
      <c r="P320" s="12"/>
      <c r="Q320" s="12"/>
      <c r="R320" s="27"/>
      <c r="S320" s="27"/>
      <c r="T320" s="27"/>
      <c r="U320" s="27"/>
      <c r="V320" s="12"/>
      <c r="W320" s="12"/>
      <c r="X320" s="12"/>
      <c r="Y320" s="12"/>
      <c r="Z320" s="31"/>
      <c r="AA320" s="12"/>
      <c r="AB320" s="12"/>
      <c r="AC320" s="12"/>
      <c r="AD320" s="12"/>
      <c r="AE320" s="12"/>
      <c r="AF320" s="12"/>
      <c r="AG320" s="12"/>
      <c r="AH320" s="12"/>
    </row>
    <row r="321" spans="1:34" ht="12.75">
      <c r="A321" s="12"/>
      <c r="B321" s="12"/>
      <c r="C321" s="12"/>
      <c r="D321" s="12"/>
      <c r="E321" s="12"/>
      <c r="F321" s="12"/>
      <c r="G321" s="12"/>
      <c r="H321" s="12"/>
      <c r="I321" s="12"/>
      <c r="J321" s="12"/>
      <c r="K321" s="12"/>
      <c r="L321" s="12"/>
      <c r="M321" s="12"/>
      <c r="N321" s="12"/>
      <c r="O321" s="12"/>
      <c r="P321" s="12"/>
      <c r="Q321" s="12"/>
      <c r="R321" s="27"/>
      <c r="S321" s="27"/>
      <c r="T321" s="27"/>
      <c r="U321" s="27"/>
      <c r="V321" s="12"/>
      <c r="W321" s="12"/>
      <c r="X321" s="12"/>
      <c r="Y321" s="12"/>
      <c r="Z321" s="31"/>
      <c r="AA321" s="12"/>
      <c r="AB321" s="12"/>
      <c r="AC321" s="12"/>
      <c r="AD321" s="12"/>
      <c r="AE321" s="12"/>
      <c r="AF321" s="12"/>
      <c r="AG321" s="12"/>
      <c r="AH321" s="12"/>
    </row>
    <row r="322" spans="1:34" ht="12.75">
      <c r="A322" s="12"/>
      <c r="B322" s="12"/>
      <c r="C322" s="12"/>
      <c r="D322" s="12"/>
      <c r="E322" s="12"/>
      <c r="F322" s="12"/>
      <c r="G322" s="12"/>
      <c r="H322" s="12"/>
      <c r="I322" s="12"/>
      <c r="J322" s="12"/>
      <c r="K322" s="12"/>
      <c r="L322" s="12"/>
      <c r="M322" s="12"/>
      <c r="N322" s="12"/>
      <c r="O322" s="12"/>
      <c r="P322" s="12"/>
      <c r="Q322" s="12"/>
      <c r="R322" s="27"/>
      <c r="S322" s="27"/>
      <c r="T322" s="27"/>
      <c r="U322" s="27"/>
      <c r="V322" s="12"/>
      <c r="W322" s="12"/>
      <c r="X322" s="12"/>
      <c r="Y322" s="12"/>
      <c r="Z322" s="31"/>
      <c r="AA322" s="12"/>
      <c r="AB322" s="12"/>
      <c r="AC322" s="12"/>
      <c r="AD322" s="12"/>
      <c r="AE322" s="12"/>
      <c r="AF322" s="12"/>
      <c r="AG322" s="12"/>
      <c r="AH322" s="12"/>
    </row>
    <row r="323" spans="1:34" ht="12.75">
      <c r="A323" s="12"/>
      <c r="B323" s="12"/>
      <c r="C323" s="12"/>
      <c r="D323" s="12"/>
      <c r="E323" s="12"/>
      <c r="F323" s="12"/>
      <c r="G323" s="12"/>
      <c r="H323" s="12"/>
      <c r="I323" s="12"/>
      <c r="J323" s="12"/>
      <c r="K323" s="12"/>
      <c r="L323" s="12"/>
      <c r="M323" s="12"/>
      <c r="N323" s="12"/>
      <c r="O323" s="12"/>
      <c r="P323" s="12"/>
      <c r="Q323" s="12"/>
      <c r="R323" s="27"/>
      <c r="S323" s="27"/>
      <c r="T323" s="27"/>
      <c r="U323" s="27"/>
      <c r="V323" s="12"/>
      <c r="W323" s="12"/>
      <c r="X323" s="12"/>
      <c r="Y323" s="12"/>
      <c r="Z323" s="31"/>
      <c r="AA323" s="12"/>
      <c r="AB323" s="12"/>
      <c r="AC323" s="12"/>
      <c r="AD323" s="12"/>
      <c r="AE323" s="12"/>
      <c r="AF323" s="12"/>
      <c r="AG323" s="12"/>
      <c r="AH323" s="12"/>
    </row>
    <row r="324" spans="1:34" ht="12.75">
      <c r="A324" s="12"/>
      <c r="B324" s="12"/>
      <c r="C324" s="12"/>
      <c r="D324" s="12"/>
      <c r="E324" s="12"/>
      <c r="F324" s="12"/>
      <c r="G324" s="12"/>
      <c r="H324" s="12"/>
      <c r="I324" s="12"/>
      <c r="J324" s="12"/>
      <c r="K324" s="12"/>
      <c r="L324" s="12"/>
      <c r="M324" s="12"/>
      <c r="N324" s="12"/>
      <c r="O324" s="12"/>
      <c r="P324" s="12"/>
      <c r="Q324" s="12"/>
      <c r="R324" s="27"/>
      <c r="S324" s="27"/>
      <c r="T324" s="27"/>
      <c r="U324" s="27"/>
      <c r="V324" s="12"/>
      <c r="W324" s="12"/>
      <c r="X324" s="12"/>
      <c r="Y324" s="12"/>
      <c r="Z324" s="31"/>
      <c r="AA324" s="12"/>
      <c r="AB324" s="12"/>
      <c r="AC324" s="12"/>
      <c r="AD324" s="12"/>
      <c r="AE324" s="12"/>
      <c r="AF324" s="12"/>
      <c r="AG324" s="12"/>
      <c r="AH324" s="12"/>
    </row>
    <row r="325" spans="1:34" ht="12.75">
      <c r="A325" s="12"/>
      <c r="B325" s="12"/>
      <c r="C325" s="12"/>
      <c r="D325" s="12"/>
      <c r="E325" s="12"/>
      <c r="F325" s="12"/>
      <c r="G325" s="12"/>
      <c r="H325" s="12"/>
      <c r="I325" s="12"/>
      <c r="J325" s="12"/>
      <c r="K325" s="12"/>
      <c r="L325" s="12"/>
      <c r="M325" s="12"/>
      <c r="N325" s="12"/>
      <c r="O325" s="12"/>
      <c r="P325" s="12"/>
      <c r="Q325" s="12"/>
      <c r="R325" s="27"/>
      <c r="S325" s="27"/>
      <c r="T325" s="27"/>
      <c r="U325" s="27"/>
      <c r="V325" s="12"/>
      <c r="W325" s="12"/>
      <c r="X325" s="12"/>
      <c r="Y325" s="12"/>
      <c r="Z325" s="31"/>
      <c r="AA325" s="12"/>
      <c r="AB325" s="12"/>
      <c r="AC325" s="12"/>
      <c r="AD325" s="12"/>
      <c r="AE325" s="12"/>
      <c r="AF325" s="12"/>
      <c r="AG325" s="12"/>
      <c r="AH325" s="12"/>
    </row>
    <row r="326" spans="1:34" ht="12.75">
      <c r="A326" s="12"/>
      <c r="B326" s="12"/>
      <c r="C326" s="12"/>
      <c r="D326" s="12"/>
      <c r="E326" s="12"/>
      <c r="F326" s="12"/>
      <c r="G326" s="12"/>
      <c r="H326" s="12"/>
      <c r="I326" s="12"/>
      <c r="J326" s="12"/>
      <c r="K326" s="12"/>
      <c r="L326" s="12"/>
      <c r="M326" s="12"/>
      <c r="N326" s="12"/>
      <c r="O326" s="12"/>
      <c r="P326" s="12"/>
      <c r="Q326" s="12"/>
      <c r="R326" s="27"/>
      <c r="S326" s="27"/>
      <c r="T326" s="27"/>
      <c r="U326" s="27"/>
      <c r="V326" s="12"/>
      <c r="W326" s="12"/>
      <c r="X326" s="12"/>
      <c r="Y326" s="12"/>
      <c r="Z326" s="31"/>
      <c r="AA326" s="12"/>
      <c r="AB326" s="12"/>
      <c r="AC326" s="12"/>
      <c r="AD326" s="12"/>
      <c r="AE326" s="12"/>
      <c r="AF326" s="12"/>
      <c r="AG326" s="12"/>
      <c r="AH326" s="12"/>
    </row>
    <row r="327" spans="1:34" ht="12.75">
      <c r="A327" s="12"/>
      <c r="B327" s="12"/>
      <c r="C327" s="12"/>
      <c r="D327" s="12"/>
      <c r="E327" s="12"/>
      <c r="F327" s="12"/>
      <c r="G327" s="12"/>
      <c r="H327" s="12"/>
      <c r="I327" s="12"/>
      <c r="J327" s="12"/>
      <c r="K327" s="12"/>
      <c r="L327" s="12"/>
      <c r="M327" s="12"/>
      <c r="N327" s="12"/>
      <c r="O327" s="12"/>
      <c r="P327" s="12"/>
      <c r="Q327" s="12"/>
      <c r="R327" s="27"/>
      <c r="S327" s="27"/>
      <c r="T327" s="27"/>
      <c r="U327" s="27"/>
      <c r="V327" s="12"/>
      <c r="W327" s="12"/>
      <c r="X327" s="12"/>
      <c r="Y327" s="12"/>
      <c r="Z327" s="31"/>
      <c r="AA327" s="12"/>
      <c r="AB327" s="12"/>
      <c r="AC327" s="12"/>
      <c r="AD327" s="12"/>
      <c r="AE327" s="12"/>
      <c r="AF327" s="12"/>
      <c r="AG327" s="12"/>
      <c r="AH327" s="12"/>
    </row>
    <row r="328" spans="1:34" ht="12.75">
      <c r="A328" s="12"/>
      <c r="B328" s="12"/>
      <c r="C328" s="12"/>
      <c r="D328" s="12"/>
      <c r="E328" s="12"/>
      <c r="F328" s="12"/>
      <c r="G328" s="12"/>
      <c r="H328" s="12"/>
      <c r="I328" s="12"/>
      <c r="J328" s="12"/>
      <c r="K328" s="12"/>
      <c r="L328" s="12"/>
      <c r="M328" s="12"/>
      <c r="N328" s="12"/>
      <c r="O328" s="12"/>
      <c r="P328" s="12"/>
      <c r="Q328" s="12"/>
      <c r="R328" s="27"/>
      <c r="S328" s="27"/>
      <c r="T328" s="27"/>
      <c r="U328" s="27"/>
      <c r="V328" s="12"/>
      <c r="W328" s="12"/>
      <c r="X328" s="12"/>
      <c r="Y328" s="12"/>
      <c r="Z328" s="31"/>
      <c r="AA328" s="12"/>
      <c r="AB328" s="12"/>
      <c r="AC328" s="12"/>
      <c r="AD328" s="12"/>
      <c r="AE328" s="12"/>
      <c r="AF328" s="12"/>
      <c r="AG328" s="12"/>
      <c r="AH328" s="12"/>
    </row>
    <row r="329" spans="1:34" ht="12.75">
      <c r="A329" s="12"/>
      <c r="B329" s="12"/>
      <c r="C329" s="12"/>
      <c r="D329" s="12"/>
      <c r="E329" s="12"/>
      <c r="F329" s="12"/>
      <c r="G329" s="12"/>
      <c r="H329" s="12"/>
      <c r="I329" s="12"/>
      <c r="J329" s="12"/>
      <c r="K329" s="12"/>
      <c r="L329" s="12"/>
      <c r="M329" s="12"/>
      <c r="N329" s="12"/>
      <c r="O329" s="12"/>
      <c r="P329" s="12"/>
      <c r="Q329" s="12"/>
      <c r="R329" s="27"/>
      <c r="S329" s="27"/>
      <c r="T329" s="27"/>
      <c r="U329" s="27"/>
      <c r="V329" s="12"/>
      <c r="W329" s="12"/>
      <c r="X329" s="12"/>
      <c r="Y329" s="12"/>
      <c r="Z329" s="31"/>
      <c r="AA329" s="12"/>
      <c r="AB329" s="12"/>
      <c r="AC329" s="12"/>
      <c r="AD329" s="12"/>
      <c r="AE329" s="12"/>
      <c r="AF329" s="12"/>
      <c r="AG329" s="12"/>
      <c r="AH329" s="12"/>
    </row>
    <row r="330" spans="1:34" ht="12.75">
      <c r="A330" s="12"/>
      <c r="B330" s="12"/>
      <c r="C330" s="12"/>
      <c r="D330" s="12"/>
      <c r="E330" s="12"/>
      <c r="F330" s="12"/>
      <c r="G330" s="12"/>
      <c r="H330" s="12"/>
      <c r="I330" s="12"/>
      <c r="J330" s="12"/>
      <c r="K330" s="12"/>
      <c r="L330" s="12"/>
      <c r="M330" s="12"/>
      <c r="N330" s="12"/>
      <c r="O330" s="12"/>
      <c r="P330" s="12"/>
      <c r="Q330" s="12"/>
      <c r="R330" s="27"/>
      <c r="S330" s="27"/>
      <c r="T330" s="27"/>
      <c r="U330" s="27"/>
      <c r="V330" s="12"/>
      <c r="W330" s="12"/>
      <c r="X330" s="12"/>
      <c r="Y330" s="12"/>
      <c r="Z330" s="31"/>
      <c r="AA330" s="12"/>
      <c r="AB330" s="12"/>
      <c r="AC330" s="12"/>
      <c r="AD330" s="12"/>
      <c r="AE330" s="12"/>
      <c r="AF330" s="12"/>
      <c r="AG330" s="12"/>
      <c r="AH330" s="12"/>
    </row>
    <row r="331" spans="1:34" ht="12.75">
      <c r="A331" s="12"/>
      <c r="B331" s="12"/>
      <c r="C331" s="12"/>
      <c r="D331" s="12"/>
      <c r="E331" s="12"/>
      <c r="F331" s="12"/>
      <c r="G331" s="12"/>
      <c r="H331" s="12"/>
      <c r="I331" s="12"/>
      <c r="J331" s="12"/>
      <c r="K331" s="12"/>
      <c r="L331" s="12"/>
      <c r="M331" s="12"/>
      <c r="N331" s="12"/>
      <c r="O331" s="12"/>
      <c r="P331" s="12"/>
      <c r="Q331" s="12"/>
      <c r="R331" s="27"/>
      <c r="S331" s="27"/>
      <c r="T331" s="27"/>
      <c r="U331" s="27"/>
      <c r="V331" s="12"/>
      <c r="W331" s="12"/>
      <c r="X331" s="12"/>
      <c r="Y331" s="12"/>
      <c r="Z331" s="31"/>
      <c r="AA331" s="12"/>
      <c r="AB331" s="12"/>
      <c r="AC331" s="12"/>
      <c r="AD331" s="12"/>
      <c r="AE331" s="12"/>
      <c r="AF331" s="12"/>
      <c r="AG331" s="12"/>
      <c r="AH331" s="12"/>
    </row>
    <row r="332" spans="1:34" ht="12.75">
      <c r="A332" s="12"/>
      <c r="B332" s="12"/>
      <c r="C332" s="12"/>
      <c r="D332" s="12"/>
      <c r="E332" s="12"/>
      <c r="F332" s="12"/>
      <c r="G332" s="12"/>
      <c r="H332" s="12"/>
      <c r="I332" s="12"/>
      <c r="J332" s="12"/>
      <c r="K332" s="12"/>
      <c r="L332" s="12"/>
      <c r="M332" s="12"/>
      <c r="N332" s="12"/>
      <c r="O332" s="12"/>
      <c r="P332" s="12"/>
      <c r="Q332" s="12"/>
      <c r="R332" s="27"/>
      <c r="S332" s="27"/>
      <c r="T332" s="27"/>
      <c r="U332" s="27"/>
      <c r="V332" s="12"/>
      <c r="W332" s="12"/>
      <c r="X332" s="12"/>
      <c r="Y332" s="12"/>
      <c r="Z332" s="31"/>
      <c r="AA332" s="12"/>
      <c r="AB332" s="12"/>
      <c r="AC332" s="12"/>
      <c r="AD332" s="12"/>
      <c r="AE332" s="12"/>
      <c r="AF332" s="12"/>
      <c r="AG332" s="12"/>
      <c r="AH332" s="12"/>
    </row>
    <row r="333" spans="1:34" ht="12.75">
      <c r="A333" s="12"/>
      <c r="B333" s="12"/>
      <c r="C333" s="12"/>
      <c r="D333" s="12"/>
      <c r="E333" s="12"/>
      <c r="F333" s="12"/>
      <c r="G333" s="12"/>
      <c r="H333" s="12"/>
      <c r="I333" s="12"/>
      <c r="J333" s="12"/>
      <c r="K333" s="12"/>
      <c r="L333" s="12"/>
      <c r="M333" s="12"/>
      <c r="N333" s="12"/>
      <c r="O333" s="12"/>
      <c r="P333" s="12"/>
      <c r="Q333" s="12"/>
      <c r="R333" s="27"/>
      <c r="S333" s="27"/>
      <c r="T333" s="27"/>
      <c r="U333" s="27"/>
      <c r="V333" s="12"/>
      <c r="W333" s="12"/>
      <c r="X333" s="12"/>
      <c r="Y333" s="12"/>
      <c r="Z333" s="31"/>
      <c r="AA333" s="12"/>
      <c r="AB333" s="12"/>
      <c r="AC333" s="12"/>
      <c r="AD333" s="12"/>
      <c r="AE333" s="12"/>
      <c r="AF333" s="12"/>
      <c r="AG333" s="12"/>
      <c r="AH333" s="12"/>
    </row>
    <row r="334" spans="1:34" ht="12.75">
      <c r="A334" s="12"/>
      <c r="B334" s="12"/>
      <c r="C334" s="12"/>
      <c r="D334" s="12"/>
      <c r="E334" s="12"/>
      <c r="F334" s="12"/>
      <c r="G334" s="12"/>
      <c r="H334" s="12"/>
      <c r="I334" s="12"/>
      <c r="J334" s="12"/>
      <c r="K334" s="12"/>
      <c r="L334" s="12"/>
      <c r="M334" s="12"/>
      <c r="N334" s="12"/>
      <c r="O334" s="12"/>
      <c r="P334" s="12"/>
      <c r="Q334" s="12"/>
      <c r="R334" s="27"/>
      <c r="S334" s="27"/>
      <c r="T334" s="27"/>
      <c r="U334" s="27"/>
      <c r="V334" s="12"/>
      <c r="W334" s="12"/>
      <c r="X334" s="12"/>
      <c r="Y334" s="12"/>
      <c r="Z334" s="31"/>
      <c r="AA334" s="12"/>
      <c r="AB334" s="12"/>
      <c r="AC334" s="12"/>
      <c r="AD334" s="12"/>
      <c r="AE334" s="12"/>
      <c r="AF334" s="12"/>
      <c r="AG334" s="12"/>
      <c r="AH334" s="12"/>
    </row>
    <row r="335" spans="1:34" ht="12.75">
      <c r="A335" s="12"/>
      <c r="B335" s="12"/>
      <c r="C335" s="12"/>
      <c r="D335" s="12"/>
      <c r="E335" s="12"/>
      <c r="F335" s="12"/>
      <c r="G335" s="12"/>
      <c r="H335" s="12"/>
      <c r="I335" s="12"/>
      <c r="J335" s="12"/>
      <c r="K335" s="12"/>
      <c r="L335" s="12"/>
      <c r="M335" s="12"/>
      <c r="N335" s="12"/>
      <c r="O335" s="12"/>
      <c r="P335" s="12"/>
      <c r="Q335" s="12"/>
      <c r="R335" s="27"/>
      <c r="S335" s="27"/>
      <c r="T335" s="27"/>
      <c r="U335" s="27"/>
      <c r="V335" s="12"/>
      <c r="W335" s="12"/>
      <c r="X335" s="12"/>
      <c r="Y335" s="12"/>
      <c r="Z335" s="31"/>
      <c r="AA335" s="12"/>
      <c r="AB335" s="12"/>
      <c r="AC335" s="12"/>
      <c r="AD335" s="12"/>
      <c r="AE335" s="12"/>
      <c r="AF335" s="12"/>
      <c r="AG335" s="12"/>
      <c r="AH335" s="12"/>
    </row>
    <row r="336" spans="1:34" ht="12.75">
      <c r="A336" s="12"/>
      <c r="B336" s="12"/>
      <c r="C336" s="12"/>
      <c r="D336" s="12"/>
      <c r="E336" s="12"/>
      <c r="F336" s="12"/>
      <c r="G336" s="12"/>
      <c r="H336" s="12"/>
      <c r="I336" s="12"/>
      <c r="J336" s="12"/>
      <c r="K336" s="12"/>
      <c r="L336" s="12"/>
      <c r="M336" s="12"/>
      <c r="N336" s="12"/>
      <c r="O336" s="12"/>
      <c r="P336" s="12"/>
      <c r="Q336" s="12"/>
      <c r="R336" s="27"/>
      <c r="S336" s="27"/>
      <c r="T336" s="27"/>
      <c r="U336" s="27"/>
      <c r="V336" s="12"/>
      <c r="W336" s="12"/>
      <c r="X336" s="12"/>
      <c r="Y336" s="12"/>
      <c r="Z336" s="31"/>
      <c r="AA336" s="12"/>
      <c r="AB336" s="12"/>
      <c r="AC336" s="12"/>
      <c r="AD336" s="12"/>
      <c r="AE336" s="12"/>
      <c r="AF336" s="12"/>
      <c r="AG336" s="12"/>
      <c r="AH336" s="12"/>
    </row>
    <row r="337" spans="1:34" ht="12.75">
      <c r="A337" s="12"/>
      <c r="B337" s="12"/>
      <c r="C337" s="12"/>
      <c r="D337" s="12"/>
      <c r="E337" s="12"/>
      <c r="F337" s="12"/>
      <c r="G337" s="12"/>
      <c r="H337" s="12"/>
      <c r="I337" s="12"/>
      <c r="J337" s="12"/>
      <c r="K337" s="12"/>
      <c r="L337" s="12"/>
      <c r="M337" s="12"/>
      <c r="N337" s="12"/>
      <c r="O337" s="12"/>
      <c r="P337" s="12"/>
      <c r="Q337" s="12"/>
      <c r="R337" s="27"/>
      <c r="S337" s="27"/>
      <c r="T337" s="27"/>
      <c r="U337" s="27"/>
      <c r="V337" s="12"/>
      <c r="W337" s="12"/>
      <c r="X337" s="12"/>
      <c r="Y337" s="12"/>
      <c r="Z337" s="31"/>
      <c r="AA337" s="12"/>
      <c r="AB337" s="12"/>
      <c r="AC337" s="12"/>
      <c r="AD337" s="12"/>
      <c r="AE337" s="12"/>
      <c r="AF337" s="12"/>
      <c r="AG337" s="12"/>
      <c r="AH337" s="12"/>
    </row>
    <row r="338" spans="1:34" ht="12.75">
      <c r="A338" s="12"/>
      <c r="B338" s="12"/>
      <c r="C338" s="12"/>
      <c r="D338" s="12"/>
      <c r="E338" s="12"/>
      <c r="F338" s="12"/>
      <c r="G338" s="12"/>
      <c r="H338" s="12"/>
      <c r="I338" s="12"/>
      <c r="J338" s="12"/>
      <c r="K338" s="12"/>
      <c r="L338" s="12"/>
      <c r="M338" s="12"/>
      <c r="N338" s="12"/>
      <c r="O338" s="12"/>
      <c r="P338" s="12"/>
      <c r="Q338" s="12"/>
      <c r="R338" s="27"/>
      <c r="S338" s="27"/>
      <c r="T338" s="27"/>
      <c r="U338" s="27"/>
      <c r="V338" s="12"/>
      <c r="W338" s="12"/>
      <c r="X338" s="12"/>
      <c r="Y338" s="12"/>
      <c r="Z338" s="31"/>
      <c r="AA338" s="12"/>
      <c r="AB338" s="12"/>
      <c r="AC338" s="12"/>
      <c r="AD338" s="12"/>
      <c r="AE338" s="12"/>
      <c r="AF338" s="12"/>
      <c r="AG338" s="12"/>
      <c r="AH338" s="12"/>
    </row>
    <row r="339" spans="1:34" ht="12.75">
      <c r="A339" s="12"/>
      <c r="B339" s="12"/>
      <c r="C339" s="12"/>
      <c r="D339" s="12"/>
      <c r="E339" s="12"/>
      <c r="F339" s="12"/>
      <c r="G339" s="12"/>
      <c r="H339" s="12"/>
      <c r="I339" s="12"/>
      <c r="J339" s="12"/>
      <c r="K339" s="12"/>
      <c r="L339" s="12"/>
      <c r="M339" s="12"/>
      <c r="N339" s="12"/>
      <c r="O339" s="12"/>
      <c r="P339" s="12"/>
      <c r="Q339" s="12"/>
      <c r="R339" s="27"/>
      <c r="S339" s="27"/>
      <c r="T339" s="27"/>
      <c r="U339" s="27"/>
      <c r="V339" s="12"/>
      <c r="W339" s="12"/>
      <c r="X339" s="12"/>
      <c r="Y339" s="12"/>
      <c r="Z339" s="31"/>
      <c r="AA339" s="12"/>
      <c r="AB339" s="12"/>
      <c r="AC339" s="12"/>
      <c r="AD339" s="12"/>
      <c r="AE339" s="12"/>
      <c r="AF339" s="12"/>
      <c r="AG339" s="12"/>
      <c r="AH339" s="12"/>
    </row>
    <row r="340" spans="1:34" ht="12.75">
      <c r="A340" s="12"/>
      <c r="B340" s="12"/>
      <c r="C340" s="12"/>
      <c r="D340" s="12"/>
      <c r="E340" s="12"/>
      <c r="F340" s="12"/>
      <c r="G340" s="12"/>
      <c r="H340" s="12"/>
      <c r="I340" s="12"/>
      <c r="J340" s="12"/>
      <c r="K340" s="12"/>
      <c r="L340" s="12"/>
      <c r="M340" s="12"/>
      <c r="N340" s="12"/>
      <c r="O340" s="12"/>
      <c r="P340" s="12"/>
      <c r="Q340" s="12"/>
      <c r="R340" s="27"/>
      <c r="S340" s="27"/>
      <c r="T340" s="27"/>
      <c r="U340" s="27"/>
      <c r="V340" s="12"/>
      <c r="W340" s="12"/>
      <c r="X340" s="12"/>
      <c r="Y340" s="12"/>
      <c r="Z340" s="31"/>
      <c r="AA340" s="12"/>
      <c r="AB340" s="12"/>
      <c r="AC340" s="12"/>
      <c r="AD340" s="12"/>
      <c r="AE340" s="12"/>
      <c r="AF340" s="12"/>
      <c r="AG340" s="12"/>
      <c r="AH340" s="12"/>
    </row>
    <row r="341" spans="1:34" ht="12.75">
      <c r="A341" s="12"/>
      <c r="B341" s="12"/>
      <c r="C341" s="12"/>
      <c r="D341" s="12"/>
      <c r="E341" s="12"/>
      <c r="F341" s="12"/>
      <c r="G341" s="12"/>
      <c r="H341" s="12"/>
      <c r="I341" s="12"/>
      <c r="J341" s="12"/>
      <c r="K341" s="12"/>
      <c r="L341" s="12"/>
      <c r="M341" s="12"/>
      <c r="N341" s="12"/>
      <c r="O341" s="12"/>
      <c r="P341" s="12"/>
      <c r="Q341" s="12"/>
      <c r="R341" s="27"/>
      <c r="S341" s="27"/>
      <c r="T341" s="27"/>
      <c r="U341" s="27"/>
      <c r="V341" s="12"/>
      <c r="W341" s="12"/>
      <c r="X341" s="12"/>
      <c r="Y341" s="12"/>
      <c r="Z341" s="31"/>
      <c r="AA341" s="12"/>
      <c r="AB341" s="12"/>
      <c r="AC341" s="12"/>
      <c r="AD341" s="12"/>
      <c r="AE341" s="12"/>
      <c r="AF341" s="12"/>
      <c r="AG341" s="12"/>
      <c r="AH341" s="12"/>
    </row>
    <row r="342" spans="1:34" ht="12.75">
      <c r="A342" s="12"/>
      <c r="B342" s="12"/>
      <c r="C342" s="12"/>
      <c r="D342" s="12"/>
      <c r="E342" s="12"/>
      <c r="F342" s="12"/>
      <c r="G342" s="12"/>
      <c r="H342" s="12"/>
      <c r="I342" s="12"/>
      <c r="J342" s="12"/>
      <c r="K342" s="12"/>
      <c r="L342" s="12"/>
      <c r="M342" s="12"/>
      <c r="N342" s="12"/>
      <c r="O342" s="12"/>
      <c r="P342" s="12"/>
      <c r="Q342" s="12"/>
      <c r="R342" s="27"/>
      <c r="S342" s="27"/>
      <c r="T342" s="27"/>
      <c r="U342" s="27"/>
      <c r="V342" s="12"/>
      <c r="W342" s="12"/>
      <c r="X342" s="12"/>
      <c r="Y342" s="12"/>
      <c r="Z342" s="31"/>
      <c r="AA342" s="12"/>
      <c r="AB342" s="12"/>
      <c r="AC342" s="12"/>
      <c r="AD342" s="12"/>
      <c r="AE342" s="12"/>
      <c r="AF342" s="12"/>
      <c r="AG342" s="12"/>
      <c r="AH342" s="12"/>
    </row>
    <row r="343" spans="1:34" ht="12.75">
      <c r="A343" s="12"/>
      <c r="B343" s="12"/>
      <c r="C343" s="12"/>
      <c r="D343" s="12"/>
      <c r="E343" s="12"/>
      <c r="F343" s="12"/>
      <c r="G343" s="12"/>
      <c r="H343" s="12"/>
      <c r="I343" s="12"/>
      <c r="J343" s="12"/>
      <c r="K343" s="12"/>
      <c r="L343" s="12"/>
      <c r="M343" s="12"/>
      <c r="N343" s="12"/>
      <c r="O343" s="12"/>
      <c r="P343" s="12"/>
      <c r="Q343" s="12"/>
      <c r="R343" s="27"/>
      <c r="S343" s="27"/>
      <c r="T343" s="27"/>
      <c r="U343" s="27"/>
      <c r="V343" s="12"/>
      <c r="W343" s="12"/>
      <c r="X343" s="12"/>
      <c r="Y343" s="12"/>
      <c r="Z343" s="31"/>
      <c r="AA343" s="12"/>
      <c r="AB343" s="12"/>
      <c r="AC343" s="12"/>
      <c r="AD343" s="12"/>
      <c r="AE343" s="12"/>
      <c r="AF343" s="12"/>
      <c r="AG343" s="12"/>
      <c r="AH343" s="12"/>
    </row>
    <row r="344" spans="1:34" ht="12.75">
      <c r="A344" s="12"/>
      <c r="B344" s="12"/>
      <c r="C344" s="12"/>
      <c r="D344" s="12"/>
      <c r="E344" s="12"/>
      <c r="F344" s="12"/>
      <c r="G344" s="12"/>
      <c r="H344" s="12"/>
      <c r="I344" s="12"/>
      <c r="J344" s="12"/>
      <c r="K344" s="12"/>
      <c r="L344" s="12"/>
      <c r="M344" s="12"/>
      <c r="N344" s="12"/>
      <c r="O344" s="12"/>
      <c r="P344" s="12"/>
      <c r="Q344" s="12"/>
      <c r="R344" s="27"/>
      <c r="S344" s="27"/>
      <c r="T344" s="27"/>
      <c r="U344" s="27"/>
      <c r="V344" s="12"/>
      <c r="W344" s="12"/>
      <c r="X344" s="12"/>
      <c r="Y344" s="12"/>
      <c r="Z344" s="31"/>
      <c r="AA344" s="12"/>
      <c r="AB344" s="12"/>
      <c r="AC344" s="12"/>
      <c r="AD344" s="12"/>
      <c r="AE344" s="12"/>
      <c r="AF344" s="12"/>
      <c r="AG344" s="12"/>
      <c r="AH344" s="12"/>
    </row>
    <row r="345" spans="1:34" ht="12.75">
      <c r="A345" s="12"/>
      <c r="B345" s="12"/>
      <c r="C345" s="12"/>
      <c r="D345" s="12"/>
      <c r="E345" s="12"/>
      <c r="F345" s="12"/>
      <c r="G345" s="12"/>
      <c r="H345" s="12"/>
      <c r="I345" s="12"/>
      <c r="J345" s="12"/>
      <c r="K345" s="12"/>
      <c r="L345" s="12"/>
      <c r="M345" s="12"/>
      <c r="N345" s="12"/>
      <c r="O345" s="12"/>
      <c r="P345" s="12"/>
      <c r="Q345" s="12"/>
      <c r="R345" s="27"/>
      <c r="S345" s="27"/>
      <c r="T345" s="27"/>
      <c r="U345" s="27"/>
      <c r="V345" s="12"/>
      <c r="W345" s="12"/>
      <c r="X345" s="12"/>
      <c r="Y345" s="12"/>
      <c r="Z345" s="31"/>
      <c r="AA345" s="12"/>
      <c r="AB345" s="12"/>
      <c r="AC345" s="12"/>
      <c r="AD345" s="12"/>
      <c r="AE345" s="12"/>
      <c r="AF345" s="12"/>
      <c r="AG345" s="12"/>
      <c r="AH345" s="12"/>
    </row>
    <row r="346" spans="1:34" ht="12.75">
      <c r="A346" s="12"/>
      <c r="B346" s="12"/>
      <c r="C346" s="12"/>
      <c r="D346" s="12"/>
      <c r="E346" s="12"/>
      <c r="F346" s="12"/>
      <c r="G346" s="12"/>
      <c r="H346" s="12"/>
      <c r="I346" s="12"/>
      <c r="J346" s="12"/>
      <c r="K346" s="12"/>
      <c r="L346" s="12"/>
      <c r="M346" s="12"/>
      <c r="N346" s="12"/>
      <c r="O346" s="12"/>
      <c r="P346" s="12"/>
      <c r="Q346" s="12"/>
      <c r="R346" s="27"/>
      <c r="S346" s="27"/>
      <c r="T346" s="27"/>
      <c r="U346" s="27"/>
      <c r="V346" s="12"/>
      <c r="W346" s="12"/>
      <c r="X346" s="12"/>
      <c r="Y346" s="12"/>
      <c r="Z346" s="31"/>
      <c r="AA346" s="12"/>
      <c r="AB346" s="12"/>
      <c r="AC346" s="12"/>
      <c r="AD346" s="12"/>
      <c r="AE346" s="12"/>
      <c r="AF346" s="12"/>
      <c r="AG346" s="12"/>
      <c r="AH346" s="12"/>
    </row>
    <row r="347" spans="1:34" ht="12.75">
      <c r="A347" s="12"/>
      <c r="B347" s="12"/>
      <c r="C347" s="12"/>
      <c r="D347" s="12"/>
      <c r="E347" s="12"/>
      <c r="F347" s="12"/>
      <c r="G347" s="12"/>
      <c r="H347" s="12"/>
      <c r="I347" s="12"/>
      <c r="J347" s="12"/>
      <c r="K347" s="12"/>
      <c r="L347" s="12"/>
      <c r="M347" s="12"/>
      <c r="N347" s="12"/>
      <c r="O347" s="12"/>
      <c r="P347" s="12"/>
      <c r="Q347" s="12"/>
      <c r="R347" s="27"/>
      <c r="S347" s="27"/>
      <c r="T347" s="27"/>
      <c r="U347" s="27"/>
      <c r="V347" s="12"/>
      <c r="W347" s="12"/>
      <c r="X347" s="12"/>
      <c r="Y347" s="12"/>
      <c r="Z347" s="31"/>
      <c r="AA347" s="12"/>
      <c r="AB347" s="12"/>
      <c r="AC347" s="12"/>
      <c r="AD347" s="12"/>
      <c r="AE347" s="12"/>
      <c r="AF347" s="12"/>
      <c r="AG347" s="12"/>
      <c r="AH347" s="12"/>
    </row>
    <row r="348" spans="1:34" ht="12.75">
      <c r="A348" s="12"/>
      <c r="B348" s="12"/>
      <c r="C348" s="12"/>
      <c r="D348" s="12"/>
      <c r="E348" s="12"/>
      <c r="F348" s="12"/>
      <c r="G348" s="12"/>
      <c r="H348" s="12"/>
      <c r="I348" s="12"/>
      <c r="J348" s="12"/>
      <c r="K348" s="12"/>
      <c r="L348" s="12"/>
      <c r="M348" s="12"/>
      <c r="N348" s="12"/>
      <c r="O348" s="12"/>
      <c r="P348" s="12"/>
      <c r="Q348" s="12"/>
      <c r="R348" s="27"/>
      <c r="S348" s="27"/>
      <c r="T348" s="27"/>
      <c r="U348" s="27"/>
      <c r="V348" s="12"/>
      <c r="W348" s="12"/>
      <c r="X348" s="12"/>
      <c r="Y348" s="12"/>
      <c r="Z348" s="31"/>
      <c r="AA348" s="12"/>
      <c r="AB348" s="12"/>
      <c r="AC348" s="12"/>
      <c r="AD348" s="12"/>
      <c r="AE348" s="12"/>
      <c r="AF348" s="12"/>
      <c r="AG348" s="12"/>
      <c r="AH348" s="12"/>
    </row>
    <row r="349" spans="1:34" ht="12.75">
      <c r="A349" s="12"/>
      <c r="B349" s="12"/>
      <c r="C349" s="12"/>
      <c r="D349" s="12"/>
      <c r="E349" s="12"/>
      <c r="F349" s="12"/>
      <c r="G349" s="12"/>
      <c r="H349" s="12"/>
      <c r="I349" s="12"/>
      <c r="J349" s="12"/>
      <c r="K349" s="12"/>
      <c r="L349" s="12"/>
      <c r="M349" s="12"/>
      <c r="N349" s="12"/>
      <c r="O349" s="12"/>
      <c r="P349" s="12"/>
      <c r="Q349" s="12"/>
      <c r="R349" s="27"/>
      <c r="S349" s="27"/>
      <c r="T349" s="27"/>
      <c r="U349" s="27"/>
      <c r="V349" s="12"/>
      <c r="W349" s="12"/>
      <c r="X349" s="12"/>
      <c r="Y349" s="12"/>
      <c r="Z349" s="31"/>
      <c r="AA349" s="12"/>
      <c r="AB349" s="12"/>
      <c r="AC349" s="12"/>
      <c r="AD349" s="12"/>
      <c r="AE349" s="12"/>
      <c r="AF349" s="12"/>
      <c r="AG349" s="12"/>
      <c r="AH349" s="12"/>
    </row>
    <row r="350" spans="1:34" ht="12.75">
      <c r="A350" s="12"/>
      <c r="B350" s="12"/>
      <c r="C350" s="12"/>
      <c r="D350" s="12"/>
      <c r="E350" s="12"/>
      <c r="F350" s="12"/>
      <c r="G350" s="12"/>
      <c r="H350" s="12"/>
      <c r="I350" s="12"/>
      <c r="J350" s="12"/>
      <c r="K350" s="12"/>
      <c r="L350" s="12"/>
      <c r="M350" s="12"/>
      <c r="N350" s="12"/>
      <c r="O350" s="12"/>
      <c r="P350" s="12"/>
      <c r="Q350" s="12"/>
      <c r="R350" s="27"/>
      <c r="S350" s="27"/>
      <c r="T350" s="27"/>
      <c r="U350" s="27"/>
      <c r="V350" s="12"/>
      <c r="W350" s="12"/>
      <c r="X350" s="12"/>
      <c r="Y350" s="12"/>
      <c r="Z350" s="31"/>
      <c r="AA350" s="12"/>
      <c r="AB350" s="12"/>
      <c r="AC350" s="12"/>
      <c r="AD350" s="12"/>
      <c r="AE350" s="12"/>
      <c r="AF350" s="12"/>
      <c r="AG350" s="12"/>
      <c r="AH350" s="12"/>
    </row>
    <row r="351" spans="1:34" ht="12.75">
      <c r="A351" s="12"/>
      <c r="B351" s="12"/>
      <c r="C351" s="12"/>
      <c r="D351" s="12"/>
      <c r="E351" s="12"/>
      <c r="F351" s="12"/>
      <c r="G351" s="12"/>
      <c r="H351" s="12"/>
      <c r="I351" s="12"/>
      <c r="J351" s="12"/>
      <c r="K351" s="12"/>
      <c r="L351" s="12"/>
      <c r="M351" s="12"/>
      <c r="N351" s="12"/>
      <c r="O351" s="12"/>
      <c r="P351" s="12"/>
      <c r="Q351" s="12"/>
      <c r="R351" s="27"/>
      <c r="S351" s="27"/>
      <c r="T351" s="27"/>
      <c r="U351" s="27"/>
      <c r="V351" s="12"/>
      <c r="W351" s="12"/>
      <c r="X351" s="12"/>
      <c r="Y351" s="12"/>
      <c r="Z351" s="31"/>
      <c r="AA351" s="12"/>
      <c r="AB351" s="12"/>
      <c r="AC351" s="12"/>
      <c r="AD351" s="12"/>
      <c r="AE351" s="12"/>
      <c r="AF351" s="12"/>
      <c r="AG351" s="12"/>
      <c r="AH351" s="12"/>
    </row>
    <row r="352" spans="1:34" ht="12.75">
      <c r="A352" s="12"/>
      <c r="B352" s="12"/>
      <c r="C352" s="12"/>
      <c r="D352" s="12"/>
      <c r="E352" s="12"/>
      <c r="F352" s="12"/>
      <c r="G352" s="12"/>
      <c r="H352" s="12"/>
      <c r="I352" s="12"/>
      <c r="J352" s="12"/>
      <c r="K352" s="12"/>
      <c r="L352" s="12"/>
      <c r="M352" s="12"/>
      <c r="N352" s="12"/>
      <c r="O352" s="12"/>
      <c r="P352" s="12"/>
      <c r="Q352" s="12"/>
      <c r="R352" s="27"/>
      <c r="S352" s="27"/>
      <c r="T352" s="27"/>
      <c r="U352" s="27"/>
      <c r="V352" s="12"/>
      <c r="W352" s="12"/>
      <c r="X352" s="12"/>
      <c r="Y352" s="12"/>
      <c r="Z352" s="31"/>
      <c r="AA352" s="12"/>
      <c r="AB352" s="12"/>
      <c r="AC352" s="12"/>
      <c r="AD352" s="12"/>
      <c r="AE352" s="12"/>
      <c r="AF352" s="12"/>
      <c r="AG352" s="12"/>
      <c r="AH352" s="12"/>
    </row>
    <row r="353" spans="1:34" ht="12.75">
      <c r="A353" s="12"/>
      <c r="B353" s="12"/>
      <c r="C353" s="12"/>
      <c r="D353" s="12"/>
      <c r="E353" s="12"/>
      <c r="F353" s="12"/>
      <c r="G353" s="12"/>
      <c r="H353" s="12"/>
      <c r="I353" s="12"/>
      <c r="J353" s="12"/>
      <c r="K353" s="12"/>
      <c r="L353" s="12"/>
      <c r="M353" s="12"/>
      <c r="N353" s="12"/>
      <c r="O353" s="12"/>
      <c r="P353" s="12"/>
      <c r="Q353" s="12"/>
      <c r="R353" s="27"/>
      <c r="S353" s="27"/>
      <c r="T353" s="27"/>
      <c r="U353" s="27"/>
      <c r="V353" s="12"/>
      <c r="W353" s="12"/>
      <c r="X353" s="12"/>
      <c r="Y353" s="12"/>
      <c r="Z353" s="31"/>
      <c r="AA353" s="12"/>
      <c r="AB353" s="12"/>
      <c r="AC353" s="12"/>
      <c r="AD353" s="12"/>
      <c r="AE353" s="12"/>
      <c r="AF353" s="12"/>
      <c r="AG353" s="12"/>
      <c r="AH353" s="12"/>
    </row>
    <row r="354" spans="1:34" ht="12.75">
      <c r="A354" s="12"/>
      <c r="B354" s="12"/>
      <c r="C354" s="12"/>
      <c r="D354" s="12"/>
      <c r="E354" s="12"/>
      <c r="F354" s="12"/>
      <c r="G354" s="12"/>
      <c r="H354" s="12"/>
      <c r="I354" s="12"/>
      <c r="J354" s="12"/>
      <c r="K354" s="12"/>
      <c r="L354" s="12"/>
      <c r="M354" s="12"/>
      <c r="N354" s="12"/>
      <c r="O354" s="12"/>
      <c r="P354" s="12"/>
      <c r="Q354" s="12"/>
      <c r="R354" s="27"/>
      <c r="S354" s="27"/>
      <c r="T354" s="27"/>
      <c r="U354" s="27"/>
      <c r="V354" s="12"/>
      <c r="W354" s="12"/>
      <c r="X354" s="12"/>
      <c r="Y354" s="12"/>
      <c r="Z354" s="31"/>
      <c r="AA354" s="12"/>
      <c r="AB354" s="12"/>
      <c r="AC354" s="12"/>
      <c r="AD354" s="12"/>
      <c r="AE354" s="12"/>
      <c r="AF354" s="12"/>
      <c r="AG354" s="12"/>
      <c r="AH354" s="12"/>
    </row>
    <row r="355" spans="1:34" ht="12.75">
      <c r="A355" s="12"/>
      <c r="B355" s="12"/>
      <c r="C355" s="12"/>
      <c r="D355" s="12"/>
      <c r="E355" s="12"/>
      <c r="F355" s="12"/>
      <c r="G355" s="12"/>
      <c r="H355" s="12"/>
      <c r="I355" s="12"/>
      <c r="J355" s="12"/>
      <c r="K355" s="12"/>
      <c r="L355" s="12"/>
      <c r="M355" s="12"/>
      <c r="N355" s="12"/>
      <c r="O355" s="12"/>
      <c r="P355" s="12"/>
      <c r="Q355" s="12"/>
      <c r="R355" s="27"/>
      <c r="S355" s="27"/>
      <c r="T355" s="27"/>
      <c r="U355" s="27"/>
      <c r="V355" s="12"/>
      <c r="W355" s="12"/>
      <c r="X355" s="12"/>
      <c r="Y355" s="12"/>
      <c r="Z355" s="31"/>
      <c r="AA355" s="12"/>
      <c r="AB355" s="12"/>
      <c r="AC355" s="12"/>
      <c r="AD355" s="12"/>
      <c r="AE355" s="12"/>
      <c r="AF355" s="12"/>
      <c r="AG355" s="12"/>
      <c r="AH355" s="12"/>
    </row>
    <row r="356" spans="1:34" ht="12.75">
      <c r="A356" s="12"/>
      <c r="B356" s="12"/>
      <c r="C356" s="12"/>
      <c r="D356" s="12"/>
      <c r="E356" s="12"/>
      <c r="F356" s="12"/>
      <c r="G356" s="12"/>
      <c r="H356" s="12"/>
      <c r="I356" s="12"/>
      <c r="J356" s="12"/>
      <c r="K356" s="12"/>
      <c r="L356" s="12"/>
      <c r="M356" s="12"/>
      <c r="N356" s="12"/>
      <c r="O356" s="12"/>
      <c r="P356" s="12"/>
      <c r="Q356" s="12"/>
      <c r="R356" s="27"/>
      <c r="S356" s="27"/>
      <c r="T356" s="27"/>
      <c r="U356" s="27"/>
      <c r="V356" s="12"/>
      <c r="W356" s="12"/>
      <c r="X356" s="12"/>
      <c r="Y356" s="12"/>
      <c r="Z356" s="31"/>
      <c r="AA356" s="12"/>
      <c r="AB356" s="12"/>
      <c r="AC356" s="12"/>
      <c r="AD356" s="12"/>
      <c r="AE356" s="12"/>
      <c r="AF356" s="12"/>
      <c r="AG356" s="12"/>
      <c r="AH356" s="12"/>
    </row>
    <row r="357" spans="1:34" ht="12.75">
      <c r="A357" s="12"/>
      <c r="B357" s="12"/>
      <c r="C357" s="12"/>
      <c r="D357" s="12"/>
      <c r="E357" s="12"/>
      <c r="F357" s="12"/>
      <c r="G357" s="12"/>
      <c r="H357" s="12"/>
      <c r="I357" s="12"/>
      <c r="J357" s="12"/>
      <c r="K357" s="12"/>
      <c r="L357" s="12"/>
      <c r="M357" s="12"/>
      <c r="N357" s="12"/>
      <c r="O357" s="12"/>
      <c r="P357" s="12"/>
      <c r="Q357" s="12"/>
      <c r="R357" s="27"/>
      <c r="S357" s="27"/>
      <c r="T357" s="27"/>
      <c r="U357" s="27"/>
      <c r="V357" s="12"/>
      <c r="W357" s="12"/>
      <c r="X357" s="12"/>
      <c r="Y357" s="12"/>
      <c r="Z357" s="31"/>
      <c r="AA357" s="12"/>
      <c r="AB357" s="12"/>
      <c r="AC357" s="12"/>
      <c r="AD357" s="12"/>
      <c r="AE357" s="12"/>
      <c r="AF357" s="12"/>
      <c r="AG357" s="12"/>
      <c r="AH357" s="12"/>
    </row>
    <row r="358" spans="1:34" ht="12.75">
      <c r="A358" s="12"/>
      <c r="B358" s="12"/>
      <c r="C358" s="12"/>
      <c r="D358" s="12"/>
      <c r="E358" s="12"/>
      <c r="F358" s="12"/>
      <c r="G358" s="12"/>
      <c r="H358" s="12"/>
      <c r="I358" s="12"/>
      <c r="J358" s="12"/>
      <c r="K358" s="12"/>
      <c r="L358" s="12"/>
      <c r="M358" s="12"/>
      <c r="N358" s="12"/>
      <c r="O358" s="12"/>
      <c r="P358" s="12"/>
      <c r="Q358" s="12"/>
      <c r="R358" s="27"/>
      <c r="S358" s="27"/>
      <c r="T358" s="27"/>
      <c r="U358" s="27"/>
      <c r="V358" s="12"/>
      <c r="W358" s="12"/>
      <c r="X358" s="12"/>
      <c r="Y358" s="12"/>
      <c r="Z358" s="31"/>
      <c r="AA358" s="12"/>
      <c r="AB358" s="12"/>
      <c r="AC358" s="12"/>
      <c r="AD358" s="12"/>
      <c r="AE358" s="12"/>
      <c r="AF358" s="12"/>
      <c r="AG358" s="12"/>
      <c r="AH358" s="12"/>
    </row>
    <row r="359" spans="1:34" ht="12.75">
      <c r="A359" s="12"/>
      <c r="B359" s="12"/>
      <c r="C359" s="12"/>
      <c r="D359" s="12"/>
      <c r="E359" s="12"/>
      <c r="F359" s="12"/>
      <c r="G359" s="12"/>
      <c r="H359" s="12"/>
      <c r="I359" s="12"/>
      <c r="J359" s="12"/>
      <c r="K359" s="12"/>
      <c r="L359" s="12"/>
      <c r="M359" s="12"/>
      <c r="N359" s="12"/>
      <c r="O359" s="12"/>
      <c r="P359" s="12"/>
      <c r="Q359" s="12"/>
      <c r="R359" s="27"/>
      <c r="S359" s="27"/>
      <c r="T359" s="27"/>
      <c r="U359" s="27"/>
      <c r="V359" s="12"/>
      <c r="W359" s="12"/>
      <c r="X359" s="12"/>
      <c r="Y359" s="12"/>
      <c r="Z359" s="31"/>
      <c r="AA359" s="12"/>
      <c r="AB359" s="12"/>
      <c r="AC359" s="12"/>
      <c r="AD359" s="12"/>
      <c r="AE359" s="12"/>
      <c r="AF359" s="12"/>
      <c r="AG359" s="12"/>
      <c r="AH359" s="12"/>
    </row>
    <row r="360" spans="1:34" ht="12.75">
      <c r="A360" s="12"/>
      <c r="B360" s="12"/>
      <c r="C360" s="12"/>
      <c r="D360" s="12"/>
      <c r="E360" s="12"/>
      <c r="F360" s="12"/>
      <c r="G360" s="12"/>
      <c r="H360" s="12"/>
      <c r="I360" s="12"/>
      <c r="J360" s="12"/>
      <c r="K360" s="12"/>
      <c r="L360" s="12"/>
      <c r="M360" s="12"/>
      <c r="N360" s="12"/>
      <c r="O360" s="12"/>
      <c r="P360" s="12"/>
      <c r="Q360" s="12"/>
      <c r="R360" s="27"/>
      <c r="S360" s="27"/>
      <c r="T360" s="27"/>
      <c r="U360" s="27"/>
      <c r="V360" s="12"/>
      <c r="W360" s="12"/>
      <c r="X360" s="12"/>
      <c r="Y360" s="12"/>
      <c r="Z360" s="31"/>
      <c r="AA360" s="12"/>
      <c r="AB360" s="12"/>
      <c r="AC360" s="12"/>
      <c r="AD360" s="12"/>
      <c r="AE360" s="12"/>
      <c r="AF360" s="12"/>
      <c r="AG360" s="12"/>
      <c r="AH360" s="12"/>
    </row>
    <row r="361" spans="1:34" ht="12.75">
      <c r="A361" s="12"/>
      <c r="B361" s="12"/>
      <c r="C361" s="12"/>
      <c r="D361" s="12"/>
      <c r="E361" s="12"/>
      <c r="F361" s="12"/>
      <c r="G361" s="12"/>
      <c r="H361" s="12"/>
      <c r="I361" s="12"/>
      <c r="J361" s="12"/>
      <c r="K361" s="12"/>
      <c r="L361" s="12"/>
      <c r="M361" s="12"/>
      <c r="N361" s="12"/>
      <c r="O361" s="12"/>
      <c r="P361" s="12"/>
      <c r="Q361" s="12"/>
      <c r="R361" s="27"/>
      <c r="S361" s="27"/>
      <c r="T361" s="27"/>
      <c r="U361" s="27"/>
      <c r="V361" s="12"/>
      <c r="W361" s="12"/>
      <c r="X361" s="12"/>
      <c r="Y361" s="12"/>
      <c r="Z361" s="31"/>
      <c r="AA361" s="12"/>
      <c r="AB361" s="12"/>
      <c r="AC361" s="12"/>
      <c r="AD361" s="12"/>
      <c r="AE361" s="12"/>
      <c r="AF361" s="12"/>
      <c r="AG361" s="12"/>
      <c r="AH361" s="12"/>
    </row>
    <row r="362" spans="1:34" ht="12.75">
      <c r="A362" s="12"/>
      <c r="B362" s="12"/>
      <c r="C362" s="12"/>
      <c r="D362" s="12"/>
      <c r="E362" s="12"/>
      <c r="F362" s="12"/>
      <c r="G362" s="12"/>
      <c r="H362" s="12"/>
      <c r="I362" s="12"/>
      <c r="J362" s="12"/>
      <c r="K362" s="12"/>
      <c r="L362" s="12"/>
      <c r="M362" s="12"/>
      <c r="N362" s="12"/>
      <c r="O362" s="12"/>
      <c r="P362" s="12"/>
      <c r="Q362" s="12"/>
      <c r="R362" s="27"/>
      <c r="S362" s="27"/>
      <c r="T362" s="27"/>
      <c r="U362" s="27"/>
      <c r="V362" s="12"/>
      <c r="W362" s="12"/>
      <c r="X362" s="12"/>
      <c r="Y362" s="12"/>
      <c r="Z362" s="31"/>
      <c r="AA362" s="12"/>
      <c r="AB362" s="12"/>
      <c r="AC362" s="12"/>
      <c r="AD362" s="12"/>
      <c r="AE362" s="12"/>
      <c r="AF362" s="12"/>
      <c r="AG362" s="12"/>
      <c r="AH362" s="12"/>
    </row>
    <row r="363" spans="1:34" ht="12.75">
      <c r="A363" s="12"/>
      <c r="B363" s="12"/>
      <c r="C363" s="12"/>
      <c r="D363" s="12"/>
      <c r="E363" s="12"/>
      <c r="F363" s="12"/>
      <c r="G363" s="12"/>
      <c r="H363" s="12"/>
      <c r="I363" s="12"/>
      <c r="J363" s="12"/>
      <c r="K363" s="12"/>
      <c r="L363" s="12"/>
      <c r="M363" s="12"/>
      <c r="N363" s="12"/>
      <c r="O363" s="12"/>
      <c r="P363" s="12"/>
      <c r="Q363" s="12"/>
      <c r="R363" s="27"/>
      <c r="S363" s="27"/>
      <c r="T363" s="27"/>
      <c r="U363" s="27"/>
      <c r="V363" s="12"/>
      <c r="W363" s="12"/>
      <c r="X363" s="12"/>
      <c r="Y363" s="12"/>
      <c r="Z363" s="31"/>
      <c r="AA363" s="12"/>
      <c r="AB363" s="12"/>
      <c r="AC363" s="12"/>
      <c r="AD363" s="12"/>
      <c r="AE363" s="12"/>
      <c r="AF363" s="12"/>
      <c r="AG363" s="12"/>
      <c r="AH363" s="12"/>
    </row>
    <row r="364" spans="1:34" ht="12.75">
      <c r="A364" s="12"/>
      <c r="B364" s="12"/>
      <c r="C364" s="12"/>
      <c r="D364" s="12"/>
      <c r="E364" s="12"/>
      <c r="F364" s="12"/>
      <c r="G364" s="12"/>
      <c r="H364" s="12"/>
      <c r="I364" s="12"/>
      <c r="J364" s="12"/>
      <c r="K364" s="12"/>
      <c r="L364" s="12"/>
      <c r="M364" s="12"/>
      <c r="N364" s="12"/>
      <c r="O364" s="12"/>
      <c r="P364" s="12"/>
      <c r="Q364" s="12"/>
      <c r="R364" s="27"/>
      <c r="S364" s="27"/>
      <c r="T364" s="27"/>
      <c r="U364" s="27"/>
      <c r="V364" s="12"/>
      <c r="W364" s="12"/>
      <c r="X364" s="12"/>
      <c r="Y364" s="12"/>
      <c r="Z364" s="31"/>
      <c r="AA364" s="12"/>
      <c r="AB364" s="12"/>
      <c r="AC364" s="12"/>
      <c r="AD364" s="12"/>
      <c r="AE364" s="12"/>
      <c r="AF364" s="12"/>
      <c r="AG364" s="12"/>
      <c r="AH364" s="12"/>
    </row>
    <row r="365" spans="1:34" ht="12.75">
      <c r="A365" s="12"/>
      <c r="B365" s="12"/>
      <c r="C365" s="12"/>
      <c r="D365" s="12"/>
      <c r="E365" s="12"/>
      <c r="F365" s="12"/>
      <c r="G365" s="12"/>
      <c r="H365" s="12"/>
      <c r="I365" s="12"/>
      <c r="J365" s="12"/>
      <c r="K365" s="12"/>
      <c r="L365" s="12"/>
      <c r="M365" s="12"/>
      <c r="N365" s="12"/>
      <c r="O365" s="12"/>
      <c r="P365" s="12"/>
      <c r="Q365" s="12"/>
      <c r="R365" s="27"/>
      <c r="S365" s="27"/>
      <c r="T365" s="27"/>
      <c r="U365" s="27"/>
      <c r="V365" s="12"/>
      <c r="W365" s="12"/>
      <c r="X365" s="12"/>
      <c r="Y365" s="12"/>
      <c r="Z365" s="31"/>
      <c r="AA365" s="12"/>
      <c r="AB365" s="12"/>
      <c r="AC365" s="12"/>
      <c r="AD365" s="12"/>
      <c r="AE365" s="12"/>
      <c r="AF365" s="12"/>
      <c r="AG365" s="12"/>
      <c r="AH365" s="12"/>
    </row>
    <row r="366" spans="1:34" ht="12.75">
      <c r="A366" s="12"/>
      <c r="B366" s="12"/>
      <c r="C366" s="12"/>
      <c r="D366" s="12"/>
      <c r="E366" s="12"/>
      <c r="F366" s="12"/>
      <c r="G366" s="12"/>
      <c r="H366" s="12"/>
      <c r="I366" s="12"/>
      <c r="J366" s="12"/>
      <c r="K366" s="12"/>
      <c r="L366" s="12"/>
      <c r="M366" s="12"/>
      <c r="N366" s="12"/>
      <c r="O366" s="12"/>
      <c r="P366" s="12"/>
      <c r="Q366" s="12"/>
      <c r="R366" s="27"/>
      <c r="S366" s="27"/>
      <c r="T366" s="27"/>
      <c r="U366" s="27"/>
      <c r="V366" s="12"/>
      <c r="W366" s="12"/>
      <c r="X366" s="12"/>
      <c r="Y366" s="12"/>
      <c r="Z366" s="31"/>
      <c r="AA366" s="12"/>
      <c r="AB366" s="12"/>
      <c r="AC366" s="12"/>
      <c r="AD366" s="12"/>
      <c r="AE366" s="12"/>
      <c r="AF366" s="12"/>
      <c r="AG366" s="12"/>
      <c r="AH366" s="12"/>
    </row>
    <row r="367" spans="1:34" ht="12.75">
      <c r="A367" s="12"/>
      <c r="B367" s="12"/>
      <c r="C367" s="12"/>
      <c r="D367" s="12"/>
      <c r="E367" s="12"/>
      <c r="F367" s="12"/>
      <c r="G367" s="12"/>
      <c r="H367" s="12"/>
      <c r="I367" s="12"/>
      <c r="J367" s="12"/>
      <c r="K367" s="12"/>
      <c r="L367" s="12"/>
      <c r="M367" s="12"/>
      <c r="N367" s="12"/>
      <c r="O367" s="12"/>
      <c r="P367" s="12"/>
      <c r="Q367" s="12"/>
      <c r="R367" s="27"/>
      <c r="S367" s="27"/>
      <c r="T367" s="27"/>
      <c r="U367" s="27"/>
      <c r="V367" s="12"/>
      <c r="W367" s="12"/>
      <c r="X367" s="12"/>
      <c r="Y367" s="12"/>
      <c r="Z367" s="31"/>
      <c r="AA367" s="12"/>
      <c r="AB367" s="12"/>
      <c r="AC367" s="12"/>
      <c r="AD367" s="12"/>
      <c r="AE367" s="12"/>
      <c r="AF367" s="12"/>
      <c r="AG367" s="12"/>
      <c r="AH367" s="12"/>
    </row>
    <row r="368" spans="1:34" ht="12.75">
      <c r="A368" s="12"/>
      <c r="B368" s="12"/>
      <c r="C368" s="12"/>
      <c r="D368" s="12"/>
      <c r="E368" s="12"/>
      <c r="F368" s="12"/>
      <c r="G368" s="12"/>
      <c r="H368" s="12"/>
      <c r="I368" s="12"/>
      <c r="J368" s="12"/>
      <c r="K368" s="12"/>
      <c r="L368" s="12"/>
      <c r="M368" s="12"/>
      <c r="N368" s="12"/>
      <c r="O368" s="12"/>
      <c r="P368" s="12"/>
      <c r="Q368" s="12"/>
      <c r="R368" s="27"/>
      <c r="S368" s="27"/>
      <c r="T368" s="27"/>
      <c r="U368" s="27"/>
      <c r="V368" s="12"/>
      <c r="W368" s="12"/>
      <c r="X368" s="12"/>
      <c r="Y368" s="12"/>
      <c r="Z368" s="31"/>
      <c r="AA368" s="12"/>
      <c r="AB368" s="12"/>
      <c r="AC368" s="12"/>
      <c r="AD368" s="12"/>
      <c r="AE368" s="12"/>
      <c r="AF368" s="12"/>
      <c r="AG368" s="12"/>
      <c r="AH368" s="12"/>
    </row>
    <row r="369" spans="1:34" ht="12.75">
      <c r="A369" s="12"/>
      <c r="B369" s="12"/>
      <c r="C369" s="12"/>
      <c r="D369" s="12"/>
      <c r="E369" s="12"/>
      <c r="F369" s="12"/>
      <c r="G369" s="12"/>
      <c r="H369" s="12"/>
      <c r="I369" s="12"/>
      <c r="J369" s="12"/>
      <c r="K369" s="12"/>
      <c r="L369" s="12"/>
      <c r="M369" s="12"/>
      <c r="N369" s="12"/>
      <c r="O369" s="12"/>
      <c r="P369" s="12"/>
      <c r="Q369" s="12"/>
      <c r="R369" s="27"/>
      <c r="S369" s="27"/>
      <c r="T369" s="27"/>
      <c r="U369" s="27"/>
      <c r="V369" s="12"/>
      <c r="W369" s="12"/>
      <c r="X369" s="12"/>
      <c r="Y369" s="12"/>
      <c r="Z369" s="31"/>
      <c r="AA369" s="12"/>
      <c r="AB369" s="12"/>
      <c r="AC369" s="12"/>
      <c r="AD369" s="12"/>
      <c r="AE369" s="12"/>
      <c r="AF369" s="12"/>
      <c r="AG369" s="12"/>
      <c r="AH369" s="12"/>
    </row>
    <row r="370" spans="1:34" ht="12.75">
      <c r="A370" s="12"/>
      <c r="B370" s="12"/>
      <c r="C370" s="12"/>
      <c r="D370" s="12"/>
      <c r="E370" s="12"/>
      <c r="F370" s="12"/>
      <c r="G370" s="12"/>
      <c r="H370" s="12"/>
      <c r="I370" s="12"/>
      <c r="J370" s="12"/>
      <c r="K370" s="12"/>
      <c r="L370" s="12"/>
      <c r="M370" s="12"/>
      <c r="N370" s="12"/>
      <c r="O370" s="12"/>
      <c r="P370" s="12"/>
      <c r="Q370" s="12"/>
      <c r="R370" s="27"/>
      <c r="S370" s="27"/>
      <c r="T370" s="27"/>
      <c r="U370" s="27"/>
      <c r="V370" s="12"/>
      <c r="W370" s="12"/>
      <c r="X370" s="12"/>
      <c r="Y370" s="12"/>
      <c r="Z370" s="31"/>
      <c r="AA370" s="12"/>
      <c r="AB370" s="12"/>
      <c r="AC370" s="12"/>
      <c r="AD370" s="12"/>
      <c r="AE370" s="12"/>
      <c r="AF370" s="12"/>
      <c r="AG370" s="12"/>
      <c r="AH370" s="12"/>
    </row>
    <row r="371" spans="1:34" ht="12.75">
      <c r="A371" s="12"/>
      <c r="B371" s="12"/>
      <c r="C371" s="12"/>
      <c r="D371" s="12"/>
      <c r="E371" s="12"/>
      <c r="F371" s="12"/>
      <c r="G371" s="12"/>
      <c r="H371" s="12"/>
      <c r="I371" s="12"/>
      <c r="J371" s="12"/>
      <c r="K371" s="12"/>
      <c r="L371" s="12"/>
      <c r="M371" s="12"/>
      <c r="N371" s="12"/>
      <c r="O371" s="12"/>
      <c r="P371" s="12"/>
      <c r="Q371" s="12"/>
      <c r="R371" s="27"/>
      <c r="S371" s="27"/>
      <c r="T371" s="27"/>
      <c r="U371" s="27"/>
      <c r="V371" s="12"/>
      <c r="W371" s="12"/>
      <c r="X371" s="12"/>
      <c r="Y371" s="12"/>
      <c r="Z371" s="31"/>
      <c r="AA371" s="12"/>
      <c r="AB371" s="12"/>
      <c r="AC371" s="12"/>
      <c r="AD371" s="12"/>
      <c r="AE371" s="12"/>
      <c r="AF371" s="12"/>
      <c r="AG371" s="12"/>
      <c r="AH371" s="12"/>
    </row>
    <row r="372" spans="1:34" ht="12.75">
      <c r="A372" s="12"/>
      <c r="B372" s="12"/>
      <c r="C372" s="12"/>
      <c r="D372" s="12"/>
      <c r="E372" s="12"/>
      <c r="F372" s="12"/>
      <c r="G372" s="12"/>
      <c r="H372" s="12"/>
      <c r="I372" s="12"/>
      <c r="J372" s="12"/>
      <c r="K372" s="12"/>
      <c r="L372" s="12"/>
      <c r="M372" s="12"/>
      <c r="N372" s="12"/>
      <c r="O372" s="12"/>
      <c r="P372" s="12"/>
      <c r="Q372" s="12"/>
      <c r="R372" s="27"/>
      <c r="S372" s="27"/>
      <c r="T372" s="27"/>
      <c r="U372" s="27"/>
      <c r="V372" s="12"/>
      <c r="W372" s="12"/>
      <c r="X372" s="12"/>
      <c r="Y372" s="12"/>
      <c r="Z372" s="31"/>
      <c r="AA372" s="12"/>
      <c r="AB372" s="12"/>
      <c r="AC372" s="12"/>
      <c r="AD372" s="12"/>
      <c r="AE372" s="12"/>
      <c r="AF372" s="12"/>
      <c r="AG372" s="12"/>
      <c r="AH372" s="12"/>
    </row>
    <row r="373" spans="1:34" ht="12.75">
      <c r="A373" s="12"/>
      <c r="B373" s="12"/>
      <c r="C373" s="12"/>
      <c r="D373" s="12"/>
      <c r="E373" s="12"/>
      <c r="F373" s="12"/>
      <c r="G373" s="12"/>
      <c r="H373" s="12"/>
      <c r="I373" s="12"/>
      <c r="J373" s="12"/>
      <c r="K373" s="12"/>
      <c r="L373" s="12"/>
      <c r="M373" s="12"/>
      <c r="N373" s="12"/>
      <c r="O373" s="12"/>
      <c r="P373" s="12"/>
      <c r="Q373" s="12"/>
      <c r="R373" s="27"/>
      <c r="S373" s="27"/>
      <c r="T373" s="27"/>
      <c r="U373" s="27"/>
      <c r="V373" s="12"/>
      <c r="W373" s="12"/>
      <c r="X373" s="12"/>
      <c r="Y373" s="12"/>
      <c r="Z373" s="31"/>
      <c r="AA373" s="12"/>
      <c r="AB373" s="12"/>
      <c r="AC373" s="12"/>
      <c r="AD373" s="12"/>
      <c r="AE373" s="12"/>
      <c r="AF373" s="12"/>
      <c r="AG373" s="12"/>
      <c r="AH373" s="12"/>
    </row>
    <row r="374" spans="1:34" ht="12.75">
      <c r="A374" s="12"/>
      <c r="B374" s="12"/>
      <c r="C374" s="12"/>
      <c r="D374" s="12"/>
      <c r="E374" s="12"/>
      <c r="F374" s="12"/>
      <c r="G374" s="12"/>
      <c r="H374" s="12"/>
      <c r="I374" s="12"/>
      <c r="J374" s="12"/>
      <c r="K374" s="12"/>
      <c r="L374" s="12"/>
      <c r="M374" s="12"/>
      <c r="N374" s="12"/>
      <c r="O374" s="12"/>
      <c r="P374" s="12"/>
      <c r="Q374" s="12"/>
      <c r="R374" s="27"/>
      <c r="S374" s="27"/>
      <c r="T374" s="27"/>
      <c r="U374" s="27"/>
      <c r="V374" s="12"/>
      <c r="W374" s="12"/>
      <c r="X374" s="12"/>
      <c r="Y374" s="12"/>
      <c r="Z374" s="31"/>
      <c r="AA374" s="12"/>
      <c r="AB374" s="12"/>
      <c r="AC374" s="12"/>
      <c r="AD374" s="12"/>
      <c r="AE374" s="12"/>
      <c r="AF374" s="12"/>
      <c r="AG374" s="12"/>
      <c r="AH374" s="12"/>
    </row>
    <row r="375" spans="1:34" ht="12.75">
      <c r="A375" s="12"/>
      <c r="B375" s="12"/>
      <c r="C375" s="12"/>
      <c r="D375" s="12"/>
      <c r="E375" s="12"/>
      <c r="F375" s="12"/>
      <c r="G375" s="12"/>
      <c r="H375" s="12"/>
      <c r="I375" s="12"/>
      <c r="J375" s="12"/>
      <c r="K375" s="12"/>
      <c r="L375" s="12"/>
      <c r="M375" s="12"/>
      <c r="N375" s="12"/>
      <c r="O375" s="12"/>
      <c r="P375" s="12"/>
      <c r="Q375" s="12"/>
      <c r="R375" s="27"/>
      <c r="S375" s="27"/>
      <c r="T375" s="27"/>
      <c r="U375" s="27"/>
      <c r="V375" s="12"/>
      <c r="W375" s="12"/>
      <c r="X375" s="12"/>
      <c r="Y375" s="12"/>
      <c r="Z375" s="31"/>
      <c r="AA375" s="12"/>
      <c r="AB375" s="12"/>
      <c r="AC375" s="12"/>
      <c r="AD375" s="12"/>
      <c r="AE375" s="12"/>
      <c r="AF375" s="12"/>
      <c r="AG375" s="12"/>
      <c r="AH375" s="12"/>
    </row>
    <row r="376" spans="1:34" ht="12.75">
      <c r="A376" s="12"/>
      <c r="B376" s="12"/>
      <c r="C376" s="12"/>
      <c r="D376" s="12"/>
      <c r="E376" s="12"/>
      <c r="F376" s="12"/>
      <c r="G376" s="12"/>
      <c r="H376" s="12"/>
      <c r="I376" s="12"/>
      <c r="J376" s="12"/>
      <c r="K376" s="12"/>
      <c r="L376" s="12"/>
      <c r="M376" s="12"/>
      <c r="N376" s="12"/>
      <c r="O376" s="12"/>
      <c r="P376" s="12"/>
      <c r="Q376" s="12"/>
      <c r="R376" s="27"/>
      <c r="S376" s="27"/>
      <c r="T376" s="27"/>
      <c r="U376" s="27"/>
      <c r="V376" s="12"/>
      <c r="W376" s="12"/>
      <c r="X376" s="12"/>
      <c r="Y376" s="12"/>
      <c r="Z376" s="31"/>
      <c r="AA376" s="12"/>
      <c r="AB376" s="12"/>
      <c r="AC376" s="12"/>
      <c r="AD376" s="12"/>
      <c r="AE376" s="12"/>
      <c r="AF376" s="12"/>
      <c r="AG376" s="12"/>
      <c r="AH376" s="12"/>
    </row>
    <row r="377" spans="1:34" ht="12.75">
      <c r="A377" s="12"/>
      <c r="B377" s="12"/>
      <c r="C377" s="12"/>
      <c r="D377" s="12"/>
      <c r="E377" s="12"/>
      <c r="F377" s="12"/>
      <c r="G377" s="12"/>
      <c r="H377" s="12"/>
      <c r="I377" s="12"/>
      <c r="J377" s="12"/>
      <c r="K377" s="12"/>
      <c r="L377" s="12"/>
      <c r="M377" s="12"/>
      <c r="N377" s="12"/>
      <c r="O377" s="12"/>
      <c r="P377" s="12"/>
      <c r="Q377" s="12"/>
      <c r="R377" s="27"/>
      <c r="S377" s="27"/>
      <c r="T377" s="27"/>
      <c r="U377" s="27"/>
      <c r="V377" s="12"/>
      <c r="W377" s="12"/>
      <c r="X377" s="12"/>
      <c r="Y377" s="12"/>
      <c r="Z377" s="31"/>
      <c r="AA377" s="12"/>
      <c r="AB377" s="12"/>
      <c r="AC377" s="12"/>
      <c r="AD377" s="12"/>
      <c r="AE377" s="12"/>
      <c r="AF377" s="12"/>
      <c r="AG377" s="12"/>
      <c r="AH377" s="12"/>
    </row>
    <row r="378" spans="1:34" ht="12.75">
      <c r="A378" s="12"/>
      <c r="B378" s="12"/>
      <c r="C378" s="12"/>
      <c r="D378" s="12"/>
      <c r="E378" s="12"/>
      <c r="F378" s="12"/>
      <c r="G378" s="12"/>
      <c r="H378" s="12"/>
      <c r="I378" s="12"/>
      <c r="J378" s="12"/>
      <c r="K378" s="12"/>
      <c r="L378" s="12"/>
      <c r="M378" s="12"/>
      <c r="N378" s="12"/>
      <c r="O378" s="12"/>
      <c r="P378" s="12"/>
      <c r="Q378" s="12"/>
      <c r="R378" s="27"/>
      <c r="S378" s="27"/>
      <c r="T378" s="27"/>
      <c r="U378" s="27"/>
      <c r="V378" s="12"/>
      <c r="W378" s="12"/>
      <c r="X378" s="12"/>
      <c r="Y378" s="12"/>
      <c r="Z378" s="31"/>
      <c r="AA378" s="12"/>
      <c r="AB378" s="12"/>
      <c r="AC378" s="12"/>
      <c r="AD378" s="12"/>
      <c r="AE378" s="12"/>
      <c r="AF378" s="12"/>
      <c r="AG378" s="12"/>
      <c r="AH378" s="12"/>
    </row>
    <row r="379" spans="1:34" ht="12.75">
      <c r="A379" s="12"/>
      <c r="B379" s="12"/>
      <c r="C379" s="12"/>
      <c r="D379" s="12"/>
      <c r="E379" s="12"/>
      <c r="F379" s="12"/>
      <c r="G379" s="12"/>
      <c r="H379" s="12"/>
      <c r="I379" s="12"/>
      <c r="J379" s="12"/>
      <c r="K379" s="12"/>
      <c r="L379" s="12"/>
      <c r="M379" s="12"/>
      <c r="N379" s="12"/>
      <c r="O379" s="12"/>
      <c r="P379" s="12"/>
      <c r="Q379" s="12"/>
      <c r="R379" s="27"/>
      <c r="S379" s="27"/>
      <c r="T379" s="27"/>
      <c r="U379" s="27"/>
      <c r="V379" s="12"/>
      <c r="W379" s="12"/>
      <c r="X379" s="12"/>
      <c r="Y379" s="12"/>
      <c r="Z379" s="31"/>
      <c r="AA379" s="12"/>
      <c r="AB379" s="12"/>
      <c r="AC379" s="12"/>
      <c r="AD379" s="12"/>
      <c r="AE379" s="12"/>
      <c r="AF379" s="12"/>
      <c r="AG379" s="12"/>
      <c r="AH379" s="12"/>
    </row>
    <row r="380" spans="1:34" ht="12.75">
      <c r="A380" s="12"/>
      <c r="B380" s="12"/>
      <c r="C380" s="12"/>
      <c r="D380" s="12"/>
      <c r="E380" s="12"/>
      <c r="F380" s="12"/>
      <c r="G380" s="12"/>
      <c r="H380" s="12"/>
      <c r="I380" s="12"/>
      <c r="J380" s="12"/>
      <c r="K380" s="12"/>
      <c r="L380" s="12"/>
      <c r="M380" s="12"/>
      <c r="N380" s="12"/>
      <c r="O380" s="12"/>
      <c r="P380" s="12"/>
      <c r="Q380" s="12"/>
      <c r="R380" s="27"/>
      <c r="S380" s="27"/>
      <c r="T380" s="27"/>
      <c r="U380" s="27"/>
      <c r="V380" s="12"/>
      <c r="W380" s="12"/>
      <c r="X380" s="12"/>
      <c r="Y380" s="12"/>
      <c r="Z380" s="31"/>
      <c r="AA380" s="12"/>
      <c r="AB380" s="12"/>
      <c r="AC380" s="12"/>
      <c r="AD380" s="12"/>
      <c r="AE380" s="12"/>
      <c r="AF380" s="12"/>
      <c r="AG380" s="12"/>
      <c r="AH380" s="12"/>
    </row>
    <row r="381" spans="1:34" ht="12.75">
      <c r="A381" s="12"/>
      <c r="B381" s="12"/>
      <c r="C381" s="12"/>
      <c r="D381" s="12"/>
      <c r="E381" s="12"/>
      <c r="F381" s="12"/>
      <c r="G381" s="12"/>
      <c r="H381" s="12"/>
      <c r="I381" s="12"/>
      <c r="J381" s="12"/>
      <c r="K381" s="12"/>
      <c r="L381" s="12"/>
      <c r="M381" s="12"/>
      <c r="N381" s="12"/>
      <c r="O381" s="12"/>
      <c r="P381" s="12"/>
      <c r="Q381" s="12"/>
      <c r="R381" s="27"/>
      <c r="S381" s="27"/>
      <c r="T381" s="27"/>
      <c r="U381" s="27"/>
      <c r="V381" s="12"/>
      <c r="W381" s="12"/>
      <c r="X381" s="12"/>
      <c r="Y381" s="12"/>
      <c r="Z381" s="31"/>
      <c r="AA381" s="12"/>
      <c r="AB381" s="12"/>
      <c r="AC381" s="12"/>
      <c r="AD381" s="12"/>
      <c r="AE381" s="12"/>
      <c r="AF381" s="12"/>
      <c r="AG381" s="12"/>
      <c r="AH381" s="12"/>
    </row>
    <row r="382" spans="1:34" ht="12.75">
      <c r="A382" s="12"/>
      <c r="B382" s="12"/>
      <c r="C382" s="12"/>
      <c r="D382" s="12"/>
      <c r="E382" s="12"/>
      <c r="F382" s="12"/>
      <c r="G382" s="12"/>
      <c r="H382" s="12"/>
      <c r="I382" s="12"/>
      <c r="J382" s="12"/>
      <c r="K382" s="12"/>
      <c r="L382" s="12"/>
      <c r="M382" s="12"/>
      <c r="N382" s="12"/>
      <c r="O382" s="12"/>
      <c r="P382" s="12"/>
      <c r="Q382" s="12"/>
      <c r="R382" s="27"/>
      <c r="S382" s="27"/>
      <c r="T382" s="27"/>
      <c r="U382" s="27"/>
      <c r="V382" s="12"/>
      <c r="W382" s="12"/>
      <c r="X382" s="12"/>
      <c r="Y382" s="12"/>
      <c r="Z382" s="31"/>
      <c r="AA382" s="12"/>
      <c r="AB382" s="12"/>
      <c r="AC382" s="12"/>
      <c r="AD382" s="12"/>
      <c r="AE382" s="12"/>
      <c r="AF382" s="12"/>
      <c r="AG382" s="12"/>
      <c r="AH382" s="12"/>
    </row>
    <row r="383" spans="1:34" ht="12.75">
      <c r="A383" s="12"/>
      <c r="B383" s="12"/>
      <c r="C383" s="12"/>
      <c r="D383" s="12"/>
      <c r="E383" s="12"/>
      <c r="F383" s="12"/>
      <c r="G383" s="12"/>
      <c r="H383" s="12"/>
      <c r="I383" s="12"/>
      <c r="J383" s="12"/>
      <c r="K383" s="12"/>
      <c r="L383" s="12"/>
      <c r="M383" s="12"/>
      <c r="N383" s="12"/>
      <c r="O383" s="12"/>
      <c r="P383" s="12"/>
      <c r="Q383" s="12"/>
      <c r="R383" s="27"/>
      <c r="S383" s="27"/>
      <c r="T383" s="27"/>
      <c r="U383" s="27"/>
      <c r="V383" s="12"/>
      <c r="W383" s="12"/>
      <c r="X383" s="12"/>
      <c r="Y383" s="12"/>
      <c r="Z383" s="31"/>
      <c r="AA383" s="12"/>
      <c r="AB383" s="12"/>
      <c r="AC383" s="12"/>
      <c r="AD383" s="12"/>
      <c r="AE383" s="12"/>
      <c r="AF383" s="12"/>
      <c r="AG383" s="12"/>
      <c r="AH383" s="12"/>
    </row>
    <row r="384" spans="1:34" ht="12.75">
      <c r="A384" s="12"/>
      <c r="B384" s="12"/>
      <c r="C384" s="12"/>
      <c r="D384" s="12"/>
      <c r="E384" s="12"/>
      <c r="F384" s="12"/>
      <c r="G384" s="12"/>
      <c r="H384" s="12"/>
      <c r="I384" s="12"/>
      <c r="J384" s="12"/>
      <c r="K384" s="12"/>
      <c r="L384" s="12"/>
      <c r="M384" s="12"/>
      <c r="N384" s="12"/>
      <c r="O384" s="12"/>
      <c r="P384" s="12"/>
      <c r="Q384" s="12"/>
      <c r="R384" s="27"/>
      <c r="S384" s="27"/>
      <c r="T384" s="27"/>
      <c r="U384" s="27"/>
      <c r="V384" s="12"/>
      <c r="W384" s="12"/>
      <c r="X384" s="12"/>
      <c r="Y384" s="12"/>
      <c r="Z384" s="31"/>
      <c r="AA384" s="12"/>
      <c r="AB384" s="12"/>
      <c r="AC384" s="12"/>
      <c r="AD384" s="12"/>
      <c r="AE384" s="12"/>
      <c r="AF384" s="12"/>
      <c r="AG384" s="12"/>
      <c r="AH384" s="12"/>
    </row>
    <row r="385" spans="1:34" ht="12.75">
      <c r="A385" s="12"/>
      <c r="B385" s="12"/>
      <c r="C385" s="12"/>
      <c r="D385" s="12"/>
      <c r="E385" s="12"/>
      <c r="F385" s="12"/>
      <c r="G385" s="12"/>
      <c r="H385" s="12"/>
      <c r="I385" s="12"/>
      <c r="J385" s="12"/>
      <c r="K385" s="12"/>
      <c r="L385" s="12"/>
      <c r="M385" s="12"/>
      <c r="N385" s="12"/>
      <c r="O385" s="12"/>
      <c r="P385" s="12"/>
      <c r="Q385" s="12"/>
      <c r="R385" s="27"/>
      <c r="S385" s="27"/>
      <c r="T385" s="27"/>
      <c r="U385" s="27"/>
      <c r="V385" s="12"/>
      <c r="W385" s="12"/>
      <c r="X385" s="12"/>
      <c r="Y385" s="12"/>
      <c r="Z385" s="31"/>
      <c r="AA385" s="12"/>
      <c r="AB385" s="12"/>
      <c r="AC385" s="12"/>
      <c r="AD385" s="12"/>
      <c r="AE385" s="12"/>
      <c r="AF385" s="12"/>
      <c r="AG385" s="12"/>
      <c r="AH385" s="12"/>
    </row>
    <row r="386" spans="1:34" ht="12.75">
      <c r="A386" s="12"/>
      <c r="B386" s="12"/>
      <c r="C386" s="12"/>
      <c r="D386" s="12"/>
      <c r="E386" s="12"/>
      <c r="F386" s="12"/>
      <c r="G386" s="12"/>
      <c r="H386" s="12"/>
      <c r="I386" s="12"/>
      <c r="J386" s="12"/>
      <c r="K386" s="12"/>
      <c r="L386" s="12"/>
      <c r="M386" s="12"/>
      <c r="N386" s="12"/>
      <c r="O386" s="12"/>
      <c r="P386" s="12"/>
      <c r="Q386" s="12"/>
      <c r="R386" s="27"/>
      <c r="S386" s="27"/>
      <c r="T386" s="27"/>
      <c r="U386" s="27"/>
      <c r="V386" s="12"/>
      <c r="W386" s="12"/>
      <c r="X386" s="12"/>
      <c r="Y386" s="12"/>
      <c r="Z386" s="31"/>
      <c r="AA386" s="12"/>
      <c r="AB386" s="12"/>
      <c r="AC386" s="12"/>
      <c r="AD386" s="12"/>
      <c r="AE386" s="12"/>
      <c r="AF386" s="12"/>
      <c r="AG386" s="12"/>
      <c r="AH386" s="12"/>
    </row>
    <row r="387" spans="1:34" ht="12.75">
      <c r="A387" s="12"/>
      <c r="B387" s="12"/>
      <c r="C387" s="12"/>
      <c r="D387" s="12"/>
      <c r="E387" s="12"/>
      <c r="F387" s="12"/>
      <c r="G387" s="12"/>
      <c r="H387" s="12"/>
      <c r="I387" s="12"/>
      <c r="J387" s="12"/>
      <c r="K387" s="12"/>
      <c r="L387" s="12"/>
      <c r="M387" s="12"/>
      <c r="N387" s="12"/>
      <c r="O387" s="12"/>
      <c r="P387" s="12"/>
      <c r="Q387" s="12"/>
      <c r="R387" s="27"/>
      <c r="S387" s="27"/>
      <c r="T387" s="27"/>
      <c r="U387" s="27"/>
      <c r="V387" s="12"/>
      <c r="W387" s="12"/>
      <c r="X387" s="12"/>
      <c r="Y387" s="12"/>
      <c r="Z387" s="31"/>
      <c r="AA387" s="12"/>
      <c r="AB387" s="12"/>
      <c r="AC387" s="12"/>
      <c r="AD387" s="12"/>
      <c r="AE387" s="12"/>
      <c r="AF387" s="12"/>
      <c r="AG387" s="12"/>
      <c r="AH387" s="12"/>
    </row>
    <row r="388" spans="1:34" ht="12.75">
      <c r="A388" s="12"/>
      <c r="B388" s="12"/>
      <c r="C388" s="12"/>
      <c r="D388" s="12"/>
      <c r="E388" s="12"/>
      <c r="F388" s="12"/>
      <c r="G388" s="12"/>
      <c r="H388" s="12"/>
      <c r="I388" s="12"/>
      <c r="J388" s="12"/>
      <c r="K388" s="12"/>
      <c r="L388" s="12"/>
      <c r="M388" s="12"/>
      <c r="N388" s="12"/>
      <c r="O388" s="12"/>
      <c r="P388" s="12"/>
      <c r="Q388" s="12"/>
      <c r="R388" s="27"/>
      <c r="S388" s="27"/>
      <c r="T388" s="27"/>
      <c r="U388" s="27"/>
      <c r="V388" s="12"/>
      <c r="W388" s="12"/>
      <c r="X388" s="12"/>
      <c r="Y388" s="12"/>
      <c r="Z388" s="31"/>
      <c r="AA388" s="12"/>
      <c r="AB388" s="12"/>
      <c r="AC388" s="12"/>
      <c r="AD388" s="12"/>
      <c r="AE388" s="12"/>
      <c r="AF388" s="12"/>
      <c r="AG388" s="12"/>
      <c r="AH388" s="12"/>
    </row>
    <row r="389" spans="1:34" ht="12.75">
      <c r="A389" s="12"/>
      <c r="B389" s="12"/>
      <c r="C389" s="12"/>
      <c r="D389" s="12"/>
      <c r="E389" s="12"/>
      <c r="F389" s="12"/>
      <c r="G389" s="12"/>
      <c r="H389" s="12"/>
      <c r="I389" s="12"/>
      <c r="J389" s="12"/>
      <c r="K389" s="12"/>
      <c r="L389" s="12"/>
      <c r="M389" s="12"/>
      <c r="N389" s="12"/>
      <c r="O389" s="12"/>
      <c r="P389" s="12"/>
      <c r="Q389" s="12"/>
      <c r="R389" s="27"/>
      <c r="S389" s="27"/>
      <c r="T389" s="27"/>
      <c r="U389" s="27"/>
      <c r="V389" s="12"/>
      <c r="W389" s="12"/>
      <c r="X389" s="12"/>
      <c r="Y389" s="12"/>
      <c r="Z389" s="31"/>
      <c r="AA389" s="12"/>
      <c r="AB389" s="12"/>
      <c r="AC389" s="12"/>
      <c r="AD389" s="12"/>
      <c r="AE389" s="12"/>
      <c r="AF389" s="12"/>
      <c r="AG389" s="12"/>
      <c r="AH389" s="12"/>
    </row>
    <row r="390" spans="1:34" ht="12.75">
      <c r="A390" s="12"/>
      <c r="B390" s="12"/>
      <c r="C390" s="12"/>
      <c r="D390" s="12"/>
      <c r="E390" s="12"/>
      <c r="F390" s="12"/>
      <c r="G390" s="12"/>
      <c r="H390" s="12"/>
      <c r="I390" s="12"/>
      <c r="J390" s="12"/>
      <c r="K390" s="12"/>
      <c r="L390" s="12"/>
      <c r="M390" s="12"/>
      <c r="N390" s="12"/>
      <c r="O390" s="12"/>
      <c r="P390" s="12"/>
      <c r="Q390" s="12"/>
      <c r="R390" s="27"/>
      <c r="S390" s="27"/>
      <c r="T390" s="27"/>
      <c r="U390" s="27"/>
      <c r="V390" s="12"/>
      <c r="W390" s="12"/>
      <c r="X390" s="12"/>
      <c r="Y390" s="12"/>
      <c r="Z390" s="31"/>
      <c r="AA390" s="12"/>
      <c r="AB390" s="12"/>
      <c r="AC390" s="12"/>
      <c r="AD390" s="12"/>
      <c r="AE390" s="12"/>
      <c r="AF390" s="12"/>
      <c r="AG390" s="12"/>
      <c r="AH390" s="12"/>
    </row>
    <row r="391" spans="1:34" ht="12.75">
      <c r="A391" s="12"/>
      <c r="B391" s="12"/>
      <c r="C391" s="12"/>
      <c r="D391" s="12"/>
      <c r="E391" s="12"/>
      <c r="F391" s="12"/>
      <c r="G391" s="12"/>
      <c r="H391" s="12"/>
      <c r="I391" s="12"/>
      <c r="J391" s="12"/>
      <c r="K391" s="12"/>
      <c r="L391" s="12"/>
      <c r="M391" s="12"/>
      <c r="N391" s="12"/>
      <c r="O391" s="12"/>
      <c r="P391" s="12"/>
      <c r="Q391" s="12"/>
      <c r="R391" s="27"/>
      <c r="S391" s="27"/>
      <c r="T391" s="27"/>
      <c r="U391" s="27"/>
      <c r="V391" s="12"/>
      <c r="W391" s="12"/>
      <c r="X391" s="12"/>
      <c r="Y391" s="12"/>
      <c r="Z391" s="31"/>
      <c r="AA391" s="12"/>
      <c r="AB391" s="12"/>
      <c r="AC391" s="12"/>
      <c r="AD391" s="12"/>
      <c r="AE391" s="12"/>
      <c r="AF391" s="12"/>
      <c r="AG391" s="12"/>
      <c r="AH391" s="12"/>
    </row>
    <row r="392" spans="1:34" ht="12.75">
      <c r="A392" s="12"/>
      <c r="B392" s="12"/>
      <c r="C392" s="12"/>
      <c r="D392" s="12"/>
      <c r="E392" s="12"/>
      <c r="F392" s="12"/>
      <c r="G392" s="12"/>
      <c r="H392" s="12"/>
      <c r="I392" s="12"/>
      <c r="J392" s="12"/>
      <c r="K392" s="12"/>
      <c r="L392" s="12"/>
      <c r="M392" s="12"/>
      <c r="N392" s="12"/>
      <c r="O392" s="12"/>
      <c r="P392" s="12"/>
      <c r="Q392" s="12"/>
      <c r="R392" s="27"/>
      <c r="S392" s="27"/>
      <c r="T392" s="27"/>
      <c r="U392" s="27"/>
      <c r="V392" s="12"/>
      <c r="W392" s="12"/>
      <c r="X392" s="12"/>
      <c r="Y392" s="12"/>
      <c r="Z392" s="31"/>
      <c r="AA392" s="12"/>
      <c r="AB392" s="12"/>
      <c r="AC392" s="12"/>
      <c r="AD392" s="12"/>
      <c r="AE392" s="12"/>
      <c r="AF392" s="12"/>
      <c r="AG392" s="12"/>
      <c r="AH392" s="12"/>
    </row>
    <row r="393" spans="1:34" ht="12.75">
      <c r="A393" s="12"/>
      <c r="B393" s="12"/>
      <c r="C393" s="12"/>
      <c r="D393" s="12"/>
      <c r="E393" s="12"/>
      <c r="F393" s="12"/>
      <c r="G393" s="12"/>
      <c r="H393" s="12"/>
      <c r="I393" s="12"/>
      <c r="J393" s="12"/>
      <c r="K393" s="12"/>
      <c r="L393" s="12"/>
      <c r="M393" s="12"/>
      <c r="N393" s="12"/>
      <c r="O393" s="12"/>
      <c r="P393" s="12"/>
      <c r="Q393" s="12"/>
      <c r="R393" s="27"/>
      <c r="S393" s="27"/>
      <c r="T393" s="27"/>
      <c r="U393" s="27"/>
      <c r="V393" s="12"/>
      <c r="W393" s="12"/>
      <c r="X393" s="12"/>
      <c r="Y393" s="12"/>
      <c r="Z393" s="31"/>
      <c r="AA393" s="12"/>
      <c r="AB393" s="12"/>
      <c r="AC393" s="12"/>
      <c r="AD393" s="12"/>
      <c r="AE393" s="12"/>
      <c r="AF393" s="12"/>
      <c r="AG393" s="12"/>
      <c r="AH393" s="12"/>
    </row>
    <row r="394" spans="1:34" ht="12.75">
      <c r="A394" s="12"/>
      <c r="B394" s="12"/>
      <c r="C394" s="12"/>
      <c r="D394" s="12"/>
      <c r="E394" s="12"/>
      <c r="F394" s="12"/>
      <c r="G394" s="12"/>
      <c r="H394" s="12"/>
      <c r="I394" s="12"/>
      <c r="J394" s="12"/>
      <c r="K394" s="12"/>
      <c r="L394" s="12"/>
      <c r="M394" s="12"/>
      <c r="N394" s="12"/>
      <c r="O394" s="12"/>
      <c r="P394" s="12"/>
      <c r="Q394" s="12"/>
      <c r="R394" s="27"/>
      <c r="S394" s="27"/>
      <c r="T394" s="27"/>
      <c r="U394" s="27"/>
      <c r="V394" s="12"/>
      <c r="W394" s="12"/>
      <c r="X394" s="12"/>
      <c r="Y394" s="12"/>
      <c r="Z394" s="31"/>
      <c r="AA394" s="12"/>
      <c r="AB394" s="12"/>
      <c r="AC394" s="12"/>
      <c r="AD394" s="12"/>
      <c r="AE394" s="12"/>
      <c r="AF394" s="12"/>
      <c r="AG394" s="12"/>
      <c r="AH394" s="12"/>
    </row>
    <row r="395" spans="1:34" ht="12.75">
      <c r="A395" s="12"/>
      <c r="B395" s="12"/>
      <c r="C395" s="12"/>
      <c r="D395" s="12"/>
      <c r="E395" s="12"/>
      <c r="F395" s="12"/>
      <c r="G395" s="12"/>
      <c r="H395" s="12"/>
      <c r="I395" s="12"/>
      <c r="J395" s="12"/>
      <c r="K395" s="12"/>
      <c r="L395" s="12"/>
      <c r="M395" s="12"/>
      <c r="N395" s="12"/>
      <c r="O395" s="12"/>
      <c r="P395" s="12"/>
      <c r="Q395" s="12"/>
      <c r="R395" s="27"/>
      <c r="S395" s="27"/>
      <c r="T395" s="27"/>
      <c r="U395" s="27"/>
      <c r="V395" s="12"/>
      <c r="W395" s="12"/>
      <c r="X395" s="12"/>
      <c r="Y395" s="12"/>
      <c r="Z395" s="31"/>
      <c r="AA395" s="12"/>
      <c r="AB395" s="12"/>
      <c r="AC395" s="12"/>
      <c r="AD395" s="12"/>
      <c r="AE395" s="12"/>
      <c r="AF395" s="12"/>
      <c r="AG395" s="12"/>
      <c r="AH395" s="12"/>
    </row>
    <row r="396" spans="1:34" ht="12.75">
      <c r="A396" s="12"/>
      <c r="B396" s="12"/>
      <c r="C396" s="12"/>
      <c r="D396" s="12"/>
      <c r="E396" s="12"/>
      <c r="F396" s="12"/>
      <c r="G396" s="12"/>
      <c r="H396" s="12"/>
      <c r="I396" s="12"/>
      <c r="J396" s="12"/>
      <c r="K396" s="12"/>
      <c r="L396" s="12"/>
      <c r="M396" s="12"/>
      <c r="N396" s="12"/>
      <c r="O396" s="12"/>
      <c r="P396" s="12"/>
      <c r="Q396" s="12"/>
      <c r="R396" s="27"/>
      <c r="S396" s="27"/>
      <c r="T396" s="27"/>
      <c r="U396" s="27"/>
      <c r="V396" s="12"/>
      <c r="W396" s="12"/>
      <c r="X396" s="12"/>
      <c r="Y396" s="12"/>
      <c r="Z396" s="31"/>
      <c r="AA396" s="12"/>
      <c r="AB396" s="12"/>
      <c r="AC396" s="12"/>
      <c r="AD396" s="12"/>
      <c r="AE396" s="12"/>
      <c r="AF396" s="12"/>
      <c r="AG396" s="12"/>
      <c r="AH396" s="12"/>
    </row>
    <row r="397" spans="1:34" ht="12.75">
      <c r="A397" s="12"/>
      <c r="B397" s="12"/>
      <c r="C397" s="12"/>
      <c r="D397" s="12"/>
      <c r="E397" s="12"/>
      <c r="F397" s="12"/>
      <c r="G397" s="12"/>
      <c r="H397" s="12"/>
      <c r="I397" s="12"/>
      <c r="J397" s="12"/>
      <c r="K397" s="12"/>
      <c r="L397" s="12"/>
      <c r="M397" s="12"/>
      <c r="N397" s="12"/>
      <c r="O397" s="12"/>
      <c r="P397" s="12"/>
      <c r="Q397" s="12"/>
      <c r="R397" s="27"/>
      <c r="S397" s="27"/>
      <c r="T397" s="27"/>
      <c r="U397" s="27"/>
      <c r="V397" s="12"/>
      <c r="W397" s="12"/>
      <c r="X397" s="12"/>
      <c r="Y397" s="12"/>
      <c r="Z397" s="31"/>
      <c r="AA397" s="12"/>
      <c r="AB397" s="12"/>
      <c r="AC397" s="12"/>
      <c r="AD397" s="12"/>
      <c r="AE397" s="12"/>
      <c r="AF397" s="12"/>
      <c r="AG397" s="12"/>
      <c r="AH397" s="12"/>
    </row>
    <row r="398" spans="1:34" ht="12.75">
      <c r="A398" s="12"/>
      <c r="B398" s="12"/>
      <c r="C398" s="12"/>
      <c r="D398" s="12"/>
      <c r="E398" s="12"/>
      <c r="F398" s="12"/>
      <c r="G398" s="12"/>
      <c r="H398" s="12"/>
      <c r="I398" s="12"/>
      <c r="J398" s="12"/>
      <c r="K398" s="12"/>
      <c r="L398" s="12"/>
      <c r="M398" s="12"/>
      <c r="N398" s="12"/>
      <c r="O398" s="12"/>
      <c r="P398" s="12"/>
      <c r="Q398" s="12"/>
      <c r="R398" s="27"/>
      <c r="S398" s="27"/>
      <c r="T398" s="27"/>
      <c r="U398" s="27"/>
      <c r="V398" s="12"/>
      <c r="W398" s="12"/>
      <c r="X398" s="12"/>
      <c r="Y398" s="12"/>
      <c r="Z398" s="31"/>
      <c r="AA398" s="12"/>
      <c r="AB398" s="12"/>
      <c r="AC398" s="12"/>
      <c r="AD398" s="12"/>
      <c r="AE398" s="12"/>
      <c r="AF398" s="12"/>
      <c r="AG398" s="12"/>
      <c r="AH398" s="12"/>
    </row>
    <row r="399" spans="1:34" ht="12.75">
      <c r="A399" s="12"/>
      <c r="B399" s="12"/>
      <c r="C399" s="12"/>
      <c r="D399" s="12"/>
      <c r="E399" s="12"/>
      <c r="F399" s="12"/>
      <c r="G399" s="12"/>
      <c r="H399" s="12"/>
      <c r="I399" s="12"/>
      <c r="J399" s="12"/>
      <c r="K399" s="12"/>
      <c r="L399" s="12"/>
      <c r="M399" s="12"/>
      <c r="N399" s="12"/>
      <c r="O399" s="12"/>
      <c r="P399" s="12"/>
      <c r="Q399" s="12"/>
      <c r="R399" s="27"/>
      <c r="S399" s="27"/>
      <c r="T399" s="27"/>
      <c r="U399" s="27"/>
      <c r="V399" s="12"/>
      <c r="W399" s="12"/>
      <c r="X399" s="12"/>
      <c r="Y399" s="12"/>
      <c r="Z399" s="31"/>
      <c r="AA399" s="12"/>
      <c r="AB399" s="12"/>
      <c r="AC399" s="12"/>
      <c r="AD399" s="12"/>
      <c r="AE399" s="12"/>
      <c r="AF399" s="12"/>
      <c r="AG399" s="12"/>
      <c r="AH399" s="12"/>
    </row>
    <row r="400" spans="1:34" ht="12.75">
      <c r="A400" s="12"/>
      <c r="B400" s="12"/>
      <c r="C400" s="12"/>
      <c r="D400" s="12"/>
      <c r="E400" s="12"/>
      <c r="F400" s="12"/>
      <c r="G400" s="12"/>
      <c r="H400" s="12"/>
      <c r="I400" s="12"/>
      <c r="J400" s="12"/>
      <c r="K400" s="12"/>
      <c r="L400" s="12"/>
      <c r="M400" s="12"/>
      <c r="N400" s="12"/>
      <c r="O400" s="12"/>
      <c r="P400" s="12"/>
      <c r="Q400" s="12"/>
      <c r="R400" s="27"/>
      <c r="S400" s="27"/>
      <c r="T400" s="27"/>
      <c r="U400" s="27"/>
      <c r="V400" s="12"/>
      <c r="W400" s="12"/>
      <c r="X400" s="12"/>
      <c r="Y400" s="12"/>
      <c r="Z400" s="31"/>
      <c r="AA400" s="12"/>
      <c r="AB400" s="12"/>
      <c r="AC400" s="12"/>
      <c r="AD400" s="12"/>
      <c r="AE400" s="12"/>
      <c r="AF400" s="12"/>
      <c r="AG400" s="12"/>
      <c r="AH400" s="12"/>
    </row>
    <row r="401" spans="1:34" ht="12.75">
      <c r="A401" s="12"/>
      <c r="B401" s="12"/>
      <c r="C401" s="12"/>
      <c r="D401" s="12"/>
      <c r="E401" s="12"/>
      <c r="F401" s="12"/>
      <c r="G401" s="12"/>
      <c r="H401" s="12"/>
      <c r="I401" s="12"/>
      <c r="J401" s="12"/>
      <c r="K401" s="12"/>
      <c r="L401" s="12"/>
      <c r="M401" s="12"/>
      <c r="N401" s="12"/>
      <c r="O401" s="12"/>
      <c r="P401" s="12"/>
      <c r="Q401" s="12"/>
      <c r="R401" s="27"/>
      <c r="S401" s="27"/>
      <c r="T401" s="27"/>
      <c r="U401" s="27"/>
      <c r="V401" s="12"/>
      <c r="W401" s="12"/>
      <c r="X401" s="12"/>
      <c r="Y401" s="12"/>
      <c r="Z401" s="31"/>
      <c r="AA401" s="12"/>
      <c r="AB401" s="12"/>
      <c r="AC401" s="12"/>
      <c r="AD401" s="12"/>
      <c r="AE401" s="12"/>
      <c r="AF401" s="12"/>
      <c r="AG401" s="12"/>
      <c r="AH401" s="12"/>
    </row>
    <row r="402" spans="1:34" ht="12.75">
      <c r="A402" s="12"/>
      <c r="B402" s="12"/>
      <c r="C402" s="12"/>
      <c r="D402" s="12"/>
      <c r="E402" s="12"/>
      <c r="F402" s="12"/>
      <c r="G402" s="12"/>
      <c r="H402" s="12"/>
      <c r="I402" s="12"/>
      <c r="J402" s="12"/>
      <c r="K402" s="12"/>
      <c r="L402" s="12"/>
      <c r="M402" s="12"/>
      <c r="N402" s="12"/>
      <c r="O402" s="12"/>
      <c r="P402" s="12"/>
      <c r="Q402" s="12"/>
      <c r="R402" s="27"/>
      <c r="S402" s="27"/>
      <c r="T402" s="27"/>
      <c r="U402" s="27"/>
      <c r="V402" s="12"/>
      <c r="W402" s="12"/>
      <c r="X402" s="12"/>
      <c r="Y402" s="12"/>
      <c r="Z402" s="31"/>
      <c r="AA402" s="12"/>
      <c r="AB402" s="12"/>
      <c r="AC402" s="12"/>
      <c r="AD402" s="12"/>
      <c r="AE402" s="12"/>
      <c r="AF402" s="12"/>
      <c r="AG402" s="12"/>
      <c r="AH402" s="12"/>
    </row>
    <row r="403" spans="1:34" ht="12.75">
      <c r="A403" s="12"/>
      <c r="B403" s="12"/>
      <c r="C403" s="12"/>
      <c r="D403" s="12"/>
      <c r="E403" s="12"/>
      <c r="F403" s="12"/>
      <c r="G403" s="12"/>
      <c r="H403" s="12"/>
      <c r="I403" s="12"/>
      <c r="J403" s="12"/>
      <c r="K403" s="12"/>
      <c r="L403" s="12"/>
      <c r="M403" s="12"/>
      <c r="N403" s="12"/>
      <c r="O403" s="12"/>
      <c r="P403" s="12"/>
      <c r="Q403" s="12"/>
      <c r="R403" s="27"/>
      <c r="S403" s="27"/>
      <c r="T403" s="27"/>
      <c r="U403" s="27"/>
      <c r="V403" s="12"/>
      <c r="W403" s="12"/>
      <c r="X403" s="12"/>
      <c r="Y403" s="12"/>
      <c r="Z403" s="31"/>
      <c r="AA403" s="12"/>
      <c r="AB403" s="12"/>
      <c r="AC403" s="12"/>
      <c r="AD403" s="12"/>
      <c r="AE403" s="12"/>
      <c r="AF403" s="12"/>
      <c r="AG403" s="12"/>
      <c r="AH403" s="12"/>
    </row>
    <row r="404" spans="1:34" ht="12.75">
      <c r="A404" s="12"/>
      <c r="B404" s="12"/>
      <c r="C404" s="12"/>
      <c r="D404" s="12"/>
      <c r="E404" s="12"/>
      <c r="F404" s="12"/>
      <c r="G404" s="12"/>
      <c r="H404" s="12"/>
      <c r="I404" s="12"/>
      <c r="J404" s="12"/>
      <c r="K404" s="12"/>
      <c r="L404" s="12"/>
      <c r="M404" s="12"/>
      <c r="N404" s="12"/>
      <c r="O404" s="12"/>
      <c r="P404" s="12"/>
      <c r="Q404" s="12"/>
      <c r="R404" s="27"/>
      <c r="S404" s="27"/>
      <c r="T404" s="27"/>
      <c r="U404" s="27"/>
      <c r="V404" s="12"/>
      <c r="W404" s="12"/>
      <c r="X404" s="12"/>
      <c r="Y404" s="12"/>
      <c r="Z404" s="31"/>
      <c r="AA404" s="12"/>
      <c r="AB404" s="12"/>
      <c r="AC404" s="12"/>
      <c r="AD404" s="12"/>
      <c r="AE404" s="12"/>
      <c r="AF404" s="12"/>
      <c r="AG404" s="12"/>
      <c r="AH404" s="12"/>
    </row>
    <row r="405" spans="1:34" ht="12.75">
      <c r="A405" s="12"/>
      <c r="B405" s="12"/>
      <c r="C405" s="12"/>
      <c r="D405" s="12"/>
      <c r="E405" s="12"/>
      <c r="F405" s="12"/>
      <c r="G405" s="12"/>
      <c r="H405" s="12"/>
      <c r="I405" s="12"/>
      <c r="J405" s="12"/>
      <c r="K405" s="12"/>
      <c r="L405" s="12"/>
      <c r="M405" s="12"/>
      <c r="N405" s="12"/>
      <c r="O405" s="12"/>
      <c r="P405" s="12"/>
      <c r="Q405" s="12"/>
      <c r="R405" s="27"/>
      <c r="S405" s="27"/>
      <c r="T405" s="27"/>
      <c r="U405" s="27"/>
      <c r="V405" s="12"/>
      <c r="W405" s="12"/>
      <c r="X405" s="12"/>
      <c r="Y405" s="12"/>
      <c r="Z405" s="31"/>
      <c r="AA405" s="12"/>
      <c r="AB405" s="12"/>
      <c r="AC405" s="12"/>
      <c r="AD405" s="12"/>
      <c r="AE405" s="12"/>
      <c r="AF405" s="12"/>
      <c r="AG405" s="12"/>
      <c r="AH405" s="12"/>
    </row>
    <row r="406" spans="1:34" ht="12.75">
      <c r="A406" s="12"/>
      <c r="B406" s="12"/>
      <c r="C406" s="12"/>
      <c r="D406" s="12"/>
      <c r="E406" s="12"/>
      <c r="F406" s="12"/>
      <c r="G406" s="12"/>
      <c r="H406" s="12"/>
      <c r="I406" s="12"/>
      <c r="J406" s="12"/>
      <c r="K406" s="12"/>
      <c r="L406" s="12"/>
      <c r="M406" s="12"/>
      <c r="N406" s="12"/>
      <c r="O406" s="12"/>
      <c r="P406" s="12"/>
      <c r="Q406" s="12"/>
      <c r="R406" s="27"/>
      <c r="S406" s="27"/>
      <c r="T406" s="27"/>
      <c r="U406" s="27"/>
      <c r="V406" s="12"/>
      <c r="W406" s="12"/>
      <c r="X406" s="12"/>
      <c r="Y406" s="12"/>
      <c r="Z406" s="31"/>
      <c r="AA406" s="12"/>
      <c r="AB406" s="12"/>
      <c r="AC406" s="12"/>
      <c r="AD406" s="12"/>
      <c r="AE406" s="12"/>
      <c r="AF406" s="12"/>
      <c r="AG406" s="12"/>
      <c r="AH406" s="12"/>
    </row>
    <row r="407" spans="1:34" ht="12.75">
      <c r="A407" s="12"/>
      <c r="B407" s="12"/>
      <c r="C407" s="12"/>
      <c r="D407" s="12"/>
      <c r="E407" s="12"/>
      <c r="F407" s="12"/>
      <c r="G407" s="12"/>
      <c r="H407" s="12"/>
      <c r="I407" s="12"/>
      <c r="J407" s="12"/>
      <c r="K407" s="12"/>
      <c r="L407" s="12"/>
      <c r="M407" s="12"/>
      <c r="N407" s="12"/>
      <c r="O407" s="12"/>
      <c r="P407" s="12"/>
      <c r="Q407" s="12"/>
      <c r="R407" s="27"/>
      <c r="S407" s="27"/>
      <c r="T407" s="27"/>
      <c r="U407" s="27"/>
      <c r="V407" s="12"/>
      <c r="W407" s="12"/>
      <c r="X407" s="12"/>
      <c r="Y407" s="12"/>
      <c r="Z407" s="31"/>
      <c r="AA407" s="12"/>
      <c r="AB407" s="12"/>
      <c r="AC407" s="12"/>
      <c r="AD407" s="12"/>
      <c r="AE407" s="12"/>
      <c r="AF407" s="12"/>
      <c r="AG407" s="12"/>
      <c r="AH407" s="12"/>
    </row>
    <row r="408" spans="1:34" ht="12.75">
      <c r="A408" s="12"/>
      <c r="B408" s="12"/>
      <c r="C408" s="12"/>
      <c r="D408" s="12"/>
      <c r="E408" s="12"/>
      <c r="F408" s="12"/>
      <c r="G408" s="12"/>
      <c r="H408" s="12"/>
      <c r="I408" s="12"/>
      <c r="J408" s="12"/>
      <c r="K408" s="12"/>
      <c r="L408" s="12"/>
      <c r="M408" s="12"/>
      <c r="N408" s="12"/>
      <c r="O408" s="12"/>
      <c r="P408" s="12"/>
      <c r="Q408" s="12"/>
      <c r="R408" s="27"/>
      <c r="S408" s="27"/>
      <c r="T408" s="27"/>
      <c r="U408" s="27"/>
      <c r="V408" s="12"/>
      <c r="W408" s="12"/>
      <c r="X408" s="12"/>
      <c r="Y408" s="12"/>
      <c r="Z408" s="31"/>
      <c r="AA408" s="12"/>
      <c r="AB408" s="12"/>
      <c r="AC408" s="12"/>
      <c r="AD408" s="12"/>
      <c r="AE408" s="12"/>
      <c r="AF408" s="12"/>
      <c r="AG408" s="12"/>
      <c r="AH408" s="12"/>
    </row>
    <row r="409" spans="1:34" ht="12.75">
      <c r="A409" s="12"/>
      <c r="B409" s="12"/>
      <c r="C409" s="12"/>
      <c r="D409" s="12"/>
      <c r="E409" s="12"/>
      <c r="F409" s="12"/>
      <c r="G409" s="12"/>
      <c r="H409" s="12"/>
      <c r="I409" s="12"/>
      <c r="J409" s="12"/>
      <c r="K409" s="12"/>
      <c r="L409" s="12"/>
      <c r="M409" s="12"/>
      <c r="N409" s="12"/>
      <c r="O409" s="12"/>
      <c r="P409" s="12"/>
      <c r="Q409" s="12"/>
      <c r="R409" s="27"/>
      <c r="S409" s="27"/>
      <c r="T409" s="27"/>
      <c r="U409" s="27"/>
      <c r="V409" s="12"/>
      <c r="W409" s="12"/>
      <c r="X409" s="12"/>
      <c r="Y409" s="12"/>
      <c r="Z409" s="31"/>
      <c r="AA409" s="12"/>
      <c r="AB409" s="12"/>
      <c r="AC409" s="12"/>
      <c r="AD409" s="12"/>
      <c r="AE409" s="12"/>
      <c r="AF409" s="12"/>
      <c r="AG409" s="12"/>
      <c r="AH409" s="12"/>
    </row>
    <row r="410" spans="1:34" ht="12.75">
      <c r="A410" s="12"/>
      <c r="B410" s="12"/>
      <c r="C410" s="12"/>
      <c r="D410" s="12"/>
      <c r="E410" s="12"/>
      <c r="F410" s="12"/>
      <c r="G410" s="12"/>
      <c r="H410" s="12"/>
      <c r="I410" s="12"/>
      <c r="J410" s="12"/>
      <c r="K410" s="12"/>
      <c r="L410" s="12"/>
      <c r="M410" s="12"/>
      <c r="N410" s="12"/>
      <c r="O410" s="12"/>
      <c r="P410" s="12"/>
      <c r="Q410" s="12"/>
      <c r="R410" s="27"/>
      <c r="S410" s="27"/>
      <c r="T410" s="27"/>
      <c r="U410" s="27"/>
      <c r="V410" s="12"/>
      <c r="W410" s="12"/>
      <c r="X410" s="12"/>
      <c r="Y410" s="12"/>
      <c r="Z410" s="31"/>
      <c r="AA410" s="12"/>
      <c r="AB410" s="12"/>
      <c r="AC410" s="12"/>
      <c r="AD410" s="12"/>
      <c r="AE410" s="12"/>
      <c r="AF410" s="12"/>
      <c r="AG410" s="12"/>
      <c r="AH410" s="12"/>
    </row>
    <row r="411" spans="1:34" ht="12.75">
      <c r="A411" s="12"/>
      <c r="B411" s="12"/>
      <c r="C411" s="12"/>
      <c r="D411" s="12"/>
      <c r="E411" s="12"/>
      <c r="F411" s="12"/>
      <c r="G411" s="12"/>
      <c r="H411" s="12"/>
      <c r="I411" s="12"/>
      <c r="J411" s="12"/>
      <c r="K411" s="12"/>
      <c r="L411" s="12"/>
      <c r="M411" s="12"/>
      <c r="N411" s="12"/>
      <c r="O411" s="12"/>
      <c r="P411" s="12"/>
      <c r="Q411" s="12"/>
      <c r="R411" s="27"/>
      <c r="S411" s="27"/>
      <c r="T411" s="27"/>
      <c r="U411" s="27"/>
      <c r="V411" s="12"/>
      <c r="W411" s="12"/>
      <c r="X411" s="12"/>
      <c r="Y411" s="12"/>
      <c r="Z411" s="31"/>
      <c r="AA411" s="12"/>
      <c r="AB411" s="12"/>
      <c r="AC411" s="12"/>
      <c r="AD411" s="12"/>
      <c r="AE411" s="12"/>
      <c r="AF411" s="12"/>
      <c r="AG411" s="12"/>
      <c r="AH411" s="12"/>
    </row>
    <row r="412" spans="1:34" ht="12.75">
      <c r="A412" s="12"/>
      <c r="B412" s="12"/>
      <c r="C412" s="12"/>
      <c r="D412" s="12"/>
      <c r="E412" s="12"/>
      <c r="F412" s="12"/>
      <c r="G412" s="12"/>
      <c r="H412" s="12"/>
      <c r="I412" s="12"/>
      <c r="J412" s="12"/>
      <c r="K412" s="12"/>
      <c r="L412" s="12"/>
      <c r="M412" s="12"/>
      <c r="N412" s="12"/>
      <c r="O412" s="12"/>
      <c r="P412" s="12"/>
      <c r="Q412" s="12"/>
      <c r="R412" s="27"/>
      <c r="S412" s="27"/>
      <c r="T412" s="27"/>
      <c r="U412" s="27"/>
      <c r="V412" s="12"/>
      <c r="W412" s="12"/>
      <c r="X412" s="12"/>
      <c r="Y412" s="12"/>
      <c r="Z412" s="31"/>
      <c r="AA412" s="12"/>
      <c r="AB412" s="12"/>
      <c r="AC412" s="12"/>
      <c r="AD412" s="12"/>
      <c r="AE412" s="12"/>
      <c r="AF412" s="12"/>
      <c r="AG412" s="12"/>
      <c r="AH412" s="12"/>
    </row>
    <row r="413" spans="1:34" ht="12.75">
      <c r="A413" s="12"/>
      <c r="B413" s="12"/>
      <c r="C413" s="12"/>
      <c r="D413" s="12"/>
      <c r="E413" s="12"/>
      <c r="F413" s="12"/>
      <c r="G413" s="12"/>
      <c r="H413" s="12"/>
      <c r="I413" s="12"/>
      <c r="J413" s="12"/>
      <c r="K413" s="12"/>
      <c r="L413" s="12"/>
      <c r="M413" s="12"/>
      <c r="N413" s="12"/>
      <c r="O413" s="12"/>
      <c r="P413" s="12"/>
      <c r="Q413" s="12"/>
      <c r="R413" s="27"/>
      <c r="S413" s="27"/>
      <c r="T413" s="27"/>
      <c r="U413" s="27"/>
      <c r="V413" s="12"/>
      <c r="W413" s="12"/>
      <c r="X413" s="12"/>
      <c r="Y413" s="12"/>
      <c r="Z413" s="31"/>
      <c r="AA413" s="12"/>
      <c r="AB413" s="12"/>
      <c r="AC413" s="12"/>
      <c r="AD413" s="12"/>
      <c r="AE413" s="12"/>
      <c r="AF413" s="12"/>
      <c r="AG413" s="12"/>
      <c r="AH413" s="12"/>
    </row>
    <row r="414" spans="1:34" ht="12.75">
      <c r="A414" s="12"/>
      <c r="B414" s="12"/>
      <c r="C414" s="12"/>
      <c r="D414" s="12"/>
      <c r="E414" s="12"/>
      <c r="F414" s="12"/>
      <c r="G414" s="12"/>
      <c r="H414" s="12"/>
      <c r="I414" s="12"/>
      <c r="J414" s="12"/>
      <c r="K414" s="12"/>
      <c r="L414" s="12"/>
      <c r="M414" s="12"/>
      <c r="N414" s="12"/>
      <c r="O414" s="12"/>
      <c r="P414" s="12"/>
      <c r="Q414" s="12"/>
      <c r="R414" s="27"/>
      <c r="S414" s="27"/>
      <c r="T414" s="27"/>
      <c r="U414" s="27"/>
      <c r="V414" s="12"/>
      <c r="W414" s="12"/>
      <c r="X414" s="12"/>
      <c r="Y414" s="12"/>
      <c r="Z414" s="31"/>
      <c r="AA414" s="12"/>
      <c r="AB414" s="12"/>
      <c r="AC414" s="12"/>
      <c r="AD414" s="12"/>
      <c r="AE414" s="12"/>
      <c r="AF414" s="12"/>
      <c r="AG414" s="12"/>
      <c r="AH414" s="12"/>
    </row>
    <row r="415" spans="1:34" ht="12.75">
      <c r="A415" s="12"/>
      <c r="B415" s="12"/>
      <c r="C415" s="12"/>
      <c r="D415" s="12"/>
      <c r="E415" s="12"/>
      <c r="F415" s="12"/>
      <c r="G415" s="12"/>
      <c r="H415" s="12"/>
      <c r="I415" s="12"/>
      <c r="J415" s="12"/>
      <c r="K415" s="12"/>
      <c r="L415" s="12"/>
      <c r="M415" s="12"/>
      <c r="N415" s="12"/>
      <c r="O415" s="12"/>
      <c r="P415" s="12"/>
      <c r="Q415" s="12"/>
      <c r="R415" s="27"/>
      <c r="S415" s="27"/>
      <c r="T415" s="27"/>
      <c r="U415" s="27"/>
      <c r="V415" s="12"/>
      <c r="W415" s="12"/>
      <c r="X415" s="12"/>
      <c r="Y415" s="12"/>
      <c r="Z415" s="31"/>
      <c r="AA415" s="12"/>
      <c r="AB415" s="12"/>
      <c r="AC415" s="12"/>
      <c r="AD415" s="12"/>
      <c r="AE415" s="12"/>
      <c r="AF415" s="12"/>
      <c r="AG415" s="12"/>
      <c r="AH415" s="12"/>
    </row>
    <row r="416" spans="1:34" ht="12.75">
      <c r="A416" s="12"/>
      <c r="B416" s="12"/>
      <c r="C416" s="12"/>
      <c r="D416" s="12"/>
      <c r="E416" s="12"/>
      <c r="F416" s="12"/>
      <c r="G416" s="12"/>
      <c r="H416" s="12"/>
      <c r="I416" s="12"/>
      <c r="J416" s="12"/>
      <c r="K416" s="12"/>
      <c r="L416" s="12"/>
      <c r="M416" s="12"/>
      <c r="N416" s="12"/>
      <c r="O416" s="12"/>
      <c r="P416" s="12"/>
      <c r="Q416" s="12"/>
      <c r="R416" s="27"/>
      <c r="S416" s="27"/>
      <c r="T416" s="27"/>
      <c r="U416" s="27"/>
      <c r="V416" s="12"/>
      <c r="W416" s="12"/>
      <c r="X416" s="12"/>
      <c r="Y416" s="12"/>
      <c r="Z416" s="31"/>
      <c r="AA416" s="12"/>
      <c r="AB416" s="12"/>
      <c r="AC416" s="12"/>
      <c r="AD416" s="12"/>
      <c r="AE416" s="12"/>
      <c r="AF416" s="12"/>
      <c r="AG416" s="12"/>
      <c r="AH416" s="12"/>
    </row>
    <row r="417" spans="1:34" ht="12.75">
      <c r="A417" s="12"/>
      <c r="B417" s="12"/>
      <c r="C417" s="12"/>
      <c r="D417" s="12"/>
      <c r="E417" s="12"/>
      <c r="F417" s="12"/>
      <c r="G417" s="12"/>
      <c r="H417" s="12"/>
      <c r="I417" s="12"/>
      <c r="J417" s="12"/>
      <c r="K417" s="12"/>
      <c r="L417" s="12"/>
      <c r="M417" s="12"/>
      <c r="N417" s="12"/>
      <c r="O417" s="12"/>
      <c r="P417" s="12"/>
      <c r="Q417" s="12"/>
      <c r="R417" s="27"/>
      <c r="S417" s="27"/>
      <c r="T417" s="27"/>
      <c r="U417" s="27"/>
      <c r="V417" s="12"/>
      <c r="W417" s="12"/>
      <c r="X417" s="12"/>
      <c r="Y417" s="12"/>
      <c r="Z417" s="31"/>
      <c r="AA417" s="12"/>
      <c r="AB417" s="12"/>
      <c r="AC417" s="12"/>
      <c r="AD417" s="12"/>
      <c r="AE417" s="12"/>
      <c r="AF417" s="12"/>
      <c r="AG417" s="12"/>
      <c r="AH417" s="12"/>
    </row>
    <row r="418" spans="1:34" ht="12.75">
      <c r="A418" s="12"/>
      <c r="B418" s="12"/>
      <c r="C418" s="12"/>
      <c r="D418" s="12"/>
      <c r="E418" s="12"/>
      <c r="F418" s="12"/>
      <c r="G418" s="12"/>
      <c r="H418" s="12"/>
      <c r="I418" s="12"/>
      <c r="J418" s="12"/>
      <c r="K418" s="12"/>
      <c r="L418" s="12"/>
      <c r="M418" s="12"/>
      <c r="N418" s="12"/>
      <c r="O418" s="12"/>
      <c r="P418" s="12"/>
      <c r="Q418" s="12"/>
      <c r="R418" s="27"/>
      <c r="S418" s="27"/>
      <c r="T418" s="27"/>
      <c r="U418" s="27"/>
      <c r="V418" s="12"/>
      <c r="W418" s="12"/>
      <c r="X418" s="12"/>
      <c r="Y418" s="12"/>
      <c r="Z418" s="31"/>
      <c r="AA418" s="12"/>
      <c r="AB418" s="12"/>
      <c r="AC418" s="12"/>
      <c r="AD418" s="12"/>
      <c r="AE418" s="12"/>
      <c r="AF418" s="12"/>
      <c r="AG418" s="12"/>
      <c r="AH418" s="12"/>
    </row>
    <row r="419" spans="1:34" ht="12.75">
      <c r="A419" s="12"/>
      <c r="B419" s="12"/>
      <c r="C419" s="12"/>
      <c r="D419" s="12"/>
      <c r="E419" s="12"/>
      <c r="F419" s="12"/>
      <c r="G419" s="12"/>
      <c r="H419" s="12"/>
      <c r="I419" s="12"/>
      <c r="J419" s="12"/>
      <c r="K419" s="12"/>
      <c r="L419" s="12"/>
      <c r="M419" s="12"/>
      <c r="N419" s="12"/>
      <c r="O419" s="12"/>
      <c r="P419" s="12"/>
      <c r="Q419" s="12"/>
      <c r="R419" s="27"/>
      <c r="S419" s="27"/>
      <c r="T419" s="27"/>
      <c r="U419" s="27"/>
      <c r="V419" s="12"/>
      <c r="W419" s="12"/>
      <c r="X419" s="12"/>
      <c r="Y419" s="12"/>
      <c r="Z419" s="31"/>
      <c r="AA419" s="12"/>
      <c r="AB419" s="12"/>
      <c r="AC419" s="12"/>
      <c r="AD419" s="12"/>
      <c r="AE419" s="12"/>
      <c r="AF419" s="12"/>
      <c r="AG419" s="12"/>
      <c r="AH419" s="12"/>
    </row>
    <row r="420" spans="1:34" ht="12.75">
      <c r="A420" s="12"/>
      <c r="B420" s="12"/>
      <c r="C420" s="12"/>
      <c r="D420" s="12"/>
      <c r="E420" s="12"/>
      <c r="F420" s="12"/>
      <c r="G420" s="12"/>
      <c r="H420" s="12"/>
      <c r="I420" s="12"/>
      <c r="J420" s="12"/>
      <c r="K420" s="12"/>
      <c r="L420" s="12"/>
      <c r="M420" s="12"/>
      <c r="N420" s="12"/>
      <c r="O420" s="12"/>
      <c r="P420" s="12"/>
      <c r="Q420" s="12"/>
      <c r="R420" s="27"/>
      <c r="S420" s="27"/>
      <c r="T420" s="27"/>
      <c r="U420" s="27"/>
      <c r="V420" s="12"/>
      <c r="W420" s="12"/>
      <c r="X420" s="12"/>
      <c r="Y420" s="12"/>
      <c r="Z420" s="31"/>
      <c r="AA420" s="12"/>
      <c r="AB420" s="12"/>
      <c r="AC420" s="12"/>
      <c r="AD420" s="12"/>
      <c r="AE420" s="12"/>
      <c r="AF420" s="12"/>
      <c r="AG420" s="12"/>
      <c r="AH420" s="12"/>
    </row>
    <row r="421" spans="1:34" ht="12.75">
      <c r="A421" s="12"/>
      <c r="B421" s="12"/>
      <c r="C421" s="12"/>
      <c r="D421" s="12"/>
      <c r="E421" s="12"/>
      <c r="F421" s="12"/>
      <c r="G421" s="12"/>
      <c r="H421" s="12"/>
      <c r="I421" s="12"/>
      <c r="J421" s="12"/>
      <c r="K421" s="12"/>
      <c r="L421" s="12"/>
      <c r="M421" s="12"/>
      <c r="N421" s="12"/>
      <c r="O421" s="12"/>
      <c r="P421" s="12"/>
      <c r="Q421" s="12"/>
      <c r="R421" s="27"/>
      <c r="S421" s="27"/>
      <c r="T421" s="27"/>
      <c r="U421" s="27"/>
      <c r="V421" s="12"/>
      <c r="W421" s="12"/>
      <c r="X421" s="12"/>
      <c r="Y421" s="12"/>
      <c r="Z421" s="31"/>
      <c r="AA421" s="12"/>
      <c r="AB421" s="12"/>
      <c r="AC421" s="12"/>
      <c r="AD421" s="12"/>
      <c r="AE421" s="12"/>
      <c r="AF421" s="12"/>
      <c r="AG421" s="12"/>
      <c r="AH421" s="12"/>
    </row>
    <row r="422" spans="1:34" ht="12.75">
      <c r="A422" s="12"/>
      <c r="B422" s="12"/>
      <c r="C422" s="12"/>
      <c r="D422" s="12"/>
      <c r="E422" s="12"/>
      <c r="F422" s="12"/>
      <c r="G422" s="12"/>
      <c r="H422" s="12"/>
      <c r="I422" s="12"/>
      <c r="J422" s="12"/>
      <c r="K422" s="12"/>
      <c r="L422" s="12"/>
      <c r="M422" s="12"/>
      <c r="N422" s="12"/>
      <c r="O422" s="12"/>
      <c r="P422" s="12"/>
      <c r="Q422" s="12"/>
      <c r="R422" s="27"/>
      <c r="S422" s="27"/>
      <c r="T422" s="27"/>
      <c r="U422" s="27"/>
      <c r="V422" s="12"/>
      <c r="W422" s="12"/>
      <c r="X422" s="12"/>
      <c r="Y422" s="12"/>
      <c r="Z422" s="31"/>
      <c r="AA422" s="12"/>
      <c r="AB422" s="12"/>
      <c r="AC422" s="12"/>
      <c r="AD422" s="12"/>
      <c r="AE422" s="12"/>
      <c r="AF422" s="12"/>
      <c r="AG422" s="12"/>
      <c r="AH422" s="12"/>
    </row>
    <row r="423" spans="1:34" ht="12.75">
      <c r="A423" s="12"/>
      <c r="B423" s="12"/>
      <c r="C423" s="12"/>
      <c r="D423" s="12"/>
      <c r="E423" s="12"/>
      <c r="F423" s="12"/>
      <c r="G423" s="12"/>
      <c r="H423" s="12"/>
      <c r="I423" s="12"/>
      <c r="J423" s="12"/>
      <c r="K423" s="12"/>
      <c r="L423" s="12"/>
      <c r="M423" s="12"/>
      <c r="N423" s="12"/>
      <c r="O423" s="12"/>
      <c r="P423" s="12"/>
      <c r="Q423" s="12"/>
      <c r="R423" s="27"/>
      <c r="S423" s="27"/>
      <c r="T423" s="27"/>
      <c r="U423" s="27"/>
      <c r="V423" s="12"/>
      <c r="W423" s="12"/>
      <c r="X423" s="12"/>
      <c r="Y423" s="12"/>
      <c r="Z423" s="31"/>
      <c r="AA423" s="12"/>
      <c r="AB423" s="12"/>
      <c r="AC423" s="12"/>
      <c r="AD423" s="12"/>
      <c r="AE423" s="12"/>
      <c r="AF423" s="12"/>
      <c r="AG423" s="12"/>
      <c r="AH423" s="12"/>
    </row>
    <row r="424" spans="1:34" ht="12.75">
      <c r="A424" s="12"/>
      <c r="B424" s="12"/>
      <c r="C424" s="12"/>
      <c r="D424" s="12"/>
      <c r="E424" s="12"/>
      <c r="F424" s="12"/>
      <c r="G424" s="12"/>
      <c r="H424" s="12"/>
      <c r="I424" s="12"/>
      <c r="J424" s="12"/>
      <c r="K424" s="12"/>
      <c r="L424" s="12"/>
      <c r="M424" s="12"/>
      <c r="N424" s="12"/>
      <c r="O424" s="12"/>
      <c r="P424" s="12"/>
      <c r="Q424" s="12"/>
      <c r="R424" s="27"/>
      <c r="S424" s="27"/>
      <c r="T424" s="27"/>
      <c r="U424" s="27"/>
      <c r="V424" s="12"/>
      <c r="W424" s="12"/>
      <c r="X424" s="12"/>
      <c r="Y424" s="12"/>
      <c r="Z424" s="31"/>
      <c r="AA424" s="12"/>
      <c r="AB424" s="12"/>
      <c r="AC424" s="12"/>
      <c r="AD424" s="12"/>
      <c r="AE424" s="12"/>
      <c r="AF424" s="12"/>
      <c r="AG424" s="12"/>
      <c r="AH424" s="12"/>
    </row>
    <row r="425" spans="1:34" ht="12.75">
      <c r="A425" s="12"/>
      <c r="B425" s="12"/>
      <c r="C425" s="12"/>
      <c r="D425" s="12"/>
      <c r="E425" s="12"/>
      <c r="F425" s="12"/>
      <c r="G425" s="12"/>
      <c r="H425" s="12"/>
      <c r="I425" s="12"/>
      <c r="J425" s="12"/>
      <c r="K425" s="12"/>
      <c r="L425" s="12"/>
      <c r="M425" s="12"/>
      <c r="N425" s="12"/>
      <c r="O425" s="12"/>
      <c r="P425" s="12"/>
      <c r="Q425" s="12"/>
      <c r="R425" s="27"/>
      <c r="S425" s="27"/>
      <c r="T425" s="27"/>
      <c r="U425" s="27"/>
      <c r="V425" s="12"/>
      <c r="W425" s="12"/>
      <c r="X425" s="12"/>
      <c r="Y425" s="12"/>
      <c r="Z425" s="31"/>
      <c r="AA425" s="12"/>
      <c r="AB425" s="12"/>
      <c r="AC425" s="12"/>
      <c r="AD425" s="12"/>
      <c r="AE425" s="12"/>
      <c r="AF425" s="12"/>
      <c r="AG425" s="12"/>
      <c r="AH425" s="12"/>
    </row>
    <row r="426" spans="1:34" ht="12.75">
      <c r="A426" s="12"/>
      <c r="B426" s="12"/>
      <c r="C426" s="12"/>
      <c r="D426" s="12"/>
      <c r="E426" s="12"/>
      <c r="F426" s="12"/>
      <c r="G426" s="12"/>
      <c r="H426" s="12"/>
      <c r="I426" s="12"/>
      <c r="J426" s="12"/>
      <c r="K426" s="12"/>
      <c r="L426" s="12"/>
      <c r="M426" s="12"/>
      <c r="N426" s="12"/>
      <c r="O426" s="12"/>
      <c r="P426" s="12"/>
      <c r="Q426" s="12"/>
      <c r="R426" s="27"/>
      <c r="S426" s="27"/>
      <c r="T426" s="27"/>
      <c r="U426" s="27"/>
      <c r="V426" s="12"/>
      <c r="W426" s="12"/>
      <c r="X426" s="12"/>
      <c r="Y426" s="12"/>
      <c r="Z426" s="31"/>
      <c r="AA426" s="12"/>
      <c r="AB426" s="12"/>
      <c r="AC426" s="12"/>
      <c r="AD426" s="12"/>
      <c r="AE426" s="12"/>
      <c r="AF426" s="12"/>
      <c r="AG426" s="12"/>
      <c r="AH426" s="12"/>
    </row>
    <row r="427" spans="1:34" ht="12.75">
      <c r="A427" s="12"/>
      <c r="B427" s="12"/>
      <c r="C427" s="12"/>
      <c r="D427" s="12"/>
      <c r="E427" s="12"/>
      <c r="F427" s="12"/>
      <c r="G427" s="12"/>
      <c r="H427" s="12"/>
      <c r="I427" s="12"/>
      <c r="J427" s="12"/>
      <c r="K427" s="12"/>
      <c r="L427" s="12"/>
      <c r="M427" s="12"/>
      <c r="N427" s="12"/>
      <c r="O427" s="12"/>
      <c r="P427" s="12"/>
      <c r="Q427" s="12"/>
      <c r="R427" s="27"/>
      <c r="S427" s="27"/>
      <c r="T427" s="27"/>
      <c r="U427" s="27"/>
      <c r="V427" s="12"/>
      <c r="W427" s="12"/>
      <c r="X427" s="12"/>
      <c r="Y427" s="12"/>
      <c r="Z427" s="31"/>
      <c r="AA427" s="12"/>
      <c r="AB427" s="12"/>
      <c r="AC427" s="12"/>
      <c r="AD427" s="12"/>
      <c r="AE427" s="12"/>
      <c r="AF427" s="12"/>
      <c r="AG427" s="12"/>
      <c r="AH427" s="12"/>
    </row>
    <row r="428" spans="1:34" ht="12.75">
      <c r="A428" s="12"/>
      <c r="B428" s="12"/>
      <c r="C428" s="12"/>
      <c r="D428" s="12"/>
      <c r="E428" s="12"/>
      <c r="F428" s="12"/>
      <c r="G428" s="12"/>
      <c r="H428" s="12"/>
      <c r="I428" s="12"/>
      <c r="J428" s="12"/>
      <c r="K428" s="12"/>
      <c r="L428" s="12"/>
      <c r="M428" s="12"/>
      <c r="N428" s="12"/>
      <c r="O428" s="12"/>
      <c r="P428" s="12"/>
      <c r="Q428" s="12"/>
      <c r="R428" s="27"/>
      <c r="S428" s="27"/>
      <c r="T428" s="27"/>
      <c r="U428" s="27"/>
      <c r="V428" s="12"/>
      <c r="W428" s="12"/>
      <c r="X428" s="12"/>
      <c r="Y428" s="12"/>
      <c r="Z428" s="31"/>
      <c r="AA428" s="12"/>
      <c r="AB428" s="12"/>
      <c r="AC428" s="12"/>
      <c r="AD428" s="12"/>
      <c r="AE428" s="12"/>
      <c r="AF428" s="12"/>
      <c r="AG428" s="12"/>
      <c r="AH428" s="12"/>
    </row>
    <row r="429" spans="1:34" ht="12.75">
      <c r="A429" s="12"/>
      <c r="B429" s="12"/>
      <c r="C429" s="12"/>
      <c r="D429" s="12"/>
      <c r="E429" s="12"/>
      <c r="F429" s="12"/>
      <c r="G429" s="12"/>
      <c r="H429" s="12"/>
      <c r="I429" s="12"/>
      <c r="J429" s="12"/>
      <c r="K429" s="12"/>
      <c r="L429" s="12"/>
      <c r="M429" s="12"/>
      <c r="N429" s="12"/>
      <c r="O429" s="12"/>
      <c r="P429" s="12"/>
      <c r="Q429" s="12"/>
      <c r="R429" s="27"/>
      <c r="S429" s="27"/>
      <c r="T429" s="27"/>
      <c r="U429" s="27"/>
      <c r="V429" s="12"/>
      <c r="W429" s="12"/>
      <c r="X429" s="12"/>
      <c r="Y429" s="12"/>
      <c r="Z429" s="31"/>
      <c r="AA429" s="12"/>
      <c r="AB429" s="12"/>
      <c r="AC429" s="12"/>
      <c r="AD429" s="12"/>
      <c r="AE429" s="12"/>
      <c r="AF429" s="12"/>
      <c r="AG429" s="12"/>
      <c r="AH429" s="12"/>
    </row>
    <row r="430" spans="1:34" ht="12.75">
      <c r="A430" s="12"/>
      <c r="B430" s="12"/>
      <c r="C430" s="12"/>
      <c r="D430" s="12"/>
      <c r="E430" s="12"/>
      <c r="F430" s="12"/>
      <c r="G430" s="12"/>
      <c r="H430" s="12"/>
      <c r="I430" s="12"/>
      <c r="J430" s="12"/>
      <c r="K430" s="12"/>
      <c r="L430" s="12"/>
      <c r="M430" s="12"/>
      <c r="N430" s="12"/>
      <c r="O430" s="12"/>
      <c r="P430" s="12"/>
      <c r="Q430" s="12"/>
      <c r="R430" s="27"/>
      <c r="S430" s="27"/>
      <c r="T430" s="27"/>
      <c r="U430" s="27"/>
      <c r="V430" s="12"/>
      <c r="W430" s="12"/>
      <c r="X430" s="12"/>
      <c r="Y430" s="12"/>
      <c r="Z430" s="31"/>
      <c r="AA430" s="12"/>
      <c r="AB430" s="12"/>
      <c r="AC430" s="12"/>
      <c r="AD430" s="12"/>
      <c r="AE430" s="12"/>
      <c r="AF430" s="12"/>
      <c r="AG430" s="12"/>
      <c r="AH430" s="12"/>
    </row>
    <row r="431" spans="1:34" ht="12.75">
      <c r="A431" s="12"/>
      <c r="B431" s="12"/>
      <c r="C431" s="12"/>
      <c r="D431" s="12"/>
      <c r="E431" s="12"/>
      <c r="F431" s="12"/>
      <c r="G431" s="12"/>
      <c r="H431" s="12"/>
      <c r="I431" s="12"/>
      <c r="J431" s="12"/>
      <c r="K431" s="12"/>
      <c r="L431" s="12"/>
      <c r="M431" s="12"/>
      <c r="N431" s="12"/>
      <c r="O431" s="12"/>
      <c r="P431" s="12"/>
      <c r="Q431" s="12"/>
      <c r="R431" s="27"/>
      <c r="S431" s="27"/>
      <c r="T431" s="27"/>
      <c r="U431" s="27"/>
      <c r="V431" s="12"/>
      <c r="W431" s="12"/>
      <c r="X431" s="12"/>
      <c r="Y431" s="12"/>
      <c r="Z431" s="31"/>
      <c r="AA431" s="12"/>
      <c r="AB431" s="12"/>
      <c r="AC431" s="12"/>
      <c r="AD431" s="12"/>
      <c r="AE431" s="12"/>
      <c r="AF431" s="12"/>
      <c r="AG431" s="12"/>
      <c r="AH431" s="12"/>
    </row>
    <row r="432" spans="1:34" ht="12.75">
      <c r="A432" s="12"/>
      <c r="B432" s="12"/>
      <c r="C432" s="12"/>
      <c r="D432" s="12"/>
      <c r="E432" s="12"/>
      <c r="F432" s="12"/>
      <c r="G432" s="12"/>
      <c r="H432" s="12"/>
      <c r="I432" s="12"/>
      <c r="J432" s="12"/>
      <c r="K432" s="12"/>
      <c r="L432" s="12"/>
      <c r="M432" s="12"/>
      <c r="N432" s="12"/>
      <c r="O432" s="12"/>
      <c r="P432" s="12"/>
      <c r="Q432" s="12"/>
      <c r="R432" s="27"/>
      <c r="S432" s="27"/>
      <c r="T432" s="27"/>
      <c r="U432" s="27"/>
      <c r="V432" s="12"/>
      <c r="W432" s="12"/>
      <c r="X432" s="12"/>
      <c r="Y432" s="12"/>
      <c r="Z432" s="31"/>
      <c r="AA432" s="12"/>
      <c r="AB432" s="12"/>
      <c r="AC432" s="12"/>
      <c r="AD432" s="12"/>
      <c r="AE432" s="12"/>
      <c r="AF432" s="12"/>
      <c r="AG432" s="12"/>
      <c r="AH432" s="12"/>
    </row>
    <row r="433" spans="1:34" ht="12.75">
      <c r="A433" s="12"/>
      <c r="B433" s="12"/>
      <c r="C433" s="12"/>
      <c r="D433" s="12"/>
      <c r="E433" s="12"/>
      <c r="F433" s="12"/>
      <c r="G433" s="12"/>
      <c r="H433" s="12"/>
      <c r="I433" s="12"/>
      <c r="J433" s="12"/>
      <c r="K433" s="12"/>
      <c r="L433" s="12"/>
      <c r="M433" s="12"/>
      <c r="N433" s="12"/>
      <c r="O433" s="12"/>
      <c r="P433" s="12"/>
      <c r="Q433" s="12"/>
      <c r="R433" s="27"/>
      <c r="S433" s="27"/>
      <c r="T433" s="27"/>
      <c r="U433" s="27"/>
      <c r="V433" s="12"/>
      <c r="W433" s="12"/>
      <c r="X433" s="12"/>
      <c r="Y433" s="12"/>
      <c r="Z433" s="31"/>
      <c r="AA433" s="12"/>
      <c r="AB433" s="12"/>
      <c r="AC433" s="12"/>
      <c r="AD433" s="12"/>
      <c r="AE433" s="12"/>
      <c r="AF433" s="12"/>
      <c r="AG433" s="12"/>
      <c r="AH433" s="12"/>
    </row>
    <row r="434" spans="1:34" ht="12.75">
      <c r="A434" s="12"/>
      <c r="B434" s="12"/>
      <c r="C434" s="12"/>
      <c r="D434" s="12"/>
      <c r="E434" s="12"/>
      <c r="F434" s="12"/>
      <c r="G434" s="12"/>
      <c r="H434" s="12"/>
      <c r="I434" s="12"/>
      <c r="J434" s="12"/>
      <c r="K434" s="12"/>
      <c r="L434" s="12"/>
      <c r="M434" s="12"/>
      <c r="N434" s="12"/>
      <c r="O434" s="12"/>
      <c r="P434" s="12"/>
      <c r="Q434" s="12"/>
      <c r="R434" s="27"/>
      <c r="S434" s="27"/>
      <c r="T434" s="27"/>
      <c r="U434" s="27"/>
      <c r="V434" s="12"/>
      <c r="W434" s="12"/>
      <c r="X434" s="12"/>
      <c r="Y434" s="12"/>
      <c r="Z434" s="31"/>
      <c r="AA434" s="12"/>
      <c r="AB434" s="12"/>
      <c r="AC434" s="12"/>
      <c r="AD434" s="12"/>
      <c r="AE434" s="12"/>
      <c r="AF434" s="12"/>
      <c r="AG434" s="12"/>
      <c r="AH434" s="12"/>
    </row>
    <row r="435" spans="1:34" ht="12.75">
      <c r="A435" s="12"/>
      <c r="B435" s="12"/>
      <c r="C435" s="12"/>
      <c r="D435" s="12"/>
      <c r="E435" s="12"/>
      <c r="F435" s="12"/>
      <c r="G435" s="12"/>
      <c r="H435" s="12"/>
      <c r="I435" s="12"/>
      <c r="J435" s="12"/>
      <c r="K435" s="12"/>
      <c r="L435" s="12"/>
      <c r="M435" s="12"/>
      <c r="N435" s="12"/>
      <c r="O435" s="12"/>
      <c r="P435" s="12"/>
      <c r="Q435" s="12"/>
      <c r="R435" s="27"/>
      <c r="S435" s="27"/>
      <c r="T435" s="27"/>
      <c r="U435" s="27"/>
      <c r="V435" s="12"/>
      <c r="W435" s="12"/>
      <c r="X435" s="12"/>
      <c r="Y435" s="12"/>
      <c r="Z435" s="31"/>
      <c r="AA435" s="12"/>
      <c r="AB435" s="12"/>
      <c r="AC435" s="12"/>
      <c r="AD435" s="12"/>
      <c r="AE435" s="12"/>
      <c r="AF435" s="12"/>
      <c r="AG435" s="12"/>
      <c r="AH435" s="12"/>
    </row>
    <row r="436" spans="1:34" ht="12.75">
      <c r="A436" s="12"/>
      <c r="B436" s="12"/>
      <c r="C436" s="12"/>
      <c r="D436" s="12"/>
      <c r="E436" s="12"/>
      <c r="F436" s="12"/>
      <c r="G436" s="12"/>
      <c r="H436" s="12"/>
      <c r="I436" s="12"/>
      <c r="J436" s="12"/>
      <c r="K436" s="12"/>
      <c r="L436" s="12"/>
      <c r="M436" s="12"/>
      <c r="N436" s="12"/>
      <c r="O436" s="12"/>
      <c r="P436" s="12"/>
      <c r="Q436" s="12"/>
      <c r="R436" s="27"/>
      <c r="S436" s="27"/>
      <c r="T436" s="27"/>
      <c r="U436" s="27"/>
      <c r="V436" s="12"/>
      <c r="W436" s="12"/>
      <c r="X436" s="12"/>
      <c r="Y436" s="12"/>
      <c r="Z436" s="31"/>
      <c r="AA436" s="12"/>
      <c r="AB436" s="12"/>
      <c r="AC436" s="12"/>
      <c r="AD436" s="12"/>
      <c r="AE436" s="12"/>
      <c r="AF436" s="12"/>
      <c r="AG436" s="12"/>
      <c r="AH436" s="12"/>
    </row>
    <row r="437" spans="1:34" ht="12.75">
      <c r="A437" s="12"/>
      <c r="B437" s="12"/>
      <c r="C437" s="12"/>
      <c r="D437" s="12"/>
      <c r="E437" s="12"/>
      <c r="F437" s="12"/>
      <c r="G437" s="12"/>
      <c r="H437" s="12"/>
      <c r="I437" s="12"/>
      <c r="J437" s="12"/>
      <c r="K437" s="12"/>
      <c r="L437" s="12"/>
      <c r="M437" s="12"/>
      <c r="N437" s="12"/>
      <c r="O437" s="12"/>
      <c r="P437" s="12"/>
      <c r="Q437" s="12"/>
      <c r="R437" s="27"/>
      <c r="S437" s="27"/>
      <c r="T437" s="27"/>
      <c r="U437" s="27"/>
      <c r="V437" s="12"/>
      <c r="W437" s="12"/>
      <c r="X437" s="12"/>
      <c r="Y437" s="12"/>
      <c r="Z437" s="31"/>
      <c r="AA437" s="12"/>
      <c r="AB437" s="12"/>
      <c r="AC437" s="12"/>
      <c r="AD437" s="12"/>
      <c r="AE437" s="12"/>
      <c r="AF437" s="12"/>
      <c r="AG437" s="12"/>
      <c r="AH437" s="12"/>
    </row>
    <row r="438" spans="1:34" ht="12.75">
      <c r="A438" s="12"/>
      <c r="B438" s="12"/>
      <c r="C438" s="12"/>
      <c r="D438" s="12"/>
      <c r="E438" s="12"/>
      <c r="F438" s="12"/>
      <c r="G438" s="12"/>
      <c r="H438" s="12"/>
      <c r="I438" s="12"/>
      <c r="J438" s="12"/>
      <c r="K438" s="12"/>
      <c r="L438" s="12"/>
      <c r="M438" s="12"/>
      <c r="N438" s="12"/>
      <c r="O438" s="12"/>
      <c r="P438" s="12"/>
      <c r="Q438" s="12"/>
      <c r="R438" s="27"/>
      <c r="S438" s="27"/>
      <c r="T438" s="27"/>
      <c r="U438" s="27"/>
      <c r="V438" s="12"/>
      <c r="W438" s="12"/>
      <c r="X438" s="12"/>
      <c r="Y438" s="12"/>
      <c r="Z438" s="31"/>
      <c r="AA438" s="12"/>
      <c r="AB438" s="12"/>
      <c r="AC438" s="12"/>
      <c r="AD438" s="12"/>
      <c r="AE438" s="12"/>
      <c r="AF438" s="12"/>
      <c r="AG438" s="12"/>
      <c r="AH438" s="12"/>
    </row>
    <row r="439" spans="1:34" ht="12.75">
      <c r="A439" s="12"/>
      <c r="B439" s="12"/>
      <c r="C439" s="12"/>
      <c r="D439" s="12"/>
      <c r="E439" s="12"/>
      <c r="F439" s="12"/>
      <c r="G439" s="12"/>
      <c r="H439" s="12"/>
      <c r="I439" s="12"/>
      <c r="J439" s="12"/>
      <c r="K439" s="12"/>
      <c r="L439" s="12"/>
      <c r="M439" s="12"/>
      <c r="N439" s="12"/>
      <c r="O439" s="12"/>
      <c r="P439" s="12"/>
      <c r="Q439" s="12"/>
      <c r="R439" s="27"/>
      <c r="S439" s="27"/>
      <c r="T439" s="27"/>
      <c r="U439" s="27"/>
      <c r="V439" s="12"/>
      <c r="W439" s="12"/>
      <c r="X439" s="12"/>
      <c r="Y439" s="12"/>
      <c r="Z439" s="31"/>
      <c r="AA439" s="12"/>
      <c r="AB439" s="12"/>
      <c r="AC439" s="12"/>
      <c r="AD439" s="12"/>
      <c r="AE439" s="12"/>
      <c r="AF439" s="12"/>
      <c r="AG439" s="12"/>
      <c r="AH439" s="12"/>
    </row>
    <row r="440" spans="1:34" ht="12.75">
      <c r="A440" s="12"/>
      <c r="B440" s="12"/>
      <c r="C440" s="12"/>
      <c r="D440" s="12"/>
      <c r="E440" s="12"/>
      <c r="F440" s="12"/>
      <c r="G440" s="12"/>
      <c r="H440" s="12"/>
      <c r="I440" s="12"/>
      <c r="J440" s="12"/>
      <c r="K440" s="12"/>
      <c r="L440" s="12"/>
      <c r="M440" s="12"/>
      <c r="N440" s="12"/>
      <c r="O440" s="12"/>
      <c r="P440" s="12"/>
      <c r="Q440" s="12"/>
      <c r="R440" s="27"/>
      <c r="S440" s="27"/>
      <c r="T440" s="27"/>
      <c r="U440" s="27"/>
      <c r="V440" s="12"/>
      <c r="W440" s="12"/>
      <c r="X440" s="12"/>
      <c r="Y440" s="12"/>
      <c r="Z440" s="31"/>
      <c r="AA440" s="12"/>
      <c r="AB440" s="12"/>
      <c r="AC440" s="12"/>
      <c r="AD440" s="12"/>
      <c r="AE440" s="12"/>
      <c r="AF440" s="12"/>
      <c r="AG440" s="12"/>
      <c r="AH440" s="12"/>
    </row>
    <row r="441" spans="1:34" ht="12.75">
      <c r="A441" s="12"/>
      <c r="B441" s="12"/>
      <c r="C441" s="12"/>
      <c r="D441" s="12"/>
      <c r="E441" s="12"/>
      <c r="F441" s="12"/>
      <c r="G441" s="12"/>
      <c r="H441" s="12"/>
      <c r="I441" s="12"/>
      <c r="J441" s="12"/>
      <c r="K441" s="12"/>
      <c r="L441" s="12"/>
      <c r="M441" s="12"/>
      <c r="N441" s="12"/>
      <c r="O441" s="12"/>
      <c r="P441" s="12"/>
      <c r="Q441" s="12"/>
      <c r="R441" s="27"/>
      <c r="S441" s="27"/>
      <c r="T441" s="27"/>
      <c r="U441" s="27"/>
      <c r="V441" s="12"/>
      <c r="W441" s="12"/>
      <c r="X441" s="12"/>
      <c r="Y441" s="12"/>
      <c r="Z441" s="31"/>
      <c r="AA441" s="12"/>
      <c r="AB441" s="12"/>
      <c r="AC441" s="12"/>
      <c r="AD441" s="12"/>
      <c r="AE441" s="12"/>
      <c r="AF441" s="12"/>
      <c r="AG441" s="12"/>
      <c r="AH441" s="12"/>
    </row>
    <row r="442" spans="1:34" ht="12.75">
      <c r="A442" s="12"/>
      <c r="B442" s="12"/>
      <c r="C442" s="12"/>
      <c r="D442" s="12"/>
      <c r="E442" s="12"/>
      <c r="F442" s="12"/>
      <c r="G442" s="12"/>
      <c r="H442" s="12"/>
      <c r="I442" s="12"/>
      <c r="J442" s="12"/>
      <c r="K442" s="12"/>
      <c r="L442" s="12"/>
      <c r="M442" s="12"/>
      <c r="N442" s="12"/>
      <c r="O442" s="12"/>
      <c r="P442" s="12"/>
      <c r="Q442" s="12"/>
      <c r="R442" s="27"/>
      <c r="S442" s="27"/>
      <c r="T442" s="27"/>
      <c r="U442" s="27"/>
      <c r="V442" s="12"/>
      <c r="W442" s="12"/>
      <c r="X442" s="12"/>
      <c r="Y442" s="12"/>
      <c r="Z442" s="31"/>
      <c r="AA442" s="12"/>
      <c r="AB442" s="12"/>
      <c r="AC442" s="12"/>
      <c r="AD442" s="12"/>
      <c r="AE442" s="12"/>
      <c r="AF442" s="12"/>
      <c r="AG442" s="12"/>
      <c r="AH442" s="12"/>
    </row>
    <row r="443" spans="1:34" ht="12.75">
      <c r="A443" s="12"/>
      <c r="B443" s="12"/>
      <c r="C443" s="12"/>
      <c r="D443" s="12"/>
      <c r="E443" s="12"/>
      <c r="F443" s="12"/>
      <c r="G443" s="12"/>
      <c r="H443" s="12"/>
      <c r="I443" s="12"/>
      <c r="J443" s="12"/>
      <c r="K443" s="12"/>
      <c r="L443" s="12"/>
      <c r="M443" s="12"/>
      <c r="N443" s="12"/>
      <c r="O443" s="12"/>
      <c r="P443" s="12"/>
      <c r="Q443" s="12"/>
      <c r="R443" s="27"/>
      <c r="S443" s="27"/>
      <c r="T443" s="27"/>
      <c r="U443" s="27"/>
      <c r="V443" s="12"/>
      <c r="W443" s="12"/>
      <c r="X443" s="12"/>
      <c r="Y443" s="12"/>
      <c r="Z443" s="31"/>
      <c r="AA443" s="12"/>
      <c r="AB443" s="12"/>
      <c r="AC443" s="12"/>
      <c r="AD443" s="12"/>
      <c r="AE443" s="12"/>
      <c r="AF443" s="12"/>
      <c r="AG443" s="12"/>
      <c r="AH443" s="12"/>
    </row>
    <row r="444" spans="1:34" ht="12.75">
      <c r="A444" s="12"/>
      <c r="B444" s="12"/>
      <c r="C444" s="12"/>
      <c r="D444" s="12"/>
      <c r="E444" s="12"/>
      <c r="F444" s="12"/>
      <c r="G444" s="12"/>
      <c r="H444" s="12"/>
      <c r="I444" s="12"/>
      <c r="J444" s="12"/>
      <c r="K444" s="12"/>
      <c r="L444" s="12"/>
      <c r="M444" s="12"/>
      <c r="N444" s="12"/>
      <c r="O444" s="12"/>
      <c r="P444" s="12"/>
      <c r="Q444" s="12"/>
      <c r="R444" s="27"/>
      <c r="S444" s="27"/>
      <c r="T444" s="27"/>
      <c r="U444" s="27"/>
      <c r="V444" s="12"/>
      <c r="W444" s="12"/>
      <c r="X444" s="12"/>
      <c r="Y444" s="12"/>
      <c r="Z444" s="31"/>
      <c r="AA444" s="12"/>
      <c r="AB444" s="12"/>
      <c r="AC444" s="12"/>
      <c r="AD444" s="12"/>
      <c r="AE444" s="12"/>
      <c r="AF444" s="12"/>
      <c r="AG444" s="12"/>
      <c r="AH444" s="12"/>
    </row>
    <row r="445" spans="1:34" ht="12.75">
      <c r="A445" s="12"/>
      <c r="B445" s="12"/>
      <c r="C445" s="12"/>
      <c r="D445" s="12"/>
      <c r="E445" s="12"/>
      <c r="F445" s="12"/>
      <c r="G445" s="12"/>
      <c r="H445" s="12"/>
      <c r="I445" s="12"/>
      <c r="J445" s="12"/>
      <c r="K445" s="12"/>
      <c r="L445" s="12"/>
      <c r="M445" s="12"/>
      <c r="N445" s="12"/>
      <c r="O445" s="12"/>
      <c r="P445" s="12"/>
      <c r="Q445" s="12"/>
      <c r="R445" s="27"/>
      <c r="S445" s="27"/>
      <c r="T445" s="27"/>
      <c r="U445" s="27"/>
      <c r="V445" s="12"/>
      <c r="W445" s="12"/>
      <c r="X445" s="12"/>
      <c r="Y445" s="12"/>
      <c r="Z445" s="31"/>
      <c r="AA445" s="12"/>
      <c r="AB445" s="12"/>
      <c r="AC445" s="12"/>
      <c r="AD445" s="12"/>
      <c r="AE445" s="12"/>
      <c r="AF445" s="12"/>
      <c r="AG445" s="12"/>
      <c r="AH445" s="12"/>
    </row>
    <row r="446" spans="1:34" ht="12.75">
      <c r="A446" s="12"/>
      <c r="B446" s="12"/>
      <c r="C446" s="12"/>
      <c r="D446" s="12"/>
      <c r="E446" s="12"/>
      <c r="F446" s="12"/>
      <c r="G446" s="12"/>
      <c r="H446" s="12"/>
      <c r="I446" s="12"/>
      <c r="J446" s="12"/>
      <c r="K446" s="12"/>
      <c r="L446" s="12"/>
      <c r="M446" s="12"/>
      <c r="N446" s="12"/>
      <c r="O446" s="12"/>
      <c r="P446" s="12"/>
      <c r="Q446" s="12"/>
      <c r="R446" s="27"/>
      <c r="S446" s="27"/>
      <c r="T446" s="27"/>
      <c r="U446" s="27"/>
      <c r="V446" s="12"/>
      <c r="W446" s="12"/>
      <c r="X446" s="12"/>
      <c r="Y446" s="12"/>
      <c r="Z446" s="31"/>
      <c r="AA446" s="12"/>
      <c r="AB446" s="12"/>
      <c r="AC446" s="12"/>
      <c r="AD446" s="12"/>
      <c r="AE446" s="12"/>
      <c r="AF446" s="12"/>
      <c r="AG446" s="12"/>
      <c r="AH446" s="12"/>
    </row>
    <row r="447" spans="1:34" ht="12.75">
      <c r="A447" s="12"/>
      <c r="B447" s="12"/>
      <c r="C447" s="12"/>
      <c r="D447" s="12"/>
      <c r="E447" s="12"/>
      <c r="F447" s="12"/>
      <c r="G447" s="12"/>
      <c r="H447" s="12"/>
      <c r="I447" s="12"/>
      <c r="J447" s="12"/>
      <c r="K447" s="12"/>
      <c r="L447" s="12"/>
      <c r="M447" s="12"/>
      <c r="N447" s="12"/>
      <c r="O447" s="12"/>
      <c r="P447" s="12"/>
      <c r="Q447" s="12"/>
      <c r="R447" s="27"/>
      <c r="S447" s="27"/>
      <c r="T447" s="27"/>
      <c r="U447" s="27"/>
      <c r="V447" s="12"/>
      <c r="W447" s="12"/>
      <c r="X447" s="12"/>
      <c r="Y447" s="12"/>
      <c r="Z447" s="31"/>
      <c r="AA447" s="12"/>
      <c r="AB447" s="12"/>
      <c r="AC447" s="12"/>
      <c r="AD447" s="12"/>
      <c r="AE447" s="12"/>
      <c r="AF447" s="12"/>
      <c r="AG447" s="12"/>
      <c r="AH447" s="12"/>
    </row>
    <row r="448" spans="1:34" ht="12.75">
      <c r="A448" s="12"/>
      <c r="B448" s="12"/>
      <c r="C448" s="12"/>
      <c r="D448" s="12"/>
      <c r="E448" s="12"/>
      <c r="F448" s="12"/>
      <c r="G448" s="12"/>
      <c r="H448" s="12"/>
      <c r="I448" s="12"/>
      <c r="J448" s="12"/>
      <c r="K448" s="12"/>
      <c r="L448" s="12"/>
      <c r="M448" s="12"/>
      <c r="N448" s="12"/>
      <c r="O448" s="12"/>
      <c r="P448" s="12"/>
      <c r="Q448" s="12"/>
      <c r="R448" s="27"/>
      <c r="S448" s="27"/>
      <c r="T448" s="27"/>
      <c r="U448" s="27"/>
      <c r="V448" s="12"/>
      <c r="W448" s="12"/>
      <c r="X448" s="12"/>
      <c r="Y448" s="12"/>
      <c r="Z448" s="31"/>
      <c r="AA448" s="12"/>
      <c r="AB448" s="12"/>
      <c r="AC448" s="12"/>
      <c r="AD448" s="12"/>
      <c r="AE448" s="12"/>
      <c r="AF448" s="12"/>
      <c r="AG448" s="12"/>
      <c r="AH448" s="12"/>
    </row>
    <row r="449" spans="1:34" ht="12.75">
      <c r="A449" s="12"/>
      <c r="B449" s="12"/>
      <c r="C449" s="12"/>
      <c r="D449" s="12"/>
      <c r="E449" s="12"/>
      <c r="F449" s="12"/>
      <c r="G449" s="12"/>
      <c r="H449" s="12"/>
      <c r="I449" s="12"/>
      <c r="J449" s="12"/>
      <c r="K449" s="12"/>
      <c r="L449" s="12"/>
      <c r="M449" s="12"/>
      <c r="N449" s="12"/>
      <c r="O449" s="12"/>
      <c r="P449" s="12"/>
      <c r="Q449" s="12"/>
      <c r="R449" s="27"/>
      <c r="S449" s="27"/>
      <c r="T449" s="27"/>
      <c r="U449" s="27"/>
      <c r="V449" s="12"/>
      <c r="W449" s="12"/>
      <c r="X449" s="12"/>
      <c r="Y449" s="12"/>
      <c r="Z449" s="31"/>
      <c r="AA449" s="12"/>
      <c r="AB449" s="12"/>
      <c r="AC449" s="12"/>
      <c r="AD449" s="12"/>
      <c r="AE449" s="12"/>
      <c r="AF449" s="12"/>
      <c r="AG449" s="12"/>
      <c r="AH449" s="12"/>
    </row>
    <row r="450" spans="1:34" ht="12.75">
      <c r="A450" s="12"/>
      <c r="B450" s="12"/>
      <c r="C450" s="12"/>
      <c r="D450" s="12"/>
      <c r="E450" s="12"/>
      <c r="F450" s="12"/>
      <c r="G450" s="12"/>
      <c r="H450" s="12"/>
      <c r="I450" s="12"/>
      <c r="J450" s="12"/>
      <c r="K450" s="12"/>
      <c r="L450" s="12"/>
      <c r="M450" s="12"/>
      <c r="N450" s="12"/>
      <c r="O450" s="12"/>
      <c r="P450" s="12"/>
      <c r="Q450" s="12"/>
      <c r="R450" s="27"/>
      <c r="S450" s="27"/>
      <c r="T450" s="27"/>
      <c r="U450" s="27"/>
      <c r="V450" s="12"/>
      <c r="W450" s="12"/>
      <c r="X450" s="12"/>
      <c r="Y450" s="12"/>
      <c r="Z450" s="31"/>
      <c r="AA450" s="12"/>
      <c r="AB450" s="12"/>
      <c r="AC450" s="12"/>
      <c r="AD450" s="12"/>
      <c r="AE450" s="12"/>
      <c r="AF450" s="12"/>
      <c r="AG450" s="12"/>
      <c r="AH450" s="12"/>
    </row>
    <row r="451" spans="1:34" ht="12.75">
      <c r="A451" s="12"/>
      <c r="B451" s="12"/>
      <c r="C451" s="12"/>
      <c r="D451" s="12"/>
      <c r="E451" s="12"/>
      <c r="F451" s="12"/>
      <c r="G451" s="12"/>
      <c r="H451" s="12"/>
      <c r="I451" s="12"/>
      <c r="J451" s="12"/>
      <c r="K451" s="12"/>
      <c r="L451" s="12"/>
      <c r="M451" s="12"/>
      <c r="N451" s="12"/>
      <c r="O451" s="12"/>
      <c r="P451" s="12"/>
      <c r="Q451" s="12"/>
      <c r="R451" s="27"/>
      <c r="S451" s="27"/>
      <c r="T451" s="27"/>
      <c r="U451" s="27"/>
      <c r="V451" s="12"/>
      <c r="W451" s="12"/>
      <c r="X451" s="12"/>
      <c r="Y451" s="12"/>
      <c r="Z451" s="31"/>
      <c r="AA451" s="12"/>
      <c r="AB451" s="12"/>
      <c r="AC451" s="12"/>
      <c r="AD451" s="12"/>
      <c r="AE451" s="12"/>
      <c r="AF451" s="12"/>
      <c r="AG451" s="12"/>
      <c r="AH451" s="12"/>
    </row>
    <row r="452" spans="1:34" ht="12.75">
      <c r="A452" s="12"/>
      <c r="B452" s="12"/>
      <c r="C452" s="12"/>
      <c r="D452" s="12"/>
      <c r="E452" s="12"/>
      <c r="F452" s="12"/>
      <c r="G452" s="12"/>
      <c r="H452" s="12"/>
      <c r="I452" s="12"/>
      <c r="J452" s="12"/>
      <c r="K452" s="12"/>
      <c r="L452" s="12"/>
      <c r="M452" s="12"/>
      <c r="N452" s="12"/>
      <c r="O452" s="12"/>
      <c r="P452" s="12"/>
      <c r="Q452" s="12"/>
      <c r="R452" s="27"/>
      <c r="S452" s="27"/>
      <c r="T452" s="27"/>
      <c r="U452" s="27"/>
      <c r="V452" s="12"/>
      <c r="W452" s="12"/>
      <c r="X452" s="12"/>
      <c r="Y452" s="12"/>
      <c r="Z452" s="31"/>
      <c r="AA452" s="12"/>
      <c r="AB452" s="12"/>
      <c r="AC452" s="12"/>
      <c r="AD452" s="12"/>
      <c r="AE452" s="12"/>
      <c r="AF452" s="12"/>
      <c r="AG452" s="12"/>
      <c r="AH452" s="12"/>
    </row>
    <row r="453" spans="1:34" ht="12.75">
      <c r="A453" s="12"/>
      <c r="B453" s="12"/>
      <c r="C453" s="12"/>
      <c r="D453" s="12"/>
      <c r="E453" s="12"/>
      <c r="F453" s="12"/>
      <c r="G453" s="12"/>
      <c r="H453" s="12"/>
      <c r="I453" s="12"/>
      <c r="J453" s="12"/>
      <c r="K453" s="12"/>
      <c r="L453" s="12"/>
      <c r="M453" s="12"/>
      <c r="N453" s="12"/>
      <c r="O453" s="12"/>
      <c r="P453" s="12"/>
      <c r="Q453" s="12"/>
      <c r="R453" s="27"/>
      <c r="S453" s="27"/>
      <c r="T453" s="27"/>
      <c r="U453" s="27"/>
      <c r="V453" s="12"/>
      <c r="W453" s="12"/>
      <c r="X453" s="12"/>
      <c r="Y453" s="12"/>
      <c r="Z453" s="31"/>
      <c r="AA453" s="12"/>
      <c r="AB453" s="12"/>
      <c r="AC453" s="12"/>
      <c r="AD453" s="12"/>
      <c r="AE453" s="12"/>
      <c r="AF453" s="12"/>
      <c r="AG453" s="12"/>
      <c r="AH453" s="12"/>
    </row>
    <row r="454" spans="1:34" ht="12.75">
      <c r="A454" s="12"/>
      <c r="B454" s="12"/>
      <c r="C454" s="12"/>
      <c r="D454" s="12"/>
      <c r="E454" s="12"/>
      <c r="F454" s="12"/>
      <c r="G454" s="12"/>
      <c r="H454" s="12"/>
      <c r="I454" s="12"/>
      <c r="J454" s="12"/>
      <c r="K454" s="12"/>
      <c r="L454" s="12"/>
      <c r="M454" s="12"/>
      <c r="N454" s="12"/>
      <c r="O454" s="12"/>
      <c r="P454" s="12"/>
      <c r="Q454" s="12"/>
      <c r="R454" s="27"/>
      <c r="S454" s="27"/>
      <c r="T454" s="27"/>
      <c r="U454" s="27"/>
      <c r="V454" s="12"/>
      <c r="W454" s="12"/>
      <c r="X454" s="12"/>
      <c r="Y454" s="12"/>
      <c r="Z454" s="31"/>
      <c r="AA454" s="12"/>
      <c r="AB454" s="12"/>
      <c r="AC454" s="12"/>
      <c r="AD454" s="12"/>
      <c r="AE454" s="12"/>
      <c r="AF454" s="12"/>
      <c r="AG454" s="12"/>
      <c r="AH454" s="12"/>
    </row>
    <row r="455" spans="1:34" ht="12.75">
      <c r="A455" s="12"/>
      <c r="B455" s="12"/>
      <c r="C455" s="12"/>
      <c r="D455" s="12"/>
      <c r="E455" s="12"/>
      <c r="F455" s="12"/>
      <c r="G455" s="12"/>
      <c r="H455" s="12"/>
      <c r="I455" s="12"/>
      <c r="J455" s="12"/>
      <c r="K455" s="12"/>
      <c r="L455" s="12"/>
      <c r="M455" s="12"/>
      <c r="N455" s="12"/>
      <c r="O455" s="12"/>
      <c r="P455" s="12"/>
      <c r="Q455" s="12"/>
      <c r="R455" s="27"/>
      <c r="S455" s="27"/>
      <c r="T455" s="27"/>
      <c r="U455" s="27"/>
      <c r="V455" s="12"/>
      <c r="W455" s="12"/>
      <c r="X455" s="12"/>
      <c r="Y455" s="12"/>
      <c r="Z455" s="31"/>
      <c r="AA455" s="12"/>
      <c r="AB455" s="12"/>
      <c r="AC455" s="12"/>
      <c r="AD455" s="12"/>
      <c r="AE455" s="12"/>
      <c r="AF455" s="12"/>
      <c r="AG455" s="12"/>
      <c r="AH455" s="12"/>
    </row>
    <row r="456" spans="1:34" ht="12.75">
      <c r="A456" s="12"/>
      <c r="B456" s="12"/>
      <c r="C456" s="12"/>
      <c r="D456" s="12"/>
      <c r="E456" s="12"/>
      <c r="F456" s="12"/>
      <c r="G456" s="12"/>
      <c r="H456" s="12"/>
      <c r="I456" s="12"/>
      <c r="J456" s="12"/>
      <c r="K456" s="12"/>
      <c r="L456" s="12"/>
      <c r="M456" s="12"/>
      <c r="N456" s="12"/>
      <c r="O456" s="12"/>
      <c r="P456" s="12"/>
      <c r="Q456" s="12"/>
      <c r="R456" s="27"/>
      <c r="S456" s="27"/>
      <c r="T456" s="27"/>
      <c r="U456" s="27"/>
      <c r="V456" s="12"/>
      <c r="W456" s="12"/>
      <c r="X456" s="12"/>
      <c r="Y456" s="12"/>
      <c r="Z456" s="31"/>
      <c r="AA456" s="12"/>
      <c r="AB456" s="12"/>
      <c r="AC456" s="12"/>
      <c r="AD456" s="12"/>
      <c r="AE456" s="12"/>
      <c r="AF456" s="12"/>
      <c r="AG456" s="12"/>
      <c r="AH456" s="12"/>
    </row>
    <row r="457" spans="1:34" ht="12.75">
      <c r="A457" s="12"/>
      <c r="B457" s="12"/>
      <c r="C457" s="12"/>
      <c r="D457" s="12"/>
      <c r="E457" s="12"/>
      <c r="F457" s="12"/>
      <c r="G457" s="12"/>
      <c r="H457" s="12"/>
      <c r="I457" s="12"/>
      <c r="J457" s="12"/>
      <c r="K457" s="12"/>
      <c r="L457" s="12"/>
      <c r="M457" s="12"/>
      <c r="N457" s="12"/>
      <c r="O457" s="12"/>
      <c r="P457" s="12"/>
      <c r="Q457" s="12"/>
      <c r="R457" s="27"/>
      <c r="S457" s="27"/>
      <c r="T457" s="27"/>
      <c r="U457" s="27"/>
      <c r="V457" s="12"/>
      <c r="W457" s="12"/>
      <c r="X457" s="12"/>
      <c r="Y457" s="12"/>
      <c r="Z457" s="31"/>
      <c r="AA457" s="12"/>
      <c r="AB457" s="12"/>
      <c r="AC457" s="12"/>
      <c r="AD457" s="12"/>
      <c r="AE457" s="12"/>
      <c r="AF457" s="12"/>
      <c r="AG457" s="12"/>
      <c r="AH457" s="12"/>
    </row>
    <row r="458" spans="1:34" ht="12.75">
      <c r="A458" s="12"/>
      <c r="B458" s="12"/>
      <c r="C458" s="12"/>
      <c r="D458" s="12"/>
      <c r="E458" s="12"/>
      <c r="F458" s="12"/>
      <c r="G458" s="12"/>
      <c r="H458" s="12"/>
      <c r="I458" s="12"/>
      <c r="J458" s="12"/>
      <c r="K458" s="12"/>
      <c r="L458" s="12"/>
      <c r="M458" s="12"/>
      <c r="N458" s="12"/>
      <c r="O458" s="12"/>
      <c r="P458" s="12"/>
      <c r="Q458" s="12"/>
      <c r="R458" s="27"/>
      <c r="S458" s="27"/>
      <c r="T458" s="27"/>
      <c r="U458" s="27"/>
      <c r="V458" s="12"/>
      <c r="W458" s="12"/>
      <c r="X458" s="12"/>
      <c r="Y458" s="12"/>
      <c r="Z458" s="31"/>
      <c r="AA458" s="12"/>
      <c r="AB458" s="12"/>
      <c r="AC458" s="12"/>
      <c r="AD458" s="12"/>
      <c r="AE458" s="12"/>
      <c r="AF458" s="12"/>
      <c r="AG458" s="12"/>
      <c r="AH458" s="12"/>
    </row>
    <row r="459" spans="1:34" ht="12.75">
      <c r="A459" s="12"/>
      <c r="B459" s="12"/>
      <c r="C459" s="12"/>
      <c r="D459" s="12"/>
      <c r="E459" s="12"/>
      <c r="F459" s="12"/>
      <c r="G459" s="12"/>
      <c r="H459" s="12"/>
      <c r="I459" s="12"/>
      <c r="J459" s="12"/>
      <c r="K459" s="12"/>
      <c r="L459" s="12"/>
      <c r="M459" s="12"/>
      <c r="N459" s="12"/>
      <c r="O459" s="12"/>
      <c r="P459" s="12"/>
      <c r="Q459" s="12"/>
      <c r="R459" s="27"/>
      <c r="S459" s="27"/>
      <c r="T459" s="27"/>
      <c r="U459" s="27"/>
      <c r="V459" s="12"/>
      <c r="W459" s="12"/>
      <c r="X459" s="12"/>
      <c r="Y459" s="12"/>
      <c r="Z459" s="31"/>
      <c r="AA459" s="12"/>
      <c r="AB459" s="12"/>
      <c r="AC459" s="12"/>
      <c r="AD459" s="12"/>
      <c r="AE459" s="12"/>
      <c r="AF459" s="12"/>
      <c r="AG459" s="12"/>
      <c r="AH459" s="12"/>
    </row>
    <row r="460" spans="1:34" ht="12.75">
      <c r="A460" s="12"/>
      <c r="B460" s="12"/>
      <c r="C460" s="12"/>
      <c r="D460" s="12"/>
      <c r="E460" s="12"/>
      <c r="F460" s="12"/>
      <c r="G460" s="12"/>
      <c r="H460" s="12"/>
      <c r="I460" s="12"/>
      <c r="J460" s="12"/>
      <c r="K460" s="12"/>
      <c r="L460" s="12"/>
      <c r="M460" s="12"/>
      <c r="N460" s="12"/>
      <c r="O460" s="12"/>
      <c r="P460" s="12"/>
      <c r="Q460" s="12"/>
      <c r="R460" s="27"/>
      <c r="S460" s="27"/>
      <c r="T460" s="27"/>
      <c r="U460" s="27"/>
      <c r="V460" s="12"/>
      <c r="W460" s="12"/>
      <c r="X460" s="12"/>
      <c r="Y460" s="12"/>
      <c r="Z460" s="31"/>
      <c r="AA460" s="12"/>
      <c r="AB460" s="12"/>
      <c r="AC460" s="12"/>
      <c r="AD460" s="12"/>
      <c r="AE460" s="12"/>
      <c r="AF460" s="12"/>
      <c r="AG460" s="12"/>
      <c r="AH460" s="12"/>
    </row>
    <row r="461" spans="1:34" ht="12.75">
      <c r="A461" s="12"/>
      <c r="B461" s="12"/>
      <c r="C461" s="12"/>
      <c r="D461" s="12"/>
      <c r="E461" s="12"/>
      <c r="F461" s="12"/>
      <c r="G461" s="12"/>
      <c r="H461" s="12"/>
      <c r="I461" s="12"/>
      <c r="J461" s="12"/>
      <c r="K461" s="12"/>
      <c r="L461" s="12"/>
      <c r="M461" s="12"/>
      <c r="N461" s="12"/>
      <c r="O461" s="12"/>
      <c r="P461" s="12"/>
      <c r="Q461" s="12"/>
      <c r="R461" s="27"/>
      <c r="S461" s="27"/>
      <c r="T461" s="27"/>
      <c r="U461" s="27"/>
      <c r="V461" s="12"/>
      <c r="W461" s="12"/>
      <c r="X461" s="12"/>
      <c r="Y461" s="12"/>
      <c r="Z461" s="31"/>
      <c r="AA461" s="12"/>
      <c r="AB461" s="12"/>
      <c r="AC461" s="12"/>
      <c r="AD461" s="12"/>
      <c r="AE461" s="12"/>
      <c r="AF461" s="12"/>
      <c r="AG461" s="12"/>
      <c r="AH461" s="12"/>
    </row>
    <row r="462" spans="1:34" ht="12.75">
      <c r="A462" s="12"/>
      <c r="B462" s="12"/>
      <c r="C462" s="12"/>
      <c r="D462" s="12"/>
      <c r="E462" s="12"/>
      <c r="F462" s="12"/>
      <c r="G462" s="12"/>
      <c r="H462" s="12"/>
      <c r="I462" s="12"/>
      <c r="J462" s="12"/>
      <c r="K462" s="12"/>
      <c r="L462" s="12"/>
      <c r="M462" s="12"/>
      <c r="N462" s="12"/>
      <c r="O462" s="12"/>
      <c r="P462" s="12"/>
      <c r="Q462" s="12"/>
      <c r="R462" s="27"/>
      <c r="S462" s="27"/>
      <c r="T462" s="27"/>
      <c r="U462" s="27"/>
      <c r="V462" s="12"/>
      <c r="W462" s="12"/>
      <c r="X462" s="12"/>
      <c r="Y462" s="12"/>
      <c r="Z462" s="31"/>
      <c r="AA462" s="12"/>
      <c r="AB462" s="12"/>
      <c r="AC462" s="12"/>
      <c r="AD462" s="12"/>
      <c r="AE462" s="12"/>
      <c r="AF462" s="12"/>
      <c r="AG462" s="12"/>
      <c r="AH462" s="12"/>
    </row>
    <row r="463" spans="1:34" ht="12.75">
      <c r="A463" s="12"/>
      <c r="B463" s="12"/>
      <c r="C463" s="12"/>
      <c r="D463" s="12"/>
      <c r="E463" s="12"/>
      <c r="F463" s="12"/>
      <c r="G463" s="12"/>
      <c r="H463" s="12"/>
      <c r="I463" s="12"/>
      <c r="J463" s="12"/>
      <c r="K463" s="12"/>
      <c r="L463" s="12"/>
      <c r="M463" s="12"/>
      <c r="N463" s="12"/>
      <c r="O463" s="12"/>
      <c r="P463" s="12"/>
      <c r="Q463" s="12"/>
      <c r="R463" s="27"/>
      <c r="S463" s="27"/>
      <c r="T463" s="27"/>
      <c r="U463" s="27"/>
      <c r="V463" s="12"/>
      <c r="W463" s="12"/>
      <c r="X463" s="12"/>
      <c r="Y463" s="12"/>
      <c r="Z463" s="31"/>
      <c r="AA463" s="12"/>
      <c r="AB463" s="12"/>
      <c r="AC463" s="12"/>
      <c r="AD463" s="12"/>
      <c r="AE463" s="12"/>
      <c r="AF463" s="12"/>
      <c r="AG463" s="12"/>
      <c r="AH463" s="12"/>
    </row>
    <row r="464" spans="1:34" ht="12.75">
      <c r="A464" s="12"/>
      <c r="B464" s="12"/>
      <c r="C464" s="12"/>
      <c r="D464" s="12"/>
      <c r="E464" s="12"/>
      <c r="F464" s="12"/>
      <c r="G464" s="12"/>
      <c r="H464" s="12"/>
      <c r="I464" s="12"/>
      <c r="J464" s="12"/>
      <c r="K464" s="12"/>
      <c r="L464" s="12"/>
      <c r="M464" s="12"/>
      <c r="N464" s="12"/>
      <c r="O464" s="12"/>
      <c r="P464" s="12"/>
      <c r="Q464" s="12"/>
      <c r="R464" s="27"/>
      <c r="S464" s="27"/>
      <c r="T464" s="27"/>
      <c r="U464" s="27"/>
      <c r="V464" s="12"/>
      <c r="W464" s="12"/>
      <c r="X464" s="12"/>
      <c r="Y464" s="12"/>
      <c r="Z464" s="31"/>
      <c r="AA464" s="12"/>
      <c r="AB464" s="12"/>
      <c r="AC464" s="12"/>
      <c r="AD464" s="12"/>
      <c r="AE464" s="12"/>
      <c r="AF464" s="12"/>
      <c r="AG464" s="12"/>
      <c r="AH464" s="12"/>
    </row>
    <row r="465" spans="1:34" ht="12.75">
      <c r="A465" s="12"/>
      <c r="B465" s="12"/>
      <c r="C465" s="12"/>
      <c r="D465" s="12"/>
      <c r="E465" s="12"/>
      <c r="F465" s="12"/>
      <c r="G465" s="12"/>
      <c r="H465" s="12"/>
      <c r="I465" s="12"/>
      <c r="J465" s="12"/>
      <c r="K465" s="12"/>
      <c r="L465" s="12"/>
      <c r="M465" s="12"/>
      <c r="N465" s="12"/>
      <c r="O465" s="12"/>
      <c r="P465" s="12"/>
      <c r="Q465" s="12"/>
      <c r="R465" s="27"/>
      <c r="S465" s="27"/>
      <c r="T465" s="27"/>
      <c r="U465" s="27"/>
      <c r="V465" s="12"/>
      <c r="W465" s="12"/>
      <c r="X465" s="12"/>
      <c r="Y465" s="12"/>
      <c r="Z465" s="31"/>
      <c r="AA465" s="12"/>
      <c r="AB465" s="12"/>
      <c r="AC465" s="12"/>
      <c r="AD465" s="12"/>
      <c r="AE465" s="12"/>
      <c r="AF465" s="12"/>
      <c r="AG465" s="12"/>
      <c r="AH465" s="12"/>
    </row>
    <row r="466" spans="1:34" ht="12.75">
      <c r="A466" s="12"/>
      <c r="B466" s="12"/>
      <c r="C466" s="12"/>
      <c r="D466" s="12"/>
      <c r="E466" s="12"/>
      <c r="F466" s="12"/>
      <c r="G466" s="12"/>
      <c r="H466" s="12"/>
      <c r="I466" s="12"/>
      <c r="J466" s="12"/>
      <c r="K466" s="12"/>
      <c r="L466" s="12"/>
      <c r="M466" s="12"/>
      <c r="N466" s="12"/>
      <c r="O466" s="12"/>
      <c r="P466" s="12"/>
      <c r="Q466" s="12"/>
      <c r="R466" s="27"/>
      <c r="S466" s="27"/>
      <c r="T466" s="27"/>
      <c r="U466" s="27"/>
      <c r="V466" s="12"/>
      <c r="W466" s="12"/>
      <c r="X466" s="12"/>
      <c r="Y466" s="12"/>
      <c r="Z466" s="31"/>
      <c r="AA466" s="12"/>
      <c r="AB466" s="12"/>
      <c r="AC466" s="12"/>
      <c r="AD466" s="12"/>
      <c r="AE466" s="12"/>
      <c r="AF466" s="12"/>
      <c r="AG466" s="12"/>
      <c r="AH466" s="12"/>
    </row>
    <row r="467" spans="1:34" ht="12.75">
      <c r="A467" s="12"/>
      <c r="B467" s="12"/>
      <c r="C467" s="12"/>
      <c r="D467" s="12"/>
      <c r="E467" s="12"/>
      <c r="F467" s="12"/>
      <c r="G467" s="12"/>
      <c r="H467" s="12"/>
      <c r="I467" s="12"/>
      <c r="J467" s="12"/>
      <c r="K467" s="12"/>
      <c r="L467" s="12"/>
      <c r="M467" s="12"/>
      <c r="N467" s="12"/>
      <c r="O467" s="12"/>
      <c r="P467" s="12"/>
      <c r="Q467" s="12"/>
      <c r="R467" s="27"/>
      <c r="S467" s="27"/>
      <c r="T467" s="27"/>
      <c r="U467" s="27"/>
      <c r="V467" s="12"/>
      <c r="W467" s="12"/>
      <c r="X467" s="12"/>
      <c r="Y467" s="12"/>
      <c r="Z467" s="31"/>
      <c r="AA467" s="12"/>
      <c r="AB467" s="12"/>
      <c r="AC467" s="12"/>
      <c r="AD467" s="12"/>
      <c r="AE467" s="12"/>
      <c r="AF467" s="12"/>
      <c r="AG467" s="12"/>
      <c r="AH467" s="12"/>
    </row>
    <row r="468" spans="1:34" ht="12.75">
      <c r="A468" s="12"/>
      <c r="B468" s="12"/>
      <c r="C468" s="12"/>
      <c r="D468" s="12"/>
      <c r="E468" s="12"/>
      <c r="F468" s="12"/>
      <c r="G468" s="12"/>
      <c r="H468" s="12"/>
      <c r="I468" s="12"/>
      <c r="J468" s="12"/>
      <c r="K468" s="12"/>
      <c r="L468" s="12"/>
      <c r="M468" s="12"/>
      <c r="N468" s="12"/>
      <c r="O468" s="12"/>
      <c r="P468" s="12"/>
      <c r="Q468" s="12"/>
      <c r="R468" s="27"/>
      <c r="S468" s="27"/>
      <c r="T468" s="27"/>
      <c r="U468" s="27"/>
      <c r="V468" s="12"/>
      <c r="W468" s="12"/>
      <c r="X468" s="12"/>
      <c r="Y468" s="12"/>
      <c r="Z468" s="31"/>
      <c r="AA468" s="12"/>
      <c r="AB468" s="12"/>
      <c r="AC468" s="12"/>
      <c r="AD468" s="12"/>
      <c r="AE468" s="12"/>
      <c r="AF468" s="12"/>
      <c r="AG468" s="12"/>
      <c r="AH468" s="12"/>
    </row>
    <row r="469" spans="1:34" ht="12.75">
      <c r="A469" s="12"/>
      <c r="B469" s="12"/>
      <c r="C469" s="12"/>
      <c r="D469" s="12"/>
      <c r="E469" s="12"/>
      <c r="F469" s="12"/>
      <c r="G469" s="12"/>
      <c r="H469" s="12"/>
      <c r="I469" s="12"/>
      <c r="J469" s="12"/>
      <c r="K469" s="12"/>
      <c r="L469" s="12"/>
      <c r="M469" s="12"/>
      <c r="N469" s="12"/>
      <c r="O469" s="12"/>
      <c r="P469" s="12"/>
      <c r="Q469" s="12"/>
      <c r="R469" s="27"/>
      <c r="S469" s="27"/>
      <c r="T469" s="27"/>
      <c r="U469" s="27"/>
      <c r="V469" s="12"/>
      <c r="W469" s="12"/>
      <c r="X469" s="12"/>
      <c r="Y469" s="12"/>
      <c r="Z469" s="31"/>
      <c r="AA469" s="12"/>
      <c r="AB469" s="12"/>
      <c r="AC469" s="12"/>
      <c r="AD469" s="12"/>
      <c r="AE469" s="12"/>
      <c r="AF469" s="12"/>
      <c r="AG469" s="12"/>
      <c r="AH469" s="12"/>
    </row>
    <row r="470" spans="1:34" ht="12.75">
      <c r="A470" s="12"/>
      <c r="B470" s="12"/>
      <c r="C470" s="12"/>
      <c r="D470" s="12"/>
      <c r="E470" s="12"/>
      <c r="F470" s="12"/>
      <c r="G470" s="12"/>
      <c r="H470" s="12"/>
      <c r="I470" s="12"/>
      <c r="J470" s="12"/>
      <c r="K470" s="12"/>
      <c r="L470" s="12"/>
      <c r="M470" s="12"/>
      <c r="N470" s="12"/>
      <c r="O470" s="12"/>
      <c r="P470" s="12"/>
      <c r="Q470" s="12"/>
      <c r="R470" s="27"/>
      <c r="S470" s="27"/>
      <c r="T470" s="27"/>
      <c r="U470" s="27"/>
      <c r="V470" s="12"/>
      <c r="W470" s="12"/>
      <c r="X470" s="12"/>
      <c r="Y470" s="12"/>
      <c r="Z470" s="31"/>
      <c r="AA470" s="12"/>
      <c r="AB470" s="12"/>
      <c r="AC470" s="12"/>
      <c r="AD470" s="12"/>
      <c r="AE470" s="12"/>
      <c r="AF470" s="12"/>
      <c r="AG470" s="12"/>
      <c r="AH470" s="12"/>
    </row>
    <row r="471" spans="1:34" ht="12.75">
      <c r="A471" s="12"/>
      <c r="B471" s="12"/>
      <c r="C471" s="12"/>
      <c r="D471" s="12"/>
      <c r="E471" s="12"/>
      <c r="F471" s="12"/>
      <c r="G471" s="12"/>
      <c r="H471" s="12"/>
      <c r="I471" s="12"/>
      <c r="J471" s="12"/>
      <c r="K471" s="12"/>
      <c r="L471" s="12"/>
      <c r="M471" s="12"/>
      <c r="N471" s="12"/>
      <c r="O471" s="12"/>
      <c r="P471" s="12"/>
      <c r="Q471" s="12"/>
      <c r="R471" s="27"/>
      <c r="S471" s="27"/>
      <c r="T471" s="27"/>
      <c r="U471" s="27"/>
      <c r="V471" s="12"/>
      <c r="W471" s="12"/>
      <c r="X471" s="12"/>
      <c r="Y471" s="12"/>
      <c r="Z471" s="31"/>
      <c r="AA471" s="12"/>
      <c r="AB471" s="12"/>
      <c r="AC471" s="12"/>
      <c r="AD471" s="12"/>
      <c r="AE471" s="12"/>
      <c r="AF471" s="12"/>
      <c r="AG471" s="12"/>
      <c r="AH471" s="12"/>
    </row>
    <row r="472" spans="1:34" ht="12.75">
      <c r="A472" s="12"/>
      <c r="B472" s="12"/>
      <c r="C472" s="12"/>
      <c r="D472" s="12"/>
      <c r="E472" s="12"/>
      <c r="F472" s="12"/>
      <c r="G472" s="12"/>
      <c r="H472" s="12"/>
      <c r="I472" s="12"/>
      <c r="J472" s="12"/>
      <c r="K472" s="12"/>
      <c r="L472" s="12"/>
      <c r="M472" s="12"/>
      <c r="N472" s="12"/>
      <c r="O472" s="12"/>
      <c r="P472" s="12"/>
      <c r="Q472" s="12"/>
      <c r="R472" s="27"/>
      <c r="S472" s="27"/>
      <c r="T472" s="27"/>
      <c r="U472" s="27"/>
      <c r="V472" s="12"/>
      <c r="W472" s="12"/>
      <c r="X472" s="12"/>
      <c r="Y472" s="12"/>
      <c r="Z472" s="31"/>
      <c r="AA472" s="12"/>
      <c r="AB472" s="12"/>
      <c r="AC472" s="12"/>
      <c r="AD472" s="12"/>
      <c r="AE472" s="12"/>
      <c r="AF472" s="12"/>
      <c r="AG472" s="12"/>
      <c r="AH472" s="12"/>
    </row>
    <row r="473" spans="1:34" ht="12.75">
      <c r="A473" s="12"/>
      <c r="B473" s="12"/>
      <c r="C473" s="12"/>
      <c r="D473" s="12"/>
      <c r="E473" s="12"/>
      <c r="F473" s="12"/>
      <c r="G473" s="12"/>
      <c r="H473" s="12"/>
      <c r="I473" s="12"/>
      <c r="J473" s="12"/>
      <c r="K473" s="12"/>
      <c r="L473" s="12"/>
      <c r="M473" s="12"/>
      <c r="N473" s="12"/>
      <c r="O473" s="12"/>
      <c r="P473" s="12"/>
      <c r="Q473" s="12"/>
      <c r="R473" s="27"/>
      <c r="S473" s="27"/>
      <c r="T473" s="27"/>
      <c r="U473" s="27"/>
      <c r="V473" s="12"/>
      <c r="W473" s="12"/>
      <c r="X473" s="12"/>
      <c r="Y473" s="12"/>
      <c r="Z473" s="31"/>
      <c r="AA473" s="12"/>
      <c r="AB473" s="12"/>
      <c r="AC473" s="12"/>
      <c r="AD473" s="12"/>
      <c r="AE473" s="12"/>
      <c r="AF473" s="12"/>
      <c r="AG473" s="12"/>
      <c r="AH473" s="12"/>
    </row>
    <row r="474" spans="1:34" ht="12.75">
      <c r="A474" s="12"/>
      <c r="B474" s="12"/>
      <c r="C474" s="12"/>
      <c r="D474" s="12"/>
      <c r="E474" s="12"/>
      <c r="F474" s="12"/>
      <c r="G474" s="12"/>
      <c r="H474" s="12"/>
      <c r="I474" s="12"/>
      <c r="J474" s="12"/>
      <c r="K474" s="12"/>
      <c r="L474" s="12"/>
      <c r="M474" s="12"/>
      <c r="N474" s="12"/>
      <c r="O474" s="12"/>
      <c r="P474" s="12"/>
      <c r="Q474" s="12"/>
      <c r="R474" s="27"/>
      <c r="S474" s="27"/>
      <c r="T474" s="27"/>
      <c r="U474" s="27"/>
      <c r="V474" s="12"/>
      <c r="W474" s="12"/>
      <c r="X474" s="12"/>
      <c r="Y474" s="12"/>
      <c r="Z474" s="31"/>
      <c r="AA474" s="12"/>
      <c r="AB474" s="12"/>
      <c r="AC474" s="12"/>
      <c r="AD474" s="12"/>
      <c r="AE474" s="12"/>
      <c r="AF474" s="12"/>
      <c r="AG474" s="12"/>
      <c r="AH474" s="12"/>
    </row>
    <row r="475" spans="1:34" ht="12.75">
      <c r="A475" s="12"/>
      <c r="B475" s="12"/>
      <c r="C475" s="12"/>
      <c r="D475" s="12"/>
      <c r="E475" s="12"/>
      <c r="F475" s="12"/>
      <c r="G475" s="12"/>
      <c r="H475" s="12"/>
      <c r="I475" s="12"/>
      <c r="J475" s="12"/>
      <c r="K475" s="12"/>
      <c r="L475" s="12"/>
      <c r="M475" s="12"/>
      <c r="N475" s="12"/>
      <c r="O475" s="12"/>
      <c r="P475" s="12"/>
      <c r="Q475" s="12"/>
      <c r="R475" s="27"/>
      <c r="S475" s="27"/>
      <c r="T475" s="27"/>
      <c r="U475" s="27"/>
      <c r="V475" s="12"/>
      <c r="W475" s="12"/>
      <c r="X475" s="12"/>
      <c r="Y475" s="12"/>
      <c r="Z475" s="31"/>
      <c r="AA475" s="12"/>
      <c r="AB475" s="12"/>
      <c r="AC475" s="12"/>
      <c r="AD475" s="12"/>
      <c r="AE475" s="12"/>
      <c r="AF475" s="12"/>
      <c r="AG475" s="12"/>
      <c r="AH475" s="12"/>
    </row>
    <row r="476" spans="1:34" ht="12.75">
      <c r="A476" s="12"/>
      <c r="B476" s="12"/>
      <c r="C476" s="12"/>
      <c r="D476" s="12"/>
      <c r="E476" s="12"/>
      <c r="F476" s="12"/>
      <c r="G476" s="12"/>
      <c r="H476" s="12"/>
      <c r="I476" s="12"/>
      <c r="J476" s="12"/>
      <c r="K476" s="12"/>
      <c r="L476" s="12"/>
      <c r="M476" s="12"/>
      <c r="N476" s="12"/>
      <c r="O476" s="12"/>
      <c r="P476" s="12"/>
      <c r="Q476" s="12"/>
      <c r="R476" s="27"/>
      <c r="S476" s="27"/>
      <c r="T476" s="27"/>
      <c r="U476" s="27"/>
      <c r="V476" s="12"/>
      <c r="W476" s="12"/>
      <c r="X476" s="12"/>
      <c r="Y476" s="12"/>
      <c r="Z476" s="31"/>
      <c r="AA476" s="12"/>
      <c r="AB476" s="12"/>
      <c r="AC476" s="12"/>
      <c r="AD476" s="12"/>
      <c r="AE476" s="12"/>
      <c r="AF476" s="12"/>
      <c r="AG476" s="12"/>
      <c r="AH476" s="12"/>
    </row>
    <row r="477" spans="1:34" ht="12.75">
      <c r="A477" s="12"/>
      <c r="B477" s="12"/>
      <c r="C477" s="12"/>
      <c r="D477" s="12"/>
      <c r="E477" s="12"/>
      <c r="F477" s="12"/>
      <c r="G477" s="12"/>
      <c r="H477" s="12"/>
      <c r="I477" s="12"/>
      <c r="J477" s="12"/>
      <c r="K477" s="12"/>
      <c r="L477" s="12"/>
      <c r="M477" s="12"/>
      <c r="N477" s="12"/>
      <c r="O477" s="12"/>
      <c r="P477" s="12"/>
      <c r="Q477" s="12"/>
      <c r="R477" s="27"/>
      <c r="S477" s="27"/>
      <c r="T477" s="27"/>
      <c r="U477" s="27"/>
      <c r="V477" s="12"/>
      <c r="W477" s="12"/>
      <c r="X477" s="12"/>
      <c r="Y477" s="12"/>
      <c r="Z477" s="31"/>
      <c r="AA477" s="12"/>
      <c r="AB477" s="12"/>
      <c r="AC477" s="12"/>
      <c r="AD477" s="12"/>
      <c r="AE477" s="12"/>
      <c r="AF477" s="12"/>
      <c r="AG477" s="12"/>
      <c r="AH477" s="12"/>
    </row>
    <row r="478" spans="1:34" ht="12.75">
      <c r="A478" s="12"/>
      <c r="B478" s="12"/>
      <c r="C478" s="12"/>
      <c r="D478" s="12"/>
      <c r="E478" s="12"/>
      <c r="F478" s="12"/>
      <c r="G478" s="12"/>
      <c r="H478" s="12"/>
      <c r="I478" s="12"/>
      <c r="J478" s="12"/>
      <c r="K478" s="12"/>
      <c r="L478" s="12"/>
      <c r="M478" s="12"/>
      <c r="N478" s="12"/>
      <c r="O478" s="12"/>
      <c r="P478" s="12"/>
      <c r="Q478" s="12"/>
      <c r="R478" s="27"/>
      <c r="S478" s="27"/>
      <c r="T478" s="27"/>
      <c r="U478" s="27"/>
      <c r="V478" s="12"/>
      <c r="W478" s="12"/>
      <c r="X478" s="12"/>
      <c r="Y478" s="12"/>
      <c r="Z478" s="31"/>
      <c r="AA478" s="12"/>
      <c r="AB478" s="12"/>
      <c r="AC478" s="12"/>
      <c r="AD478" s="12"/>
      <c r="AE478" s="12"/>
      <c r="AF478" s="12"/>
      <c r="AG478" s="12"/>
      <c r="AH478" s="12"/>
    </row>
    <row r="479" spans="1:34" ht="12.75">
      <c r="A479" s="12"/>
      <c r="B479" s="12"/>
      <c r="C479" s="12"/>
      <c r="D479" s="12"/>
      <c r="E479" s="12"/>
      <c r="F479" s="12"/>
      <c r="G479" s="12"/>
      <c r="H479" s="12"/>
      <c r="I479" s="12"/>
      <c r="J479" s="12"/>
      <c r="K479" s="12"/>
      <c r="L479" s="12"/>
      <c r="M479" s="12"/>
      <c r="N479" s="12"/>
      <c r="O479" s="12"/>
      <c r="P479" s="12"/>
      <c r="Q479" s="12"/>
      <c r="R479" s="27"/>
      <c r="S479" s="27"/>
      <c r="T479" s="27"/>
      <c r="U479" s="27"/>
      <c r="V479" s="12"/>
      <c r="W479" s="12"/>
      <c r="X479" s="12"/>
      <c r="Y479" s="12"/>
      <c r="Z479" s="31"/>
      <c r="AA479" s="12"/>
      <c r="AB479" s="12"/>
      <c r="AC479" s="12"/>
      <c r="AD479" s="12"/>
      <c r="AE479" s="12"/>
      <c r="AF479" s="12"/>
      <c r="AG479" s="12"/>
      <c r="AH479" s="12"/>
    </row>
    <row r="480" spans="1:34" ht="12.75">
      <c r="A480" s="12"/>
      <c r="B480" s="12"/>
      <c r="C480" s="12"/>
      <c r="D480" s="12"/>
      <c r="E480" s="12"/>
      <c r="F480" s="12"/>
      <c r="G480" s="12"/>
      <c r="H480" s="12"/>
      <c r="I480" s="12"/>
      <c r="J480" s="12"/>
      <c r="K480" s="12"/>
      <c r="L480" s="12"/>
      <c r="M480" s="12"/>
      <c r="N480" s="12"/>
      <c r="O480" s="12"/>
      <c r="P480" s="12"/>
      <c r="Q480" s="12"/>
      <c r="R480" s="27"/>
      <c r="S480" s="27"/>
      <c r="T480" s="27"/>
      <c r="U480" s="27"/>
      <c r="V480" s="12"/>
      <c r="W480" s="12"/>
      <c r="X480" s="12"/>
      <c r="Y480" s="12"/>
      <c r="Z480" s="31"/>
      <c r="AA480" s="12"/>
      <c r="AB480" s="12"/>
      <c r="AC480" s="12"/>
      <c r="AD480" s="12"/>
      <c r="AE480" s="12"/>
      <c r="AF480" s="12"/>
      <c r="AG480" s="12"/>
      <c r="AH480" s="12"/>
    </row>
    <row r="481" spans="1:34" ht="12.75">
      <c r="A481" s="12"/>
      <c r="B481" s="12"/>
      <c r="C481" s="12"/>
      <c r="D481" s="12"/>
      <c r="E481" s="12"/>
      <c r="F481" s="12"/>
      <c r="G481" s="12"/>
      <c r="H481" s="12"/>
      <c r="I481" s="12"/>
      <c r="J481" s="12"/>
      <c r="K481" s="12"/>
      <c r="L481" s="12"/>
      <c r="M481" s="12"/>
      <c r="N481" s="12"/>
      <c r="O481" s="12"/>
      <c r="P481" s="12"/>
      <c r="Q481" s="12"/>
      <c r="R481" s="27"/>
      <c r="S481" s="27"/>
      <c r="T481" s="27"/>
      <c r="U481" s="27"/>
      <c r="V481" s="12"/>
      <c r="W481" s="12"/>
      <c r="X481" s="12"/>
      <c r="Y481" s="12"/>
      <c r="Z481" s="31"/>
      <c r="AA481" s="12"/>
      <c r="AB481" s="12"/>
      <c r="AC481" s="12"/>
      <c r="AD481" s="12"/>
      <c r="AE481" s="12"/>
      <c r="AF481" s="12"/>
      <c r="AG481" s="12"/>
      <c r="AH481" s="12"/>
    </row>
    <row r="482" spans="1:34" ht="12.75">
      <c r="A482" s="12"/>
      <c r="B482" s="12"/>
      <c r="C482" s="12"/>
      <c r="D482" s="12"/>
      <c r="E482" s="12"/>
      <c r="F482" s="12"/>
      <c r="G482" s="12"/>
      <c r="H482" s="12"/>
      <c r="I482" s="12"/>
      <c r="J482" s="12"/>
      <c r="K482" s="12"/>
      <c r="L482" s="12"/>
      <c r="M482" s="12"/>
      <c r="N482" s="12"/>
      <c r="O482" s="12"/>
      <c r="P482" s="12"/>
      <c r="Q482" s="12"/>
      <c r="R482" s="27"/>
      <c r="S482" s="27"/>
      <c r="T482" s="27"/>
      <c r="U482" s="27"/>
      <c r="V482" s="12"/>
      <c r="W482" s="12"/>
      <c r="X482" s="12"/>
      <c r="Y482" s="12"/>
      <c r="Z482" s="31"/>
      <c r="AA482" s="12"/>
      <c r="AB482" s="12"/>
      <c r="AC482" s="12"/>
      <c r="AD482" s="12"/>
      <c r="AE482" s="12"/>
      <c r="AF482" s="12"/>
      <c r="AG482" s="12"/>
      <c r="AH482" s="12"/>
    </row>
    <row r="483" spans="1:34" ht="12.75">
      <c r="A483" s="12"/>
      <c r="B483" s="12"/>
      <c r="C483" s="12"/>
      <c r="D483" s="12"/>
      <c r="E483" s="12"/>
      <c r="F483" s="12"/>
      <c r="G483" s="12"/>
      <c r="H483" s="12"/>
      <c r="I483" s="12"/>
      <c r="J483" s="12"/>
      <c r="K483" s="12"/>
      <c r="L483" s="12"/>
      <c r="M483" s="12"/>
      <c r="N483" s="12"/>
      <c r="O483" s="12"/>
      <c r="P483" s="12"/>
      <c r="Q483" s="12"/>
      <c r="R483" s="27"/>
      <c r="S483" s="27"/>
      <c r="T483" s="27"/>
      <c r="U483" s="27"/>
      <c r="V483" s="12"/>
      <c r="W483" s="12"/>
      <c r="X483" s="12"/>
      <c r="Y483" s="12"/>
      <c r="Z483" s="31"/>
      <c r="AA483" s="12"/>
      <c r="AB483" s="12"/>
      <c r="AC483" s="12"/>
      <c r="AD483" s="12"/>
      <c r="AE483" s="12"/>
      <c r="AF483" s="12"/>
      <c r="AG483" s="12"/>
      <c r="AH483" s="12"/>
    </row>
    <row r="484" spans="1:34" ht="12.75">
      <c r="A484" s="12"/>
      <c r="B484" s="12"/>
      <c r="C484" s="12"/>
      <c r="D484" s="12"/>
      <c r="E484" s="12"/>
      <c r="F484" s="12"/>
      <c r="G484" s="12"/>
      <c r="H484" s="12"/>
      <c r="I484" s="12"/>
      <c r="J484" s="12"/>
      <c r="K484" s="12"/>
      <c r="L484" s="12"/>
      <c r="M484" s="12"/>
      <c r="N484" s="12"/>
      <c r="O484" s="12"/>
      <c r="P484" s="12"/>
      <c r="Q484" s="12"/>
      <c r="R484" s="27"/>
      <c r="S484" s="27"/>
      <c r="T484" s="27"/>
      <c r="U484" s="27"/>
      <c r="V484" s="12"/>
      <c r="W484" s="12"/>
      <c r="X484" s="12"/>
      <c r="Y484" s="12"/>
      <c r="Z484" s="31"/>
      <c r="AA484" s="12"/>
      <c r="AB484" s="12"/>
      <c r="AC484" s="12"/>
      <c r="AD484" s="12"/>
      <c r="AE484" s="12"/>
      <c r="AF484" s="12"/>
      <c r="AG484" s="12"/>
      <c r="AH484" s="12"/>
    </row>
    <row r="485" spans="1:34" ht="12.75">
      <c r="A485" s="12"/>
      <c r="B485" s="12"/>
      <c r="C485" s="12"/>
      <c r="D485" s="12"/>
      <c r="E485" s="12"/>
      <c r="F485" s="12"/>
      <c r="G485" s="12"/>
      <c r="H485" s="12"/>
      <c r="I485" s="12"/>
      <c r="J485" s="12"/>
      <c r="K485" s="12"/>
      <c r="L485" s="12"/>
      <c r="M485" s="12"/>
      <c r="N485" s="12"/>
      <c r="O485" s="12"/>
      <c r="P485" s="12"/>
      <c r="Q485" s="12"/>
      <c r="R485" s="27"/>
      <c r="S485" s="27"/>
      <c r="T485" s="27"/>
      <c r="U485" s="27"/>
      <c r="V485" s="12"/>
      <c r="W485" s="12"/>
      <c r="X485" s="12"/>
      <c r="Y485" s="12"/>
      <c r="Z485" s="31"/>
      <c r="AA485" s="12"/>
      <c r="AB485" s="12"/>
      <c r="AC485" s="12"/>
      <c r="AD485" s="12"/>
      <c r="AE485" s="12"/>
      <c r="AF485" s="12"/>
      <c r="AG485" s="12"/>
      <c r="AH485" s="12"/>
    </row>
    <row r="486" spans="1:34" ht="12.75">
      <c r="A486" s="12"/>
      <c r="B486" s="12"/>
      <c r="C486" s="12"/>
      <c r="D486" s="12"/>
      <c r="E486" s="12"/>
      <c r="F486" s="12"/>
      <c r="G486" s="12"/>
      <c r="H486" s="12"/>
      <c r="I486" s="12"/>
      <c r="J486" s="12"/>
      <c r="K486" s="12"/>
      <c r="L486" s="12"/>
      <c r="M486" s="12"/>
      <c r="N486" s="12"/>
      <c r="O486" s="12"/>
      <c r="P486" s="12"/>
      <c r="Q486" s="12"/>
      <c r="R486" s="27"/>
      <c r="S486" s="27"/>
      <c r="T486" s="27"/>
      <c r="U486" s="27"/>
      <c r="V486" s="12"/>
      <c r="W486" s="12"/>
      <c r="X486" s="12"/>
      <c r="Y486" s="12"/>
      <c r="Z486" s="31"/>
      <c r="AA486" s="12"/>
      <c r="AB486" s="12"/>
      <c r="AC486" s="12"/>
      <c r="AD486" s="12"/>
      <c r="AE486" s="12"/>
      <c r="AF486" s="12"/>
      <c r="AG486" s="12"/>
      <c r="AH486" s="12"/>
    </row>
    <row r="487" spans="1:34" ht="12.75">
      <c r="A487" s="12"/>
      <c r="B487" s="12"/>
      <c r="C487" s="12"/>
      <c r="D487" s="12"/>
      <c r="E487" s="12"/>
      <c r="F487" s="12"/>
      <c r="G487" s="12"/>
      <c r="H487" s="12"/>
      <c r="I487" s="12"/>
      <c r="J487" s="12"/>
      <c r="K487" s="12"/>
      <c r="L487" s="12"/>
      <c r="M487" s="12"/>
      <c r="N487" s="12"/>
      <c r="O487" s="12"/>
      <c r="P487" s="12"/>
      <c r="Q487" s="12"/>
      <c r="R487" s="27"/>
      <c r="S487" s="27"/>
      <c r="T487" s="27"/>
      <c r="U487" s="27"/>
      <c r="V487" s="12"/>
      <c r="W487" s="12"/>
      <c r="X487" s="12"/>
      <c r="Y487" s="12"/>
      <c r="Z487" s="31"/>
      <c r="AA487" s="12"/>
      <c r="AB487" s="12"/>
      <c r="AC487" s="12"/>
      <c r="AD487" s="12"/>
      <c r="AE487" s="12"/>
      <c r="AF487" s="12"/>
      <c r="AG487" s="12"/>
      <c r="AH487" s="12"/>
    </row>
    <row r="488" spans="1:34" ht="12.75">
      <c r="A488" s="12"/>
      <c r="B488" s="12"/>
      <c r="C488" s="12"/>
      <c r="D488" s="12"/>
      <c r="E488" s="12"/>
      <c r="F488" s="12"/>
      <c r="G488" s="12"/>
      <c r="H488" s="12"/>
      <c r="I488" s="12"/>
      <c r="J488" s="12"/>
      <c r="K488" s="12"/>
      <c r="L488" s="12"/>
      <c r="M488" s="12"/>
      <c r="N488" s="12"/>
      <c r="O488" s="12"/>
      <c r="P488" s="12"/>
      <c r="Q488" s="12"/>
      <c r="R488" s="27"/>
      <c r="S488" s="27"/>
      <c r="T488" s="27"/>
      <c r="U488" s="27"/>
      <c r="V488" s="12"/>
      <c r="W488" s="12"/>
      <c r="X488" s="12"/>
      <c r="Y488" s="12"/>
      <c r="Z488" s="31"/>
      <c r="AA488" s="12"/>
      <c r="AB488" s="12"/>
      <c r="AC488" s="12"/>
      <c r="AD488" s="12"/>
      <c r="AE488" s="12"/>
      <c r="AF488" s="12"/>
      <c r="AG488" s="12"/>
      <c r="AH488" s="12"/>
    </row>
    <row r="489" spans="1:34" ht="12.75">
      <c r="A489" s="12"/>
      <c r="B489" s="12"/>
      <c r="C489" s="12"/>
      <c r="D489" s="12"/>
      <c r="E489" s="12"/>
      <c r="F489" s="12"/>
      <c r="G489" s="12"/>
      <c r="H489" s="12"/>
      <c r="I489" s="12"/>
      <c r="J489" s="12"/>
      <c r="K489" s="12"/>
      <c r="L489" s="12"/>
      <c r="M489" s="12"/>
      <c r="N489" s="12"/>
      <c r="O489" s="12"/>
      <c r="P489" s="12"/>
      <c r="Q489" s="12"/>
      <c r="R489" s="27"/>
      <c r="S489" s="27"/>
      <c r="T489" s="27"/>
      <c r="U489" s="27"/>
      <c r="V489" s="12"/>
      <c r="W489" s="12"/>
      <c r="X489" s="12"/>
      <c r="Y489" s="12"/>
      <c r="Z489" s="31"/>
      <c r="AA489" s="12"/>
      <c r="AB489" s="12"/>
      <c r="AC489" s="12"/>
      <c r="AD489" s="12"/>
      <c r="AE489" s="12"/>
      <c r="AF489" s="12"/>
      <c r="AG489" s="12"/>
      <c r="AH489" s="12"/>
    </row>
    <row r="490" spans="1:34" ht="12.75">
      <c r="A490" s="12"/>
      <c r="B490" s="12"/>
      <c r="C490" s="12"/>
      <c r="D490" s="12"/>
      <c r="E490" s="12"/>
      <c r="F490" s="12"/>
      <c r="G490" s="12"/>
      <c r="H490" s="12"/>
      <c r="I490" s="12"/>
      <c r="J490" s="12"/>
      <c r="K490" s="12"/>
      <c r="L490" s="12"/>
      <c r="M490" s="12"/>
      <c r="N490" s="12"/>
      <c r="O490" s="12"/>
      <c r="P490" s="12"/>
      <c r="Q490" s="12"/>
      <c r="R490" s="27"/>
      <c r="S490" s="27"/>
      <c r="T490" s="27"/>
      <c r="U490" s="27"/>
      <c r="V490" s="12"/>
      <c r="W490" s="12"/>
      <c r="X490" s="12"/>
      <c r="Y490" s="12"/>
      <c r="Z490" s="31"/>
      <c r="AA490" s="12"/>
      <c r="AB490" s="12"/>
      <c r="AC490" s="12"/>
      <c r="AD490" s="12"/>
      <c r="AE490" s="12"/>
      <c r="AF490" s="12"/>
      <c r="AG490" s="12"/>
      <c r="AH490" s="12"/>
    </row>
    <row r="491" spans="1:34" ht="12.75">
      <c r="A491" s="12"/>
      <c r="B491" s="12"/>
      <c r="C491" s="12"/>
      <c r="D491" s="12"/>
      <c r="E491" s="12"/>
      <c r="F491" s="12"/>
      <c r="G491" s="12"/>
      <c r="H491" s="12"/>
      <c r="I491" s="12"/>
      <c r="J491" s="12"/>
      <c r="K491" s="12"/>
      <c r="L491" s="12"/>
      <c r="M491" s="12"/>
      <c r="N491" s="12"/>
      <c r="O491" s="12"/>
      <c r="P491" s="12"/>
      <c r="Q491" s="12"/>
      <c r="R491" s="27"/>
      <c r="S491" s="27"/>
      <c r="T491" s="27"/>
      <c r="U491" s="27"/>
      <c r="V491" s="12"/>
      <c r="W491" s="12"/>
      <c r="X491" s="12"/>
      <c r="Y491" s="12"/>
      <c r="Z491" s="31"/>
      <c r="AA491" s="12"/>
      <c r="AB491" s="12"/>
      <c r="AC491" s="12"/>
      <c r="AD491" s="12"/>
      <c r="AE491" s="12"/>
      <c r="AF491" s="12"/>
      <c r="AG491" s="12"/>
      <c r="AH491" s="12"/>
    </row>
    <row r="492" spans="1:34" ht="12.75">
      <c r="A492" s="12"/>
      <c r="B492" s="12"/>
      <c r="C492" s="12"/>
      <c r="D492" s="12"/>
      <c r="E492" s="12"/>
      <c r="F492" s="12"/>
      <c r="G492" s="12"/>
      <c r="H492" s="12"/>
      <c r="I492" s="12"/>
      <c r="J492" s="12"/>
      <c r="K492" s="12"/>
      <c r="L492" s="12"/>
      <c r="M492" s="12"/>
      <c r="N492" s="12"/>
      <c r="O492" s="12"/>
      <c r="P492" s="12"/>
      <c r="Q492" s="12"/>
      <c r="R492" s="27"/>
      <c r="S492" s="27"/>
      <c r="T492" s="27"/>
      <c r="U492" s="27"/>
      <c r="V492" s="12"/>
      <c r="W492" s="12"/>
      <c r="X492" s="12"/>
      <c r="Y492" s="12"/>
      <c r="Z492" s="31"/>
      <c r="AA492" s="12"/>
      <c r="AB492" s="12"/>
      <c r="AC492" s="12"/>
      <c r="AD492" s="12"/>
      <c r="AE492" s="12"/>
      <c r="AF492" s="12"/>
      <c r="AG492" s="12"/>
      <c r="AH492" s="12"/>
    </row>
    <row r="493" spans="1:34" ht="12.75">
      <c r="A493" s="12"/>
      <c r="B493" s="12"/>
      <c r="C493" s="12"/>
      <c r="D493" s="12"/>
      <c r="E493" s="12"/>
      <c r="F493" s="12"/>
      <c r="G493" s="12"/>
      <c r="H493" s="12"/>
      <c r="I493" s="12"/>
      <c r="J493" s="12"/>
      <c r="K493" s="12"/>
      <c r="L493" s="12"/>
      <c r="M493" s="12"/>
      <c r="N493" s="12"/>
      <c r="O493" s="12"/>
      <c r="P493" s="12"/>
      <c r="Q493" s="12"/>
      <c r="R493" s="27"/>
      <c r="S493" s="27"/>
      <c r="T493" s="27"/>
      <c r="U493" s="27"/>
      <c r="V493" s="12"/>
      <c r="W493" s="12"/>
      <c r="X493" s="12"/>
      <c r="Y493" s="12"/>
      <c r="Z493" s="31"/>
      <c r="AA493" s="12"/>
      <c r="AB493" s="12"/>
      <c r="AC493" s="12"/>
      <c r="AD493" s="12"/>
      <c r="AE493" s="12"/>
      <c r="AF493" s="12"/>
      <c r="AG493" s="12"/>
      <c r="AH493" s="12"/>
    </row>
    <row r="494" spans="1:34" ht="12.75">
      <c r="A494" s="12"/>
      <c r="B494" s="12"/>
      <c r="C494" s="12"/>
      <c r="D494" s="12"/>
      <c r="E494" s="12"/>
      <c r="F494" s="12"/>
      <c r="G494" s="12"/>
      <c r="H494" s="12"/>
      <c r="I494" s="12"/>
      <c r="J494" s="12"/>
      <c r="K494" s="12"/>
      <c r="L494" s="12"/>
      <c r="M494" s="12"/>
      <c r="N494" s="12"/>
      <c r="O494" s="12"/>
      <c r="P494" s="12"/>
      <c r="Q494" s="12"/>
      <c r="R494" s="27"/>
      <c r="S494" s="27"/>
      <c r="T494" s="27"/>
      <c r="U494" s="27"/>
      <c r="V494" s="12"/>
      <c r="W494" s="12"/>
      <c r="X494" s="12"/>
      <c r="Y494" s="12"/>
      <c r="Z494" s="31"/>
      <c r="AA494" s="12"/>
      <c r="AB494" s="12"/>
      <c r="AC494" s="12"/>
      <c r="AD494" s="12"/>
      <c r="AE494" s="12"/>
      <c r="AF494" s="12"/>
      <c r="AG494" s="12"/>
      <c r="AH494" s="12"/>
    </row>
    <row r="495" spans="1:34" ht="12.75">
      <c r="A495" s="12"/>
      <c r="B495" s="12"/>
      <c r="C495" s="12"/>
      <c r="D495" s="12"/>
      <c r="E495" s="12"/>
      <c r="F495" s="12"/>
      <c r="G495" s="12"/>
      <c r="H495" s="12"/>
      <c r="I495" s="12"/>
      <c r="J495" s="12"/>
      <c r="K495" s="12"/>
      <c r="L495" s="12"/>
      <c r="M495" s="12"/>
      <c r="N495" s="12"/>
      <c r="O495" s="12"/>
      <c r="P495" s="12"/>
      <c r="Q495" s="12"/>
      <c r="R495" s="27"/>
      <c r="S495" s="27"/>
      <c r="T495" s="27"/>
      <c r="U495" s="27"/>
      <c r="V495" s="12"/>
      <c r="W495" s="12"/>
      <c r="X495" s="12"/>
      <c r="Y495" s="12"/>
      <c r="Z495" s="31"/>
      <c r="AA495" s="12"/>
      <c r="AB495" s="12"/>
      <c r="AC495" s="12"/>
      <c r="AD495" s="12"/>
      <c r="AE495" s="12"/>
      <c r="AF495" s="12"/>
      <c r="AG495" s="12"/>
      <c r="AH495" s="12"/>
    </row>
    <row r="496" spans="1:34" ht="12.75">
      <c r="A496" s="12"/>
      <c r="B496" s="12"/>
      <c r="C496" s="12"/>
      <c r="D496" s="12"/>
      <c r="E496" s="12"/>
      <c r="F496" s="12"/>
      <c r="G496" s="12"/>
      <c r="H496" s="12"/>
      <c r="I496" s="12"/>
      <c r="J496" s="12"/>
      <c r="K496" s="12"/>
      <c r="L496" s="12"/>
      <c r="M496" s="12"/>
      <c r="N496" s="12"/>
      <c r="O496" s="12"/>
      <c r="P496" s="12"/>
      <c r="Q496" s="12"/>
      <c r="R496" s="27"/>
      <c r="S496" s="27"/>
      <c r="T496" s="27"/>
      <c r="U496" s="27"/>
      <c r="V496" s="12"/>
      <c r="W496" s="12"/>
      <c r="X496" s="12"/>
      <c r="Y496" s="12"/>
      <c r="Z496" s="31"/>
      <c r="AA496" s="12"/>
      <c r="AB496" s="12"/>
      <c r="AC496" s="12"/>
      <c r="AD496" s="12"/>
      <c r="AE496" s="12"/>
      <c r="AF496" s="12"/>
      <c r="AG496" s="12"/>
      <c r="AH496" s="12"/>
    </row>
    <row r="497" spans="1:34" ht="12.75">
      <c r="A497" s="12"/>
      <c r="B497" s="12"/>
      <c r="C497" s="12"/>
      <c r="D497" s="12"/>
      <c r="E497" s="12"/>
      <c r="F497" s="12"/>
      <c r="G497" s="12"/>
      <c r="H497" s="12"/>
      <c r="I497" s="12"/>
      <c r="J497" s="12"/>
      <c r="K497" s="12"/>
      <c r="L497" s="12"/>
      <c r="M497" s="12"/>
      <c r="N497" s="12"/>
      <c r="O497" s="12"/>
      <c r="P497" s="12"/>
      <c r="Q497" s="12"/>
      <c r="R497" s="27"/>
      <c r="S497" s="27"/>
      <c r="T497" s="27"/>
      <c r="U497" s="27"/>
      <c r="V497" s="12"/>
      <c r="W497" s="12"/>
      <c r="X497" s="12"/>
      <c r="Y497" s="12"/>
      <c r="Z497" s="31"/>
      <c r="AA497" s="12"/>
      <c r="AB497" s="12"/>
      <c r="AC497" s="12"/>
      <c r="AD497" s="12"/>
      <c r="AE497" s="12"/>
      <c r="AF497" s="12"/>
      <c r="AG497" s="12"/>
      <c r="AH497" s="12"/>
    </row>
    <row r="498" spans="1:34" ht="12.75">
      <c r="A498" s="12"/>
      <c r="B498" s="12"/>
      <c r="C498" s="12"/>
      <c r="D498" s="12"/>
      <c r="E498" s="12"/>
      <c r="F498" s="12"/>
      <c r="G498" s="12"/>
      <c r="H498" s="12"/>
      <c r="I498" s="12"/>
      <c r="J498" s="12"/>
      <c r="K498" s="12"/>
      <c r="L498" s="12"/>
      <c r="M498" s="12"/>
      <c r="N498" s="12"/>
      <c r="O498" s="12"/>
      <c r="P498" s="12"/>
      <c r="Q498" s="12"/>
      <c r="R498" s="27"/>
      <c r="S498" s="27"/>
      <c r="T498" s="27"/>
      <c r="U498" s="27"/>
      <c r="V498" s="12"/>
      <c r="W498" s="12"/>
      <c r="X498" s="12"/>
      <c r="Y498" s="12"/>
      <c r="Z498" s="31"/>
      <c r="AA498" s="12"/>
      <c r="AB498" s="12"/>
      <c r="AC498" s="12"/>
      <c r="AD498" s="12"/>
      <c r="AE498" s="12"/>
      <c r="AF498" s="12"/>
      <c r="AG498" s="12"/>
      <c r="AH498" s="12"/>
    </row>
    <row r="499" spans="1:34" ht="12.75">
      <c r="A499" s="12"/>
      <c r="B499" s="12"/>
      <c r="C499" s="12"/>
      <c r="D499" s="12"/>
      <c r="E499" s="12"/>
      <c r="F499" s="12"/>
      <c r="G499" s="12"/>
      <c r="H499" s="12"/>
      <c r="I499" s="12"/>
      <c r="J499" s="12"/>
      <c r="K499" s="12"/>
      <c r="L499" s="12"/>
      <c r="M499" s="12"/>
      <c r="N499" s="12"/>
      <c r="O499" s="12"/>
      <c r="P499" s="12"/>
      <c r="Q499" s="12"/>
      <c r="R499" s="27"/>
      <c r="S499" s="27"/>
      <c r="T499" s="27"/>
      <c r="U499" s="27"/>
      <c r="V499" s="12"/>
      <c r="W499" s="12"/>
      <c r="X499" s="12"/>
      <c r="Y499" s="12"/>
      <c r="Z499" s="31"/>
      <c r="AA499" s="12"/>
      <c r="AB499" s="12"/>
      <c r="AC499" s="12"/>
      <c r="AD499" s="12"/>
      <c r="AE499" s="12"/>
      <c r="AF499" s="12"/>
      <c r="AG499" s="12"/>
      <c r="AH499" s="12"/>
    </row>
    <row r="500" spans="1:34" ht="12.75">
      <c r="A500" s="12"/>
      <c r="B500" s="12"/>
      <c r="C500" s="12"/>
      <c r="D500" s="12"/>
      <c r="E500" s="12"/>
      <c r="F500" s="12"/>
      <c r="G500" s="12"/>
      <c r="H500" s="12"/>
      <c r="I500" s="12"/>
      <c r="J500" s="12"/>
      <c r="K500" s="12"/>
      <c r="L500" s="12"/>
      <c r="M500" s="12"/>
      <c r="N500" s="12"/>
      <c r="O500" s="12"/>
      <c r="P500" s="12"/>
      <c r="Q500" s="12"/>
      <c r="R500" s="27"/>
      <c r="S500" s="27"/>
      <c r="T500" s="27"/>
      <c r="U500" s="27"/>
      <c r="V500" s="12"/>
      <c r="W500" s="12"/>
      <c r="X500" s="12"/>
      <c r="Y500" s="12"/>
      <c r="Z500" s="31"/>
      <c r="AA500" s="12"/>
      <c r="AB500" s="12"/>
      <c r="AC500" s="12"/>
      <c r="AD500" s="12"/>
      <c r="AE500" s="12"/>
      <c r="AF500" s="12"/>
      <c r="AG500" s="12"/>
      <c r="AH500" s="12"/>
    </row>
    <row r="501" spans="1:34" ht="12.75">
      <c r="A501" s="12"/>
      <c r="B501" s="12"/>
      <c r="C501" s="12"/>
      <c r="D501" s="12"/>
      <c r="E501" s="12"/>
      <c r="F501" s="12"/>
      <c r="G501" s="12"/>
      <c r="H501" s="12"/>
      <c r="I501" s="12"/>
      <c r="J501" s="12"/>
      <c r="K501" s="12"/>
      <c r="L501" s="12"/>
      <c r="M501" s="12"/>
      <c r="N501" s="12"/>
      <c r="O501" s="12"/>
      <c r="P501" s="12"/>
      <c r="Q501" s="12"/>
      <c r="R501" s="27"/>
      <c r="S501" s="27"/>
      <c r="T501" s="27"/>
      <c r="U501" s="27"/>
      <c r="V501" s="12"/>
      <c r="W501" s="12"/>
      <c r="X501" s="12"/>
      <c r="Y501" s="12"/>
      <c r="Z501" s="31"/>
      <c r="AA501" s="12"/>
      <c r="AB501" s="12"/>
      <c r="AC501" s="12"/>
      <c r="AD501" s="12"/>
      <c r="AE501" s="12"/>
      <c r="AF501" s="12"/>
      <c r="AG501" s="12"/>
      <c r="AH501" s="12"/>
    </row>
    <row r="502" spans="1:34" ht="12.75">
      <c r="A502" s="12"/>
      <c r="B502" s="12"/>
      <c r="C502" s="12"/>
      <c r="D502" s="12"/>
      <c r="E502" s="12"/>
      <c r="F502" s="12"/>
      <c r="G502" s="12"/>
      <c r="H502" s="12"/>
      <c r="I502" s="12"/>
      <c r="J502" s="12"/>
      <c r="K502" s="12"/>
      <c r="L502" s="12"/>
      <c r="M502" s="12"/>
      <c r="N502" s="12"/>
      <c r="O502" s="12"/>
      <c r="P502" s="12"/>
      <c r="Q502" s="12"/>
      <c r="R502" s="27"/>
      <c r="S502" s="27"/>
      <c r="T502" s="27"/>
      <c r="U502" s="27"/>
      <c r="V502" s="12"/>
      <c r="W502" s="12"/>
      <c r="X502" s="12"/>
      <c r="Y502" s="12"/>
      <c r="Z502" s="31"/>
      <c r="AA502" s="12"/>
      <c r="AB502" s="12"/>
      <c r="AC502" s="12"/>
      <c r="AD502" s="12"/>
      <c r="AE502" s="12"/>
      <c r="AF502" s="12"/>
      <c r="AG502" s="12"/>
      <c r="AH502" s="12"/>
    </row>
    <row r="503" spans="1:34" ht="12.75">
      <c r="A503" s="12"/>
      <c r="B503" s="12"/>
      <c r="C503" s="12"/>
      <c r="D503" s="12"/>
      <c r="E503" s="12"/>
      <c r="F503" s="12"/>
      <c r="G503" s="12"/>
      <c r="H503" s="12"/>
      <c r="I503" s="12"/>
      <c r="J503" s="12"/>
      <c r="K503" s="12"/>
      <c r="L503" s="12"/>
      <c r="M503" s="12"/>
      <c r="N503" s="12"/>
      <c r="O503" s="12"/>
      <c r="P503" s="12"/>
      <c r="Q503" s="12"/>
      <c r="R503" s="27"/>
      <c r="S503" s="27"/>
      <c r="T503" s="27"/>
      <c r="U503" s="27"/>
      <c r="V503" s="12"/>
      <c r="W503" s="12"/>
      <c r="X503" s="12"/>
      <c r="Y503" s="12"/>
      <c r="Z503" s="31"/>
      <c r="AA503" s="12"/>
      <c r="AB503" s="12"/>
      <c r="AC503" s="12"/>
      <c r="AD503" s="12"/>
      <c r="AE503" s="12"/>
      <c r="AF503" s="12"/>
      <c r="AG503" s="12"/>
      <c r="AH503" s="12"/>
    </row>
    <row r="504" spans="1:34" ht="12.75">
      <c r="A504" s="12"/>
      <c r="B504" s="12"/>
      <c r="C504" s="12"/>
      <c r="D504" s="12"/>
      <c r="E504" s="12"/>
      <c r="F504" s="12"/>
      <c r="G504" s="12"/>
      <c r="H504" s="12"/>
      <c r="I504" s="12"/>
      <c r="J504" s="12"/>
      <c r="K504" s="12"/>
      <c r="L504" s="12"/>
      <c r="M504" s="12"/>
      <c r="N504" s="12"/>
      <c r="O504" s="12"/>
      <c r="P504" s="12"/>
      <c r="Q504" s="12"/>
      <c r="R504" s="27"/>
      <c r="S504" s="27"/>
      <c r="T504" s="27"/>
      <c r="U504" s="27"/>
      <c r="V504" s="12"/>
      <c r="W504" s="12"/>
      <c r="X504" s="12"/>
      <c r="Y504" s="12"/>
      <c r="Z504" s="31"/>
      <c r="AA504" s="12"/>
      <c r="AB504" s="12"/>
      <c r="AC504" s="12"/>
      <c r="AD504" s="12"/>
      <c r="AE504" s="12"/>
      <c r="AF504" s="12"/>
      <c r="AG504" s="12"/>
      <c r="AH504" s="12"/>
    </row>
    <row r="505" spans="1:34" ht="12.75">
      <c r="A505" s="12"/>
      <c r="B505" s="12"/>
      <c r="C505" s="12"/>
      <c r="D505" s="12"/>
      <c r="E505" s="12"/>
      <c r="F505" s="12"/>
      <c r="G505" s="12"/>
      <c r="H505" s="12"/>
      <c r="I505" s="12"/>
      <c r="J505" s="12"/>
      <c r="K505" s="12"/>
      <c r="L505" s="12"/>
      <c r="M505" s="12"/>
      <c r="N505" s="12"/>
      <c r="O505" s="12"/>
      <c r="P505" s="12"/>
      <c r="Q505" s="12"/>
      <c r="R505" s="27"/>
      <c r="S505" s="27"/>
      <c r="T505" s="27"/>
      <c r="U505" s="27"/>
      <c r="V505" s="12"/>
      <c r="W505" s="12"/>
      <c r="X505" s="12"/>
      <c r="Y505" s="12"/>
      <c r="Z505" s="31"/>
      <c r="AA505" s="12"/>
      <c r="AB505" s="12"/>
      <c r="AC505" s="12"/>
      <c r="AD505" s="12"/>
      <c r="AE505" s="12"/>
      <c r="AF505" s="12"/>
      <c r="AG505" s="12"/>
      <c r="AH505" s="12"/>
    </row>
    <row r="506" spans="1:34" ht="12.75">
      <c r="A506" s="12"/>
      <c r="B506" s="12"/>
      <c r="C506" s="12"/>
      <c r="D506" s="12"/>
      <c r="E506" s="12"/>
      <c r="F506" s="12"/>
      <c r="G506" s="12"/>
      <c r="H506" s="12"/>
      <c r="I506" s="12"/>
      <c r="J506" s="12"/>
      <c r="K506" s="12"/>
      <c r="L506" s="12"/>
      <c r="M506" s="12"/>
      <c r="N506" s="12"/>
      <c r="O506" s="12"/>
      <c r="P506" s="12"/>
      <c r="Q506" s="12"/>
      <c r="R506" s="27"/>
      <c r="S506" s="27"/>
      <c r="T506" s="27"/>
      <c r="U506" s="27"/>
      <c r="V506" s="12"/>
      <c r="W506" s="12"/>
      <c r="X506" s="12"/>
      <c r="Y506" s="12"/>
      <c r="Z506" s="31"/>
      <c r="AA506" s="12"/>
      <c r="AB506" s="12"/>
      <c r="AC506" s="12"/>
      <c r="AD506" s="12"/>
      <c r="AE506" s="12"/>
      <c r="AF506" s="12"/>
      <c r="AG506" s="12"/>
      <c r="AH506" s="12"/>
    </row>
    <row r="507" spans="1:34" ht="12.75">
      <c r="A507" s="12"/>
      <c r="B507" s="12"/>
      <c r="C507" s="12"/>
      <c r="D507" s="12"/>
      <c r="E507" s="12"/>
      <c r="F507" s="12"/>
      <c r="G507" s="12"/>
      <c r="H507" s="12"/>
      <c r="I507" s="12"/>
      <c r="J507" s="12"/>
      <c r="K507" s="12"/>
      <c r="L507" s="12"/>
      <c r="M507" s="12"/>
      <c r="N507" s="12"/>
      <c r="O507" s="12"/>
      <c r="P507" s="12"/>
      <c r="Q507" s="12"/>
      <c r="R507" s="27"/>
      <c r="S507" s="27"/>
      <c r="T507" s="27"/>
      <c r="U507" s="27"/>
      <c r="V507" s="12"/>
      <c r="W507" s="12"/>
      <c r="X507" s="12"/>
      <c r="Y507" s="12"/>
      <c r="Z507" s="31"/>
      <c r="AA507" s="12"/>
      <c r="AB507" s="12"/>
      <c r="AC507" s="12"/>
      <c r="AD507" s="12"/>
      <c r="AE507" s="12"/>
      <c r="AF507" s="12"/>
      <c r="AG507" s="12"/>
      <c r="AH507" s="12"/>
    </row>
    <row r="508" spans="1:34" ht="12.75">
      <c r="A508" s="12"/>
      <c r="B508" s="12"/>
      <c r="C508" s="12"/>
      <c r="D508" s="12"/>
      <c r="E508" s="12"/>
      <c r="F508" s="12"/>
      <c r="G508" s="12"/>
      <c r="H508" s="12"/>
      <c r="I508" s="12"/>
      <c r="J508" s="12"/>
      <c r="K508" s="12"/>
      <c r="L508" s="12"/>
      <c r="M508" s="12"/>
      <c r="N508" s="12"/>
      <c r="O508" s="12"/>
      <c r="P508" s="12"/>
      <c r="Q508" s="12"/>
      <c r="R508" s="27"/>
      <c r="S508" s="27"/>
      <c r="T508" s="27"/>
      <c r="U508" s="27"/>
      <c r="V508" s="12"/>
      <c r="W508" s="12"/>
      <c r="X508" s="12"/>
      <c r="Y508" s="12"/>
      <c r="Z508" s="31"/>
      <c r="AA508" s="12"/>
      <c r="AB508" s="12"/>
      <c r="AC508" s="12"/>
      <c r="AD508" s="12"/>
      <c r="AE508" s="12"/>
      <c r="AF508" s="12"/>
      <c r="AG508" s="12"/>
      <c r="AH508" s="12"/>
    </row>
    <row r="509" spans="1:34" ht="12.75">
      <c r="A509" s="12"/>
      <c r="B509" s="12"/>
      <c r="C509" s="12"/>
      <c r="D509" s="12"/>
      <c r="E509" s="12"/>
      <c r="F509" s="12"/>
      <c r="G509" s="12"/>
      <c r="H509" s="12"/>
      <c r="I509" s="12"/>
      <c r="J509" s="12"/>
      <c r="K509" s="12"/>
      <c r="L509" s="12"/>
      <c r="M509" s="12"/>
      <c r="N509" s="12"/>
      <c r="O509" s="12"/>
      <c r="P509" s="12"/>
      <c r="Q509" s="12"/>
      <c r="R509" s="27"/>
      <c r="S509" s="27"/>
      <c r="T509" s="27"/>
      <c r="U509" s="27"/>
      <c r="V509" s="12"/>
      <c r="W509" s="12"/>
      <c r="X509" s="12"/>
      <c r="Y509" s="12"/>
      <c r="Z509" s="31"/>
      <c r="AA509" s="12"/>
      <c r="AB509" s="12"/>
      <c r="AC509" s="12"/>
      <c r="AD509" s="12"/>
      <c r="AE509" s="12"/>
      <c r="AF509" s="12"/>
      <c r="AG509" s="12"/>
      <c r="AH509" s="12"/>
    </row>
    <row r="510" spans="1:34" ht="12.75">
      <c r="A510" s="12"/>
      <c r="B510" s="12"/>
      <c r="C510" s="12"/>
      <c r="D510" s="12"/>
      <c r="E510" s="12"/>
      <c r="F510" s="12"/>
      <c r="G510" s="12"/>
      <c r="H510" s="12"/>
      <c r="I510" s="12"/>
      <c r="J510" s="12"/>
      <c r="K510" s="12"/>
      <c r="L510" s="12"/>
      <c r="M510" s="12"/>
      <c r="N510" s="12"/>
      <c r="O510" s="12"/>
      <c r="P510" s="12"/>
      <c r="Q510" s="12"/>
      <c r="R510" s="27"/>
      <c r="S510" s="27"/>
      <c r="T510" s="27"/>
      <c r="U510" s="27"/>
      <c r="V510" s="12"/>
      <c r="W510" s="12"/>
      <c r="X510" s="12"/>
      <c r="Y510" s="12"/>
      <c r="Z510" s="31"/>
      <c r="AA510" s="12"/>
      <c r="AB510" s="12"/>
      <c r="AC510" s="12"/>
      <c r="AD510" s="12"/>
      <c r="AE510" s="12"/>
      <c r="AF510" s="12"/>
      <c r="AG510" s="12"/>
      <c r="AH510" s="12"/>
    </row>
    <row r="511" spans="1:34" ht="12.75">
      <c r="A511" s="12"/>
      <c r="B511" s="12"/>
      <c r="C511" s="12"/>
      <c r="D511" s="12"/>
      <c r="E511" s="12"/>
      <c r="F511" s="12"/>
      <c r="G511" s="12"/>
      <c r="H511" s="12"/>
      <c r="I511" s="12"/>
      <c r="J511" s="12"/>
      <c r="K511" s="12"/>
      <c r="L511" s="12"/>
      <c r="M511" s="12"/>
      <c r="N511" s="12"/>
      <c r="O511" s="12"/>
      <c r="P511" s="12"/>
      <c r="Q511" s="12"/>
      <c r="R511" s="27"/>
      <c r="S511" s="27"/>
      <c r="T511" s="27"/>
      <c r="U511" s="27"/>
      <c r="V511" s="12"/>
      <c r="W511" s="12"/>
      <c r="X511" s="12"/>
      <c r="Y511" s="12"/>
      <c r="Z511" s="31"/>
      <c r="AA511" s="12"/>
      <c r="AB511" s="12"/>
      <c r="AC511" s="12"/>
      <c r="AD511" s="12"/>
      <c r="AE511" s="12"/>
      <c r="AF511" s="12"/>
      <c r="AG511" s="12"/>
      <c r="AH511" s="12"/>
    </row>
    <row r="512" spans="1:34" ht="12.75">
      <c r="A512" s="12"/>
      <c r="B512" s="12"/>
      <c r="C512" s="12"/>
      <c r="D512" s="12"/>
      <c r="E512" s="12"/>
      <c r="F512" s="12"/>
      <c r="G512" s="12"/>
      <c r="H512" s="12"/>
      <c r="I512" s="12"/>
      <c r="J512" s="12"/>
      <c r="K512" s="12"/>
      <c r="L512" s="12"/>
      <c r="M512" s="12"/>
      <c r="N512" s="12"/>
      <c r="O512" s="12"/>
      <c r="P512" s="12"/>
      <c r="Q512" s="12"/>
      <c r="R512" s="27"/>
      <c r="S512" s="27"/>
      <c r="T512" s="27"/>
      <c r="U512" s="27"/>
      <c r="V512" s="12"/>
      <c r="W512" s="12"/>
      <c r="X512" s="12"/>
      <c r="Y512" s="12"/>
      <c r="Z512" s="31"/>
      <c r="AA512" s="12"/>
      <c r="AB512" s="12"/>
      <c r="AC512" s="12"/>
      <c r="AD512" s="12"/>
      <c r="AE512" s="12"/>
      <c r="AF512" s="12"/>
      <c r="AG512" s="12"/>
      <c r="AH512" s="12"/>
    </row>
    <row r="513" spans="1:34" ht="12.75">
      <c r="A513" s="12"/>
      <c r="B513" s="12"/>
      <c r="C513" s="12"/>
      <c r="D513" s="12"/>
      <c r="E513" s="12"/>
      <c r="F513" s="12"/>
      <c r="G513" s="12"/>
      <c r="H513" s="12"/>
      <c r="I513" s="12"/>
      <c r="J513" s="12"/>
      <c r="K513" s="12"/>
      <c r="L513" s="12"/>
      <c r="M513" s="12"/>
      <c r="N513" s="12"/>
      <c r="O513" s="12"/>
      <c r="P513" s="12"/>
      <c r="Q513" s="12"/>
      <c r="R513" s="27"/>
      <c r="S513" s="27"/>
      <c r="T513" s="27"/>
      <c r="U513" s="27"/>
      <c r="V513" s="12"/>
      <c r="W513" s="12"/>
      <c r="X513" s="12"/>
      <c r="Y513" s="12"/>
      <c r="Z513" s="31"/>
      <c r="AA513" s="12"/>
      <c r="AB513" s="12"/>
      <c r="AC513" s="12"/>
      <c r="AD513" s="12"/>
      <c r="AE513" s="12"/>
      <c r="AF513" s="12"/>
      <c r="AG513" s="12"/>
      <c r="AH513" s="12"/>
    </row>
    <row r="514" spans="1:34" ht="12.75">
      <c r="A514" s="12"/>
      <c r="B514" s="12"/>
      <c r="C514" s="12"/>
      <c r="D514" s="12"/>
      <c r="E514" s="12"/>
      <c r="F514" s="12"/>
      <c r="G514" s="12"/>
      <c r="H514" s="12"/>
      <c r="I514" s="12"/>
      <c r="J514" s="12"/>
      <c r="K514" s="12"/>
      <c r="L514" s="12"/>
      <c r="M514" s="12"/>
      <c r="N514" s="12"/>
      <c r="O514" s="12"/>
      <c r="P514" s="12"/>
      <c r="Q514" s="12"/>
      <c r="R514" s="27"/>
      <c r="S514" s="27"/>
      <c r="T514" s="27"/>
      <c r="U514" s="27"/>
      <c r="V514" s="12"/>
      <c r="W514" s="12"/>
      <c r="X514" s="12"/>
      <c r="Y514" s="12"/>
      <c r="Z514" s="31"/>
      <c r="AA514" s="12"/>
      <c r="AB514" s="12"/>
      <c r="AC514" s="12"/>
      <c r="AD514" s="12"/>
      <c r="AE514" s="12"/>
      <c r="AF514" s="12"/>
      <c r="AG514" s="12"/>
      <c r="AH514" s="12"/>
    </row>
    <row r="515" spans="1:34" ht="12.75">
      <c r="A515" s="12"/>
      <c r="B515" s="12"/>
      <c r="C515" s="12"/>
      <c r="D515" s="12"/>
      <c r="E515" s="12"/>
      <c r="F515" s="12"/>
      <c r="G515" s="12"/>
      <c r="H515" s="12"/>
      <c r="I515" s="12"/>
      <c r="J515" s="12"/>
      <c r="K515" s="12"/>
      <c r="L515" s="12"/>
      <c r="M515" s="12"/>
      <c r="N515" s="12"/>
      <c r="O515" s="12"/>
      <c r="P515" s="12"/>
      <c r="Q515" s="12"/>
      <c r="R515" s="27"/>
      <c r="S515" s="27"/>
      <c r="T515" s="27"/>
      <c r="U515" s="27"/>
      <c r="V515" s="12"/>
      <c r="W515" s="12"/>
      <c r="X515" s="12"/>
      <c r="Y515" s="12"/>
      <c r="Z515" s="31"/>
      <c r="AA515" s="12"/>
      <c r="AB515" s="12"/>
      <c r="AC515" s="12"/>
      <c r="AD515" s="12"/>
      <c r="AE515" s="12"/>
      <c r="AF515" s="12"/>
      <c r="AG515" s="12"/>
      <c r="AH515" s="12"/>
    </row>
    <row r="516" spans="1:34" ht="12.75">
      <c r="A516" s="12"/>
      <c r="B516" s="12"/>
      <c r="C516" s="12"/>
      <c r="D516" s="12"/>
      <c r="E516" s="12"/>
      <c r="F516" s="12"/>
      <c r="G516" s="12"/>
      <c r="H516" s="12"/>
      <c r="I516" s="12"/>
      <c r="J516" s="12"/>
      <c r="K516" s="12"/>
      <c r="L516" s="12"/>
      <c r="M516" s="12"/>
      <c r="N516" s="12"/>
      <c r="O516" s="12"/>
      <c r="P516" s="12"/>
      <c r="Q516" s="12"/>
      <c r="R516" s="27"/>
      <c r="S516" s="27"/>
      <c r="T516" s="27"/>
      <c r="U516" s="27"/>
      <c r="V516" s="12"/>
      <c r="W516" s="12"/>
      <c r="X516" s="12"/>
      <c r="Y516" s="12"/>
      <c r="Z516" s="31"/>
      <c r="AA516" s="12"/>
      <c r="AB516" s="12"/>
      <c r="AC516" s="12"/>
      <c r="AD516" s="12"/>
      <c r="AE516" s="12"/>
      <c r="AF516" s="12"/>
      <c r="AG516" s="12"/>
      <c r="AH516" s="12"/>
    </row>
    <row r="517" spans="1:34" ht="12.75">
      <c r="A517" s="12"/>
      <c r="B517" s="12"/>
      <c r="C517" s="12"/>
      <c r="D517" s="12"/>
      <c r="E517" s="12"/>
      <c r="F517" s="12"/>
      <c r="G517" s="12"/>
      <c r="H517" s="12"/>
      <c r="I517" s="12"/>
      <c r="J517" s="12"/>
      <c r="K517" s="12"/>
      <c r="L517" s="12"/>
      <c r="M517" s="12"/>
      <c r="N517" s="12"/>
      <c r="O517" s="12"/>
      <c r="P517" s="12"/>
      <c r="Q517" s="12"/>
      <c r="R517" s="27"/>
      <c r="S517" s="27"/>
      <c r="T517" s="27"/>
      <c r="U517" s="27"/>
      <c r="V517" s="12"/>
      <c r="W517" s="12"/>
      <c r="X517" s="12"/>
      <c r="Y517" s="12"/>
      <c r="Z517" s="31"/>
      <c r="AA517" s="12"/>
      <c r="AB517" s="12"/>
      <c r="AC517" s="12"/>
      <c r="AD517" s="12"/>
      <c r="AE517" s="12"/>
      <c r="AF517" s="12"/>
      <c r="AG517" s="12"/>
      <c r="AH517" s="12"/>
    </row>
    <row r="518" spans="1:34" ht="12.75">
      <c r="A518" s="12"/>
      <c r="B518" s="12"/>
      <c r="C518" s="12"/>
      <c r="D518" s="12"/>
      <c r="E518" s="12"/>
      <c r="F518" s="12"/>
      <c r="G518" s="12"/>
      <c r="H518" s="12"/>
      <c r="I518" s="12"/>
      <c r="J518" s="12"/>
      <c r="K518" s="12"/>
      <c r="L518" s="12"/>
      <c r="M518" s="12"/>
      <c r="N518" s="12"/>
      <c r="O518" s="12"/>
      <c r="P518" s="12"/>
      <c r="Q518" s="12"/>
      <c r="R518" s="27"/>
      <c r="S518" s="27"/>
      <c r="T518" s="27"/>
      <c r="U518" s="27"/>
      <c r="V518" s="12"/>
      <c r="W518" s="12"/>
      <c r="X518" s="12"/>
      <c r="Y518" s="12"/>
      <c r="Z518" s="31"/>
      <c r="AA518" s="12"/>
      <c r="AB518" s="12"/>
      <c r="AC518" s="12"/>
      <c r="AD518" s="12"/>
      <c r="AE518" s="12"/>
      <c r="AF518" s="12"/>
      <c r="AG518" s="12"/>
      <c r="AH518" s="12"/>
    </row>
    <row r="519" spans="1:34" ht="12.75">
      <c r="A519" s="12"/>
      <c r="B519" s="12"/>
      <c r="C519" s="12"/>
      <c r="D519" s="12"/>
      <c r="E519" s="12"/>
      <c r="F519" s="12"/>
      <c r="G519" s="12"/>
      <c r="H519" s="12"/>
      <c r="I519" s="12"/>
      <c r="J519" s="12"/>
      <c r="K519" s="12"/>
      <c r="L519" s="12"/>
      <c r="M519" s="12"/>
      <c r="N519" s="12"/>
      <c r="O519" s="12"/>
      <c r="P519" s="12"/>
      <c r="Q519" s="12"/>
      <c r="R519" s="27"/>
      <c r="S519" s="27"/>
      <c r="T519" s="27"/>
      <c r="U519" s="27"/>
      <c r="V519" s="12"/>
      <c r="W519" s="12"/>
      <c r="X519" s="12"/>
      <c r="Y519" s="12"/>
      <c r="Z519" s="31"/>
      <c r="AA519" s="12"/>
      <c r="AB519" s="12"/>
      <c r="AC519" s="12"/>
      <c r="AD519" s="12"/>
      <c r="AE519" s="12"/>
      <c r="AF519" s="12"/>
      <c r="AG519" s="12"/>
      <c r="AH519" s="12"/>
    </row>
    <row r="520" spans="1:34" ht="12.75">
      <c r="A520" s="12"/>
      <c r="B520" s="12"/>
      <c r="C520" s="12"/>
      <c r="D520" s="12"/>
      <c r="E520" s="12"/>
      <c r="F520" s="12"/>
      <c r="G520" s="12"/>
      <c r="H520" s="12"/>
      <c r="I520" s="12"/>
      <c r="J520" s="12"/>
      <c r="K520" s="12"/>
      <c r="L520" s="12"/>
      <c r="M520" s="12"/>
      <c r="N520" s="12"/>
      <c r="O520" s="12"/>
      <c r="P520" s="12"/>
      <c r="Q520" s="12"/>
      <c r="R520" s="27"/>
      <c r="S520" s="27"/>
      <c r="T520" s="27"/>
      <c r="U520" s="27"/>
      <c r="V520" s="12"/>
      <c r="W520" s="12"/>
      <c r="X520" s="12"/>
      <c r="Y520" s="12"/>
      <c r="Z520" s="31"/>
      <c r="AA520" s="12"/>
      <c r="AB520" s="12"/>
      <c r="AC520" s="12"/>
      <c r="AD520" s="12"/>
      <c r="AE520" s="12"/>
      <c r="AF520" s="12"/>
      <c r="AG520" s="12"/>
      <c r="AH520" s="12"/>
    </row>
    <row r="521" spans="1:34" ht="12.75">
      <c r="A521" s="12"/>
      <c r="B521" s="12"/>
      <c r="C521" s="12"/>
      <c r="D521" s="12"/>
      <c r="E521" s="12"/>
      <c r="F521" s="12"/>
      <c r="G521" s="12"/>
      <c r="H521" s="12"/>
      <c r="I521" s="12"/>
      <c r="J521" s="12"/>
      <c r="K521" s="12"/>
      <c r="L521" s="12"/>
      <c r="M521" s="12"/>
      <c r="N521" s="12"/>
      <c r="O521" s="12"/>
      <c r="P521" s="12"/>
      <c r="Q521" s="12"/>
      <c r="R521" s="27"/>
      <c r="S521" s="27"/>
      <c r="T521" s="27"/>
      <c r="U521" s="27"/>
      <c r="V521" s="12"/>
      <c r="W521" s="12"/>
      <c r="X521" s="12"/>
      <c r="Y521" s="12"/>
      <c r="Z521" s="31"/>
      <c r="AA521" s="12"/>
      <c r="AB521" s="12"/>
      <c r="AC521" s="12"/>
      <c r="AD521" s="12"/>
      <c r="AE521" s="12"/>
      <c r="AF521" s="12"/>
      <c r="AG521" s="12"/>
      <c r="AH521" s="12"/>
    </row>
    <row r="522" spans="1:34" ht="12.75">
      <c r="A522" s="12"/>
      <c r="B522" s="12"/>
      <c r="C522" s="12"/>
      <c r="D522" s="12"/>
      <c r="E522" s="12"/>
      <c r="F522" s="12"/>
      <c r="G522" s="12"/>
      <c r="H522" s="12"/>
      <c r="I522" s="12"/>
      <c r="J522" s="12"/>
      <c r="K522" s="12"/>
      <c r="L522" s="12"/>
      <c r="M522" s="12"/>
      <c r="N522" s="12"/>
      <c r="O522" s="12"/>
      <c r="P522" s="12"/>
      <c r="Q522" s="12"/>
      <c r="R522" s="27"/>
      <c r="S522" s="27"/>
      <c r="T522" s="27"/>
      <c r="U522" s="27"/>
      <c r="V522" s="12"/>
      <c r="W522" s="12"/>
      <c r="X522" s="12"/>
      <c r="Y522" s="12"/>
      <c r="Z522" s="31"/>
      <c r="AA522" s="12"/>
      <c r="AB522" s="12"/>
      <c r="AC522" s="12"/>
      <c r="AD522" s="12"/>
      <c r="AE522" s="12"/>
      <c r="AF522" s="12"/>
      <c r="AG522" s="12"/>
      <c r="AH522" s="12"/>
    </row>
    <row r="523" spans="1:34" ht="12.75">
      <c r="A523" s="12"/>
      <c r="B523" s="12"/>
      <c r="C523" s="12"/>
      <c r="D523" s="12"/>
      <c r="E523" s="12"/>
      <c r="F523" s="12"/>
      <c r="G523" s="12"/>
      <c r="H523" s="12"/>
      <c r="I523" s="12"/>
      <c r="J523" s="12"/>
      <c r="K523" s="12"/>
      <c r="L523" s="12"/>
      <c r="M523" s="12"/>
      <c r="N523" s="12"/>
      <c r="O523" s="12"/>
      <c r="P523" s="12"/>
      <c r="Q523" s="12"/>
      <c r="R523" s="27"/>
      <c r="S523" s="27"/>
      <c r="T523" s="27"/>
      <c r="U523" s="27"/>
      <c r="V523" s="12"/>
      <c r="W523" s="12"/>
      <c r="X523" s="12"/>
      <c r="Y523" s="12"/>
      <c r="Z523" s="31"/>
      <c r="AA523" s="12"/>
      <c r="AB523" s="12"/>
      <c r="AC523" s="12"/>
      <c r="AD523" s="12"/>
      <c r="AE523" s="12"/>
      <c r="AF523" s="12"/>
      <c r="AG523" s="12"/>
      <c r="AH523" s="12"/>
    </row>
    <row r="524" spans="1:34" ht="12.75">
      <c r="A524" s="12"/>
      <c r="B524" s="12"/>
      <c r="C524" s="12"/>
      <c r="D524" s="12"/>
      <c r="E524" s="12"/>
      <c r="F524" s="12"/>
      <c r="G524" s="12"/>
      <c r="H524" s="12"/>
      <c r="I524" s="12"/>
      <c r="J524" s="12"/>
      <c r="K524" s="12"/>
      <c r="L524" s="12"/>
      <c r="M524" s="12"/>
      <c r="N524" s="12"/>
      <c r="O524" s="12"/>
      <c r="P524" s="12"/>
      <c r="Q524" s="12"/>
      <c r="R524" s="27"/>
      <c r="S524" s="27"/>
      <c r="T524" s="27"/>
      <c r="U524" s="27"/>
      <c r="V524" s="12"/>
      <c r="W524" s="12"/>
      <c r="X524" s="12"/>
      <c r="Y524" s="12"/>
      <c r="Z524" s="31"/>
      <c r="AA524" s="12"/>
      <c r="AB524" s="12"/>
      <c r="AC524" s="12"/>
      <c r="AD524" s="12"/>
      <c r="AE524" s="12"/>
      <c r="AF524" s="12"/>
      <c r="AG524" s="12"/>
      <c r="AH524" s="12"/>
    </row>
    <row r="525" spans="1:34" ht="12.75">
      <c r="A525" s="12"/>
      <c r="B525" s="12"/>
      <c r="C525" s="12"/>
      <c r="D525" s="12"/>
      <c r="E525" s="12"/>
      <c r="F525" s="12"/>
      <c r="G525" s="12"/>
      <c r="H525" s="12"/>
      <c r="I525" s="12"/>
      <c r="J525" s="12"/>
      <c r="K525" s="12"/>
      <c r="L525" s="12"/>
      <c r="M525" s="12"/>
      <c r="N525" s="12"/>
      <c r="O525" s="12"/>
      <c r="P525" s="12"/>
      <c r="Q525" s="12"/>
      <c r="R525" s="27"/>
      <c r="S525" s="27"/>
      <c r="T525" s="27"/>
      <c r="U525" s="27"/>
      <c r="V525" s="12"/>
      <c r="W525" s="12"/>
      <c r="X525" s="12"/>
      <c r="Y525" s="12"/>
      <c r="Z525" s="31"/>
      <c r="AA525" s="12"/>
      <c r="AB525" s="12"/>
      <c r="AC525" s="12"/>
      <c r="AD525" s="12"/>
      <c r="AE525" s="12"/>
      <c r="AF525" s="12"/>
      <c r="AG525" s="12"/>
      <c r="AH525" s="12"/>
    </row>
    <row r="526" spans="1:34" ht="12.75">
      <c r="A526" s="12"/>
      <c r="B526" s="12"/>
      <c r="C526" s="12"/>
      <c r="D526" s="12"/>
      <c r="E526" s="12"/>
      <c r="F526" s="12"/>
      <c r="G526" s="12"/>
      <c r="H526" s="12"/>
      <c r="I526" s="12"/>
      <c r="J526" s="12"/>
      <c r="K526" s="12"/>
      <c r="L526" s="12"/>
      <c r="M526" s="12"/>
      <c r="N526" s="12"/>
      <c r="O526" s="12"/>
      <c r="P526" s="12"/>
      <c r="Q526" s="12"/>
      <c r="R526" s="27"/>
      <c r="S526" s="27"/>
      <c r="T526" s="27"/>
      <c r="U526" s="27"/>
      <c r="V526" s="12"/>
      <c r="W526" s="12"/>
      <c r="X526" s="12"/>
      <c r="Y526" s="12"/>
      <c r="Z526" s="31"/>
      <c r="AA526" s="12"/>
      <c r="AB526" s="12"/>
      <c r="AC526" s="12"/>
      <c r="AD526" s="12"/>
      <c r="AE526" s="12"/>
      <c r="AF526" s="12"/>
      <c r="AG526" s="12"/>
      <c r="AH526" s="12"/>
    </row>
    <row r="527" spans="1:34" ht="12.75">
      <c r="A527" s="12"/>
      <c r="B527" s="12"/>
      <c r="C527" s="12"/>
      <c r="D527" s="12"/>
      <c r="E527" s="12"/>
      <c r="F527" s="12"/>
      <c r="G527" s="12"/>
      <c r="H527" s="12"/>
      <c r="I527" s="12"/>
      <c r="J527" s="12"/>
      <c r="K527" s="12"/>
      <c r="L527" s="12"/>
      <c r="M527" s="12"/>
      <c r="N527" s="12"/>
      <c r="O527" s="12"/>
      <c r="P527" s="12"/>
      <c r="Q527" s="12"/>
      <c r="R527" s="27"/>
      <c r="S527" s="27"/>
      <c r="T527" s="27"/>
      <c r="U527" s="27"/>
      <c r="V527" s="12"/>
      <c r="W527" s="12"/>
      <c r="X527" s="12"/>
      <c r="Y527" s="12"/>
      <c r="Z527" s="31"/>
      <c r="AA527" s="12"/>
      <c r="AB527" s="12"/>
      <c r="AC527" s="12"/>
      <c r="AD527" s="12"/>
      <c r="AE527" s="12"/>
      <c r="AF527" s="12"/>
      <c r="AG527" s="12"/>
      <c r="AH527" s="12"/>
    </row>
    <row r="528" spans="1:34" ht="12.75">
      <c r="A528" s="12"/>
      <c r="B528" s="12"/>
      <c r="C528" s="12"/>
      <c r="D528" s="12"/>
      <c r="E528" s="12"/>
      <c r="F528" s="12"/>
      <c r="G528" s="12"/>
      <c r="H528" s="12"/>
      <c r="I528" s="12"/>
      <c r="J528" s="12"/>
      <c r="K528" s="12"/>
      <c r="L528" s="12"/>
      <c r="M528" s="12"/>
      <c r="N528" s="12"/>
      <c r="O528" s="12"/>
      <c r="P528" s="12"/>
      <c r="Q528" s="12"/>
      <c r="R528" s="27"/>
      <c r="S528" s="27"/>
      <c r="T528" s="27"/>
      <c r="U528" s="27"/>
      <c r="V528" s="12"/>
      <c r="W528" s="12"/>
      <c r="X528" s="12"/>
      <c r="Y528" s="12"/>
      <c r="Z528" s="31"/>
      <c r="AA528" s="12"/>
      <c r="AB528" s="12"/>
      <c r="AC528" s="12"/>
      <c r="AD528" s="12"/>
      <c r="AE528" s="12"/>
      <c r="AF528" s="12"/>
      <c r="AG528" s="12"/>
      <c r="AH528" s="12"/>
    </row>
    <row r="529" spans="1:34" ht="12.75">
      <c r="A529" s="12"/>
      <c r="B529" s="12"/>
      <c r="C529" s="12"/>
      <c r="D529" s="12"/>
      <c r="E529" s="12"/>
      <c r="F529" s="12"/>
      <c r="G529" s="12"/>
      <c r="H529" s="12"/>
      <c r="I529" s="12"/>
      <c r="J529" s="12"/>
      <c r="K529" s="12"/>
      <c r="L529" s="12"/>
      <c r="M529" s="12"/>
      <c r="N529" s="12"/>
      <c r="O529" s="12"/>
      <c r="P529" s="12"/>
      <c r="Q529" s="12"/>
      <c r="R529" s="27"/>
      <c r="S529" s="27"/>
      <c r="T529" s="27"/>
      <c r="U529" s="27"/>
      <c r="V529" s="12"/>
      <c r="W529" s="12"/>
      <c r="X529" s="12"/>
      <c r="Y529" s="12"/>
      <c r="Z529" s="31"/>
      <c r="AA529" s="12"/>
      <c r="AB529" s="12"/>
      <c r="AC529" s="12"/>
      <c r="AD529" s="12"/>
      <c r="AE529" s="12"/>
      <c r="AF529" s="12"/>
      <c r="AG529" s="12"/>
      <c r="AH529" s="12"/>
    </row>
    <row r="530" spans="1:34" ht="12.75">
      <c r="A530" s="12"/>
      <c r="B530" s="12"/>
      <c r="C530" s="12"/>
      <c r="D530" s="12"/>
      <c r="E530" s="12"/>
      <c r="F530" s="12"/>
      <c r="G530" s="12"/>
      <c r="H530" s="12"/>
      <c r="I530" s="12"/>
      <c r="J530" s="12"/>
      <c r="K530" s="12"/>
      <c r="L530" s="12"/>
      <c r="M530" s="12"/>
      <c r="N530" s="12"/>
      <c r="O530" s="12"/>
      <c r="P530" s="12"/>
      <c r="Q530" s="12"/>
      <c r="R530" s="27"/>
      <c r="S530" s="27"/>
      <c r="T530" s="27"/>
      <c r="U530" s="27"/>
      <c r="V530" s="12"/>
      <c r="W530" s="12"/>
      <c r="X530" s="12"/>
      <c r="Y530" s="12"/>
      <c r="Z530" s="31"/>
      <c r="AA530" s="12"/>
      <c r="AB530" s="12"/>
      <c r="AC530" s="12"/>
      <c r="AD530" s="12"/>
      <c r="AE530" s="12"/>
      <c r="AF530" s="12"/>
      <c r="AG530" s="12"/>
      <c r="AH530" s="12"/>
    </row>
    <row r="531" spans="1:34" ht="12.75">
      <c r="A531" s="12"/>
      <c r="B531" s="12"/>
      <c r="C531" s="12"/>
      <c r="D531" s="12"/>
      <c r="E531" s="12"/>
      <c r="F531" s="12"/>
      <c r="G531" s="12"/>
      <c r="H531" s="12"/>
      <c r="I531" s="12"/>
      <c r="J531" s="12"/>
      <c r="K531" s="12"/>
      <c r="L531" s="12"/>
      <c r="M531" s="12"/>
      <c r="N531" s="12"/>
      <c r="O531" s="12"/>
      <c r="P531" s="12"/>
      <c r="Q531" s="12"/>
      <c r="R531" s="27"/>
      <c r="S531" s="27"/>
      <c r="T531" s="27"/>
      <c r="U531" s="27"/>
      <c r="V531" s="12"/>
      <c r="W531" s="12"/>
      <c r="X531" s="12"/>
      <c r="Y531" s="12"/>
      <c r="Z531" s="31"/>
      <c r="AA531" s="12"/>
      <c r="AB531" s="12"/>
      <c r="AC531" s="12"/>
      <c r="AD531" s="12"/>
      <c r="AE531" s="12"/>
      <c r="AF531" s="12"/>
      <c r="AG531" s="12"/>
      <c r="AH531" s="12"/>
    </row>
    <row r="532" spans="1:34" ht="12.75">
      <c r="A532" s="12"/>
      <c r="B532" s="12"/>
      <c r="C532" s="12"/>
      <c r="D532" s="12"/>
      <c r="E532" s="12"/>
      <c r="F532" s="12"/>
      <c r="G532" s="12"/>
      <c r="H532" s="12"/>
      <c r="I532" s="12"/>
      <c r="J532" s="12"/>
      <c r="K532" s="12"/>
      <c r="L532" s="12"/>
      <c r="M532" s="12"/>
      <c r="N532" s="12"/>
      <c r="O532" s="12"/>
      <c r="P532" s="12"/>
      <c r="Q532" s="12"/>
      <c r="R532" s="27"/>
      <c r="S532" s="27"/>
      <c r="T532" s="27"/>
      <c r="U532" s="27"/>
      <c r="V532" s="12"/>
      <c r="W532" s="12"/>
      <c r="X532" s="12"/>
      <c r="Y532" s="12"/>
      <c r="Z532" s="31"/>
      <c r="AA532" s="12"/>
      <c r="AB532" s="12"/>
      <c r="AC532" s="12"/>
      <c r="AD532" s="12"/>
      <c r="AE532" s="12"/>
      <c r="AF532" s="12"/>
      <c r="AG532" s="12"/>
      <c r="AH532" s="12"/>
    </row>
    <row r="533" spans="1:34" ht="12.75">
      <c r="A533" s="12"/>
      <c r="B533" s="12"/>
      <c r="C533" s="12"/>
      <c r="D533" s="12"/>
      <c r="E533" s="12"/>
      <c r="F533" s="12"/>
      <c r="G533" s="12"/>
      <c r="H533" s="12"/>
      <c r="I533" s="12"/>
      <c r="J533" s="12"/>
      <c r="K533" s="12"/>
      <c r="L533" s="12"/>
      <c r="M533" s="12"/>
      <c r="N533" s="12"/>
      <c r="O533" s="12"/>
      <c r="P533" s="12"/>
      <c r="Q533" s="12"/>
      <c r="R533" s="27"/>
      <c r="S533" s="27"/>
      <c r="T533" s="27"/>
      <c r="U533" s="27"/>
      <c r="V533" s="12"/>
      <c r="W533" s="12"/>
      <c r="X533" s="12"/>
      <c r="Y533" s="12"/>
      <c r="Z533" s="31"/>
      <c r="AA533" s="12"/>
      <c r="AB533" s="12"/>
      <c r="AC533" s="12"/>
      <c r="AD533" s="12"/>
      <c r="AE533" s="12"/>
      <c r="AF533" s="12"/>
      <c r="AG533" s="12"/>
      <c r="AH533" s="12"/>
    </row>
    <row r="534" spans="1:34" ht="12.75">
      <c r="A534" s="12"/>
      <c r="B534" s="12"/>
      <c r="C534" s="12"/>
      <c r="D534" s="12"/>
      <c r="E534" s="12"/>
      <c r="F534" s="12"/>
      <c r="G534" s="12"/>
      <c r="H534" s="12"/>
      <c r="I534" s="12"/>
      <c r="J534" s="12"/>
      <c r="K534" s="12"/>
      <c r="L534" s="12"/>
      <c r="M534" s="12"/>
      <c r="N534" s="12"/>
      <c r="O534" s="12"/>
      <c r="P534" s="12"/>
      <c r="Q534" s="12"/>
      <c r="R534" s="27"/>
      <c r="S534" s="27"/>
      <c r="T534" s="27"/>
      <c r="U534" s="27"/>
      <c r="V534" s="12"/>
      <c r="W534" s="12"/>
      <c r="X534" s="12"/>
      <c r="Y534" s="12"/>
      <c r="Z534" s="31"/>
      <c r="AA534" s="12"/>
      <c r="AB534" s="12"/>
      <c r="AC534" s="12"/>
      <c r="AD534" s="12"/>
      <c r="AE534" s="12"/>
      <c r="AF534" s="12"/>
      <c r="AG534" s="12"/>
      <c r="AH534" s="12"/>
    </row>
    <row r="535" spans="1:34" ht="12.75">
      <c r="A535" s="12"/>
      <c r="B535" s="12"/>
      <c r="C535" s="12"/>
      <c r="D535" s="12"/>
      <c r="E535" s="12"/>
      <c r="F535" s="12"/>
      <c r="G535" s="12"/>
      <c r="H535" s="12"/>
      <c r="I535" s="12"/>
      <c r="J535" s="12"/>
      <c r="K535" s="12"/>
      <c r="L535" s="12"/>
      <c r="M535" s="12"/>
      <c r="N535" s="12"/>
      <c r="O535" s="12"/>
      <c r="P535" s="12"/>
      <c r="Q535" s="12"/>
      <c r="R535" s="27"/>
      <c r="S535" s="27"/>
      <c r="T535" s="27"/>
      <c r="U535" s="27"/>
      <c r="V535" s="12"/>
      <c r="W535" s="12"/>
      <c r="X535" s="12"/>
      <c r="Y535" s="12"/>
      <c r="Z535" s="31"/>
      <c r="AA535" s="12"/>
      <c r="AB535" s="12"/>
      <c r="AC535" s="12"/>
      <c r="AD535" s="12"/>
      <c r="AE535" s="12"/>
      <c r="AF535" s="12"/>
      <c r="AG535" s="12"/>
      <c r="AH535" s="12"/>
    </row>
    <row r="536" spans="1:34" ht="12.75">
      <c r="A536" s="12"/>
      <c r="B536" s="12"/>
      <c r="C536" s="12"/>
      <c r="D536" s="12"/>
      <c r="E536" s="12"/>
      <c r="F536" s="12"/>
      <c r="G536" s="12"/>
      <c r="H536" s="12"/>
      <c r="I536" s="12"/>
      <c r="J536" s="12"/>
      <c r="K536" s="12"/>
      <c r="L536" s="12"/>
      <c r="M536" s="12"/>
      <c r="N536" s="12"/>
      <c r="O536" s="12"/>
      <c r="P536" s="12"/>
      <c r="Q536" s="12"/>
      <c r="R536" s="27"/>
      <c r="S536" s="27"/>
      <c r="T536" s="27"/>
      <c r="U536" s="27"/>
      <c r="V536" s="12"/>
      <c r="W536" s="12"/>
      <c r="X536" s="12"/>
      <c r="Y536" s="12"/>
      <c r="Z536" s="31"/>
      <c r="AA536" s="12"/>
      <c r="AB536" s="12"/>
      <c r="AC536" s="12"/>
      <c r="AD536" s="12"/>
      <c r="AE536" s="12"/>
      <c r="AF536" s="12"/>
      <c r="AG536" s="12"/>
      <c r="AH536" s="12"/>
    </row>
    <row r="537" spans="1:34" ht="12.75">
      <c r="A537" s="12"/>
      <c r="B537" s="12"/>
      <c r="C537" s="12"/>
      <c r="D537" s="12"/>
      <c r="E537" s="12"/>
      <c r="F537" s="12"/>
      <c r="G537" s="12"/>
      <c r="H537" s="12"/>
      <c r="I537" s="12"/>
      <c r="J537" s="12"/>
      <c r="K537" s="12"/>
      <c r="L537" s="12"/>
      <c r="M537" s="12"/>
      <c r="N537" s="12"/>
      <c r="O537" s="12"/>
      <c r="P537" s="12"/>
      <c r="Q537" s="12"/>
      <c r="R537" s="27"/>
      <c r="S537" s="27"/>
      <c r="T537" s="27"/>
      <c r="U537" s="27"/>
      <c r="V537" s="12"/>
      <c r="W537" s="12"/>
      <c r="X537" s="12"/>
      <c r="Y537" s="12"/>
      <c r="Z537" s="31"/>
      <c r="AA537" s="12"/>
      <c r="AB537" s="12"/>
      <c r="AC537" s="12"/>
      <c r="AD537" s="12"/>
      <c r="AE537" s="12"/>
      <c r="AF537" s="12"/>
      <c r="AG537" s="12"/>
      <c r="AH537" s="12"/>
    </row>
    <row r="538" spans="1:34" ht="12.75">
      <c r="A538" s="12"/>
      <c r="B538" s="12"/>
      <c r="C538" s="12"/>
      <c r="D538" s="12"/>
      <c r="E538" s="12"/>
      <c r="F538" s="12"/>
      <c r="G538" s="12"/>
      <c r="H538" s="12"/>
      <c r="I538" s="12"/>
      <c r="J538" s="12"/>
      <c r="K538" s="12"/>
      <c r="L538" s="12"/>
      <c r="M538" s="12"/>
      <c r="N538" s="12"/>
      <c r="O538" s="12"/>
      <c r="P538" s="12"/>
      <c r="Q538" s="12"/>
      <c r="R538" s="27"/>
      <c r="S538" s="27"/>
      <c r="T538" s="27"/>
      <c r="U538" s="27"/>
      <c r="V538" s="12"/>
      <c r="W538" s="12"/>
      <c r="X538" s="12"/>
      <c r="Y538" s="12"/>
      <c r="Z538" s="31"/>
      <c r="AA538" s="12"/>
      <c r="AB538" s="12"/>
      <c r="AC538" s="12"/>
      <c r="AD538" s="12"/>
      <c r="AE538" s="12"/>
      <c r="AF538" s="12"/>
      <c r="AG538" s="12"/>
      <c r="AH538" s="12"/>
    </row>
    <row r="539" spans="1:34" ht="12.75">
      <c r="A539" s="12"/>
      <c r="B539" s="12"/>
      <c r="C539" s="12"/>
      <c r="D539" s="12"/>
      <c r="E539" s="12"/>
      <c r="F539" s="12"/>
      <c r="G539" s="12"/>
      <c r="H539" s="12"/>
      <c r="I539" s="12"/>
      <c r="J539" s="12"/>
      <c r="K539" s="12"/>
      <c r="L539" s="12"/>
      <c r="M539" s="12"/>
      <c r="N539" s="12"/>
      <c r="O539" s="12"/>
      <c r="P539" s="12"/>
      <c r="Q539" s="12"/>
      <c r="R539" s="27"/>
      <c r="S539" s="27"/>
      <c r="T539" s="27"/>
      <c r="U539" s="27"/>
      <c r="V539" s="12"/>
      <c r="W539" s="12"/>
      <c r="X539" s="12"/>
      <c r="Y539" s="12"/>
      <c r="Z539" s="31"/>
      <c r="AA539" s="12"/>
      <c r="AB539" s="12"/>
      <c r="AC539" s="12"/>
      <c r="AD539" s="12"/>
      <c r="AE539" s="12"/>
      <c r="AF539" s="12"/>
      <c r="AG539" s="12"/>
      <c r="AH539" s="12"/>
    </row>
    <row r="540" spans="1:34" ht="12.75">
      <c r="A540" s="12"/>
      <c r="B540" s="12"/>
      <c r="C540" s="12"/>
      <c r="D540" s="12"/>
      <c r="E540" s="12"/>
      <c r="F540" s="12"/>
      <c r="G540" s="12"/>
      <c r="H540" s="12"/>
      <c r="I540" s="12"/>
      <c r="J540" s="12"/>
      <c r="K540" s="12"/>
      <c r="L540" s="12"/>
      <c r="M540" s="12"/>
      <c r="N540" s="12"/>
      <c r="O540" s="12"/>
      <c r="P540" s="12"/>
      <c r="Q540" s="12"/>
      <c r="R540" s="27"/>
      <c r="S540" s="27"/>
      <c r="T540" s="27"/>
      <c r="U540" s="27"/>
      <c r="V540" s="12"/>
      <c r="W540" s="12"/>
      <c r="X540" s="12"/>
      <c r="Y540" s="12"/>
      <c r="Z540" s="31"/>
      <c r="AA540" s="12"/>
      <c r="AB540" s="12"/>
      <c r="AC540" s="12"/>
      <c r="AD540" s="12"/>
      <c r="AE540" s="12"/>
      <c r="AF540" s="12"/>
      <c r="AG540" s="12"/>
      <c r="AH540" s="12"/>
    </row>
    <row r="541" spans="1:34" ht="12.75">
      <c r="A541" s="12"/>
      <c r="B541" s="12"/>
      <c r="C541" s="12"/>
      <c r="D541" s="12"/>
      <c r="E541" s="12"/>
      <c r="F541" s="12"/>
      <c r="G541" s="12"/>
      <c r="H541" s="12"/>
      <c r="I541" s="12"/>
      <c r="J541" s="12"/>
      <c r="K541" s="12"/>
      <c r="L541" s="12"/>
      <c r="M541" s="12"/>
      <c r="N541" s="12"/>
      <c r="O541" s="12"/>
      <c r="P541" s="12"/>
      <c r="Q541" s="12"/>
      <c r="R541" s="27"/>
      <c r="S541" s="27"/>
      <c r="T541" s="27"/>
      <c r="U541" s="27"/>
      <c r="V541" s="12"/>
      <c r="W541" s="12"/>
      <c r="X541" s="12"/>
      <c r="Y541" s="12"/>
      <c r="Z541" s="31"/>
      <c r="AA541" s="12"/>
      <c r="AB541" s="12"/>
      <c r="AC541" s="12"/>
      <c r="AD541" s="12"/>
      <c r="AE541" s="12"/>
      <c r="AF541" s="12"/>
      <c r="AG541" s="12"/>
      <c r="AH541" s="12"/>
    </row>
    <row r="542" spans="1:34" ht="12.75">
      <c r="A542" s="12"/>
      <c r="B542" s="12"/>
      <c r="C542" s="12"/>
      <c r="D542" s="12"/>
      <c r="E542" s="12"/>
      <c r="F542" s="12"/>
      <c r="G542" s="12"/>
      <c r="H542" s="12"/>
      <c r="I542" s="12"/>
      <c r="J542" s="12"/>
      <c r="K542" s="12"/>
      <c r="L542" s="12"/>
      <c r="M542" s="12"/>
      <c r="N542" s="12"/>
      <c r="O542" s="12"/>
      <c r="P542" s="12"/>
      <c r="Q542" s="12"/>
      <c r="R542" s="27"/>
      <c r="S542" s="27"/>
      <c r="T542" s="27"/>
      <c r="U542" s="27"/>
      <c r="V542" s="12"/>
      <c r="W542" s="12"/>
      <c r="X542" s="12"/>
      <c r="Y542" s="12"/>
      <c r="Z542" s="31"/>
      <c r="AA542" s="12"/>
      <c r="AB542" s="12"/>
      <c r="AC542" s="12"/>
      <c r="AD542" s="12"/>
      <c r="AE542" s="12"/>
      <c r="AF542" s="12"/>
      <c r="AG542" s="12"/>
      <c r="AH542" s="12"/>
    </row>
    <row r="543" spans="1:34" ht="12.75">
      <c r="A543" s="12"/>
      <c r="B543" s="12"/>
      <c r="C543" s="12"/>
      <c r="D543" s="12"/>
      <c r="E543" s="12"/>
      <c r="F543" s="12"/>
      <c r="G543" s="12"/>
      <c r="H543" s="12"/>
      <c r="I543" s="12"/>
      <c r="J543" s="12"/>
      <c r="K543" s="12"/>
      <c r="L543" s="12"/>
      <c r="M543" s="12"/>
      <c r="N543" s="12"/>
      <c r="O543" s="12"/>
      <c r="P543" s="12"/>
      <c r="Q543" s="12"/>
      <c r="R543" s="27"/>
      <c r="S543" s="27"/>
      <c r="T543" s="27"/>
      <c r="U543" s="27"/>
      <c r="V543" s="12"/>
      <c r="W543" s="12"/>
      <c r="X543" s="12"/>
      <c r="Y543" s="12"/>
      <c r="Z543" s="31"/>
      <c r="AA543" s="12"/>
      <c r="AB543" s="12"/>
      <c r="AC543" s="12"/>
      <c r="AD543" s="12"/>
      <c r="AE543" s="12"/>
      <c r="AF543" s="12"/>
      <c r="AG543" s="12"/>
      <c r="AH543" s="12"/>
    </row>
    <row r="544" spans="1:34" ht="12.75">
      <c r="A544" s="12"/>
      <c r="B544" s="12"/>
      <c r="C544" s="12"/>
      <c r="D544" s="12"/>
      <c r="E544" s="12"/>
      <c r="F544" s="12"/>
      <c r="G544" s="12"/>
      <c r="H544" s="12"/>
      <c r="I544" s="12"/>
      <c r="J544" s="12"/>
      <c r="K544" s="12"/>
      <c r="L544" s="12"/>
      <c r="M544" s="12"/>
      <c r="N544" s="12"/>
      <c r="O544" s="12"/>
      <c r="P544" s="12"/>
      <c r="Q544" s="12"/>
      <c r="R544" s="27"/>
      <c r="S544" s="27"/>
      <c r="T544" s="27"/>
      <c r="U544" s="27"/>
      <c r="V544" s="12"/>
      <c r="W544" s="12"/>
      <c r="X544" s="12"/>
      <c r="Y544" s="12"/>
      <c r="Z544" s="31"/>
      <c r="AA544" s="12"/>
      <c r="AB544" s="12"/>
      <c r="AC544" s="12"/>
      <c r="AD544" s="12"/>
      <c r="AE544" s="12"/>
      <c r="AF544" s="12"/>
      <c r="AG544" s="12"/>
      <c r="AH544" s="12"/>
    </row>
    <row r="545" spans="1:34" ht="12.75">
      <c r="A545" s="12"/>
      <c r="B545" s="12"/>
      <c r="C545" s="12"/>
      <c r="D545" s="12"/>
      <c r="E545" s="12"/>
      <c r="F545" s="12"/>
      <c r="G545" s="12"/>
      <c r="H545" s="12"/>
      <c r="I545" s="12"/>
      <c r="J545" s="12"/>
      <c r="K545" s="12"/>
      <c r="L545" s="12"/>
      <c r="M545" s="12"/>
      <c r="N545" s="12"/>
      <c r="O545" s="12"/>
      <c r="P545" s="12"/>
      <c r="Q545" s="12"/>
      <c r="R545" s="27"/>
      <c r="S545" s="27"/>
      <c r="T545" s="27"/>
      <c r="U545" s="27"/>
      <c r="V545" s="12"/>
      <c r="W545" s="12"/>
      <c r="X545" s="12"/>
      <c r="Y545" s="12"/>
      <c r="Z545" s="31"/>
      <c r="AA545" s="12"/>
      <c r="AB545" s="12"/>
      <c r="AC545" s="12"/>
      <c r="AD545" s="12"/>
      <c r="AE545" s="12"/>
      <c r="AF545" s="12"/>
      <c r="AG545" s="12"/>
      <c r="AH545" s="12"/>
    </row>
    <row r="546" spans="1:34" ht="12.75">
      <c r="A546" s="12"/>
      <c r="B546" s="12"/>
      <c r="C546" s="12"/>
      <c r="D546" s="12"/>
      <c r="E546" s="12"/>
      <c r="F546" s="12"/>
      <c r="G546" s="12"/>
      <c r="H546" s="12"/>
      <c r="I546" s="12"/>
      <c r="J546" s="12"/>
      <c r="K546" s="12"/>
      <c r="L546" s="12"/>
      <c r="M546" s="12"/>
      <c r="N546" s="12"/>
      <c r="O546" s="12"/>
      <c r="P546" s="12"/>
      <c r="Q546" s="12"/>
      <c r="R546" s="27"/>
      <c r="S546" s="27"/>
      <c r="T546" s="27"/>
      <c r="U546" s="27"/>
      <c r="V546" s="12"/>
      <c r="W546" s="12"/>
      <c r="X546" s="12"/>
      <c r="Y546" s="12"/>
      <c r="Z546" s="31"/>
      <c r="AA546" s="12"/>
      <c r="AB546" s="12"/>
      <c r="AC546" s="12"/>
      <c r="AD546" s="12"/>
      <c r="AE546" s="12"/>
      <c r="AF546" s="12"/>
      <c r="AG546" s="12"/>
      <c r="AH546" s="12"/>
    </row>
    <row r="547" spans="1:34" ht="12.75">
      <c r="A547" s="12"/>
      <c r="B547" s="12"/>
      <c r="C547" s="12"/>
      <c r="D547" s="12"/>
      <c r="E547" s="12"/>
      <c r="F547" s="12"/>
      <c r="G547" s="12"/>
      <c r="H547" s="12"/>
      <c r="I547" s="12"/>
      <c r="J547" s="12"/>
      <c r="K547" s="12"/>
      <c r="L547" s="12"/>
      <c r="M547" s="12"/>
      <c r="N547" s="12"/>
      <c r="O547" s="12"/>
      <c r="P547" s="12"/>
      <c r="Q547" s="12"/>
      <c r="R547" s="27"/>
      <c r="S547" s="27"/>
      <c r="T547" s="27"/>
      <c r="U547" s="27"/>
      <c r="V547" s="12"/>
      <c r="W547" s="12"/>
      <c r="X547" s="12"/>
      <c r="Y547" s="12"/>
      <c r="Z547" s="31"/>
      <c r="AA547" s="12"/>
      <c r="AB547" s="12"/>
      <c r="AC547" s="12"/>
      <c r="AD547" s="12"/>
      <c r="AE547" s="12"/>
      <c r="AF547" s="12"/>
      <c r="AG547" s="12"/>
      <c r="AH547" s="12"/>
    </row>
    <row r="548" spans="1:34" ht="12.75">
      <c r="A548" s="12"/>
      <c r="B548" s="12"/>
      <c r="C548" s="12"/>
      <c r="D548" s="12"/>
      <c r="E548" s="12"/>
      <c r="F548" s="12"/>
      <c r="G548" s="12"/>
      <c r="H548" s="12"/>
      <c r="I548" s="12"/>
      <c r="J548" s="12"/>
      <c r="K548" s="12"/>
      <c r="L548" s="12"/>
      <c r="M548" s="12"/>
      <c r="N548" s="12"/>
      <c r="O548" s="12"/>
      <c r="P548" s="12"/>
      <c r="Q548" s="12"/>
      <c r="R548" s="27"/>
      <c r="S548" s="27"/>
      <c r="T548" s="27"/>
      <c r="U548" s="27"/>
      <c r="V548" s="12"/>
      <c r="W548" s="12"/>
      <c r="X548" s="12"/>
      <c r="Y548" s="12"/>
      <c r="Z548" s="31"/>
      <c r="AA548" s="12"/>
      <c r="AB548" s="12"/>
      <c r="AC548" s="12"/>
      <c r="AD548" s="12"/>
      <c r="AE548" s="12"/>
      <c r="AF548" s="12"/>
      <c r="AG548" s="12"/>
      <c r="AH548" s="12"/>
    </row>
    <row r="549" spans="1:34" ht="12.75">
      <c r="A549" s="12"/>
      <c r="B549" s="12"/>
      <c r="C549" s="12"/>
      <c r="D549" s="12"/>
      <c r="E549" s="12"/>
      <c r="F549" s="12"/>
      <c r="G549" s="12"/>
      <c r="H549" s="12"/>
      <c r="I549" s="12"/>
      <c r="J549" s="12"/>
      <c r="K549" s="12"/>
      <c r="L549" s="12"/>
      <c r="M549" s="12"/>
      <c r="N549" s="12"/>
      <c r="O549" s="12"/>
      <c r="P549" s="12"/>
      <c r="Q549" s="12"/>
      <c r="R549" s="27"/>
      <c r="S549" s="27"/>
      <c r="T549" s="27"/>
      <c r="U549" s="27"/>
      <c r="V549" s="12"/>
      <c r="W549" s="12"/>
      <c r="X549" s="12"/>
      <c r="Y549" s="12"/>
      <c r="Z549" s="31"/>
      <c r="AA549" s="12"/>
      <c r="AB549" s="12"/>
      <c r="AC549" s="12"/>
      <c r="AD549" s="12"/>
      <c r="AE549" s="12"/>
      <c r="AF549" s="12"/>
      <c r="AG549" s="12"/>
      <c r="AH549" s="12"/>
    </row>
    <row r="550" spans="1:34" ht="12.75">
      <c r="A550" s="12"/>
      <c r="B550" s="12"/>
      <c r="C550" s="12"/>
      <c r="D550" s="12"/>
      <c r="E550" s="12"/>
      <c r="F550" s="12"/>
      <c r="G550" s="12"/>
      <c r="H550" s="12"/>
      <c r="I550" s="12"/>
      <c r="J550" s="12"/>
      <c r="K550" s="12"/>
      <c r="L550" s="12"/>
      <c r="M550" s="12"/>
      <c r="N550" s="12"/>
      <c r="O550" s="12"/>
      <c r="P550" s="12"/>
      <c r="Q550" s="12"/>
      <c r="R550" s="27"/>
      <c r="S550" s="27"/>
      <c r="T550" s="27"/>
      <c r="U550" s="27"/>
      <c r="V550" s="12"/>
      <c r="W550" s="12"/>
      <c r="X550" s="12"/>
      <c r="Y550" s="12"/>
      <c r="Z550" s="31"/>
      <c r="AA550" s="12"/>
      <c r="AB550" s="12"/>
      <c r="AC550" s="12"/>
      <c r="AD550" s="12"/>
      <c r="AE550" s="12"/>
      <c r="AF550" s="12"/>
      <c r="AG550" s="12"/>
      <c r="AH550" s="12"/>
    </row>
    <row r="551" spans="1:34" ht="12.75">
      <c r="A551" s="12"/>
      <c r="B551" s="12"/>
      <c r="C551" s="12"/>
      <c r="D551" s="12"/>
      <c r="E551" s="12"/>
      <c r="F551" s="12"/>
      <c r="G551" s="12"/>
      <c r="H551" s="12"/>
      <c r="I551" s="12"/>
      <c r="J551" s="12"/>
      <c r="K551" s="12"/>
      <c r="L551" s="12"/>
      <c r="M551" s="12"/>
      <c r="N551" s="12"/>
      <c r="O551" s="12"/>
      <c r="P551" s="12"/>
      <c r="Q551" s="12"/>
      <c r="R551" s="27"/>
      <c r="S551" s="27"/>
      <c r="T551" s="27"/>
      <c r="U551" s="27"/>
      <c r="V551" s="12"/>
      <c r="W551" s="12"/>
      <c r="X551" s="12"/>
      <c r="Y551" s="12"/>
      <c r="Z551" s="31"/>
      <c r="AA551" s="12"/>
      <c r="AB551" s="12"/>
      <c r="AC551" s="12"/>
      <c r="AD551" s="12"/>
      <c r="AE551" s="12"/>
      <c r="AF551" s="12"/>
      <c r="AG551" s="12"/>
      <c r="AH551" s="12"/>
    </row>
    <row r="552" spans="1:34" ht="12.75">
      <c r="A552" s="12"/>
      <c r="B552" s="12"/>
      <c r="C552" s="12"/>
      <c r="D552" s="12"/>
      <c r="E552" s="12"/>
      <c r="F552" s="12"/>
      <c r="G552" s="12"/>
      <c r="H552" s="12"/>
      <c r="I552" s="12"/>
      <c r="J552" s="12"/>
      <c r="K552" s="12"/>
      <c r="L552" s="12"/>
      <c r="M552" s="12"/>
      <c r="N552" s="12"/>
      <c r="O552" s="12"/>
      <c r="P552" s="12"/>
      <c r="Q552" s="12"/>
      <c r="R552" s="27"/>
      <c r="S552" s="27"/>
      <c r="T552" s="27"/>
      <c r="U552" s="27"/>
      <c r="V552" s="12"/>
      <c r="W552" s="12"/>
      <c r="X552" s="12"/>
      <c r="Y552" s="12"/>
      <c r="Z552" s="31"/>
      <c r="AA552" s="12"/>
      <c r="AB552" s="12"/>
      <c r="AC552" s="12"/>
      <c r="AD552" s="12"/>
      <c r="AE552" s="12"/>
      <c r="AF552" s="12"/>
      <c r="AG552" s="12"/>
      <c r="AH552" s="12"/>
    </row>
    <row r="553" spans="1:34" ht="12.75">
      <c r="A553" s="12"/>
      <c r="B553" s="12"/>
      <c r="C553" s="12"/>
      <c r="D553" s="12"/>
      <c r="E553" s="12"/>
      <c r="F553" s="12"/>
      <c r="G553" s="12"/>
      <c r="H553" s="12"/>
      <c r="I553" s="12"/>
      <c r="J553" s="12"/>
      <c r="K553" s="12"/>
      <c r="L553" s="12"/>
      <c r="M553" s="12"/>
      <c r="N553" s="12"/>
      <c r="O553" s="12"/>
      <c r="P553" s="12"/>
      <c r="Q553" s="12"/>
      <c r="R553" s="27"/>
      <c r="S553" s="27"/>
      <c r="T553" s="27"/>
      <c r="U553" s="27"/>
      <c r="V553" s="12"/>
      <c r="W553" s="12"/>
      <c r="X553" s="12"/>
      <c r="Y553" s="12"/>
      <c r="Z553" s="31"/>
      <c r="AA553" s="12"/>
      <c r="AB553" s="12"/>
      <c r="AC553" s="12"/>
      <c r="AD553" s="12"/>
      <c r="AE553" s="12"/>
      <c r="AF553" s="12"/>
      <c r="AG553" s="12"/>
      <c r="AH553" s="12"/>
    </row>
    <row r="554" spans="1:34" ht="12.75">
      <c r="A554" s="12"/>
      <c r="B554" s="12"/>
      <c r="C554" s="12"/>
      <c r="D554" s="12"/>
      <c r="E554" s="12"/>
      <c r="F554" s="12"/>
      <c r="G554" s="12"/>
      <c r="H554" s="12"/>
      <c r="I554" s="12"/>
      <c r="J554" s="12"/>
      <c r="K554" s="12"/>
      <c r="L554" s="12"/>
      <c r="M554" s="12"/>
      <c r="N554" s="12"/>
      <c r="O554" s="12"/>
      <c r="P554" s="12"/>
      <c r="Q554" s="12"/>
      <c r="R554" s="27"/>
      <c r="S554" s="27"/>
      <c r="T554" s="27"/>
      <c r="U554" s="27"/>
      <c r="V554" s="12"/>
      <c r="W554" s="12"/>
      <c r="X554" s="12"/>
      <c r="Y554" s="12"/>
      <c r="Z554" s="31"/>
      <c r="AA554" s="12"/>
      <c r="AB554" s="12"/>
      <c r="AC554" s="12"/>
      <c r="AD554" s="12"/>
      <c r="AE554" s="12"/>
      <c r="AF554" s="12"/>
      <c r="AG554" s="12"/>
      <c r="AH554" s="12"/>
    </row>
    <row r="555" spans="1:34" ht="12.75">
      <c r="A555" s="12"/>
      <c r="B555" s="12"/>
      <c r="C555" s="12"/>
      <c r="D555" s="12"/>
      <c r="E555" s="12"/>
      <c r="F555" s="12"/>
      <c r="G555" s="12"/>
      <c r="H555" s="12"/>
      <c r="I555" s="12"/>
      <c r="J555" s="12"/>
      <c r="K555" s="12"/>
      <c r="L555" s="12"/>
      <c r="M555" s="12"/>
      <c r="N555" s="12"/>
      <c r="O555" s="12"/>
      <c r="P555" s="12"/>
      <c r="Q555" s="12"/>
      <c r="R555" s="27"/>
      <c r="S555" s="27"/>
      <c r="T555" s="27"/>
      <c r="U555" s="27"/>
      <c r="V555" s="12"/>
      <c r="W555" s="12"/>
      <c r="X555" s="12"/>
      <c r="Y555" s="12"/>
      <c r="Z555" s="31"/>
      <c r="AA555" s="12"/>
      <c r="AB555" s="12"/>
      <c r="AC555" s="12"/>
      <c r="AD555" s="12"/>
      <c r="AE555" s="12"/>
      <c r="AF555" s="12"/>
      <c r="AG555" s="12"/>
      <c r="AH555" s="12"/>
    </row>
    <row r="556" spans="1:34" ht="12.75">
      <c r="A556" s="12"/>
      <c r="B556" s="12"/>
      <c r="C556" s="12"/>
      <c r="D556" s="12"/>
      <c r="E556" s="12"/>
      <c r="F556" s="12"/>
      <c r="G556" s="12"/>
      <c r="H556" s="12"/>
      <c r="I556" s="12"/>
      <c r="J556" s="12"/>
      <c r="K556" s="12"/>
      <c r="L556" s="12"/>
      <c r="M556" s="12"/>
      <c r="N556" s="12"/>
      <c r="O556" s="12"/>
      <c r="P556" s="12"/>
      <c r="Q556" s="12"/>
      <c r="R556" s="27"/>
      <c r="S556" s="27"/>
      <c r="T556" s="27"/>
      <c r="U556" s="27"/>
      <c r="V556" s="12"/>
      <c r="W556" s="12"/>
      <c r="X556" s="12"/>
      <c r="Y556" s="12"/>
      <c r="Z556" s="31"/>
      <c r="AA556" s="12"/>
      <c r="AB556" s="12"/>
      <c r="AC556" s="12"/>
      <c r="AD556" s="12"/>
      <c r="AE556" s="12"/>
      <c r="AF556" s="12"/>
      <c r="AG556" s="12"/>
      <c r="AH556" s="12"/>
    </row>
    <row r="557" spans="1:34" ht="12.75">
      <c r="A557" s="12"/>
      <c r="B557" s="12"/>
      <c r="C557" s="12"/>
      <c r="D557" s="12"/>
      <c r="E557" s="12"/>
      <c r="F557" s="12"/>
      <c r="G557" s="12"/>
      <c r="H557" s="12"/>
      <c r="I557" s="12"/>
      <c r="J557" s="12"/>
      <c r="K557" s="12"/>
      <c r="L557" s="12"/>
      <c r="M557" s="12"/>
      <c r="N557" s="12"/>
      <c r="O557" s="12"/>
      <c r="P557" s="12"/>
      <c r="Q557" s="12"/>
      <c r="R557" s="27"/>
      <c r="S557" s="27"/>
      <c r="T557" s="27"/>
      <c r="U557" s="27"/>
      <c r="V557" s="12"/>
      <c r="W557" s="12"/>
      <c r="X557" s="12"/>
      <c r="Y557" s="12"/>
      <c r="Z557" s="31"/>
      <c r="AA557" s="12"/>
      <c r="AB557" s="12"/>
      <c r="AC557" s="12"/>
      <c r="AD557" s="12"/>
      <c r="AE557" s="12"/>
      <c r="AF557" s="12"/>
      <c r="AG557" s="12"/>
      <c r="AH557" s="12"/>
    </row>
    <row r="558" spans="1:34" ht="12.75">
      <c r="A558" s="12"/>
      <c r="B558" s="12"/>
      <c r="C558" s="12"/>
      <c r="D558" s="12"/>
      <c r="E558" s="12"/>
      <c r="F558" s="12"/>
      <c r="G558" s="12"/>
      <c r="H558" s="12"/>
      <c r="I558" s="12"/>
      <c r="J558" s="12"/>
      <c r="K558" s="12"/>
      <c r="L558" s="12"/>
      <c r="M558" s="12"/>
      <c r="N558" s="12"/>
      <c r="O558" s="12"/>
      <c r="P558" s="12"/>
      <c r="Q558" s="12"/>
      <c r="R558" s="27"/>
      <c r="S558" s="27"/>
      <c r="T558" s="27"/>
      <c r="U558" s="27"/>
      <c r="V558" s="12"/>
      <c r="W558" s="12"/>
      <c r="X558" s="12"/>
      <c r="Y558" s="12"/>
      <c r="Z558" s="31"/>
      <c r="AA558" s="12"/>
      <c r="AB558" s="12"/>
      <c r="AC558" s="12"/>
      <c r="AD558" s="12"/>
      <c r="AE558" s="12"/>
      <c r="AF558" s="12"/>
      <c r="AG558" s="12"/>
      <c r="AH558" s="12"/>
    </row>
    <row r="559" spans="1:34" ht="12.75">
      <c r="A559" s="12"/>
      <c r="B559" s="12"/>
      <c r="C559" s="12"/>
      <c r="D559" s="12"/>
      <c r="E559" s="12"/>
      <c r="F559" s="12"/>
      <c r="G559" s="12"/>
      <c r="H559" s="12"/>
      <c r="I559" s="12"/>
      <c r="J559" s="12"/>
      <c r="K559" s="12"/>
      <c r="L559" s="12"/>
      <c r="M559" s="12"/>
      <c r="N559" s="12"/>
      <c r="O559" s="12"/>
      <c r="P559" s="12"/>
      <c r="Q559" s="12"/>
      <c r="R559" s="27"/>
      <c r="S559" s="27"/>
      <c r="T559" s="27"/>
      <c r="U559" s="27"/>
      <c r="V559" s="12"/>
      <c r="W559" s="12"/>
      <c r="X559" s="12"/>
      <c r="Y559" s="12"/>
      <c r="Z559" s="31"/>
      <c r="AA559" s="12"/>
      <c r="AB559" s="12"/>
      <c r="AC559" s="12"/>
      <c r="AD559" s="12"/>
      <c r="AE559" s="12"/>
      <c r="AF559" s="12"/>
      <c r="AG559" s="12"/>
      <c r="AH559" s="12"/>
    </row>
    <row r="560" spans="1:34" ht="12.75">
      <c r="A560" s="12"/>
      <c r="B560" s="12"/>
      <c r="C560" s="12"/>
      <c r="D560" s="12"/>
      <c r="E560" s="12"/>
      <c r="F560" s="12"/>
      <c r="G560" s="12"/>
      <c r="H560" s="12"/>
      <c r="I560" s="12"/>
      <c r="J560" s="12"/>
      <c r="K560" s="12"/>
      <c r="L560" s="12"/>
      <c r="M560" s="12"/>
      <c r="N560" s="12"/>
      <c r="O560" s="12"/>
      <c r="P560" s="12"/>
      <c r="Q560" s="12"/>
      <c r="R560" s="27"/>
      <c r="S560" s="27"/>
      <c r="T560" s="27"/>
      <c r="U560" s="27"/>
      <c r="V560" s="12"/>
      <c r="W560" s="12"/>
      <c r="X560" s="12"/>
      <c r="Y560" s="12"/>
      <c r="Z560" s="31"/>
      <c r="AA560" s="12"/>
      <c r="AB560" s="12"/>
      <c r="AC560" s="12"/>
      <c r="AD560" s="12"/>
      <c r="AE560" s="12"/>
      <c r="AF560" s="12"/>
      <c r="AG560" s="12"/>
      <c r="AH560" s="12"/>
    </row>
    <row r="561" spans="1:34" ht="12.75">
      <c r="A561" s="12"/>
      <c r="B561" s="12"/>
      <c r="C561" s="12"/>
      <c r="D561" s="12"/>
      <c r="E561" s="12"/>
      <c r="F561" s="12"/>
      <c r="G561" s="12"/>
      <c r="H561" s="12"/>
      <c r="I561" s="12"/>
      <c r="J561" s="12"/>
      <c r="K561" s="12"/>
      <c r="L561" s="12"/>
      <c r="M561" s="12"/>
      <c r="N561" s="12"/>
      <c r="O561" s="12"/>
      <c r="P561" s="12"/>
      <c r="Q561" s="12"/>
      <c r="R561" s="27"/>
      <c r="S561" s="27"/>
      <c r="T561" s="27"/>
      <c r="U561" s="27"/>
      <c r="V561" s="12"/>
      <c r="W561" s="12"/>
      <c r="X561" s="12"/>
      <c r="Y561" s="12"/>
      <c r="Z561" s="31"/>
      <c r="AA561" s="12"/>
      <c r="AB561" s="12"/>
      <c r="AC561" s="12"/>
      <c r="AD561" s="12"/>
      <c r="AE561" s="12"/>
      <c r="AF561" s="12"/>
      <c r="AG561" s="12"/>
      <c r="AH561" s="12"/>
    </row>
    <row r="562" spans="1:34" ht="12.75">
      <c r="A562" s="12"/>
      <c r="B562" s="12"/>
      <c r="C562" s="12"/>
      <c r="D562" s="12"/>
      <c r="E562" s="12"/>
      <c r="F562" s="12"/>
      <c r="G562" s="12"/>
      <c r="H562" s="12"/>
      <c r="I562" s="12"/>
      <c r="J562" s="12"/>
      <c r="K562" s="12"/>
      <c r="L562" s="12"/>
      <c r="M562" s="12"/>
      <c r="N562" s="12"/>
      <c r="O562" s="12"/>
      <c r="P562" s="12"/>
      <c r="Q562" s="12"/>
      <c r="R562" s="27"/>
      <c r="S562" s="27"/>
      <c r="T562" s="27"/>
      <c r="U562" s="27"/>
      <c r="V562" s="12"/>
      <c r="W562" s="12"/>
      <c r="X562" s="12"/>
      <c r="Y562" s="12"/>
      <c r="Z562" s="31"/>
      <c r="AA562" s="12"/>
      <c r="AB562" s="12"/>
      <c r="AC562" s="12"/>
      <c r="AD562" s="12"/>
      <c r="AE562" s="12"/>
      <c r="AF562" s="12"/>
      <c r="AG562" s="12"/>
      <c r="AH562" s="12"/>
    </row>
    <row r="563" spans="1:34" ht="12.75">
      <c r="A563" s="12"/>
      <c r="B563" s="12"/>
      <c r="C563" s="12"/>
      <c r="D563" s="12"/>
      <c r="E563" s="12"/>
      <c r="F563" s="12"/>
      <c r="G563" s="12"/>
      <c r="H563" s="12"/>
      <c r="I563" s="12"/>
      <c r="J563" s="12"/>
      <c r="K563" s="12"/>
      <c r="L563" s="12"/>
      <c r="M563" s="12"/>
      <c r="N563" s="12"/>
      <c r="O563" s="12"/>
      <c r="P563" s="12"/>
      <c r="Q563" s="12"/>
      <c r="R563" s="27"/>
      <c r="S563" s="27"/>
      <c r="T563" s="27"/>
      <c r="U563" s="27"/>
      <c r="V563" s="12"/>
      <c r="W563" s="12"/>
      <c r="X563" s="12"/>
      <c r="Y563" s="12"/>
      <c r="Z563" s="31"/>
      <c r="AA563" s="12"/>
      <c r="AB563" s="12"/>
      <c r="AC563" s="12"/>
      <c r="AD563" s="12"/>
      <c r="AE563" s="12"/>
      <c r="AF563" s="12"/>
      <c r="AG563" s="12"/>
      <c r="AH563" s="12"/>
    </row>
    <row r="564" spans="1:34" ht="12.75">
      <c r="A564" s="12"/>
      <c r="B564" s="12"/>
      <c r="C564" s="12"/>
      <c r="D564" s="12"/>
      <c r="E564" s="12"/>
      <c r="F564" s="12"/>
      <c r="G564" s="12"/>
      <c r="H564" s="12"/>
      <c r="I564" s="12"/>
      <c r="J564" s="12"/>
      <c r="K564" s="12"/>
      <c r="L564" s="12"/>
      <c r="M564" s="12"/>
      <c r="N564" s="12"/>
      <c r="O564" s="12"/>
      <c r="P564" s="12"/>
      <c r="Q564" s="12"/>
      <c r="R564" s="27"/>
      <c r="S564" s="27"/>
      <c r="T564" s="27"/>
      <c r="U564" s="27"/>
      <c r="V564" s="12"/>
      <c r="W564" s="12"/>
      <c r="X564" s="12"/>
      <c r="Y564" s="12"/>
      <c r="Z564" s="31"/>
      <c r="AA564" s="12"/>
      <c r="AB564" s="12"/>
      <c r="AC564" s="12"/>
      <c r="AD564" s="12"/>
      <c r="AE564" s="12"/>
      <c r="AF564" s="12"/>
      <c r="AG564" s="12"/>
      <c r="AH564" s="12"/>
    </row>
    <row r="565" spans="1:34" ht="12.75">
      <c r="A565" s="12"/>
      <c r="B565" s="12"/>
      <c r="C565" s="12"/>
      <c r="D565" s="12"/>
      <c r="E565" s="12"/>
      <c r="F565" s="12"/>
      <c r="G565" s="12"/>
      <c r="H565" s="12"/>
      <c r="I565" s="12"/>
      <c r="J565" s="12"/>
      <c r="K565" s="12"/>
      <c r="L565" s="12"/>
      <c r="M565" s="12"/>
      <c r="N565" s="12"/>
      <c r="O565" s="12"/>
      <c r="P565" s="12"/>
      <c r="Q565" s="12"/>
      <c r="R565" s="27"/>
      <c r="S565" s="27"/>
      <c r="T565" s="27"/>
      <c r="U565" s="27"/>
      <c r="V565" s="12"/>
      <c r="W565" s="12"/>
      <c r="X565" s="12"/>
      <c r="Y565" s="12"/>
      <c r="Z565" s="31"/>
      <c r="AA565" s="12"/>
      <c r="AB565" s="12"/>
      <c r="AC565" s="12"/>
      <c r="AD565" s="12"/>
      <c r="AE565" s="12"/>
      <c r="AF565" s="12"/>
      <c r="AG565" s="12"/>
      <c r="AH565" s="12"/>
    </row>
    <row r="566" spans="1:34" ht="12.75">
      <c r="A566" s="12"/>
      <c r="B566" s="12"/>
      <c r="C566" s="12"/>
      <c r="D566" s="12"/>
      <c r="E566" s="12"/>
      <c r="F566" s="12"/>
      <c r="G566" s="12"/>
      <c r="H566" s="12"/>
      <c r="I566" s="12"/>
      <c r="J566" s="12"/>
      <c r="K566" s="12"/>
      <c r="L566" s="12"/>
      <c r="M566" s="12"/>
      <c r="N566" s="12"/>
      <c r="O566" s="12"/>
      <c r="P566" s="12"/>
      <c r="Q566" s="12"/>
      <c r="R566" s="27"/>
      <c r="S566" s="27"/>
      <c r="T566" s="27"/>
      <c r="U566" s="27"/>
      <c r="V566" s="12"/>
      <c r="W566" s="12"/>
      <c r="X566" s="12"/>
      <c r="Y566" s="12"/>
      <c r="Z566" s="31"/>
      <c r="AA566" s="12"/>
      <c r="AB566" s="12"/>
      <c r="AC566" s="12"/>
      <c r="AD566" s="12"/>
      <c r="AE566" s="12"/>
      <c r="AF566" s="12"/>
      <c r="AG566" s="12"/>
      <c r="AH566" s="12"/>
    </row>
    <row r="567" spans="1:34" ht="12.75">
      <c r="A567" s="12"/>
      <c r="B567" s="12"/>
      <c r="C567" s="12"/>
      <c r="D567" s="12"/>
      <c r="E567" s="12"/>
      <c r="F567" s="12"/>
      <c r="G567" s="12"/>
      <c r="H567" s="12"/>
      <c r="I567" s="12"/>
      <c r="J567" s="12"/>
      <c r="K567" s="12"/>
      <c r="L567" s="12"/>
      <c r="M567" s="12"/>
      <c r="N567" s="12"/>
      <c r="O567" s="12"/>
      <c r="P567" s="12"/>
      <c r="Q567" s="12"/>
      <c r="R567" s="27"/>
      <c r="S567" s="27"/>
      <c r="T567" s="27"/>
      <c r="U567" s="27"/>
      <c r="V567" s="12"/>
      <c r="W567" s="12"/>
      <c r="X567" s="12"/>
      <c r="Y567" s="12"/>
      <c r="Z567" s="31"/>
      <c r="AA567" s="12"/>
      <c r="AB567" s="12"/>
      <c r="AC567" s="12"/>
      <c r="AD567" s="12"/>
      <c r="AE567" s="12"/>
      <c r="AF567" s="12"/>
      <c r="AG567" s="12"/>
      <c r="AH567" s="12"/>
    </row>
    <row r="568" spans="1:34" ht="12.75">
      <c r="A568" s="12"/>
      <c r="B568" s="12"/>
      <c r="C568" s="12"/>
      <c r="D568" s="12"/>
      <c r="E568" s="12"/>
      <c r="F568" s="12"/>
      <c r="G568" s="12"/>
      <c r="H568" s="12"/>
      <c r="I568" s="12"/>
      <c r="J568" s="12"/>
      <c r="K568" s="12"/>
      <c r="L568" s="12"/>
      <c r="M568" s="12"/>
      <c r="N568" s="12"/>
      <c r="O568" s="12"/>
      <c r="P568" s="12"/>
      <c r="Q568" s="12"/>
      <c r="R568" s="27"/>
      <c r="S568" s="27"/>
      <c r="T568" s="27"/>
      <c r="U568" s="27"/>
      <c r="V568" s="12"/>
      <c r="W568" s="12"/>
      <c r="X568" s="12"/>
      <c r="Y568" s="12"/>
      <c r="Z568" s="31"/>
      <c r="AA568" s="12"/>
      <c r="AB568" s="12"/>
      <c r="AC568" s="12"/>
      <c r="AD568" s="12"/>
      <c r="AE568" s="12"/>
      <c r="AF568" s="12"/>
      <c r="AG568" s="12"/>
      <c r="AH568" s="12"/>
    </row>
    <row r="569" spans="1:34" ht="12.75">
      <c r="A569" s="12"/>
      <c r="B569" s="12"/>
      <c r="C569" s="12"/>
      <c r="D569" s="12"/>
      <c r="E569" s="12"/>
      <c r="F569" s="12"/>
      <c r="G569" s="12"/>
      <c r="H569" s="12"/>
      <c r="I569" s="12"/>
      <c r="J569" s="12"/>
      <c r="K569" s="12"/>
      <c r="L569" s="12"/>
      <c r="M569" s="12"/>
      <c r="N569" s="12"/>
      <c r="O569" s="12"/>
      <c r="P569" s="12"/>
      <c r="Q569" s="12"/>
      <c r="R569" s="27"/>
      <c r="S569" s="27"/>
      <c r="T569" s="27"/>
      <c r="U569" s="27"/>
      <c r="V569" s="12"/>
      <c r="W569" s="12"/>
      <c r="X569" s="12"/>
      <c r="Y569" s="12"/>
      <c r="Z569" s="31"/>
      <c r="AA569" s="12"/>
      <c r="AB569" s="12"/>
      <c r="AC569" s="12"/>
      <c r="AD569" s="12"/>
      <c r="AE569" s="12"/>
      <c r="AF569" s="12"/>
      <c r="AG569" s="12"/>
      <c r="AH569" s="12"/>
    </row>
    <row r="570" spans="1:34" ht="12.75">
      <c r="A570" s="12"/>
      <c r="B570" s="12"/>
      <c r="C570" s="12"/>
      <c r="D570" s="12"/>
      <c r="E570" s="12"/>
      <c r="F570" s="12"/>
      <c r="G570" s="12"/>
      <c r="H570" s="12"/>
      <c r="I570" s="12"/>
      <c r="J570" s="12"/>
      <c r="K570" s="12"/>
      <c r="L570" s="12"/>
      <c r="M570" s="12"/>
      <c r="N570" s="12"/>
      <c r="O570" s="12"/>
      <c r="P570" s="12"/>
      <c r="Q570" s="12"/>
      <c r="R570" s="27"/>
      <c r="S570" s="27"/>
      <c r="T570" s="27"/>
      <c r="U570" s="27"/>
      <c r="V570" s="12"/>
      <c r="W570" s="12"/>
      <c r="X570" s="12"/>
      <c r="Y570" s="12"/>
      <c r="Z570" s="31"/>
      <c r="AA570" s="12"/>
      <c r="AB570" s="12"/>
      <c r="AC570" s="12"/>
      <c r="AD570" s="12"/>
      <c r="AE570" s="12"/>
      <c r="AF570" s="12"/>
      <c r="AG570" s="12"/>
      <c r="AH570" s="12"/>
    </row>
    <row r="571" spans="1:34" ht="12.75">
      <c r="A571" s="12"/>
      <c r="B571" s="12"/>
      <c r="C571" s="12"/>
      <c r="D571" s="12"/>
      <c r="E571" s="12"/>
      <c r="F571" s="12"/>
      <c r="G571" s="12"/>
      <c r="H571" s="12"/>
      <c r="I571" s="12"/>
      <c r="J571" s="12"/>
      <c r="K571" s="12"/>
      <c r="L571" s="12"/>
      <c r="M571" s="12"/>
      <c r="N571" s="12"/>
      <c r="O571" s="12"/>
      <c r="P571" s="12"/>
      <c r="Q571" s="12"/>
      <c r="R571" s="27"/>
      <c r="S571" s="27"/>
      <c r="T571" s="27"/>
      <c r="U571" s="27"/>
      <c r="V571" s="12"/>
      <c r="W571" s="12"/>
      <c r="X571" s="12"/>
      <c r="Y571" s="12"/>
      <c r="Z571" s="31"/>
      <c r="AA571" s="12"/>
      <c r="AB571" s="12"/>
      <c r="AC571" s="12"/>
      <c r="AD571" s="12"/>
      <c r="AE571" s="12"/>
      <c r="AF571" s="12"/>
      <c r="AG571" s="12"/>
      <c r="AH571" s="12"/>
    </row>
    <row r="572" spans="1:34" ht="12.75">
      <c r="A572" s="12"/>
      <c r="B572" s="12"/>
      <c r="C572" s="12"/>
      <c r="D572" s="12"/>
      <c r="E572" s="12"/>
      <c r="F572" s="12"/>
      <c r="G572" s="12"/>
      <c r="H572" s="12"/>
      <c r="I572" s="12"/>
      <c r="J572" s="12"/>
      <c r="K572" s="12"/>
      <c r="L572" s="12"/>
      <c r="M572" s="12"/>
      <c r="N572" s="12"/>
      <c r="O572" s="12"/>
      <c r="P572" s="12"/>
      <c r="Q572" s="12"/>
      <c r="R572" s="27"/>
      <c r="S572" s="27"/>
      <c r="T572" s="27"/>
      <c r="U572" s="27"/>
      <c r="V572" s="12"/>
      <c r="W572" s="12"/>
      <c r="X572" s="12"/>
      <c r="Y572" s="12"/>
      <c r="Z572" s="31"/>
      <c r="AA572" s="12"/>
      <c r="AB572" s="12"/>
      <c r="AC572" s="12"/>
      <c r="AD572" s="12"/>
      <c r="AE572" s="12"/>
      <c r="AF572" s="12"/>
      <c r="AG572" s="12"/>
      <c r="AH572" s="12"/>
    </row>
    <row r="573" spans="1:34" ht="12.75">
      <c r="A573" s="12"/>
      <c r="B573" s="12"/>
      <c r="C573" s="12"/>
      <c r="D573" s="12"/>
      <c r="E573" s="12"/>
      <c r="F573" s="12"/>
      <c r="G573" s="12"/>
      <c r="H573" s="12"/>
      <c r="I573" s="12"/>
      <c r="J573" s="12"/>
      <c r="K573" s="12"/>
      <c r="L573" s="12"/>
      <c r="M573" s="12"/>
      <c r="N573" s="12"/>
      <c r="O573" s="12"/>
      <c r="P573" s="12"/>
      <c r="Q573" s="12"/>
      <c r="R573" s="27"/>
      <c r="S573" s="27"/>
      <c r="T573" s="27"/>
      <c r="U573" s="27"/>
      <c r="V573" s="12"/>
      <c r="W573" s="12"/>
      <c r="X573" s="12"/>
      <c r="Y573" s="12"/>
      <c r="Z573" s="31"/>
      <c r="AA573" s="12"/>
      <c r="AB573" s="12"/>
      <c r="AC573" s="12"/>
      <c r="AD573" s="12"/>
      <c r="AE573" s="12"/>
      <c r="AF573" s="12"/>
      <c r="AG573" s="12"/>
      <c r="AH573" s="12"/>
    </row>
    <row r="574" spans="1:34" ht="12.75">
      <c r="A574" s="12"/>
      <c r="B574" s="12"/>
      <c r="C574" s="12"/>
      <c r="D574" s="12"/>
      <c r="E574" s="12"/>
      <c r="F574" s="12"/>
      <c r="G574" s="12"/>
      <c r="H574" s="12"/>
      <c r="I574" s="12"/>
      <c r="J574" s="12"/>
      <c r="K574" s="12"/>
      <c r="L574" s="12"/>
      <c r="M574" s="12"/>
      <c r="N574" s="12"/>
      <c r="O574" s="12"/>
      <c r="P574" s="12"/>
      <c r="Q574" s="12"/>
      <c r="R574" s="27"/>
      <c r="S574" s="27"/>
      <c r="T574" s="27"/>
      <c r="U574" s="27"/>
      <c r="V574" s="12"/>
      <c r="W574" s="12"/>
      <c r="X574" s="12"/>
      <c r="Y574" s="12"/>
      <c r="Z574" s="31"/>
      <c r="AA574" s="12"/>
      <c r="AB574" s="12"/>
      <c r="AC574" s="12"/>
      <c r="AD574" s="12"/>
      <c r="AE574" s="12"/>
      <c r="AF574" s="12"/>
      <c r="AG574" s="12"/>
      <c r="AH574" s="12"/>
    </row>
    <row r="575" spans="1:34" ht="12.75">
      <c r="A575" s="12"/>
      <c r="B575" s="12"/>
      <c r="C575" s="12"/>
      <c r="D575" s="12"/>
      <c r="E575" s="12"/>
      <c r="F575" s="12"/>
      <c r="G575" s="12"/>
      <c r="H575" s="12"/>
      <c r="I575" s="12"/>
      <c r="J575" s="12"/>
      <c r="K575" s="12"/>
      <c r="L575" s="12"/>
      <c r="M575" s="12"/>
      <c r="N575" s="12"/>
      <c r="O575" s="12"/>
      <c r="P575" s="12"/>
      <c r="Q575" s="12"/>
      <c r="R575" s="27"/>
      <c r="S575" s="27"/>
      <c r="T575" s="27"/>
      <c r="U575" s="27"/>
      <c r="V575" s="12"/>
      <c r="W575" s="12"/>
      <c r="X575" s="12"/>
      <c r="Y575" s="12"/>
      <c r="Z575" s="31"/>
      <c r="AA575" s="12"/>
      <c r="AB575" s="12"/>
      <c r="AC575" s="12"/>
      <c r="AD575" s="12"/>
      <c r="AE575" s="12"/>
      <c r="AF575" s="12"/>
      <c r="AG575" s="12"/>
      <c r="AH575" s="12"/>
    </row>
    <row r="576" spans="1:34" ht="12.75">
      <c r="A576" s="12"/>
      <c r="B576" s="12"/>
      <c r="C576" s="12"/>
      <c r="D576" s="12"/>
      <c r="E576" s="12"/>
      <c r="F576" s="12"/>
      <c r="G576" s="12"/>
      <c r="H576" s="12"/>
      <c r="I576" s="12"/>
      <c r="J576" s="12"/>
      <c r="K576" s="12"/>
      <c r="L576" s="12"/>
      <c r="M576" s="12"/>
      <c r="N576" s="12"/>
      <c r="O576" s="12"/>
      <c r="P576" s="12"/>
      <c r="Q576" s="12"/>
      <c r="R576" s="27"/>
      <c r="S576" s="27"/>
      <c r="T576" s="27"/>
      <c r="U576" s="27"/>
      <c r="V576" s="12"/>
      <c r="W576" s="12"/>
      <c r="X576" s="12"/>
      <c r="Y576" s="12"/>
      <c r="Z576" s="31"/>
      <c r="AA576" s="12"/>
      <c r="AB576" s="12"/>
      <c r="AC576" s="12"/>
      <c r="AD576" s="12"/>
      <c r="AE576" s="12"/>
      <c r="AF576" s="12"/>
      <c r="AG576" s="12"/>
      <c r="AH576" s="12"/>
    </row>
    <row r="577" spans="1:34" ht="12.75">
      <c r="A577" s="12"/>
      <c r="B577" s="12"/>
      <c r="C577" s="12"/>
      <c r="D577" s="12"/>
      <c r="E577" s="12"/>
      <c r="F577" s="12"/>
      <c r="G577" s="12"/>
      <c r="H577" s="12"/>
      <c r="I577" s="12"/>
      <c r="J577" s="12"/>
      <c r="K577" s="12"/>
      <c r="L577" s="12"/>
      <c r="M577" s="12"/>
      <c r="N577" s="12"/>
      <c r="O577" s="12"/>
      <c r="P577" s="12"/>
      <c r="Q577" s="12"/>
      <c r="R577" s="27"/>
      <c r="S577" s="27"/>
      <c r="T577" s="27"/>
      <c r="U577" s="27"/>
      <c r="V577" s="12"/>
      <c r="W577" s="12"/>
      <c r="X577" s="12"/>
      <c r="Y577" s="12"/>
      <c r="Z577" s="31"/>
      <c r="AA577" s="12"/>
      <c r="AB577" s="12"/>
      <c r="AC577" s="12"/>
      <c r="AD577" s="12"/>
      <c r="AE577" s="12"/>
      <c r="AF577" s="12"/>
      <c r="AG577" s="12"/>
      <c r="AH577" s="12"/>
    </row>
    <row r="578" spans="1:34" ht="12.75">
      <c r="A578" s="12"/>
      <c r="B578" s="12"/>
      <c r="C578" s="12"/>
      <c r="D578" s="12"/>
      <c r="E578" s="12"/>
      <c r="F578" s="12"/>
      <c r="G578" s="12"/>
      <c r="H578" s="12"/>
      <c r="I578" s="12"/>
      <c r="J578" s="12"/>
      <c r="K578" s="12"/>
      <c r="L578" s="12"/>
      <c r="M578" s="12"/>
      <c r="N578" s="12"/>
      <c r="O578" s="12"/>
      <c r="P578" s="12"/>
      <c r="Q578" s="12"/>
      <c r="R578" s="27"/>
      <c r="S578" s="27"/>
      <c r="T578" s="27"/>
      <c r="U578" s="27"/>
      <c r="V578" s="12"/>
      <c r="W578" s="12"/>
      <c r="X578" s="12"/>
      <c r="Y578" s="12"/>
      <c r="Z578" s="31"/>
      <c r="AA578" s="12"/>
      <c r="AB578" s="12"/>
      <c r="AC578" s="12"/>
      <c r="AD578" s="12"/>
      <c r="AE578" s="12"/>
      <c r="AF578" s="12"/>
      <c r="AG578" s="12"/>
      <c r="AH578" s="12"/>
    </row>
    <row r="579" spans="1:34" ht="12.75">
      <c r="A579" s="12"/>
      <c r="B579" s="12"/>
      <c r="C579" s="12"/>
      <c r="D579" s="12"/>
      <c r="E579" s="12"/>
      <c r="F579" s="12"/>
      <c r="G579" s="12"/>
      <c r="H579" s="12"/>
      <c r="I579" s="12"/>
      <c r="J579" s="12"/>
      <c r="K579" s="12"/>
      <c r="L579" s="12"/>
      <c r="M579" s="12"/>
      <c r="N579" s="12"/>
      <c r="O579" s="12"/>
      <c r="P579" s="12"/>
      <c r="Q579" s="12"/>
      <c r="R579" s="27"/>
      <c r="S579" s="27"/>
      <c r="T579" s="27"/>
      <c r="U579" s="27"/>
      <c r="V579" s="12"/>
      <c r="W579" s="12"/>
      <c r="X579" s="12"/>
      <c r="Y579" s="12"/>
      <c r="Z579" s="31"/>
      <c r="AA579" s="12"/>
      <c r="AB579" s="12"/>
      <c r="AC579" s="12"/>
      <c r="AD579" s="12"/>
      <c r="AE579" s="12"/>
      <c r="AF579" s="12"/>
      <c r="AG579" s="12"/>
      <c r="AH579" s="12"/>
    </row>
    <row r="580" spans="1:34" ht="12.75">
      <c r="A580" s="12"/>
      <c r="B580" s="12"/>
      <c r="C580" s="12"/>
      <c r="D580" s="12"/>
      <c r="E580" s="12"/>
      <c r="F580" s="12"/>
      <c r="G580" s="12"/>
      <c r="H580" s="12"/>
      <c r="I580" s="12"/>
      <c r="J580" s="12"/>
      <c r="K580" s="12"/>
      <c r="L580" s="12"/>
      <c r="M580" s="12"/>
      <c r="N580" s="12"/>
      <c r="O580" s="12"/>
      <c r="P580" s="12"/>
      <c r="Q580" s="12"/>
      <c r="R580" s="27"/>
      <c r="S580" s="27"/>
      <c r="T580" s="27"/>
      <c r="U580" s="27"/>
      <c r="V580" s="12"/>
      <c r="W580" s="12"/>
      <c r="X580" s="12"/>
      <c r="Y580" s="12"/>
      <c r="Z580" s="31"/>
      <c r="AA580" s="12"/>
      <c r="AB580" s="12"/>
      <c r="AC580" s="12"/>
      <c r="AD580" s="12"/>
      <c r="AE580" s="12"/>
      <c r="AF580" s="12"/>
      <c r="AG580" s="12"/>
      <c r="AH580" s="12"/>
    </row>
    <row r="581" spans="1:34" ht="12.75">
      <c r="A581" s="12"/>
      <c r="B581" s="12"/>
      <c r="C581" s="12"/>
      <c r="D581" s="12"/>
      <c r="E581" s="12"/>
      <c r="F581" s="12"/>
      <c r="G581" s="12"/>
      <c r="H581" s="12"/>
      <c r="I581" s="12"/>
      <c r="J581" s="12"/>
      <c r="K581" s="12"/>
      <c r="L581" s="12"/>
      <c r="M581" s="12"/>
      <c r="N581" s="12"/>
      <c r="O581" s="12"/>
      <c r="P581" s="12"/>
      <c r="Q581" s="12"/>
      <c r="R581" s="27"/>
      <c r="S581" s="27"/>
      <c r="T581" s="27"/>
      <c r="U581" s="27"/>
      <c r="V581" s="12"/>
      <c r="W581" s="12"/>
      <c r="X581" s="12"/>
      <c r="Y581" s="12"/>
      <c r="Z581" s="31"/>
      <c r="AA581" s="12"/>
      <c r="AB581" s="12"/>
      <c r="AC581" s="12"/>
      <c r="AD581" s="12"/>
      <c r="AE581" s="12"/>
      <c r="AF581" s="12"/>
      <c r="AG581" s="12"/>
      <c r="AH581" s="12"/>
    </row>
    <row r="582" spans="1:34" ht="12.75">
      <c r="A582" s="12"/>
      <c r="B582" s="12"/>
      <c r="C582" s="12"/>
      <c r="D582" s="12"/>
      <c r="E582" s="12"/>
      <c r="F582" s="12"/>
      <c r="G582" s="12"/>
      <c r="H582" s="12"/>
      <c r="I582" s="12"/>
      <c r="J582" s="12"/>
      <c r="K582" s="12"/>
      <c r="L582" s="12"/>
      <c r="M582" s="12"/>
      <c r="N582" s="12"/>
      <c r="O582" s="12"/>
      <c r="P582" s="12"/>
      <c r="Q582" s="12"/>
      <c r="R582" s="27"/>
      <c r="S582" s="27"/>
      <c r="T582" s="27"/>
      <c r="U582" s="27"/>
      <c r="V582" s="12"/>
      <c r="W582" s="12"/>
      <c r="X582" s="12"/>
      <c r="Y582" s="12"/>
      <c r="Z582" s="31"/>
      <c r="AA582" s="12"/>
      <c r="AB582" s="12"/>
      <c r="AC582" s="12"/>
      <c r="AD582" s="12"/>
      <c r="AE582" s="12"/>
      <c r="AF582" s="12"/>
      <c r="AG582" s="12"/>
      <c r="AH582" s="12"/>
    </row>
    <row r="583" spans="1:34" ht="12.75">
      <c r="A583" s="12"/>
      <c r="B583" s="12"/>
      <c r="C583" s="12"/>
      <c r="D583" s="12"/>
      <c r="E583" s="12"/>
      <c r="F583" s="12"/>
      <c r="G583" s="12"/>
      <c r="H583" s="12"/>
      <c r="I583" s="12"/>
      <c r="J583" s="12"/>
      <c r="K583" s="12"/>
      <c r="L583" s="12"/>
      <c r="M583" s="12"/>
      <c r="N583" s="12"/>
      <c r="O583" s="12"/>
      <c r="P583" s="12"/>
      <c r="Q583" s="12"/>
      <c r="R583" s="27"/>
      <c r="S583" s="27"/>
      <c r="T583" s="27"/>
      <c r="U583" s="27"/>
      <c r="V583" s="12"/>
      <c r="W583" s="12"/>
      <c r="X583" s="12"/>
      <c r="Y583" s="12"/>
      <c r="Z583" s="31"/>
      <c r="AA583" s="12"/>
      <c r="AB583" s="12"/>
      <c r="AC583" s="12"/>
      <c r="AD583" s="12"/>
      <c r="AE583" s="12"/>
      <c r="AF583" s="12"/>
      <c r="AG583" s="12"/>
      <c r="AH583" s="12"/>
    </row>
    <row r="584" spans="1:34" ht="12.75">
      <c r="A584" s="12"/>
      <c r="B584" s="12"/>
      <c r="C584" s="12"/>
      <c r="D584" s="12"/>
      <c r="E584" s="12"/>
      <c r="F584" s="12"/>
      <c r="G584" s="12"/>
      <c r="H584" s="12"/>
      <c r="I584" s="12"/>
      <c r="J584" s="12"/>
      <c r="K584" s="12"/>
      <c r="L584" s="12"/>
      <c r="M584" s="12"/>
      <c r="N584" s="12"/>
      <c r="O584" s="12"/>
      <c r="P584" s="12"/>
      <c r="Q584" s="12"/>
      <c r="R584" s="27"/>
      <c r="S584" s="27"/>
      <c r="T584" s="27"/>
      <c r="U584" s="27"/>
      <c r="V584" s="12"/>
      <c r="W584" s="12"/>
      <c r="X584" s="12"/>
      <c r="Y584" s="12"/>
      <c r="Z584" s="31"/>
      <c r="AA584" s="12"/>
      <c r="AB584" s="12"/>
      <c r="AC584" s="12"/>
      <c r="AD584" s="12"/>
      <c r="AE584" s="12"/>
      <c r="AF584" s="12"/>
      <c r="AG584" s="12"/>
      <c r="AH584" s="12"/>
    </row>
    <row r="585" spans="1:34" ht="12.75">
      <c r="A585" s="12"/>
      <c r="B585" s="12"/>
      <c r="C585" s="12"/>
      <c r="D585" s="12"/>
      <c r="E585" s="12"/>
      <c r="F585" s="12"/>
      <c r="G585" s="12"/>
      <c r="H585" s="12"/>
      <c r="I585" s="12"/>
      <c r="J585" s="12"/>
      <c r="K585" s="12"/>
      <c r="L585" s="12"/>
      <c r="M585" s="12"/>
      <c r="N585" s="12"/>
      <c r="O585" s="12"/>
      <c r="P585" s="12"/>
      <c r="Q585" s="12"/>
      <c r="R585" s="27"/>
      <c r="S585" s="27"/>
      <c r="T585" s="27"/>
      <c r="U585" s="27"/>
      <c r="V585" s="12"/>
      <c r="W585" s="12"/>
      <c r="X585" s="12"/>
      <c r="Y585" s="12"/>
      <c r="Z585" s="31"/>
      <c r="AA585" s="12"/>
      <c r="AB585" s="12"/>
      <c r="AC585" s="12"/>
      <c r="AD585" s="12"/>
      <c r="AE585" s="12"/>
      <c r="AF585" s="12"/>
      <c r="AG585" s="12"/>
      <c r="AH585" s="12"/>
    </row>
    <row r="586" spans="1:34" ht="12.75">
      <c r="A586" s="12"/>
      <c r="B586" s="12"/>
      <c r="C586" s="12"/>
      <c r="D586" s="12"/>
      <c r="E586" s="12"/>
      <c r="F586" s="12"/>
      <c r="G586" s="12"/>
      <c r="H586" s="12"/>
      <c r="I586" s="12"/>
      <c r="J586" s="12"/>
      <c r="K586" s="12"/>
      <c r="L586" s="12"/>
      <c r="M586" s="12"/>
      <c r="N586" s="12"/>
      <c r="O586" s="12"/>
      <c r="P586" s="12"/>
      <c r="Q586" s="12"/>
      <c r="R586" s="27"/>
      <c r="S586" s="27"/>
      <c r="T586" s="27"/>
      <c r="U586" s="27"/>
      <c r="V586" s="12"/>
      <c r="W586" s="12"/>
      <c r="X586" s="12"/>
      <c r="Y586" s="12"/>
      <c r="Z586" s="31"/>
      <c r="AA586" s="12"/>
      <c r="AB586" s="12"/>
      <c r="AC586" s="12"/>
      <c r="AD586" s="12"/>
      <c r="AE586" s="12"/>
      <c r="AF586" s="12"/>
      <c r="AG586" s="12"/>
      <c r="AH586" s="12"/>
    </row>
    <row r="587" spans="1:34" ht="12.75">
      <c r="A587" s="12"/>
      <c r="B587" s="12"/>
      <c r="C587" s="12"/>
      <c r="D587" s="12"/>
      <c r="E587" s="12"/>
      <c r="F587" s="12"/>
      <c r="G587" s="12"/>
      <c r="H587" s="12"/>
      <c r="I587" s="12"/>
      <c r="J587" s="12"/>
      <c r="K587" s="12"/>
      <c r="L587" s="12"/>
      <c r="M587" s="12"/>
      <c r="N587" s="12"/>
      <c r="O587" s="12"/>
      <c r="P587" s="12"/>
      <c r="Q587" s="12"/>
      <c r="R587" s="27"/>
      <c r="S587" s="27"/>
      <c r="T587" s="27"/>
      <c r="U587" s="27"/>
      <c r="V587" s="12"/>
      <c r="W587" s="12"/>
      <c r="X587" s="12"/>
      <c r="Y587" s="12"/>
      <c r="Z587" s="31"/>
      <c r="AA587" s="12"/>
      <c r="AB587" s="12"/>
      <c r="AC587" s="12"/>
      <c r="AD587" s="12"/>
      <c r="AE587" s="12"/>
      <c r="AF587" s="12"/>
      <c r="AG587" s="12"/>
      <c r="AH587" s="12"/>
    </row>
    <row r="588" spans="1:34" ht="12.75">
      <c r="A588" s="12"/>
      <c r="B588" s="12"/>
      <c r="C588" s="12"/>
      <c r="D588" s="12"/>
      <c r="E588" s="12"/>
      <c r="F588" s="12"/>
      <c r="G588" s="12"/>
      <c r="H588" s="12"/>
      <c r="I588" s="12"/>
      <c r="J588" s="12"/>
      <c r="K588" s="12"/>
      <c r="L588" s="12"/>
      <c r="M588" s="12"/>
      <c r="N588" s="12"/>
      <c r="O588" s="12"/>
      <c r="P588" s="12"/>
      <c r="Q588" s="12"/>
      <c r="R588" s="27"/>
      <c r="S588" s="27"/>
      <c r="T588" s="27"/>
      <c r="U588" s="27"/>
      <c r="V588" s="12"/>
      <c r="W588" s="12"/>
      <c r="X588" s="12"/>
      <c r="Y588" s="12"/>
      <c r="Z588" s="31"/>
      <c r="AA588" s="12"/>
      <c r="AB588" s="12"/>
      <c r="AC588" s="12"/>
      <c r="AD588" s="12"/>
      <c r="AE588" s="12"/>
      <c r="AF588" s="12"/>
      <c r="AG588" s="12"/>
      <c r="AH588" s="12"/>
    </row>
    <row r="589" spans="1:34" ht="12.75">
      <c r="A589" s="12"/>
      <c r="B589" s="12"/>
      <c r="C589" s="12"/>
      <c r="D589" s="12"/>
      <c r="E589" s="12"/>
      <c r="F589" s="12"/>
      <c r="G589" s="12"/>
      <c r="H589" s="12"/>
      <c r="I589" s="12"/>
      <c r="J589" s="12"/>
      <c r="K589" s="12"/>
      <c r="L589" s="12"/>
      <c r="M589" s="12"/>
      <c r="N589" s="12"/>
      <c r="O589" s="12"/>
      <c r="P589" s="12"/>
      <c r="Q589" s="12"/>
      <c r="R589" s="27"/>
      <c r="S589" s="27"/>
      <c r="T589" s="27"/>
      <c r="U589" s="27"/>
      <c r="V589" s="12"/>
      <c r="W589" s="12"/>
      <c r="X589" s="12"/>
      <c r="Y589" s="12"/>
      <c r="Z589" s="31"/>
      <c r="AA589" s="12"/>
      <c r="AB589" s="12"/>
      <c r="AC589" s="12"/>
      <c r="AD589" s="12"/>
      <c r="AE589" s="12"/>
      <c r="AF589" s="12"/>
      <c r="AG589" s="12"/>
      <c r="AH589" s="12"/>
    </row>
    <row r="590" spans="1:34" ht="12.75">
      <c r="A590" s="12"/>
      <c r="B590" s="12"/>
      <c r="C590" s="12"/>
      <c r="D590" s="12"/>
      <c r="E590" s="12"/>
      <c r="F590" s="12"/>
      <c r="G590" s="12"/>
      <c r="H590" s="12"/>
      <c r="I590" s="12"/>
      <c r="J590" s="12"/>
      <c r="K590" s="12"/>
      <c r="L590" s="12"/>
      <c r="M590" s="12"/>
      <c r="N590" s="12"/>
      <c r="O590" s="12"/>
      <c r="P590" s="12"/>
      <c r="Q590" s="12"/>
      <c r="R590" s="27"/>
      <c r="S590" s="27"/>
      <c r="T590" s="27"/>
      <c r="U590" s="27"/>
      <c r="V590" s="12"/>
      <c r="W590" s="12"/>
      <c r="X590" s="12"/>
      <c r="Y590" s="12"/>
      <c r="Z590" s="31"/>
      <c r="AA590" s="12"/>
      <c r="AB590" s="12"/>
      <c r="AC590" s="12"/>
      <c r="AD590" s="12"/>
      <c r="AE590" s="12"/>
      <c r="AF590" s="12"/>
      <c r="AG590" s="12"/>
      <c r="AH590" s="12"/>
    </row>
    <row r="591" spans="1:34" ht="12.75">
      <c r="A591" s="12"/>
      <c r="B591" s="12"/>
      <c r="C591" s="12"/>
      <c r="D591" s="12"/>
      <c r="E591" s="12"/>
      <c r="F591" s="12"/>
      <c r="G591" s="12"/>
      <c r="H591" s="12"/>
      <c r="I591" s="12"/>
      <c r="J591" s="12"/>
      <c r="K591" s="12"/>
      <c r="L591" s="12"/>
      <c r="M591" s="12"/>
      <c r="N591" s="12"/>
      <c r="O591" s="12"/>
      <c r="P591" s="12"/>
      <c r="Q591" s="12"/>
      <c r="R591" s="27"/>
      <c r="S591" s="27"/>
      <c r="T591" s="27"/>
      <c r="U591" s="27"/>
      <c r="V591" s="12"/>
      <c r="W591" s="12"/>
      <c r="X591" s="12"/>
      <c r="Y591" s="12"/>
      <c r="Z591" s="31"/>
      <c r="AA591" s="12"/>
      <c r="AB591" s="12"/>
      <c r="AC591" s="12"/>
      <c r="AD591" s="12"/>
      <c r="AE591" s="12"/>
      <c r="AF591" s="12"/>
      <c r="AG591" s="12"/>
      <c r="AH591" s="12"/>
    </row>
    <row r="592" spans="1:34" ht="12.75">
      <c r="A592" s="12"/>
      <c r="B592" s="12"/>
      <c r="C592" s="12"/>
      <c r="D592" s="12"/>
      <c r="E592" s="12"/>
      <c r="F592" s="12"/>
      <c r="G592" s="12"/>
      <c r="H592" s="12"/>
      <c r="I592" s="12"/>
      <c r="J592" s="12"/>
      <c r="K592" s="12"/>
      <c r="L592" s="12"/>
      <c r="M592" s="12"/>
      <c r="N592" s="12"/>
      <c r="O592" s="12"/>
      <c r="P592" s="12"/>
      <c r="Q592" s="12"/>
      <c r="R592" s="27"/>
      <c r="S592" s="27"/>
      <c r="T592" s="27"/>
      <c r="U592" s="27"/>
      <c r="V592" s="12"/>
      <c r="W592" s="12"/>
      <c r="X592" s="12"/>
      <c r="Y592" s="12"/>
      <c r="Z592" s="31"/>
      <c r="AA592" s="12"/>
      <c r="AB592" s="12"/>
      <c r="AC592" s="12"/>
      <c r="AD592" s="12"/>
      <c r="AE592" s="12"/>
      <c r="AF592" s="12"/>
      <c r="AG592" s="12"/>
      <c r="AH592" s="12"/>
    </row>
    <row r="593" spans="1:34" ht="12.75">
      <c r="A593" s="12"/>
      <c r="B593" s="12"/>
      <c r="C593" s="12"/>
      <c r="D593" s="12"/>
      <c r="E593" s="12"/>
      <c r="F593" s="12"/>
      <c r="G593" s="12"/>
      <c r="H593" s="12"/>
      <c r="I593" s="12"/>
      <c r="J593" s="12"/>
      <c r="K593" s="12"/>
      <c r="L593" s="12"/>
      <c r="M593" s="12"/>
      <c r="N593" s="12"/>
      <c r="O593" s="12"/>
      <c r="P593" s="12"/>
      <c r="Q593" s="12"/>
      <c r="R593" s="27"/>
      <c r="S593" s="27"/>
      <c r="T593" s="27"/>
      <c r="U593" s="27"/>
      <c r="V593" s="12"/>
      <c r="W593" s="12"/>
      <c r="X593" s="12"/>
      <c r="Y593" s="12"/>
      <c r="Z593" s="31"/>
      <c r="AA593" s="12"/>
      <c r="AB593" s="12"/>
      <c r="AC593" s="12"/>
      <c r="AD593" s="12"/>
      <c r="AE593" s="12"/>
      <c r="AF593" s="12"/>
      <c r="AG593" s="12"/>
      <c r="AH593" s="12"/>
    </row>
    <row r="594" spans="1:34" ht="12.75">
      <c r="A594" s="12"/>
      <c r="B594" s="12"/>
      <c r="C594" s="12"/>
      <c r="D594" s="12"/>
      <c r="E594" s="12"/>
      <c r="F594" s="12"/>
      <c r="G594" s="12"/>
      <c r="H594" s="12"/>
      <c r="I594" s="12"/>
      <c r="J594" s="12"/>
      <c r="K594" s="12"/>
      <c r="L594" s="12"/>
      <c r="M594" s="12"/>
      <c r="N594" s="12"/>
      <c r="O594" s="12"/>
      <c r="P594" s="12"/>
      <c r="Q594" s="12"/>
      <c r="R594" s="27"/>
      <c r="S594" s="27"/>
      <c r="T594" s="27"/>
      <c r="U594" s="27"/>
      <c r="V594" s="12"/>
      <c r="W594" s="12"/>
      <c r="X594" s="12"/>
      <c r="Y594" s="12"/>
      <c r="Z594" s="31"/>
      <c r="AA594" s="12"/>
      <c r="AB594" s="12"/>
      <c r="AC594" s="12"/>
      <c r="AD594" s="12"/>
      <c r="AE594" s="12"/>
      <c r="AF594" s="12"/>
      <c r="AG594" s="12"/>
      <c r="AH594" s="12"/>
    </row>
    <row r="595" spans="1:34" ht="12.75">
      <c r="A595" s="12"/>
      <c r="B595" s="12"/>
      <c r="C595" s="12"/>
      <c r="D595" s="12"/>
      <c r="E595" s="12"/>
      <c r="F595" s="12"/>
      <c r="G595" s="12"/>
      <c r="H595" s="12"/>
      <c r="I595" s="12"/>
      <c r="J595" s="12"/>
      <c r="K595" s="12"/>
      <c r="L595" s="12"/>
      <c r="M595" s="12"/>
      <c r="N595" s="12"/>
      <c r="O595" s="12"/>
      <c r="P595" s="12"/>
      <c r="Q595" s="12"/>
      <c r="R595" s="27"/>
      <c r="S595" s="27"/>
      <c r="T595" s="27"/>
      <c r="U595" s="27"/>
      <c r="V595" s="12"/>
      <c r="W595" s="12"/>
      <c r="X595" s="12"/>
      <c r="Y595" s="12"/>
      <c r="Z595" s="31"/>
      <c r="AA595" s="12"/>
      <c r="AB595" s="12"/>
      <c r="AC595" s="12"/>
      <c r="AD595" s="12"/>
      <c r="AE595" s="12"/>
      <c r="AF595" s="12"/>
      <c r="AG595" s="12"/>
      <c r="AH595" s="12"/>
    </row>
    <row r="596" spans="1:34" ht="12.75">
      <c r="A596" s="12"/>
      <c r="B596" s="12"/>
      <c r="C596" s="12"/>
      <c r="D596" s="12"/>
      <c r="E596" s="12"/>
      <c r="F596" s="12"/>
      <c r="G596" s="12"/>
      <c r="H596" s="12"/>
      <c r="I596" s="12"/>
      <c r="J596" s="12"/>
      <c r="K596" s="12"/>
      <c r="L596" s="12"/>
      <c r="M596" s="12"/>
      <c r="N596" s="12"/>
      <c r="O596" s="12"/>
      <c r="P596" s="12"/>
      <c r="Q596" s="12"/>
      <c r="R596" s="27"/>
      <c r="S596" s="27"/>
      <c r="T596" s="27"/>
      <c r="U596" s="27"/>
      <c r="V596" s="12"/>
      <c r="W596" s="12"/>
      <c r="X596" s="12"/>
      <c r="Y596" s="12"/>
      <c r="Z596" s="31"/>
      <c r="AA596" s="12"/>
      <c r="AB596" s="12"/>
      <c r="AC596" s="12"/>
      <c r="AD596" s="12"/>
      <c r="AE596" s="12"/>
      <c r="AF596" s="12"/>
      <c r="AG596" s="12"/>
      <c r="AH596" s="12"/>
    </row>
    <row r="597" spans="1:34" ht="12.75">
      <c r="A597" s="12"/>
      <c r="B597" s="12"/>
      <c r="C597" s="12"/>
      <c r="D597" s="12"/>
      <c r="E597" s="12"/>
      <c r="F597" s="12"/>
      <c r="G597" s="12"/>
      <c r="H597" s="12"/>
      <c r="I597" s="12"/>
      <c r="J597" s="12"/>
      <c r="K597" s="12"/>
      <c r="L597" s="12"/>
      <c r="M597" s="12"/>
      <c r="N597" s="12"/>
      <c r="O597" s="12"/>
      <c r="P597" s="12"/>
      <c r="Q597" s="12"/>
      <c r="R597" s="27"/>
      <c r="S597" s="27"/>
      <c r="T597" s="27"/>
      <c r="U597" s="27"/>
      <c r="V597" s="12"/>
      <c r="W597" s="12"/>
      <c r="X597" s="12"/>
      <c r="Y597" s="12"/>
      <c r="Z597" s="31"/>
      <c r="AA597" s="12"/>
      <c r="AB597" s="12"/>
      <c r="AC597" s="12"/>
      <c r="AD597" s="12"/>
      <c r="AE597" s="12"/>
      <c r="AF597" s="12"/>
      <c r="AG597" s="12"/>
      <c r="AH597" s="12"/>
    </row>
    <row r="598" spans="1:34" ht="12.75">
      <c r="A598" s="12"/>
      <c r="B598" s="12"/>
      <c r="C598" s="12"/>
      <c r="D598" s="12"/>
      <c r="E598" s="12"/>
      <c r="F598" s="12"/>
      <c r="G598" s="12"/>
      <c r="H598" s="12"/>
      <c r="I598" s="12"/>
      <c r="J598" s="12"/>
      <c r="K598" s="12"/>
      <c r="L598" s="12"/>
      <c r="M598" s="12"/>
      <c r="N598" s="12"/>
      <c r="O598" s="12"/>
      <c r="P598" s="12"/>
      <c r="Q598" s="12"/>
      <c r="R598" s="27"/>
      <c r="S598" s="27"/>
      <c r="T598" s="27"/>
      <c r="U598" s="27"/>
      <c r="V598" s="12"/>
      <c r="W598" s="12"/>
      <c r="X598" s="12"/>
      <c r="Y598" s="12"/>
      <c r="Z598" s="31"/>
      <c r="AA598" s="12"/>
      <c r="AB598" s="12"/>
      <c r="AC598" s="12"/>
      <c r="AD598" s="12"/>
      <c r="AE598" s="12"/>
      <c r="AF598" s="12"/>
      <c r="AG598" s="12"/>
      <c r="AH598" s="12"/>
    </row>
    <row r="599" spans="1:34" ht="12.75">
      <c r="A599" s="12"/>
      <c r="B599" s="12"/>
      <c r="C599" s="12"/>
      <c r="D599" s="12"/>
      <c r="E599" s="12"/>
      <c r="F599" s="12"/>
      <c r="G599" s="12"/>
      <c r="H599" s="12"/>
      <c r="I599" s="12"/>
      <c r="J599" s="12"/>
      <c r="K599" s="12"/>
      <c r="L599" s="12"/>
      <c r="M599" s="12"/>
      <c r="N599" s="12"/>
      <c r="O599" s="12"/>
      <c r="P599" s="12"/>
      <c r="Q599" s="12"/>
      <c r="R599" s="27"/>
      <c r="S599" s="27"/>
      <c r="T599" s="27"/>
      <c r="U599" s="27"/>
      <c r="V599" s="12"/>
      <c r="W599" s="12"/>
      <c r="X599" s="12"/>
      <c r="Y599" s="12"/>
      <c r="Z599" s="31"/>
      <c r="AA599" s="12"/>
      <c r="AB599" s="12"/>
      <c r="AC599" s="12"/>
      <c r="AD599" s="12"/>
      <c r="AE599" s="12"/>
      <c r="AF599" s="12"/>
      <c r="AG599" s="12"/>
      <c r="AH599" s="12"/>
    </row>
    <row r="600" spans="1:34" ht="12.75">
      <c r="A600" s="12"/>
      <c r="B600" s="12"/>
      <c r="C600" s="12"/>
      <c r="D600" s="12"/>
      <c r="E600" s="12"/>
      <c r="F600" s="12"/>
      <c r="G600" s="12"/>
      <c r="H600" s="12"/>
      <c r="I600" s="12"/>
      <c r="J600" s="12"/>
      <c r="K600" s="12"/>
      <c r="L600" s="12"/>
      <c r="M600" s="12"/>
      <c r="N600" s="12"/>
      <c r="O600" s="12"/>
      <c r="P600" s="12"/>
      <c r="Q600" s="12"/>
      <c r="R600" s="27"/>
      <c r="S600" s="27"/>
      <c r="T600" s="27"/>
      <c r="U600" s="27"/>
      <c r="V600" s="12"/>
      <c r="W600" s="12"/>
      <c r="X600" s="12"/>
      <c r="Y600" s="12"/>
      <c r="Z600" s="31"/>
      <c r="AA600" s="12"/>
      <c r="AB600" s="12"/>
      <c r="AC600" s="12"/>
      <c r="AD600" s="12"/>
      <c r="AE600" s="12"/>
      <c r="AF600" s="12"/>
      <c r="AG600" s="12"/>
      <c r="AH600" s="12"/>
    </row>
    <row r="601" spans="1:34" ht="12.75">
      <c r="A601" s="12"/>
      <c r="B601" s="12"/>
      <c r="C601" s="12"/>
      <c r="D601" s="12"/>
      <c r="E601" s="12"/>
      <c r="F601" s="12"/>
      <c r="G601" s="12"/>
      <c r="H601" s="12"/>
      <c r="I601" s="12"/>
      <c r="J601" s="12"/>
      <c r="K601" s="12"/>
      <c r="L601" s="12"/>
      <c r="M601" s="12"/>
      <c r="N601" s="12"/>
      <c r="O601" s="12"/>
      <c r="P601" s="12"/>
      <c r="Q601" s="12"/>
      <c r="R601" s="27"/>
      <c r="S601" s="27"/>
      <c r="T601" s="27"/>
      <c r="U601" s="27"/>
      <c r="V601" s="12"/>
      <c r="W601" s="12"/>
      <c r="X601" s="12"/>
      <c r="Y601" s="12"/>
      <c r="Z601" s="31"/>
      <c r="AA601" s="12"/>
      <c r="AB601" s="12"/>
      <c r="AC601" s="12"/>
      <c r="AD601" s="12"/>
      <c r="AE601" s="12"/>
      <c r="AF601" s="12"/>
      <c r="AG601" s="12"/>
      <c r="AH601" s="12"/>
    </row>
    <row r="602" spans="1:34" ht="12.75">
      <c r="A602" s="12"/>
      <c r="B602" s="12"/>
      <c r="C602" s="12"/>
      <c r="D602" s="12"/>
      <c r="E602" s="12"/>
      <c r="F602" s="12"/>
      <c r="G602" s="12"/>
      <c r="H602" s="12"/>
      <c r="I602" s="12"/>
      <c r="J602" s="12"/>
      <c r="K602" s="12"/>
      <c r="L602" s="12"/>
      <c r="M602" s="12"/>
      <c r="N602" s="12"/>
      <c r="O602" s="12"/>
      <c r="P602" s="12"/>
      <c r="Q602" s="12"/>
      <c r="R602" s="27"/>
      <c r="S602" s="27"/>
      <c r="T602" s="27"/>
      <c r="U602" s="27"/>
      <c r="V602" s="12"/>
      <c r="W602" s="12"/>
      <c r="X602" s="12"/>
      <c r="Y602" s="12"/>
      <c r="Z602" s="31"/>
      <c r="AA602" s="12"/>
      <c r="AB602" s="12"/>
      <c r="AC602" s="12"/>
      <c r="AD602" s="12"/>
      <c r="AE602" s="12"/>
      <c r="AF602" s="12"/>
      <c r="AG602" s="12"/>
      <c r="AH602" s="12"/>
    </row>
    <row r="603" spans="1:34" ht="12.75">
      <c r="A603" s="12"/>
      <c r="B603" s="12"/>
      <c r="C603" s="12"/>
      <c r="D603" s="12"/>
      <c r="E603" s="12"/>
      <c r="F603" s="12"/>
      <c r="G603" s="12"/>
      <c r="H603" s="12"/>
      <c r="I603" s="12"/>
      <c r="J603" s="12"/>
      <c r="K603" s="12"/>
      <c r="L603" s="12"/>
      <c r="M603" s="12"/>
      <c r="N603" s="12"/>
      <c r="O603" s="12"/>
      <c r="P603" s="12"/>
      <c r="Q603" s="12"/>
      <c r="R603" s="27"/>
      <c r="S603" s="27"/>
      <c r="T603" s="27"/>
      <c r="U603" s="27"/>
      <c r="V603" s="12"/>
      <c r="W603" s="12"/>
      <c r="X603" s="12"/>
      <c r="Y603" s="12"/>
      <c r="Z603" s="31"/>
      <c r="AA603" s="12"/>
      <c r="AB603" s="12"/>
      <c r="AC603" s="12"/>
      <c r="AD603" s="12"/>
      <c r="AE603" s="12"/>
      <c r="AF603" s="12"/>
      <c r="AG603" s="12"/>
      <c r="AH603" s="12"/>
    </row>
    <row r="604" spans="1:34" ht="12.75">
      <c r="A604" s="12"/>
      <c r="B604" s="12"/>
      <c r="C604" s="12"/>
      <c r="D604" s="12"/>
      <c r="E604" s="12"/>
      <c r="F604" s="12"/>
      <c r="G604" s="12"/>
      <c r="H604" s="12"/>
      <c r="I604" s="12"/>
      <c r="J604" s="12"/>
      <c r="K604" s="12"/>
      <c r="L604" s="12"/>
      <c r="M604" s="12"/>
      <c r="N604" s="12"/>
      <c r="O604" s="12"/>
      <c r="P604" s="12"/>
      <c r="Q604" s="12"/>
      <c r="R604" s="27"/>
      <c r="S604" s="27"/>
      <c r="T604" s="27"/>
      <c r="U604" s="27"/>
      <c r="V604" s="12"/>
      <c r="W604" s="12"/>
      <c r="X604" s="12"/>
      <c r="Y604" s="12"/>
      <c r="Z604" s="31"/>
      <c r="AA604" s="12"/>
      <c r="AB604" s="12"/>
      <c r="AC604" s="12"/>
      <c r="AD604" s="12"/>
      <c r="AE604" s="12"/>
      <c r="AF604" s="12"/>
      <c r="AG604" s="12"/>
      <c r="AH604" s="12"/>
    </row>
    <row r="605" spans="1:34" ht="12.75">
      <c r="A605" s="12"/>
      <c r="B605" s="12"/>
      <c r="C605" s="12"/>
      <c r="D605" s="12"/>
      <c r="E605" s="12"/>
      <c r="F605" s="12"/>
      <c r="G605" s="12"/>
      <c r="H605" s="12"/>
      <c r="I605" s="12"/>
      <c r="J605" s="12"/>
      <c r="K605" s="12"/>
      <c r="L605" s="12"/>
      <c r="M605" s="12"/>
      <c r="N605" s="12"/>
      <c r="O605" s="12"/>
      <c r="P605" s="12"/>
      <c r="Q605" s="12"/>
      <c r="R605" s="27"/>
      <c r="S605" s="27"/>
      <c r="T605" s="27"/>
      <c r="U605" s="27"/>
      <c r="V605" s="12"/>
      <c r="W605" s="12"/>
      <c r="X605" s="12"/>
      <c r="Y605" s="12"/>
      <c r="Z605" s="31"/>
      <c r="AA605" s="12"/>
      <c r="AB605" s="12"/>
      <c r="AC605" s="12"/>
      <c r="AD605" s="12"/>
      <c r="AE605" s="12"/>
      <c r="AF605" s="12"/>
      <c r="AG605" s="12"/>
      <c r="AH605" s="12"/>
    </row>
    <row r="606" spans="1:34" ht="12.75">
      <c r="A606" s="12"/>
      <c r="B606" s="12"/>
      <c r="C606" s="12"/>
      <c r="D606" s="12"/>
      <c r="E606" s="12"/>
      <c r="F606" s="12"/>
      <c r="G606" s="12"/>
      <c r="H606" s="12"/>
      <c r="I606" s="12"/>
      <c r="J606" s="12"/>
      <c r="K606" s="12"/>
      <c r="L606" s="12"/>
      <c r="M606" s="12"/>
      <c r="N606" s="12"/>
      <c r="O606" s="12"/>
      <c r="P606" s="12"/>
      <c r="Q606" s="12"/>
      <c r="R606" s="27"/>
      <c r="S606" s="27"/>
      <c r="T606" s="27"/>
      <c r="U606" s="27"/>
      <c r="V606" s="12"/>
      <c r="W606" s="12"/>
      <c r="X606" s="12"/>
      <c r="Y606" s="12"/>
      <c r="Z606" s="31"/>
      <c r="AA606" s="12"/>
      <c r="AB606" s="12"/>
      <c r="AC606" s="12"/>
      <c r="AD606" s="12"/>
      <c r="AE606" s="12"/>
      <c r="AF606" s="12"/>
      <c r="AG606" s="12"/>
      <c r="AH606" s="12"/>
    </row>
    <row r="607" spans="1:34" ht="12.75">
      <c r="A607" s="12"/>
      <c r="B607" s="12"/>
      <c r="C607" s="12"/>
      <c r="D607" s="12"/>
      <c r="E607" s="12"/>
      <c r="F607" s="12"/>
      <c r="G607" s="12"/>
      <c r="H607" s="12"/>
      <c r="I607" s="12"/>
      <c r="J607" s="12"/>
      <c r="K607" s="12"/>
      <c r="L607" s="12"/>
      <c r="M607" s="12"/>
      <c r="N607" s="12"/>
      <c r="O607" s="12"/>
      <c r="P607" s="12"/>
      <c r="Q607" s="12"/>
      <c r="R607" s="27"/>
      <c r="S607" s="27"/>
      <c r="T607" s="27"/>
      <c r="U607" s="27"/>
      <c r="V607" s="12"/>
      <c r="W607" s="12"/>
      <c r="X607" s="12"/>
      <c r="Y607" s="12"/>
      <c r="Z607" s="31"/>
      <c r="AA607" s="12"/>
      <c r="AB607" s="12"/>
      <c r="AC607" s="12"/>
      <c r="AD607" s="12"/>
      <c r="AE607" s="12"/>
      <c r="AF607" s="12"/>
      <c r="AG607" s="12"/>
      <c r="AH607" s="12"/>
    </row>
    <row r="608" spans="1:34" ht="12.75">
      <c r="A608" s="12"/>
      <c r="B608" s="12"/>
      <c r="C608" s="12"/>
      <c r="D608" s="12"/>
      <c r="E608" s="12"/>
      <c r="F608" s="12"/>
      <c r="G608" s="12"/>
      <c r="H608" s="12"/>
      <c r="I608" s="12"/>
      <c r="J608" s="12"/>
      <c r="K608" s="12"/>
      <c r="L608" s="12"/>
      <c r="M608" s="12"/>
      <c r="N608" s="12"/>
      <c r="O608" s="12"/>
      <c r="P608" s="12"/>
      <c r="Q608" s="12"/>
      <c r="R608" s="27"/>
      <c r="S608" s="27"/>
      <c r="T608" s="27"/>
      <c r="U608" s="27"/>
      <c r="V608" s="12"/>
      <c r="W608" s="12"/>
      <c r="X608" s="12"/>
      <c r="Y608" s="12"/>
      <c r="Z608" s="31"/>
      <c r="AA608" s="12"/>
      <c r="AB608" s="12"/>
      <c r="AC608" s="12"/>
      <c r="AD608" s="12"/>
      <c r="AE608" s="12"/>
      <c r="AF608" s="12"/>
      <c r="AG608" s="12"/>
      <c r="AH608" s="12"/>
    </row>
    <row r="609" spans="1:34" ht="12.75">
      <c r="A609" s="12"/>
      <c r="B609" s="12"/>
      <c r="C609" s="12"/>
      <c r="D609" s="12"/>
      <c r="E609" s="12"/>
      <c r="F609" s="12"/>
      <c r="G609" s="12"/>
      <c r="H609" s="12"/>
      <c r="I609" s="12"/>
      <c r="J609" s="12"/>
      <c r="K609" s="12"/>
      <c r="L609" s="12"/>
      <c r="M609" s="12"/>
      <c r="N609" s="12"/>
      <c r="O609" s="12"/>
      <c r="P609" s="12"/>
      <c r="Q609" s="12"/>
      <c r="R609" s="27"/>
      <c r="S609" s="27"/>
      <c r="T609" s="27"/>
      <c r="U609" s="27"/>
      <c r="V609" s="12"/>
      <c r="W609" s="12"/>
      <c r="X609" s="12"/>
      <c r="Y609" s="12"/>
      <c r="Z609" s="31"/>
      <c r="AA609" s="12"/>
      <c r="AB609" s="12"/>
      <c r="AC609" s="12"/>
      <c r="AD609" s="12"/>
      <c r="AE609" s="12"/>
      <c r="AF609" s="12"/>
      <c r="AG609" s="12"/>
      <c r="AH609" s="12"/>
    </row>
    <row r="610" spans="1:34" ht="12.75">
      <c r="A610" s="12"/>
      <c r="B610" s="12"/>
      <c r="C610" s="12"/>
      <c r="D610" s="12"/>
      <c r="E610" s="12"/>
      <c r="F610" s="12"/>
      <c r="G610" s="12"/>
      <c r="H610" s="12"/>
      <c r="I610" s="12"/>
      <c r="J610" s="12"/>
      <c r="K610" s="12"/>
      <c r="L610" s="12"/>
      <c r="M610" s="12"/>
      <c r="N610" s="12"/>
      <c r="O610" s="12"/>
      <c r="P610" s="12"/>
      <c r="Q610" s="12"/>
      <c r="R610" s="27"/>
      <c r="S610" s="27"/>
      <c r="T610" s="27"/>
      <c r="U610" s="27"/>
      <c r="V610" s="12"/>
      <c r="W610" s="12"/>
      <c r="X610" s="12"/>
      <c r="Y610" s="12"/>
      <c r="Z610" s="31"/>
      <c r="AA610" s="12"/>
      <c r="AB610" s="12"/>
      <c r="AC610" s="12"/>
      <c r="AD610" s="12"/>
      <c r="AE610" s="12"/>
      <c r="AF610" s="12"/>
      <c r="AG610" s="12"/>
      <c r="AH610" s="12"/>
    </row>
    <row r="611" spans="1:34" ht="12.75">
      <c r="A611" s="12"/>
      <c r="B611" s="12"/>
      <c r="C611" s="12"/>
      <c r="D611" s="12"/>
      <c r="E611" s="12"/>
      <c r="F611" s="12"/>
      <c r="G611" s="12"/>
      <c r="H611" s="12"/>
      <c r="I611" s="12"/>
      <c r="J611" s="12"/>
      <c r="K611" s="12"/>
      <c r="L611" s="12"/>
      <c r="M611" s="12"/>
      <c r="N611" s="12"/>
      <c r="O611" s="12"/>
      <c r="P611" s="12"/>
      <c r="Q611" s="12"/>
      <c r="R611" s="27"/>
      <c r="S611" s="27"/>
      <c r="T611" s="27"/>
      <c r="U611" s="27"/>
      <c r="V611" s="12"/>
      <c r="W611" s="12"/>
      <c r="X611" s="12"/>
      <c r="Y611" s="12"/>
      <c r="Z611" s="31"/>
      <c r="AA611" s="12"/>
      <c r="AB611" s="12"/>
      <c r="AC611" s="12"/>
      <c r="AD611" s="12"/>
      <c r="AE611" s="12"/>
      <c r="AF611" s="12"/>
      <c r="AG611" s="12"/>
      <c r="AH611" s="12"/>
    </row>
    <row r="612" spans="1:34" ht="12.75">
      <c r="A612" s="12"/>
      <c r="B612" s="12"/>
      <c r="C612" s="12"/>
      <c r="D612" s="12"/>
      <c r="E612" s="12"/>
      <c r="F612" s="12"/>
      <c r="G612" s="12"/>
      <c r="H612" s="12"/>
      <c r="I612" s="12"/>
      <c r="J612" s="12"/>
      <c r="K612" s="12"/>
      <c r="L612" s="12"/>
      <c r="M612" s="12"/>
      <c r="N612" s="12"/>
      <c r="O612" s="12"/>
      <c r="P612" s="12"/>
      <c r="Q612" s="12"/>
      <c r="R612" s="27"/>
      <c r="S612" s="27"/>
      <c r="T612" s="27"/>
      <c r="U612" s="27"/>
      <c r="V612" s="12"/>
      <c r="W612" s="12"/>
      <c r="X612" s="12"/>
      <c r="Y612" s="12"/>
      <c r="Z612" s="31"/>
      <c r="AA612" s="12"/>
      <c r="AB612" s="12"/>
      <c r="AC612" s="12"/>
      <c r="AD612" s="12"/>
      <c r="AE612" s="12"/>
      <c r="AF612" s="12"/>
      <c r="AG612" s="12"/>
      <c r="AH612" s="12"/>
    </row>
    <row r="613" spans="1:34" ht="12.75">
      <c r="A613" s="12"/>
      <c r="B613" s="12"/>
      <c r="C613" s="12"/>
      <c r="D613" s="12"/>
      <c r="E613" s="12"/>
      <c r="F613" s="12"/>
      <c r="G613" s="12"/>
      <c r="H613" s="12"/>
      <c r="I613" s="12"/>
      <c r="J613" s="12"/>
      <c r="K613" s="12"/>
      <c r="L613" s="12"/>
      <c r="M613" s="12"/>
      <c r="N613" s="12"/>
      <c r="O613" s="12"/>
      <c r="P613" s="12"/>
      <c r="Q613" s="12"/>
      <c r="R613" s="27"/>
      <c r="S613" s="27"/>
      <c r="T613" s="27"/>
      <c r="U613" s="27"/>
      <c r="V613" s="12"/>
      <c r="W613" s="12"/>
      <c r="X613" s="12"/>
      <c r="Y613" s="12"/>
      <c r="Z613" s="31"/>
      <c r="AA613" s="12"/>
      <c r="AB613" s="12"/>
      <c r="AC613" s="12"/>
      <c r="AD613" s="12"/>
      <c r="AE613" s="12"/>
      <c r="AF613" s="12"/>
      <c r="AG613" s="12"/>
      <c r="AH613" s="12"/>
    </row>
    <row r="614" spans="1:34" ht="12.75">
      <c r="A614" s="12"/>
      <c r="B614" s="12"/>
      <c r="C614" s="12"/>
      <c r="D614" s="12"/>
      <c r="E614" s="12"/>
      <c r="F614" s="12"/>
      <c r="G614" s="12"/>
      <c r="H614" s="12"/>
      <c r="I614" s="12"/>
      <c r="J614" s="12"/>
      <c r="K614" s="12"/>
      <c r="L614" s="12"/>
      <c r="M614" s="12"/>
      <c r="N614" s="12"/>
      <c r="O614" s="12"/>
      <c r="P614" s="12"/>
      <c r="Q614" s="12"/>
      <c r="R614" s="27"/>
      <c r="S614" s="27"/>
      <c r="T614" s="27"/>
      <c r="U614" s="27"/>
      <c r="V614" s="12"/>
      <c r="W614" s="12"/>
      <c r="X614" s="12"/>
      <c r="Y614" s="12"/>
      <c r="Z614" s="31"/>
      <c r="AA614" s="12"/>
      <c r="AB614" s="12"/>
      <c r="AC614" s="12"/>
      <c r="AD614" s="12"/>
      <c r="AE614" s="12"/>
      <c r="AF614" s="12"/>
      <c r="AG614" s="12"/>
      <c r="AH614" s="12"/>
    </row>
    <row r="615" spans="1:34" ht="12.75">
      <c r="A615" s="12"/>
      <c r="B615" s="12"/>
      <c r="C615" s="12"/>
      <c r="D615" s="12"/>
      <c r="E615" s="12"/>
      <c r="F615" s="12"/>
      <c r="G615" s="12"/>
      <c r="H615" s="12"/>
      <c r="I615" s="12"/>
      <c r="J615" s="12"/>
      <c r="K615" s="12"/>
      <c r="L615" s="12"/>
      <c r="M615" s="12"/>
      <c r="N615" s="12"/>
      <c r="O615" s="12"/>
      <c r="P615" s="12"/>
      <c r="Q615" s="12"/>
      <c r="R615" s="27"/>
      <c r="S615" s="27"/>
      <c r="T615" s="27"/>
      <c r="U615" s="27"/>
      <c r="V615" s="12"/>
      <c r="W615" s="12"/>
      <c r="X615" s="12"/>
      <c r="Y615" s="12"/>
      <c r="Z615" s="31"/>
      <c r="AA615" s="12"/>
      <c r="AB615" s="12"/>
      <c r="AC615" s="12"/>
      <c r="AD615" s="12"/>
      <c r="AE615" s="12"/>
      <c r="AF615" s="12"/>
      <c r="AG615" s="12"/>
      <c r="AH615" s="12"/>
    </row>
    <row r="616" spans="1:34" ht="12.75">
      <c r="A616" s="12"/>
      <c r="B616" s="12"/>
      <c r="C616" s="12"/>
      <c r="D616" s="12"/>
      <c r="E616" s="12"/>
      <c r="F616" s="12"/>
      <c r="G616" s="12"/>
      <c r="H616" s="12"/>
      <c r="I616" s="12"/>
      <c r="J616" s="12"/>
      <c r="K616" s="12"/>
      <c r="L616" s="12"/>
      <c r="M616" s="12"/>
      <c r="N616" s="12"/>
      <c r="O616" s="12"/>
      <c r="P616" s="12"/>
      <c r="Q616" s="12"/>
      <c r="R616" s="27"/>
      <c r="S616" s="27"/>
      <c r="T616" s="27"/>
      <c r="U616" s="27"/>
      <c r="V616" s="12"/>
      <c r="W616" s="12"/>
      <c r="X616" s="12"/>
      <c r="Y616" s="12"/>
      <c r="Z616" s="31"/>
      <c r="AA616" s="12"/>
      <c r="AB616" s="12"/>
      <c r="AC616" s="12"/>
      <c r="AD616" s="12"/>
      <c r="AE616" s="12"/>
      <c r="AF616" s="12"/>
      <c r="AG616" s="12"/>
      <c r="AH616" s="12"/>
    </row>
    <row r="617" spans="1:34" ht="12.75">
      <c r="A617" s="12"/>
      <c r="B617" s="12"/>
      <c r="C617" s="12"/>
      <c r="D617" s="12"/>
      <c r="E617" s="12"/>
      <c r="F617" s="12"/>
      <c r="G617" s="12"/>
      <c r="H617" s="12"/>
      <c r="I617" s="12"/>
      <c r="J617" s="12"/>
      <c r="K617" s="12"/>
      <c r="L617" s="12"/>
      <c r="M617" s="12"/>
      <c r="N617" s="12"/>
      <c r="O617" s="12"/>
      <c r="P617" s="12"/>
      <c r="Q617" s="12"/>
      <c r="R617" s="27"/>
      <c r="S617" s="27"/>
      <c r="T617" s="27"/>
      <c r="U617" s="27"/>
      <c r="V617" s="12"/>
      <c r="W617" s="12"/>
      <c r="X617" s="12"/>
      <c r="Y617" s="12"/>
      <c r="Z617" s="31"/>
      <c r="AA617" s="12"/>
      <c r="AB617" s="12"/>
      <c r="AC617" s="12"/>
      <c r="AD617" s="12"/>
      <c r="AE617" s="12"/>
      <c r="AF617" s="12"/>
      <c r="AG617" s="12"/>
      <c r="AH617" s="12"/>
    </row>
    <row r="618" spans="1:34" ht="12.75">
      <c r="A618" s="12"/>
      <c r="B618" s="12"/>
      <c r="C618" s="12"/>
      <c r="D618" s="12"/>
      <c r="E618" s="12"/>
      <c r="F618" s="12"/>
      <c r="G618" s="12"/>
      <c r="H618" s="12"/>
      <c r="I618" s="12"/>
      <c r="J618" s="12"/>
      <c r="K618" s="12"/>
      <c r="L618" s="12"/>
      <c r="M618" s="12"/>
      <c r="N618" s="12"/>
      <c r="O618" s="12"/>
      <c r="P618" s="12"/>
      <c r="Q618" s="12"/>
      <c r="R618" s="27"/>
      <c r="S618" s="27"/>
      <c r="T618" s="27"/>
      <c r="U618" s="27"/>
      <c r="V618" s="12"/>
      <c r="W618" s="12"/>
      <c r="X618" s="12"/>
      <c r="Y618" s="12"/>
      <c r="Z618" s="31"/>
      <c r="AA618" s="12"/>
      <c r="AB618" s="12"/>
      <c r="AC618" s="12"/>
      <c r="AD618" s="12"/>
      <c r="AE618" s="12"/>
      <c r="AF618" s="12"/>
      <c r="AG618" s="12"/>
      <c r="AH618" s="12"/>
    </row>
    <row r="619" spans="1:34" ht="12.75">
      <c r="A619" s="12"/>
      <c r="B619" s="12"/>
      <c r="C619" s="12"/>
      <c r="D619" s="12"/>
      <c r="E619" s="12"/>
      <c r="F619" s="12"/>
      <c r="G619" s="12"/>
      <c r="H619" s="12"/>
      <c r="I619" s="12"/>
      <c r="J619" s="12"/>
      <c r="K619" s="12"/>
      <c r="L619" s="12"/>
      <c r="M619" s="12"/>
      <c r="N619" s="12"/>
      <c r="O619" s="12"/>
      <c r="P619" s="12"/>
      <c r="Q619" s="12"/>
      <c r="R619" s="27"/>
      <c r="S619" s="27"/>
      <c r="T619" s="27"/>
      <c r="U619" s="27"/>
      <c r="V619" s="12"/>
      <c r="W619" s="12"/>
      <c r="X619" s="12"/>
      <c r="Y619" s="12"/>
      <c r="Z619" s="31"/>
      <c r="AA619" s="12"/>
      <c r="AB619" s="12"/>
      <c r="AC619" s="12"/>
      <c r="AD619" s="12"/>
      <c r="AE619" s="12"/>
      <c r="AF619" s="12"/>
      <c r="AG619" s="12"/>
      <c r="AH619" s="12"/>
    </row>
    <row r="620" spans="1:34" ht="12.75">
      <c r="A620" s="12"/>
      <c r="B620" s="12"/>
      <c r="C620" s="12"/>
      <c r="D620" s="12"/>
      <c r="E620" s="12"/>
      <c r="F620" s="12"/>
      <c r="G620" s="12"/>
      <c r="H620" s="12"/>
      <c r="I620" s="12"/>
      <c r="J620" s="12"/>
      <c r="K620" s="12"/>
      <c r="L620" s="12"/>
      <c r="M620" s="12"/>
      <c r="N620" s="12"/>
      <c r="O620" s="12"/>
      <c r="P620" s="12"/>
      <c r="Q620" s="12"/>
      <c r="R620" s="27"/>
      <c r="S620" s="27"/>
      <c r="T620" s="27"/>
      <c r="U620" s="27"/>
      <c r="V620" s="12"/>
      <c r="W620" s="12"/>
      <c r="X620" s="12"/>
      <c r="Y620" s="12"/>
      <c r="Z620" s="31"/>
      <c r="AA620" s="12"/>
      <c r="AB620" s="12"/>
      <c r="AC620" s="12"/>
      <c r="AD620" s="12"/>
      <c r="AE620" s="12"/>
      <c r="AF620" s="12"/>
      <c r="AG620" s="12"/>
      <c r="AH620" s="12"/>
    </row>
    <row r="621" spans="1:34" ht="12.75">
      <c r="A621" s="12"/>
      <c r="B621" s="12"/>
      <c r="C621" s="12"/>
      <c r="D621" s="12"/>
      <c r="E621" s="12"/>
      <c r="F621" s="12"/>
      <c r="G621" s="12"/>
      <c r="H621" s="12"/>
      <c r="I621" s="12"/>
      <c r="J621" s="12"/>
      <c r="K621" s="12"/>
      <c r="L621" s="12"/>
      <c r="M621" s="12"/>
      <c r="N621" s="12"/>
      <c r="O621" s="12"/>
      <c r="P621" s="12"/>
      <c r="Q621" s="12"/>
      <c r="R621" s="27"/>
      <c r="S621" s="27"/>
      <c r="T621" s="27"/>
      <c r="U621" s="27"/>
      <c r="V621" s="12"/>
      <c r="W621" s="12"/>
      <c r="X621" s="12"/>
      <c r="Y621" s="12"/>
      <c r="Z621" s="31"/>
      <c r="AA621" s="12"/>
      <c r="AB621" s="12"/>
      <c r="AC621" s="12"/>
      <c r="AD621" s="12"/>
      <c r="AE621" s="12"/>
      <c r="AF621" s="12"/>
      <c r="AG621" s="12"/>
      <c r="AH621" s="12"/>
    </row>
    <row r="622" spans="1:34" ht="12.75">
      <c r="A622" s="12"/>
      <c r="B622" s="12"/>
      <c r="C622" s="12"/>
      <c r="D622" s="12"/>
      <c r="E622" s="12"/>
      <c r="F622" s="12"/>
      <c r="G622" s="12"/>
      <c r="H622" s="12"/>
      <c r="I622" s="12"/>
      <c r="J622" s="12"/>
      <c r="K622" s="12"/>
      <c r="L622" s="12"/>
      <c r="M622" s="12"/>
      <c r="N622" s="12"/>
      <c r="O622" s="12"/>
      <c r="P622" s="12"/>
      <c r="Q622" s="12"/>
      <c r="R622" s="27"/>
      <c r="S622" s="27"/>
      <c r="T622" s="27"/>
      <c r="U622" s="27"/>
      <c r="V622" s="12"/>
      <c r="W622" s="12"/>
      <c r="X622" s="12"/>
      <c r="Y622" s="12"/>
      <c r="Z622" s="31"/>
      <c r="AA622" s="12"/>
      <c r="AB622" s="12"/>
      <c r="AC622" s="12"/>
      <c r="AD622" s="12"/>
      <c r="AE622" s="12"/>
      <c r="AF622" s="12"/>
      <c r="AG622" s="12"/>
      <c r="AH622" s="12"/>
    </row>
    <row r="623" spans="1:34" ht="12.75">
      <c r="A623" s="12"/>
      <c r="B623" s="12"/>
      <c r="C623" s="12"/>
      <c r="D623" s="12"/>
      <c r="E623" s="12"/>
      <c r="F623" s="12"/>
      <c r="G623" s="12"/>
      <c r="H623" s="12"/>
      <c r="I623" s="12"/>
      <c r="J623" s="12"/>
      <c r="K623" s="12"/>
      <c r="L623" s="12"/>
      <c r="M623" s="12"/>
      <c r="N623" s="12"/>
      <c r="O623" s="12"/>
      <c r="P623" s="12"/>
      <c r="Q623" s="12"/>
      <c r="R623" s="27"/>
      <c r="S623" s="27"/>
      <c r="T623" s="27"/>
      <c r="U623" s="27"/>
      <c r="V623" s="12"/>
      <c r="W623" s="12"/>
      <c r="X623" s="12"/>
      <c r="Y623" s="12"/>
      <c r="Z623" s="31"/>
      <c r="AA623" s="12"/>
      <c r="AB623" s="12"/>
      <c r="AC623" s="12"/>
      <c r="AD623" s="12"/>
      <c r="AE623" s="12"/>
      <c r="AF623" s="12"/>
      <c r="AG623" s="12"/>
      <c r="AH623" s="12"/>
    </row>
    <row r="624" spans="1:34" ht="12.75">
      <c r="A624" s="12"/>
      <c r="B624" s="12"/>
      <c r="C624" s="12"/>
      <c r="D624" s="12"/>
      <c r="E624" s="12"/>
      <c r="F624" s="12"/>
      <c r="G624" s="12"/>
      <c r="H624" s="12"/>
      <c r="I624" s="12"/>
      <c r="J624" s="12"/>
      <c r="K624" s="12"/>
      <c r="L624" s="12"/>
      <c r="M624" s="12"/>
      <c r="N624" s="12"/>
      <c r="O624" s="12"/>
      <c r="P624" s="12"/>
      <c r="Q624" s="12"/>
      <c r="R624" s="27"/>
      <c r="S624" s="27"/>
      <c r="T624" s="27"/>
      <c r="U624" s="27"/>
      <c r="V624" s="12"/>
      <c r="W624" s="12"/>
      <c r="X624" s="12"/>
      <c r="Y624" s="12"/>
      <c r="Z624" s="31"/>
      <c r="AA624" s="12"/>
      <c r="AB624" s="12"/>
      <c r="AC624" s="12"/>
      <c r="AD624" s="12"/>
      <c r="AE624" s="12"/>
      <c r="AF624" s="12"/>
      <c r="AG624" s="12"/>
      <c r="AH624" s="12"/>
    </row>
    <row r="625" spans="1:34" ht="12.75">
      <c r="A625" s="12"/>
      <c r="B625" s="12"/>
      <c r="C625" s="12"/>
      <c r="D625" s="12"/>
      <c r="E625" s="12"/>
      <c r="F625" s="12"/>
      <c r="G625" s="12"/>
      <c r="H625" s="12"/>
      <c r="I625" s="12"/>
      <c r="J625" s="12"/>
      <c r="K625" s="12"/>
      <c r="L625" s="12"/>
      <c r="M625" s="12"/>
      <c r="N625" s="12"/>
      <c r="O625" s="12"/>
      <c r="P625" s="12"/>
      <c r="Q625" s="12"/>
      <c r="R625" s="27"/>
      <c r="S625" s="27"/>
      <c r="T625" s="27"/>
      <c r="U625" s="27"/>
      <c r="V625" s="12"/>
      <c r="W625" s="12"/>
      <c r="X625" s="12"/>
      <c r="Y625" s="12"/>
      <c r="Z625" s="31"/>
      <c r="AA625" s="12"/>
      <c r="AB625" s="12"/>
      <c r="AC625" s="12"/>
      <c r="AD625" s="12"/>
      <c r="AE625" s="12"/>
      <c r="AF625" s="12"/>
      <c r="AG625" s="12"/>
      <c r="AH625" s="12"/>
    </row>
    <row r="626" spans="1:34" ht="12.75">
      <c r="A626" s="12"/>
      <c r="B626" s="12"/>
      <c r="C626" s="12"/>
      <c r="D626" s="12"/>
      <c r="E626" s="12"/>
      <c r="F626" s="12"/>
      <c r="G626" s="12"/>
      <c r="H626" s="12"/>
      <c r="I626" s="12"/>
      <c r="J626" s="12"/>
      <c r="K626" s="12"/>
      <c r="L626" s="12"/>
      <c r="M626" s="12"/>
      <c r="N626" s="12"/>
      <c r="O626" s="12"/>
      <c r="P626" s="12"/>
      <c r="Q626" s="12"/>
      <c r="R626" s="27"/>
      <c r="S626" s="27"/>
      <c r="T626" s="27"/>
      <c r="U626" s="27"/>
      <c r="V626" s="12"/>
      <c r="W626" s="12"/>
      <c r="X626" s="12"/>
      <c r="Y626" s="12"/>
      <c r="Z626" s="31"/>
      <c r="AA626" s="12"/>
      <c r="AB626" s="12"/>
      <c r="AC626" s="12"/>
      <c r="AD626" s="12"/>
      <c r="AE626" s="12"/>
      <c r="AF626" s="12"/>
      <c r="AG626" s="12"/>
      <c r="AH626" s="12"/>
    </row>
    <row r="627" spans="1:34" ht="12.75">
      <c r="A627" s="12"/>
      <c r="B627" s="12"/>
      <c r="C627" s="12"/>
      <c r="D627" s="12"/>
      <c r="E627" s="12"/>
      <c r="F627" s="12"/>
      <c r="G627" s="12"/>
      <c r="H627" s="12"/>
      <c r="I627" s="12"/>
      <c r="J627" s="12"/>
      <c r="K627" s="12"/>
      <c r="L627" s="12"/>
      <c r="M627" s="12"/>
      <c r="N627" s="12"/>
      <c r="O627" s="12"/>
      <c r="P627" s="12"/>
      <c r="Q627" s="12"/>
      <c r="R627" s="27"/>
      <c r="S627" s="27"/>
      <c r="T627" s="27"/>
      <c r="U627" s="27"/>
      <c r="V627" s="12"/>
      <c r="W627" s="12"/>
      <c r="X627" s="12"/>
      <c r="Y627" s="12"/>
      <c r="Z627" s="31"/>
      <c r="AA627" s="12"/>
      <c r="AB627" s="12"/>
      <c r="AC627" s="12"/>
      <c r="AD627" s="12"/>
      <c r="AE627" s="12"/>
      <c r="AF627" s="12"/>
      <c r="AG627" s="12"/>
      <c r="AH627" s="12"/>
    </row>
    <row r="628" spans="1:34" ht="12.75">
      <c r="A628" s="12"/>
      <c r="B628" s="12"/>
      <c r="C628" s="12"/>
      <c r="D628" s="12"/>
      <c r="E628" s="12"/>
      <c r="F628" s="12"/>
      <c r="G628" s="12"/>
      <c r="H628" s="12"/>
      <c r="I628" s="12"/>
      <c r="J628" s="12"/>
      <c r="K628" s="12"/>
      <c r="L628" s="12"/>
      <c r="M628" s="12"/>
      <c r="N628" s="12"/>
      <c r="O628" s="12"/>
      <c r="P628" s="12"/>
      <c r="Q628" s="12"/>
      <c r="R628" s="27"/>
      <c r="S628" s="27"/>
      <c r="T628" s="27"/>
      <c r="U628" s="27"/>
      <c r="V628" s="12"/>
      <c r="W628" s="12"/>
      <c r="X628" s="12"/>
      <c r="Y628" s="12"/>
      <c r="Z628" s="31"/>
      <c r="AA628" s="12"/>
      <c r="AB628" s="12"/>
      <c r="AC628" s="12"/>
      <c r="AD628" s="12"/>
      <c r="AE628" s="12"/>
      <c r="AF628" s="12"/>
      <c r="AG628" s="12"/>
      <c r="AH628" s="12"/>
    </row>
    <row r="629" spans="1:34" ht="12.75">
      <c r="A629" s="12"/>
      <c r="B629" s="12"/>
      <c r="C629" s="12"/>
      <c r="D629" s="12"/>
      <c r="E629" s="12"/>
      <c r="F629" s="12"/>
      <c r="G629" s="12"/>
      <c r="H629" s="12"/>
      <c r="I629" s="12"/>
      <c r="J629" s="12"/>
      <c r="K629" s="12"/>
      <c r="L629" s="12"/>
      <c r="M629" s="12"/>
      <c r="N629" s="12"/>
      <c r="O629" s="12"/>
      <c r="P629" s="12"/>
      <c r="Q629" s="12"/>
      <c r="R629" s="27"/>
      <c r="S629" s="27"/>
      <c r="T629" s="27"/>
      <c r="U629" s="27"/>
      <c r="V629" s="12"/>
      <c r="W629" s="12"/>
      <c r="X629" s="12"/>
      <c r="Y629" s="12"/>
      <c r="Z629" s="31"/>
      <c r="AA629" s="12"/>
      <c r="AB629" s="12"/>
      <c r="AC629" s="12"/>
      <c r="AD629" s="12"/>
      <c r="AE629" s="12"/>
      <c r="AF629" s="12"/>
      <c r="AG629" s="12"/>
      <c r="AH629" s="12"/>
    </row>
    <row r="630" spans="1:34" ht="12.75">
      <c r="A630" s="12"/>
      <c r="B630" s="12"/>
      <c r="C630" s="12"/>
      <c r="D630" s="12"/>
      <c r="E630" s="12"/>
      <c r="F630" s="12"/>
      <c r="G630" s="12"/>
      <c r="H630" s="12"/>
      <c r="I630" s="12"/>
      <c r="J630" s="12"/>
      <c r="K630" s="12"/>
      <c r="L630" s="12"/>
      <c r="M630" s="12"/>
      <c r="N630" s="12"/>
      <c r="O630" s="12"/>
      <c r="P630" s="12"/>
      <c r="Q630" s="12"/>
      <c r="R630" s="27"/>
      <c r="S630" s="27"/>
      <c r="T630" s="27"/>
      <c r="U630" s="27"/>
      <c r="V630" s="12"/>
      <c r="W630" s="12"/>
      <c r="X630" s="12"/>
      <c r="Y630" s="12"/>
      <c r="Z630" s="31"/>
      <c r="AA630" s="12"/>
      <c r="AB630" s="12"/>
      <c r="AC630" s="12"/>
      <c r="AD630" s="12"/>
      <c r="AE630" s="12"/>
      <c r="AF630" s="12"/>
      <c r="AG630" s="12"/>
      <c r="AH630" s="12"/>
    </row>
    <row r="631" spans="1:34" ht="12.75">
      <c r="A631" s="12"/>
      <c r="B631" s="12"/>
      <c r="C631" s="12"/>
      <c r="D631" s="12"/>
      <c r="E631" s="12"/>
      <c r="F631" s="12"/>
      <c r="G631" s="12"/>
      <c r="H631" s="12"/>
      <c r="I631" s="12"/>
      <c r="J631" s="12"/>
      <c r="K631" s="12"/>
      <c r="L631" s="12"/>
      <c r="M631" s="12"/>
      <c r="N631" s="12"/>
      <c r="O631" s="12"/>
      <c r="P631" s="12"/>
      <c r="Q631" s="12"/>
      <c r="R631" s="27"/>
      <c r="S631" s="27"/>
      <c r="T631" s="27"/>
      <c r="U631" s="27"/>
      <c r="V631" s="12"/>
      <c r="W631" s="12"/>
      <c r="X631" s="12"/>
      <c r="Y631" s="12"/>
      <c r="Z631" s="31"/>
      <c r="AA631" s="12"/>
      <c r="AB631" s="12"/>
      <c r="AC631" s="12"/>
      <c r="AD631" s="12"/>
      <c r="AE631" s="12"/>
      <c r="AF631" s="12"/>
      <c r="AG631" s="12"/>
      <c r="AH631" s="12"/>
    </row>
    <row r="632" spans="1:34" ht="12.75">
      <c r="A632" s="12"/>
      <c r="B632" s="12"/>
      <c r="C632" s="12"/>
      <c r="D632" s="12"/>
      <c r="E632" s="12"/>
      <c r="F632" s="12"/>
      <c r="G632" s="12"/>
      <c r="H632" s="12"/>
      <c r="I632" s="12"/>
      <c r="J632" s="12"/>
      <c r="K632" s="12"/>
      <c r="L632" s="12"/>
      <c r="M632" s="12"/>
      <c r="N632" s="12"/>
      <c r="O632" s="12"/>
      <c r="P632" s="12"/>
      <c r="Q632" s="12"/>
      <c r="R632" s="27"/>
      <c r="S632" s="27"/>
      <c r="T632" s="27"/>
      <c r="U632" s="27"/>
      <c r="V632" s="12"/>
      <c r="W632" s="12"/>
      <c r="X632" s="12"/>
      <c r="Y632" s="12"/>
      <c r="Z632" s="31"/>
      <c r="AA632" s="12"/>
      <c r="AB632" s="12"/>
      <c r="AC632" s="12"/>
      <c r="AD632" s="12"/>
      <c r="AE632" s="12"/>
      <c r="AF632" s="12"/>
      <c r="AG632" s="12"/>
      <c r="AH632" s="12"/>
    </row>
    <row r="633" spans="1:34" ht="12.75">
      <c r="A633" s="12"/>
      <c r="B633" s="12"/>
      <c r="C633" s="12"/>
      <c r="D633" s="12"/>
      <c r="E633" s="12"/>
      <c r="F633" s="12"/>
      <c r="G633" s="12"/>
      <c r="H633" s="12"/>
      <c r="I633" s="12"/>
      <c r="J633" s="12"/>
      <c r="K633" s="12"/>
      <c r="L633" s="12"/>
      <c r="M633" s="12"/>
      <c r="N633" s="12"/>
      <c r="O633" s="12"/>
      <c r="P633" s="12"/>
      <c r="Q633" s="12"/>
      <c r="R633" s="27"/>
      <c r="S633" s="27"/>
      <c r="T633" s="27"/>
      <c r="U633" s="27"/>
      <c r="V633" s="12"/>
      <c r="W633" s="12"/>
      <c r="X633" s="12"/>
      <c r="Y633" s="12"/>
      <c r="Z633" s="31"/>
      <c r="AA633" s="12"/>
      <c r="AB633" s="12"/>
      <c r="AC633" s="12"/>
      <c r="AD633" s="12"/>
      <c r="AE633" s="12"/>
      <c r="AF633" s="12"/>
      <c r="AG633" s="12"/>
      <c r="AH633" s="12"/>
    </row>
    <row r="634" spans="1:34" ht="12.75">
      <c r="A634" s="12"/>
      <c r="B634" s="12"/>
      <c r="C634" s="12"/>
      <c r="D634" s="12"/>
      <c r="E634" s="12"/>
      <c r="F634" s="12"/>
      <c r="G634" s="12"/>
      <c r="H634" s="12"/>
      <c r="I634" s="12"/>
      <c r="J634" s="12"/>
      <c r="K634" s="12"/>
      <c r="L634" s="12"/>
      <c r="M634" s="12"/>
      <c r="N634" s="12"/>
      <c r="O634" s="12"/>
      <c r="P634" s="12"/>
      <c r="Q634" s="12"/>
      <c r="R634" s="27"/>
      <c r="S634" s="27"/>
      <c r="T634" s="27"/>
      <c r="U634" s="27"/>
      <c r="V634" s="12"/>
      <c r="W634" s="12"/>
      <c r="X634" s="12"/>
      <c r="Y634" s="12"/>
      <c r="Z634" s="31"/>
      <c r="AA634" s="12"/>
      <c r="AB634" s="12"/>
      <c r="AC634" s="12"/>
      <c r="AD634" s="12"/>
      <c r="AE634" s="12"/>
      <c r="AF634" s="12"/>
      <c r="AG634" s="12"/>
      <c r="AH634" s="12"/>
    </row>
    <row r="635" spans="1:34" ht="12.75">
      <c r="A635" s="12"/>
      <c r="B635" s="12"/>
      <c r="C635" s="12"/>
      <c r="D635" s="12"/>
      <c r="E635" s="12"/>
      <c r="F635" s="12"/>
      <c r="G635" s="12"/>
      <c r="H635" s="12"/>
      <c r="I635" s="12"/>
      <c r="J635" s="12"/>
      <c r="K635" s="12"/>
      <c r="L635" s="12"/>
      <c r="M635" s="12"/>
      <c r="N635" s="12"/>
      <c r="O635" s="12"/>
      <c r="P635" s="12"/>
      <c r="Q635" s="12"/>
      <c r="R635" s="27"/>
      <c r="S635" s="27"/>
      <c r="T635" s="27"/>
      <c r="U635" s="27"/>
      <c r="V635" s="12"/>
      <c r="W635" s="12"/>
      <c r="X635" s="12"/>
      <c r="Y635" s="12"/>
      <c r="Z635" s="31"/>
      <c r="AA635" s="12"/>
      <c r="AB635" s="12"/>
      <c r="AC635" s="12"/>
      <c r="AD635" s="12"/>
      <c r="AE635" s="12"/>
      <c r="AF635" s="12"/>
      <c r="AG635" s="12"/>
      <c r="AH635" s="12"/>
    </row>
    <row r="636" spans="1:34" ht="12.75">
      <c r="A636" s="12"/>
      <c r="B636" s="12"/>
      <c r="C636" s="12"/>
      <c r="D636" s="12"/>
      <c r="E636" s="12"/>
      <c r="F636" s="12"/>
      <c r="G636" s="12"/>
      <c r="H636" s="12"/>
      <c r="I636" s="12"/>
      <c r="J636" s="12"/>
      <c r="K636" s="12"/>
      <c r="L636" s="12"/>
      <c r="M636" s="12"/>
      <c r="N636" s="12"/>
      <c r="O636" s="12"/>
      <c r="P636" s="12"/>
      <c r="Q636" s="12"/>
      <c r="R636" s="27"/>
      <c r="S636" s="27"/>
      <c r="T636" s="27"/>
      <c r="U636" s="27"/>
      <c r="V636" s="12"/>
      <c r="W636" s="12"/>
      <c r="X636" s="12"/>
      <c r="Y636" s="12"/>
      <c r="Z636" s="31"/>
      <c r="AA636" s="12"/>
      <c r="AB636" s="12"/>
      <c r="AC636" s="12"/>
      <c r="AD636" s="12"/>
      <c r="AE636" s="12"/>
      <c r="AF636" s="12"/>
      <c r="AG636" s="12"/>
      <c r="AH636" s="12"/>
    </row>
    <row r="637" spans="1:34" ht="12.75">
      <c r="A637" s="12"/>
      <c r="B637" s="12"/>
      <c r="C637" s="12"/>
      <c r="D637" s="12"/>
      <c r="E637" s="12"/>
      <c r="F637" s="12"/>
      <c r="G637" s="12"/>
      <c r="H637" s="12"/>
      <c r="I637" s="12"/>
      <c r="J637" s="12"/>
      <c r="K637" s="12"/>
      <c r="L637" s="12"/>
      <c r="M637" s="12"/>
      <c r="N637" s="12"/>
      <c r="O637" s="12"/>
      <c r="P637" s="12"/>
      <c r="Q637" s="12"/>
      <c r="R637" s="27"/>
      <c r="S637" s="27"/>
      <c r="T637" s="27"/>
      <c r="U637" s="27"/>
      <c r="V637" s="12"/>
      <c r="W637" s="12"/>
      <c r="X637" s="12"/>
      <c r="Y637" s="12"/>
      <c r="Z637" s="31"/>
      <c r="AA637" s="12"/>
      <c r="AB637" s="12"/>
      <c r="AC637" s="12"/>
      <c r="AD637" s="12"/>
      <c r="AE637" s="12"/>
      <c r="AF637" s="12"/>
      <c r="AG637" s="12"/>
      <c r="AH637" s="12"/>
    </row>
    <row r="638" spans="1:34" ht="12.75">
      <c r="A638" s="12"/>
      <c r="B638" s="12"/>
      <c r="C638" s="12"/>
      <c r="D638" s="12"/>
      <c r="E638" s="12"/>
      <c r="F638" s="12"/>
      <c r="G638" s="12"/>
      <c r="H638" s="12"/>
      <c r="I638" s="12"/>
      <c r="J638" s="12"/>
      <c r="K638" s="12"/>
      <c r="L638" s="12"/>
      <c r="M638" s="12"/>
      <c r="N638" s="12"/>
      <c r="O638" s="12"/>
      <c r="P638" s="12"/>
      <c r="Q638" s="12"/>
      <c r="R638" s="27"/>
      <c r="S638" s="27"/>
      <c r="T638" s="27"/>
      <c r="U638" s="27"/>
      <c r="V638" s="12"/>
      <c r="W638" s="12"/>
      <c r="X638" s="12"/>
      <c r="Y638" s="12"/>
      <c r="Z638" s="31"/>
      <c r="AA638" s="12"/>
      <c r="AB638" s="12"/>
      <c r="AC638" s="12"/>
      <c r="AD638" s="12"/>
      <c r="AE638" s="12"/>
      <c r="AF638" s="12"/>
      <c r="AG638" s="12"/>
      <c r="AH638" s="12"/>
    </row>
    <row r="639" spans="1:34" ht="12.75">
      <c r="A639" s="12"/>
      <c r="B639" s="12"/>
      <c r="C639" s="12"/>
      <c r="D639" s="12"/>
      <c r="E639" s="12"/>
      <c r="F639" s="12"/>
      <c r="G639" s="12"/>
      <c r="H639" s="12"/>
      <c r="I639" s="12"/>
      <c r="J639" s="12"/>
      <c r="K639" s="12"/>
      <c r="L639" s="12"/>
      <c r="M639" s="12"/>
      <c r="N639" s="12"/>
      <c r="O639" s="12"/>
      <c r="P639" s="12"/>
      <c r="Q639" s="12"/>
      <c r="R639" s="27"/>
      <c r="S639" s="27"/>
      <c r="T639" s="27"/>
      <c r="U639" s="27"/>
      <c r="V639" s="12"/>
      <c r="W639" s="12"/>
      <c r="X639" s="12"/>
      <c r="Y639" s="12"/>
      <c r="Z639" s="31"/>
      <c r="AA639" s="12"/>
      <c r="AB639" s="12"/>
      <c r="AC639" s="12"/>
      <c r="AD639" s="12"/>
      <c r="AE639" s="12"/>
      <c r="AF639" s="12"/>
      <c r="AG639" s="12"/>
      <c r="AH639" s="12"/>
    </row>
    <row r="640" spans="1:34" ht="12.75">
      <c r="A640" s="12"/>
      <c r="B640" s="12"/>
      <c r="C640" s="12"/>
      <c r="D640" s="12"/>
      <c r="E640" s="12"/>
      <c r="F640" s="12"/>
      <c r="G640" s="12"/>
      <c r="H640" s="12"/>
      <c r="I640" s="12"/>
      <c r="J640" s="12"/>
      <c r="K640" s="12"/>
      <c r="L640" s="12"/>
      <c r="M640" s="12"/>
      <c r="N640" s="12"/>
      <c r="O640" s="12"/>
      <c r="P640" s="12"/>
      <c r="Q640" s="12"/>
      <c r="R640" s="27"/>
      <c r="S640" s="27"/>
      <c r="T640" s="27"/>
      <c r="U640" s="27"/>
      <c r="V640" s="12"/>
      <c r="W640" s="12"/>
      <c r="X640" s="12"/>
      <c r="Y640" s="12"/>
      <c r="Z640" s="31"/>
      <c r="AA640" s="12"/>
      <c r="AB640" s="12"/>
      <c r="AC640" s="12"/>
      <c r="AD640" s="12"/>
      <c r="AE640" s="12"/>
      <c r="AF640" s="12"/>
      <c r="AG640" s="12"/>
      <c r="AH640" s="12"/>
    </row>
    <row r="641" spans="1:34" ht="12.75">
      <c r="A641" s="12"/>
      <c r="B641" s="12"/>
      <c r="C641" s="12"/>
      <c r="D641" s="12"/>
      <c r="E641" s="12"/>
      <c r="F641" s="12"/>
      <c r="G641" s="12"/>
      <c r="H641" s="12"/>
      <c r="I641" s="12"/>
      <c r="J641" s="12"/>
      <c r="K641" s="12"/>
      <c r="L641" s="12"/>
      <c r="M641" s="12"/>
      <c r="N641" s="12"/>
      <c r="O641" s="12"/>
      <c r="P641" s="12"/>
      <c r="Q641" s="12"/>
      <c r="R641" s="27"/>
      <c r="S641" s="27"/>
      <c r="T641" s="27"/>
      <c r="U641" s="27"/>
      <c r="V641" s="12"/>
      <c r="W641" s="12"/>
      <c r="X641" s="12"/>
      <c r="Y641" s="12"/>
      <c r="Z641" s="31"/>
      <c r="AA641" s="12"/>
      <c r="AB641" s="12"/>
      <c r="AC641" s="12"/>
      <c r="AD641" s="12"/>
      <c r="AE641" s="12"/>
      <c r="AF641" s="12"/>
      <c r="AG641" s="12"/>
      <c r="AH641" s="12"/>
    </row>
    <row r="642" spans="1:34" ht="12.75">
      <c r="A642" s="12"/>
      <c r="B642" s="12"/>
      <c r="C642" s="12"/>
      <c r="D642" s="12"/>
      <c r="E642" s="12"/>
      <c r="F642" s="12"/>
      <c r="G642" s="12"/>
      <c r="H642" s="12"/>
      <c r="I642" s="12"/>
      <c r="J642" s="12"/>
      <c r="K642" s="12"/>
      <c r="L642" s="12"/>
      <c r="M642" s="12"/>
      <c r="N642" s="12"/>
      <c r="O642" s="12"/>
      <c r="P642" s="12"/>
      <c r="Q642" s="12"/>
      <c r="R642" s="27"/>
      <c r="S642" s="27"/>
      <c r="T642" s="27"/>
      <c r="U642" s="27"/>
      <c r="V642" s="12"/>
      <c r="W642" s="12"/>
      <c r="X642" s="12"/>
      <c r="Y642" s="12"/>
      <c r="Z642" s="31"/>
      <c r="AA642" s="12"/>
      <c r="AB642" s="12"/>
      <c r="AC642" s="12"/>
      <c r="AD642" s="12"/>
      <c r="AE642" s="12"/>
      <c r="AF642" s="12"/>
      <c r="AG642" s="12"/>
      <c r="AH642" s="12"/>
    </row>
    <row r="643" spans="1:34" ht="12.75">
      <c r="A643" s="12"/>
      <c r="B643" s="12"/>
      <c r="C643" s="12"/>
      <c r="D643" s="12"/>
      <c r="E643" s="12"/>
      <c r="F643" s="12"/>
      <c r="G643" s="12"/>
      <c r="H643" s="12"/>
      <c r="I643" s="12"/>
      <c r="J643" s="12"/>
      <c r="K643" s="12"/>
      <c r="L643" s="12"/>
      <c r="M643" s="12"/>
      <c r="N643" s="12"/>
      <c r="O643" s="12"/>
      <c r="P643" s="12"/>
      <c r="Q643" s="12"/>
      <c r="R643" s="27"/>
      <c r="S643" s="27"/>
      <c r="T643" s="27"/>
      <c r="U643" s="27"/>
      <c r="V643" s="12"/>
      <c r="W643" s="12"/>
      <c r="X643" s="12"/>
      <c r="Y643" s="12"/>
      <c r="Z643" s="31"/>
      <c r="AA643" s="12"/>
      <c r="AB643" s="12"/>
      <c r="AC643" s="12"/>
      <c r="AD643" s="12"/>
      <c r="AE643" s="12"/>
      <c r="AF643" s="12"/>
      <c r="AG643" s="12"/>
      <c r="AH643" s="12"/>
    </row>
    <row r="644" spans="1:34" ht="12.75">
      <c r="A644" s="12"/>
      <c r="B644" s="12"/>
      <c r="C644" s="12"/>
      <c r="D644" s="12"/>
      <c r="E644" s="12"/>
      <c r="F644" s="12"/>
      <c r="G644" s="12"/>
      <c r="H644" s="12"/>
      <c r="I644" s="12"/>
      <c r="J644" s="12"/>
      <c r="K644" s="12"/>
      <c r="L644" s="12"/>
      <c r="M644" s="12"/>
      <c r="N644" s="12"/>
      <c r="O644" s="12"/>
      <c r="P644" s="12"/>
      <c r="Q644" s="12"/>
      <c r="R644" s="27"/>
      <c r="S644" s="27"/>
      <c r="T644" s="27"/>
      <c r="U644" s="27"/>
      <c r="V644" s="12"/>
      <c r="W644" s="12"/>
      <c r="X644" s="12"/>
      <c r="Y644" s="12"/>
      <c r="Z644" s="31"/>
      <c r="AA644" s="12"/>
      <c r="AB644" s="12"/>
      <c r="AC644" s="12"/>
      <c r="AD644" s="12"/>
      <c r="AE644" s="12"/>
      <c r="AF644" s="12"/>
      <c r="AG644" s="12"/>
      <c r="AH644" s="12"/>
    </row>
    <row r="645" spans="1:34" ht="12.75">
      <c r="A645" s="12"/>
      <c r="B645" s="12"/>
      <c r="C645" s="12"/>
      <c r="D645" s="12"/>
      <c r="E645" s="12"/>
      <c r="F645" s="12"/>
      <c r="G645" s="12"/>
      <c r="H645" s="12"/>
      <c r="I645" s="12"/>
      <c r="J645" s="12"/>
      <c r="K645" s="12"/>
      <c r="L645" s="12"/>
      <c r="M645" s="12"/>
      <c r="N645" s="12"/>
      <c r="O645" s="12"/>
      <c r="P645" s="12"/>
      <c r="Q645" s="12"/>
      <c r="R645" s="27"/>
      <c r="S645" s="27"/>
      <c r="T645" s="27"/>
      <c r="U645" s="27"/>
      <c r="V645" s="12"/>
      <c r="W645" s="12"/>
      <c r="X645" s="12"/>
      <c r="Y645" s="12"/>
      <c r="Z645" s="31"/>
      <c r="AA645" s="12"/>
      <c r="AB645" s="12"/>
      <c r="AC645" s="12"/>
      <c r="AD645" s="12"/>
      <c r="AE645" s="12"/>
      <c r="AF645" s="12"/>
      <c r="AG645" s="12"/>
      <c r="AH645" s="12"/>
    </row>
    <row r="646" spans="1:34" ht="12.75">
      <c r="A646" s="12"/>
      <c r="B646" s="12"/>
      <c r="C646" s="12"/>
      <c r="D646" s="12"/>
      <c r="E646" s="12"/>
      <c r="F646" s="12"/>
      <c r="G646" s="12"/>
      <c r="H646" s="12"/>
      <c r="I646" s="12"/>
      <c r="J646" s="12"/>
      <c r="K646" s="12"/>
      <c r="L646" s="12"/>
      <c r="M646" s="12"/>
      <c r="N646" s="12"/>
      <c r="O646" s="12"/>
      <c r="P646" s="12"/>
      <c r="Q646" s="12"/>
      <c r="R646" s="27"/>
      <c r="S646" s="27"/>
      <c r="T646" s="27"/>
      <c r="U646" s="27"/>
      <c r="V646" s="12"/>
      <c r="W646" s="12"/>
      <c r="X646" s="12"/>
      <c r="Y646" s="12"/>
      <c r="Z646" s="31"/>
      <c r="AA646" s="12"/>
      <c r="AB646" s="12"/>
      <c r="AC646" s="12"/>
      <c r="AD646" s="12"/>
      <c r="AE646" s="12"/>
      <c r="AF646" s="12"/>
      <c r="AG646" s="12"/>
      <c r="AH646" s="12"/>
    </row>
    <row r="647" spans="1:34" ht="12.75">
      <c r="A647" s="12"/>
      <c r="B647" s="12"/>
      <c r="C647" s="12"/>
      <c r="D647" s="12"/>
      <c r="E647" s="12"/>
      <c r="F647" s="12"/>
      <c r="G647" s="12"/>
      <c r="H647" s="12"/>
      <c r="I647" s="12"/>
      <c r="J647" s="12"/>
      <c r="K647" s="12"/>
      <c r="L647" s="12"/>
      <c r="M647" s="12"/>
      <c r="N647" s="12"/>
      <c r="O647" s="12"/>
      <c r="P647" s="12"/>
      <c r="Q647" s="12"/>
      <c r="R647" s="27"/>
      <c r="S647" s="27"/>
      <c r="T647" s="27"/>
      <c r="U647" s="27"/>
      <c r="V647" s="12"/>
      <c r="W647" s="12"/>
      <c r="X647" s="12"/>
      <c r="Y647" s="12"/>
      <c r="Z647" s="31"/>
      <c r="AA647" s="12"/>
      <c r="AB647" s="12"/>
      <c r="AC647" s="12"/>
      <c r="AD647" s="12"/>
      <c r="AE647" s="12"/>
      <c r="AF647" s="12"/>
      <c r="AG647" s="12"/>
      <c r="AH647" s="12"/>
    </row>
    <row r="648" spans="1:34" ht="12.75">
      <c r="A648" s="12"/>
      <c r="B648" s="12"/>
      <c r="C648" s="12"/>
      <c r="D648" s="12"/>
      <c r="E648" s="12"/>
      <c r="F648" s="12"/>
      <c r="G648" s="12"/>
      <c r="H648" s="12"/>
      <c r="I648" s="12"/>
      <c r="J648" s="12"/>
      <c r="K648" s="12"/>
      <c r="L648" s="12"/>
      <c r="M648" s="12"/>
      <c r="N648" s="12"/>
      <c r="O648" s="12"/>
      <c r="P648" s="12"/>
      <c r="Q648" s="12"/>
      <c r="R648" s="27"/>
      <c r="S648" s="27"/>
      <c r="T648" s="27"/>
      <c r="U648" s="27"/>
      <c r="V648" s="12"/>
      <c r="W648" s="12"/>
      <c r="X648" s="12"/>
      <c r="Y648" s="12"/>
      <c r="Z648" s="31"/>
      <c r="AA648" s="12"/>
      <c r="AB648" s="12"/>
      <c r="AC648" s="12"/>
      <c r="AD648" s="12"/>
      <c r="AE648" s="12"/>
      <c r="AF648" s="12"/>
      <c r="AG648" s="12"/>
      <c r="AH648" s="12"/>
    </row>
    <row r="649" spans="1:34" ht="12.75">
      <c r="A649" s="12"/>
      <c r="B649" s="12"/>
      <c r="C649" s="12"/>
      <c r="D649" s="12"/>
      <c r="E649" s="12"/>
      <c r="F649" s="12"/>
      <c r="G649" s="12"/>
      <c r="H649" s="12"/>
      <c r="I649" s="12"/>
      <c r="J649" s="12"/>
      <c r="K649" s="12"/>
      <c r="L649" s="12"/>
      <c r="M649" s="12"/>
      <c r="N649" s="12"/>
      <c r="O649" s="12"/>
      <c r="P649" s="12"/>
      <c r="Q649" s="12"/>
      <c r="R649" s="27"/>
      <c r="S649" s="27"/>
      <c r="T649" s="27"/>
      <c r="U649" s="27"/>
      <c r="V649" s="12"/>
      <c r="W649" s="12"/>
      <c r="X649" s="12"/>
      <c r="Y649" s="12"/>
      <c r="Z649" s="31"/>
      <c r="AA649" s="12"/>
      <c r="AB649" s="12"/>
      <c r="AC649" s="12"/>
      <c r="AD649" s="12"/>
      <c r="AE649" s="12"/>
      <c r="AF649" s="12"/>
      <c r="AG649" s="12"/>
      <c r="AH649" s="12"/>
    </row>
    <row r="650" spans="1:34" ht="12.75">
      <c r="A650" s="12"/>
      <c r="B650" s="12"/>
      <c r="C650" s="12"/>
      <c r="D650" s="12"/>
      <c r="E650" s="12"/>
      <c r="F650" s="12"/>
      <c r="G650" s="12"/>
      <c r="H650" s="12"/>
      <c r="I650" s="12"/>
      <c r="J650" s="12"/>
      <c r="K650" s="12"/>
      <c r="L650" s="12"/>
      <c r="M650" s="12"/>
      <c r="N650" s="12"/>
      <c r="O650" s="12"/>
      <c r="P650" s="12"/>
      <c r="Q650" s="12"/>
      <c r="R650" s="27"/>
      <c r="S650" s="27"/>
      <c r="T650" s="27"/>
      <c r="U650" s="27"/>
      <c r="V650" s="12"/>
      <c r="W650" s="12"/>
      <c r="X650" s="12"/>
      <c r="Y650" s="12"/>
      <c r="Z650" s="31"/>
      <c r="AA650" s="12"/>
      <c r="AB650" s="12"/>
      <c r="AC650" s="12"/>
      <c r="AD650" s="12"/>
      <c r="AE650" s="12"/>
      <c r="AF650" s="12"/>
      <c r="AG650" s="12"/>
      <c r="AH650" s="12"/>
    </row>
    <row r="651" spans="1:34" ht="12.75">
      <c r="A651" s="12"/>
      <c r="B651" s="12"/>
      <c r="C651" s="12"/>
      <c r="D651" s="12"/>
      <c r="E651" s="12"/>
      <c r="F651" s="12"/>
      <c r="G651" s="12"/>
      <c r="H651" s="12"/>
      <c r="I651" s="12"/>
      <c r="J651" s="12"/>
      <c r="K651" s="12"/>
      <c r="L651" s="12"/>
      <c r="M651" s="12"/>
      <c r="N651" s="12"/>
      <c r="O651" s="12"/>
      <c r="P651" s="12"/>
      <c r="Q651" s="12"/>
      <c r="R651" s="27"/>
      <c r="S651" s="27"/>
      <c r="T651" s="27"/>
      <c r="U651" s="27"/>
      <c r="V651" s="12"/>
      <c r="W651" s="12"/>
      <c r="X651" s="12"/>
      <c r="Y651" s="12"/>
      <c r="Z651" s="31"/>
      <c r="AA651" s="12"/>
      <c r="AB651" s="12"/>
      <c r="AC651" s="12"/>
      <c r="AD651" s="12"/>
      <c r="AE651" s="12"/>
      <c r="AF651" s="12"/>
      <c r="AG651" s="12"/>
      <c r="AH651" s="12"/>
    </row>
    <row r="652" spans="1:34" ht="12.75">
      <c r="A652" s="12"/>
      <c r="B652" s="12"/>
      <c r="C652" s="12"/>
      <c r="D652" s="12"/>
      <c r="E652" s="12"/>
      <c r="F652" s="12"/>
      <c r="G652" s="12"/>
      <c r="H652" s="12"/>
      <c r="I652" s="12"/>
      <c r="J652" s="12"/>
      <c r="K652" s="12"/>
      <c r="L652" s="12"/>
      <c r="M652" s="12"/>
      <c r="N652" s="12"/>
      <c r="O652" s="12"/>
      <c r="P652" s="12"/>
      <c r="Q652" s="12"/>
      <c r="R652" s="27"/>
      <c r="S652" s="27"/>
      <c r="T652" s="27"/>
      <c r="U652" s="27"/>
      <c r="V652" s="12"/>
      <c r="W652" s="12"/>
      <c r="X652" s="12"/>
      <c r="Y652" s="12"/>
      <c r="Z652" s="31"/>
      <c r="AA652" s="12"/>
      <c r="AB652" s="12"/>
      <c r="AC652" s="12"/>
      <c r="AD652" s="12"/>
      <c r="AE652" s="12"/>
      <c r="AF652" s="12"/>
      <c r="AG652" s="12"/>
      <c r="AH652" s="12"/>
    </row>
    <row r="653" spans="1:34" ht="12.75">
      <c r="A653" s="12"/>
      <c r="B653" s="12"/>
      <c r="C653" s="12"/>
      <c r="D653" s="12"/>
      <c r="E653" s="12"/>
      <c r="F653" s="12"/>
      <c r="G653" s="12"/>
      <c r="H653" s="12"/>
      <c r="I653" s="12"/>
      <c r="J653" s="12"/>
      <c r="K653" s="12"/>
      <c r="L653" s="12"/>
      <c r="M653" s="12"/>
      <c r="N653" s="12"/>
      <c r="O653" s="12"/>
      <c r="P653" s="12"/>
      <c r="Q653" s="12"/>
      <c r="R653" s="27"/>
      <c r="S653" s="27"/>
      <c r="T653" s="27"/>
      <c r="U653" s="27"/>
      <c r="V653" s="12"/>
      <c r="W653" s="12"/>
      <c r="X653" s="12"/>
      <c r="Y653" s="12"/>
      <c r="Z653" s="31"/>
      <c r="AA653" s="12"/>
      <c r="AB653" s="12"/>
      <c r="AC653" s="12"/>
      <c r="AD653" s="12"/>
      <c r="AE653" s="12"/>
      <c r="AF653" s="12"/>
      <c r="AG653" s="12"/>
      <c r="AH653" s="12"/>
    </row>
    <row r="654" spans="1:34" ht="12.75">
      <c r="A654" s="12"/>
      <c r="B654" s="12"/>
      <c r="C654" s="12"/>
      <c r="D654" s="12"/>
      <c r="E654" s="12"/>
      <c r="F654" s="12"/>
      <c r="G654" s="12"/>
      <c r="H654" s="12"/>
      <c r="I654" s="12"/>
      <c r="J654" s="12"/>
      <c r="K654" s="12"/>
      <c r="L654" s="12"/>
      <c r="M654" s="12"/>
      <c r="N654" s="12"/>
      <c r="O654" s="12"/>
      <c r="P654" s="12"/>
      <c r="Q654" s="12"/>
      <c r="R654" s="27"/>
      <c r="S654" s="27"/>
      <c r="T654" s="27"/>
      <c r="U654" s="27"/>
      <c r="V654" s="12"/>
      <c r="W654" s="12"/>
      <c r="X654" s="12"/>
      <c r="Y654" s="12"/>
      <c r="Z654" s="31"/>
      <c r="AA654" s="12"/>
      <c r="AB654" s="12"/>
      <c r="AC654" s="12"/>
      <c r="AD654" s="12"/>
      <c r="AE654" s="12"/>
      <c r="AF654" s="12"/>
      <c r="AG654" s="12"/>
      <c r="AH654" s="12"/>
    </row>
    <row r="655" spans="1:34" ht="12.75">
      <c r="A655" s="12"/>
      <c r="B655" s="12"/>
      <c r="C655" s="12"/>
      <c r="D655" s="12"/>
      <c r="E655" s="12"/>
      <c r="F655" s="12"/>
      <c r="G655" s="12"/>
      <c r="H655" s="12"/>
      <c r="I655" s="12"/>
      <c r="J655" s="12"/>
      <c r="K655" s="12"/>
      <c r="L655" s="12"/>
      <c r="M655" s="12"/>
      <c r="N655" s="12"/>
      <c r="O655" s="12"/>
      <c r="P655" s="12"/>
      <c r="Q655" s="12"/>
      <c r="R655" s="27"/>
      <c r="S655" s="27"/>
      <c r="T655" s="27"/>
      <c r="U655" s="27"/>
      <c r="V655" s="12"/>
      <c r="W655" s="12"/>
      <c r="X655" s="12"/>
      <c r="Y655" s="12"/>
      <c r="Z655" s="31"/>
      <c r="AA655" s="12"/>
      <c r="AB655" s="12"/>
      <c r="AC655" s="12"/>
      <c r="AD655" s="12"/>
      <c r="AE655" s="12"/>
      <c r="AF655" s="12"/>
      <c r="AG655" s="12"/>
      <c r="AH655" s="12"/>
    </row>
    <row r="656" spans="1:34" ht="12.75">
      <c r="A656" s="12"/>
      <c r="B656" s="12"/>
      <c r="C656" s="12"/>
      <c r="D656" s="12"/>
      <c r="E656" s="12"/>
      <c r="F656" s="12"/>
      <c r="G656" s="12"/>
      <c r="H656" s="12"/>
      <c r="I656" s="12"/>
      <c r="J656" s="12"/>
      <c r="K656" s="12"/>
      <c r="L656" s="12"/>
      <c r="M656" s="12"/>
      <c r="N656" s="12"/>
      <c r="O656" s="12"/>
      <c r="P656" s="12"/>
      <c r="Q656" s="12"/>
      <c r="R656" s="27"/>
      <c r="S656" s="27"/>
      <c r="T656" s="27"/>
      <c r="U656" s="27"/>
      <c r="V656" s="12"/>
      <c r="W656" s="12"/>
      <c r="X656" s="12"/>
      <c r="Y656" s="12"/>
      <c r="Z656" s="31"/>
      <c r="AA656" s="12"/>
      <c r="AB656" s="12"/>
      <c r="AC656" s="12"/>
      <c r="AD656" s="12"/>
      <c r="AE656" s="12"/>
      <c r="AF656" s="12"/>
      <c r="AG656" s="12"/>
      <c r="AH656" s="12"/>
    </row>
    <row r="657" spans="1:34" ht="12.75">
      <c r="A657" s="12"/>
      <c r="B657" s="12"/>
      <c r="C657" s="12"/>
      <c r="D657" s="12"/>
      <c r="E657" s="12"/>
      <c r="F657" s="12"/>
      <c r="G657" s="12"/>
      <c r="H657" s="12"/>
      <c r="I657" s="12"/>
      <c r="J657" s="12"/>
      <c r="K657" s="12"/>
      <c r="L657" s="12"/>
      <c r="M657" s="12"/>
      <c r="N657" s="12"/>
      <c r="O657" s="12"/>
      <c r="P657" s="12"/>
      <c r="Q657" s="12"/>
      <c r="R657" s="27"/>
      <c r="S657" s="27"/>
      <c r="T657" s="27"/>
      <c r="U657" s="27"/>
      <c r="V657" s="12"/>
      <c r="W657" s="12"/>
      <c r="X657" s="12"/>
      <c r="Y657" s="12"/>
      <c r="Z657" s="31"/>
      <c r="AA657" s="12"/>
      <c r="AB657" s="12"/>
      <c r="AC657" s="12"/>
      <c r="AD657" s="12"/>
      <c r="AE657" s="12"/>
      <c r="AF657" s="12"/>
      <c r="AG657" s="12"/>
      <c r="AH657" s="12"/>
    </row>
    <row r="658" spans="1:34" ht="12.75">
      <c r="A658" s="12"/>
      <c r="B658" s="12"/>
      <c r="C658" s="12"/>
      <c r="D658" s="12"/>
      <c r="E658" s="12"/>
      <c r="F658" s="12"/>
      <c r="G658" s="12"/>
      <c r="H658" s="12"/>
      <c r="I658" s="12"/>
      <c r="J658" s="12"/>
      <c r="K658" s="12"/>
      <c r="L658" s="12"/>
      <c r="M658" s="12"/>
      <c r="N658" s="12"/>
      <c r="O658" s="12"/>
      <c r="P658" s="12"/>
      <c r="Q658" s="12"/>
      <c r="R658" s="27"/>
      <c r="S658" s="27"/>
      <c r="T658" s="27"/>
      <c r="U658" s="27"/>
      <c r="V658" s="12"/>
      <c r="W658" s="12"/>
      <c r="X658" s="12"/>
      <c r="Y658" s="12"/>
      <c r="Z658" s="31"/>
      <c r="AA658" s="12"/>
      <c r="AB658" s="12"/>
      <c r="AC658" s="12"/>
      <c r="AD658" s="12"/>
      <c r="AE658" s="12"/>
      <c r="AF658" s="12"/>
      <c r="AG658" s="12"/>
      <c r="AH658" s="12"/>
    </row>
    <row r="659" spans="1:34" ht="12.75">
      <c r="A659" s="12"/>
      <c r="B659" s="12"/>
      <c r="C659" s="12"/>
      <c r="D659" s="12"/>
      <c r="E659" s="12"/>
      <c r="F659" s="12"/>
      <c r="G659" s="12"/>
      <c r="H659" s="12"/>
      <c r="I659" s="12"/>
      <c r="J659" s="12"/>
      <c r="K659" s="12"/>
      <c r="L659" s="12"/>
      <c r="M659" s="12"/>
      <c r="N659" s="12"/>
      <c r="O659" s="12"/>
      <c r="P659" s="12"/>
      <c r="Q659" s="12"/>
      <c r="R659" s="27"/>
      <c r="S659" s="27"/>
      <c r="T659" s="27"/>
      <c r="U659" s="27"/>
      <c r="V659" s="12"/>
      <c r="W659" s="12"/>
      <c r="X659" s="12"/>
      <c r="Y659" s="12"/>
      <c r="Z659" s="31"/>
      <c r="AA659" s="12"/>
      <c r="AB659" s="12"/>
      <c r="AC659" s="12"/>
      <c r="AD659" s="12"/>
      <c r="AE659" s="12"/>
      <c r="AF659" s="12"/>
      <c r="AG659" s="12"/>
      <c r="AH659" s="12"/>
    </row>
    <row r="660" spans="1:34" ht="12.75">
      <c r="A660" s="12"/>
      <c r="B660" s="12"/>
      <c r="C660" s="12"/>
      <c r="D660" s="12"/>
      <c r="E660" s="12"/>
      <c r="F660" s="12"/>
      <c r="G660" s="12"/>
      <c r="H660" s="12"/>
      <c r="I660" s="12"/>
      <c r="J660" s="12"/>
      <c r="K660" s="12"/>
      <c r="L660" s="12"/>
      <c r="M660" s="12"/>
      <c r="N660" s="12"/>
      <c r="O660" s="12"/>
      <c r="P660" s="12"/>
      <c r="Q660" s="12"/>
      <c r="R660" s="27"/>
      <c r="S660" s="27"/>
      <c r="T660" s="27"/>
      <c r="U660" s="27"/>
      <c r="V660" s="12"/>
      <c r="W660" s="12"/>
      <c r="X660" s="12"/>
      <c r="Y660" s="12"/>
      <c r="Z660" s="31"/>
      <c r="AA660" s="12"/>
      <c r="AB660" s="12"/>
      <c r="AC660" s="12"/>
      <c r="AD660" s="12"/>
      <c r="AE660" s="12"/>
      <c r="AF660" s="12"/>
      <c r="AG660" s="12"/>
      <c r="AH660" s="12"/>
    </row>
    <row r="661" spans="1:34" ht="12.75">
      <c r="A661" s="12"/>
      <c r="B661" s="12"/>
      <c r="C661" s="12"/>
      <c r="D661" s="12"/>
      <c r="E661" s="12"/>
      <c r="F661" s="12"/>
      <c r="G661" s="12"/>
      <c r="H661" s="12"/>
      <c r="I661" s="12"/>
      <c r="J661" s="12"/>
      <c r="K661" s="12"/>
      <c r="L661" s="12"/>
      <c r="M661" s="12"/>
      <c r="N661" s="12"/>
      <c r="O661" s="12"/>
      <c r="P661" s="12"/>
      <c r="Q661" s="12"/>
      <c r="R661" s="27"/>
      <c r="S661" s="27"/>
      <c r="T661" s="27"/>
      <c r="U661" s="27"/>
      <c r="V661" s="12"/>
      <c r="W661" s="12"/>
      <c r="X661" s="12"/>
      <c r="Y661" s="12"/>
      <c r="Z661" s="31"/>
      <c r="AA661" s="12"/>
      <c r="AB661" s="12"/>
      <c r="AC661" s="12"/>
      <c r="AD661" s="12"/>
      <c r="AE661" s="12"/>
      <c r="AF661" s="12"/>
      <c r="AG661" s="12"/>
      <c r="AH661" s="12"/>
    </row>
    <row r="662" spans="1:34" ht="12.75">
      <c r="A662" s="12"/>
      <c r="B662" s="12"/>
      <c r="C662" s="12"/>
      <c r="D662" s="12"/>
      <c r="E662" s="12"/>
      <c r="F662" s="12"/>
      <c r="G662" s="12"/>
      <c r="H662" s="12"/>
      <c r="I662" s="12"/>
      <c r="J662" s="12"/>
      <c r="K662" s="12"/>
      <c r="L662" s="12"/>
      <c r="M662" s="12"/>
      <c r="N662" s="12"/>
      <c r="O662" s="12"/>
      <c r="P662" s="12"/>
      <c r="Q662" s="12"/>
      <c r="R662" s="27"/>
      <c r="S662" s="27"/>
      <c r="T662" s="27"/>
      <c r="U662" s="27"/>
      <c r="V662" s="12"/>
      <c r="W662" s="12"/>
      <c r="X662" s="12"/>
      <c r="Y662" s="12"/>
      <c r="Z662" s="31"/>
      <c r="AA662" s="12"/>
      <c r="AB662" s="12"/>
      <c r="AC662" s="12"/>
      <c r="AD662" s="12"/>
      <c r="AE662" s="12"/>
      <c r="AF662" s="12"/>
      <c r="AG662" s="12"/>
      <c r="AH662" s="12"/>
    </row>
    <row r="663" spans="1:34" ht="12.75">
      <c r="A663" s="12"/>
      <c r="B663" s="12"/>
      <c r="C663" s="12"/>
      <c r="D663" s="12"/>
      <c r="E663" s="12"/>
      <c r="F663" s="12"/>
      <c r="G663" s="12"/>
      <c r="H663" s="12"/>
      <c r="I663" s="12"/>
      <c r="J663" s="12"/>
      <c r="K663" s="12"/>
      <c r="L663" s="12"/>
      <c r="M663" s="12"/>
      <c r="N663" s="12"/>
      <c r="O663" s="12"/>
      <c r="P663" s="12"/>
      <c r="Q663" s="12"/>
      <c r="R663" s="27"/>
      <c r="S663" s="27"/>
      <c r="T663" s="27"/>
      <c r="U663" s="27"/>
      <c r="V663" s="12"/>
      <c r="W663" s="12"/>
      <c r="X663" s="12"/>
      <c r="Y663" s="12"/>
      <c r="Z663" s="31"/>
      <c r="AA663" s="12"/>
      <c r="AB663" s="12"/>
      <c r="AC663" s="12"/>
      <c r="AD663" s="12"/>
      <c r="AE663" s="12"/>
      <c r="AF663" s="12"/>
      <c r="AG663" s="12"/>
      <c r="AH663" s="12"/>
    </row>
    <row r="664" spans="1:34" ht="12.75">
      <c r="A664" s="12"/>
      <c r="B664" s="12"/>
      <c r="C664" s="12"/>
      <c r="D664" s="12"/>
      <c r="E664" s="12"/>
      <c r="F664" s="12"/>
      <c r="G664" s="12"/>
      <c r="H664" s="12"/>
      <c r="I664" s="12"/>
      <c r="J664" s="12"/>
      <c r="K664" s="12"/>
      <c r="L664" s="12"/>
      <c r="M664" s="12"/>
      <c r="N664" s="12"/>
      <c r="O664" s="12"/>
      <c r="P664" s="12"/>
      <c r="Q664" s="12"/>
      <c r="R664" s="27"/>
      <c r="S664" s="27"/>
      <c r="T664" s="27"/>
      <c r="U664" s="27"/>
      <c r="V664" s="12"/>
      <c r="W664" s="12"/>
      <c r="X664" s="12"/>
      <c r="Y664" s="12"/>
      <c r="Z664" s="31"/>
      <c r="AA664" s="12"/>
      <c r="AB664" s="12"/>
      <c r="AC664" s="12"/>
      <c r="AD664" s="12"/>
      <c r="AE664" s="12"/>
      <c r="AF664" s="12"/>
      <c r="AG664" s="12"/>
      <c r="AH664" s="12"/>
    </row>
    <row r="665" spans="1:34" ht="12.75">
      <c r="A665" s="12"/>
      <c r="B665" s="12"/>
      <c r="C665" s="12"/>
      <c r="D665" s="12"/>
      <c r="E665" s="12"/>
      <c r="F665" s="12"/>
      <c r="G665" s="12"/>
      <c r="H665" s="12"/>
      <c r="I665" s="12"/>
      <c r="J665" s="12"/>
      <c r="K665" s="12"/>
      <c r="L665" s="12"/>
      <c r="M665" s="12"/>
      <c r="N665" s="12"/>
      <c r="O665" s="12"/>
      <c r="P665" s="12"/>
      <c r="Q665" s="12"/>
      <c r="R665" s="27"/>
      <c r="S665" s="27"/>
      <c r="T665" s="27"/>
      <c r="U665" s="27"/>
      <c r="V665" s="12"/>
      <c r="W665" s="12"/>
      <c r="X665" s="12"/>
      <c r="Y665" s="12"/>
      <c r="Z665" s="31"/>
      <c r="AA665" s="12"/>
      <c r="AB665" s="12"/>
      <c r="AC665" s="12"/>
      <c r="AD665" s="12"/>
      <c r="AE665" s="12"/>
      <c r="AF665" s="12"/>
      <c r="AG665" s="12"/>
      <c r="AH665" s="12"/>
    </row>
    <row r="666" spans="1:34" ht="12.75">
      <c r="A666" s="12"/>
      <c r="B666" s="12"/>
      <c r="C666" s="12"/>
      <c r="D666" s="12"/>
      <c r="E666" s="12"/>
      <c r="F666" s="12"/>
      <c r="G666" s="12"/>
      <c r="H666" s="12"/>
      <c r="I666" s="12"/>
      <c r="J666" s="12"/>
      <c r="K666" s="12"/>
      <c r="L666" s="12"/>
      <c r="M666" s="12"/>
      <c r="N666" s="12"/>
      <c r="O666" s="12"/>
      <c r="P666" s="12"/>
      <c r="Q666" s="12"/>
      <c r="R666" s="27"/>
      <c r="S666" s="27"/>
      <c r="T666" s="27"/>
      <c r="U666" s="27"/>
      <c r="V666" s="12"/>
      <c r="W666" s="12"/>
      <c r="X666" s="12"/>
      <c r="Y666" s="12"/>
      <c r="Z666" s="31"/>
      <c r="AA666" s="12"/>
      <c r="AB666" s="12"/>
      <c r="AC666" s="12"/>
      <c r="AD666" s="12"/>
      <c r="AE666" s="12"/>
      <c r="AF666" s="12"/>
      <c r="AG666" s="12"/>
      <c r="AH666" s="12"/>
    </row>
    <row r="667" spans="1:34" ht="12.75">
      <c r="A667" s="12"/>
      <c r="B667" s="12"/>
      <c r="C667" s="12"/>
      <c r="D667" s="12"/>
      <c r="E667" s="12"/>
      <c r="F667" s="12"/>
      <c r="G667" s="12"/>
      <c r="H667" s="12"/>
      <c r="I667" s="12"/>
      <c r="J667" s="12"/>
      <c r="K667" s="12"/>
      <c r="L667" s="12"/>
      <c r="M667" s="12"/>
      <c r="N667" s="12"/>
      <c r="O667" s="12"/>
      <c r="P667" s="12"/>
      <c r="Q667" s="12"/>
      <c r="R667" s="27"/>
      <c r="S667" s="27"/>
      <c r="T667" s="27"/>
      <c r="U667" s="27"/>
      <c r="V667" s="12"/>
      <c r="W667" s="12"/>
      <c r="X667" s="12"/>
      <c r="Y667" s="12"/>
      <c r="Z667" s="31"/>
      <c r="AA667" s="12"/>
      <c r="AB667" s="12"/>
      <c r="AC667" s="12"/>
      <c r="AD667" s="12"/>
      <c r="AE667" s="12"/>
      <c r="AF667" s="12"/>
      <c r="AG667" s="12"/>
      <c r="AH667" s="12"/>
    </row>
    <row r="668" spans="1:34" ht="12.75">
      <c r="A668" s="12"/>
      <c r="B668" s="12"/>
      <c r="C668" s="12"/>
      <c r="D668" s="12"/>
      <c r="E668" s="12"/>
      <c r="F668" s="12"/>
      <c r="G668" s="12"/>
      <c r="H668" s="12"/>
      <c r="I668" s="12"/>
      <c r="J668" s="12"/>
      <c r="K668" s="12"/>
      <c r="L668" s="12"/>
      <c r="M668" s="12"/>
      <c r="N668" s="12"/>
      <c r="O668" s="12"/>
      <c r="P668" s="12"/>
      <c r="Q668" s="12"/>
      <c r="R668" s="27"/>
      <c r="S668" s="27"/>
      <c r="T668" s="27"/>
      <c r="U668" s="27"/>
      <c r="V668" s="12"/>
      <c r="W668" s="12"/>
      <c r="X668" s="12"/>
      <c r="Y668" s="12"/>
      <c r="Z668" s="31"/>
      <c r="AA668" s="12"/>
      <c r="AB668" s="12"/>
      <c r="AC668" s="12"/>
      <c r="AD668" s="12"/>
      <c r="AE668" s="12"/>
      <c r="AF668" s="12"/>
      <c r="AG668" s="12"/>
      <c r="AH668" s="12"/>
    </row>
    <row r="669" spans="1:34" ht="12.75">
      <c r="A669" s="12"/>
      <c r="B669" s="12"/>
      <c r="C669" s="12"/>
      <c r="D669" s="12"/>
      <c r="E669" s="12"/>
      <c r="F669" s="12"/>
      <c r="G669" s="12"/>
      <c r="H669" s="12"/>
      <c r="I669" s="12"/>
      <c r="J669" s="12"/>
      <c r="K669" s="12"/>
      <c r="L669" s="12"/>
      <c r="M669" s="12"/>
      <c r="N669" s="12"/>
      <c r="O669" s="12"/>
      <c r="P669" s="12"/>
      <c r="Q669" s="12"/>
      <c r="R669" s="27"/>
      <c r="S669" s="27"/>
      <c r="T669" s="27"/>
      <c r="U669" s="27"/>
      <c r="V669" s="12"/>
      <c r="W669" s="12"/>
      <c r="X669" s="12"/>
      <c r="Y669" s="12"/>
      <c r="Z669" s="31"/>
      <c r="AA669" s="12"/>
      <c r="AB669" s="12"/>
      <c r="AC669" s="12"/>
      <c r="AD669" s="12"/>
      <c r="AE669" s="12"/>
      <c r="AF669" s="12"/>
      <c r="AG669" s="12"/>
      <c r="AH669" s="12"/>
    </row>
    <row r="670" spans="1:34" ht="12.75">
      <c r="A670" s="12"/>
      <c r="B670" s="12"/>
      <c r="C670" s="12"/>
      <c r="D670" s="12"/>
      <c r="E670" s="12"/>
      <c r="F670" s="12"/>
      <c r="G670" s="12"/>
      <c r="H670" s="12"/>
      <c r="I670" s="12"/>
      <c r="J670" s="12"/>
      <c r="K670" s="12"/>
      <c r="L670" s="12"/>
      <c r="M670" s="12"/>
      <c r="N670" s="12"/>
      <c r="O670" s="12"/>
      <c r="P670" s="12"/>
      <c r="Q670" s="12"/>
      <c r="R670" s="27"/>
      <c r="S670" s="27"/>
      <c r="T670" s="27"/>
      <c r="U670" s="27"/>
      <c r="V670" s="12"/>
      <c r="W670" s="12"/>
      <c r="X670" s="12"/>
      <c r="Y670" s="12"/>
      <c r="Z670" s="31"/>
      <c r="AA670" s="12"/>
      <c r="AB670" s="12"/>
      <c r="AC670" s="12"/>
      <c r="AD670" s="12"/>
      <c r="AE670" s="12"/>
      <c r="AF670" s="12"/>
      <c r="AG670" s="12"/>
      <c r="AH670" s="12"/>
    </row>
    <row r="671" spans="1:34" ht="12.75">
      <c r="A671" s="12"/>
      <c r="B671" s="12"/>
      <c r="C671" s="12"/>
      <c r="D671" s="12"/>
      <c r="E671" s="12"/>
      <c r="F671" s="12"/>
      <c r="G671" s="12"/>
      <c r="H671" s="12"/>
      <c r="I671" s="12"/>
      <c r="J671" s="12"/>
      <c r="K671" s="12"/>
      <c r="L671" s="12"/>
      <c r="M671" s="12"/>
      <c r="N671" s="12"/>
      <c r="O671" s="12"/>
      <c r="P671" s="12"/>
      <c r="Q671" s="12"/>
      <c r="R671" s="27"/>
      <c r="S671" s="27"/>
      <c r="T671" s="27"/>
      <c r="U671" s="27"/>
      <c r="V671" s="12"/>
      <c r="W671" s="12"/>
      <c r="X671" s="12"/>
      <c r="Y671" s="12"/>
      <c r="Z671" s="31"/>
      <c r="AA671" s="12"/>
      <c r="AB671" s="12"/>
      <c r="AC671" s="12"/>
      <c r="AD671" s="12"/>
      <c r="AE671" s="12"/>
      <c r="AF671" s="12"/>
      <c r="AG671" s="12"/>
      <c r="AH671" s="12"/>
    </row>
    <row r="672" spans="1:34" ht="12.75">
      <c r="A672" s="12"/>
      <c r="B672" s="12"/>
      <c r="C672" s="12"/>
      <c r="D672" s="12"/>
      <c r="E672" s="12"/>
      <c r="F672" s="12"/>
      <c r="G672" s="12"/>
      <c r="H672" s="12"/>
      <c r="I672" s="12"/>
      <c r="J672" s="12"/>
      <c r="K672" s="12"/>
      <c r="L672" s="12"/>
      <c r="M672" s="12"/>
      <c r="N672" s="12"/>
      <c r="O672" s="12"/>
      <c r="P672" s="12"/>
      <c r="Q672" s="12"/>
      <c r="R672" s="27"/>
      <c r="S672" s="27"/>
      <c r="T672" s="27"/>
      <c r="U672" s="27"/>
      <c r="V672" s="12"/>
      <c r="W672" s="12"/>
      <c r="X672" s="12"/>
      <c r="Y672" s="12"/>
      <c r="Z672" s="31"/>
      <c r="AA672" s="12"/>
      <c r="AB672" s="12"/>
      <c r="AC672" s="12"/>
      <c r="AD672" s="12"/>
      <c r="AE672" s="12"/>
      <c r="AF672" s="12"/>
      <c r="AG672" s="12"/>
      <c r="AH672" s="12"/>
    </row>
    <row r="673" spans="1:34" ht="12.75">
      <c r="A673" s="12"/>
      <c r="B673" s="12"/>
      <c r="C673" s="12"/>
      <c r="D673" s="12"/>
      <c r="E673" s="12"/>
      <c r="F673" s="12"/>
      <c r="G673" s="12"/>
      <c r="H673" s="12"/>
      <c r="I673" s="12"/>
      <c r="J673" s="12"/>
      <c r="K673" s="12"/>
      <c r="L673" s="12"/>
      <c r="M673" s="12"/>
      <c r="N673" s="12"/>
      <c r="O673" s="12"/>
      <c r="P673" s="12"/>
      <c r="Q673" s="12"/>
      <c r="R673" s="27"/>
      <c r="S673" s="27"/>
      <c r="T673" s="27"/>
      <c r="U673" s="27"/>
      <c r="V673" s="12"/>
      <c r="W673" s="12"/>
      <c r="X673" s="12"/>
      <c r="Y673" s="12"/>
      <c r="Z673" s="31"/>
      <c r="AA673" s="12"/>
      <c r="AB673" s="12"/>
      <c r="AC673" s="12"/>
      <c r="AD673" s="12"/>
      <c r="AE673" s="12"/>
      <c r="AF673" s="12"/>
      <c r="AG673" s="12"/>
      <c r="AH673" s="12"/>
    </row>
    <row r="674" spans="1:34" ht="12.75">
      <c r="A674" s="12"/>
      <c r="B674" s="12"/>
      <c r="C674" s="12"/>
      <c r="D674" s="12"/>
      <c r="E674" s="12"/>
      <c r="F674" s="12"/>
      <c r="G674" s="12"/>
      <c r="H674" s="12"/>
      <c r="I674" s="12"/>
      <c r="J674" s="12"/>
      <c r="K674" s="12"/>
      <c r="L674" s="12"/>
      <c r="M674" s="12"/>
      <c r="N674" s="12"/>
      <c r="O674" s="12"/>
      <c r="P674" s="12"/>
      <c r="Q674" s="12"/>
      <c r="R674" s="27"/>
      <c r="S674" s="27"/>
      <c r="T674" s="27"/>
      <c r="U674" s="27"/>
      <c r="V674" s="12"/>
      <c r="W674" s="12"/>
      <c r="X674" s="12"/>
      <c r="Y674" s="12"/>
      <c r="Z674" s="31"/>
      <c r="AA674" s="12"/>
      <c r="AB674" s="12"/>
      <c r="AC674" s="12"/>
      <c r="AD674" s="12"/>
      <c r="AE674" s="12"/>
      <c r="AF674" s="12"/>
      <c r="AG674" s="12"/>
      <c r="AH674" s="12"/>
    </row>
    <row r="675" spans="1:34" ht="12.75">
      <c r="A675" s="12"/>
      <c r="B675" s="12"/>
      <c r="C675" s="12"/>
      <c r="D675" s="12"/>
      <c r="E675" s="12"/>
      <c r="F675" s="12"/>
      <c r="G675" s="12"/>
      <c r="H675" s="12"/>
      <c r="I675" s="12"/>
      <c r="J675" s="12"/>
      <c r="K675" s="12"/>
      <c r="L675" s="12"/>
      <c r="M675" s="12"/>
      <c r="N675" s="12"/>
      <c r="O675" s="12"/>
      <c r="P675" s="12"/>
      <c r="Q675" s="12"/>
      <c r="R675" s="27"/>
      <c r="S675" s="27"/>
      <c r="T675" s="27"/>
      <c r="U675" s="27"/>
      <c r="V675" s="12"/>
      <c r="W675" s="12"/>
      <c r="X675" s="12"/>
      <c r="Y675" s="12"/>
      <c r="Z675" s="31"/>
      <c r="AA675" s="12"/>
      <c r="AB675" s="12"/>
      <c r="AC675" s="12"/>
      <c r="AD675" s="12"/>
      <c r="AE675" s="12"/>
      <c r="AF675" s="12"/>
      <c r="AG675" s="12"/>
      <c r="AH675" s="12"/>
    </row>
    <row r="676" spans="1:34" ht="12.75">
      <c r="A676" s="12"/>
      <c r="B676" s="12"/>
      <c r="C676" s="12"/>
      <c r="D676" s="12"/>
      <c r="E676" s="12"/>
      <c r="F676" s="12"/>
      <c r="G676" s="12"/>
      <c r="H676" s="12"/>
      <c r="I676" s="12"/>
      <c r="J676" s="12"/>
      <c r="K676" s="12"/>
      <c r="L676" s="12"/>
      <c r="M676" s="12"/>
      <c r="N676" s="12"/>
      <c r="O676" s="12"/>
      <c r="P676" s="12"/>
      <c r="Q676" s="12"/>
      <c r="R676" s="27"/>
      <c r="S676" s="27"/>
      <c r="T676" s="27"/>
      <c r="U676" s="27"/>
      <c r="V676" s="12"/>
      <c r="W676" s="12"/>
      <c r="X676" s="12"/>
      <c r="Y676" s="12"/>
      <c r="Z676" s="31"/>
      <c r="AA676" s="12"/>
      <c r="AB676" s="12"/>
      <c r="AC676" s="12"/>
      <c r="AD676" s="12"/>
      <c r="AE676" s="12"/>
      <c r="AF676" s="12"/>
      <c r="AG676" s="12"/>
      <c r="AH676" s="12"/>
    </row>
    <row r="677" spans="1:34" ht="12.75">
      <c r="A677" s="12"/>
      <c r="B677" s="12"/>
      <c r="C677" s="12"/>
      <c r="D677" s="12"/>
      <c r="E677" s="12"/>
      <c r="F677" s="12"/>
      <c r="G677" s="12"/>
      <c r="H677" s="12"/>
      <c r="I677" s="12"/>
      <c r="J677" s="12"/>
      <c r="K677" s="12"/>
      <c r="L677" s="12"/>
      <c r="M677" s="12"/>
      <c r="N677" s="12"/>
      <c r="O677" s="12"/>
      <c r="P677" s="12"/>
      <c r="Q677" s="12"/>
      <c r="R677" s="27"/>
      <c r="S677" s="27"/>
      <c r="T677" s="27"/>
      <c r="U677" s="27"/>
      <c r="V677" s="12"/>
      <c r="W677" s="12"/>
      <c r="X677" s="12"/>
      <c r="Y677" s="12"/>
      <c r="Z677" s="31"/>
      <c r="AA677" s="12"/>
      <c r="AB677" s="12"/>
      <c r="AC677" s="12"/>
      <c r="AD677" s="12"/>
      <c r="AE677" s="12"/>
      <c r="AF677" s="12"/>
      <c r="AG677" s="12"/>
      <c r="AH677" s="12"/>
    </row>
    <row r="678" spans="1:34" ht="12.75">
      <c r="A678" s="12"/>
      <c r="B678" s="12"/>
      <c r="C678" s="12"/>
      <c r="D678" s="12"/>
      <c r="E678" s="12"/>
      <c r="F678" s="12"/>
      <c r="G678" s="12"/>
      <c r="H678" s="12"/>
      <c r="I678" s="12"/>
      <c r="J678" s="12"/>
      <c r="K678" s="12"/>
      <c r="L678" s="12"/>
      <c r="M678" s="12"/>
      <c r="N678" s="12"/>
      <c r="O678" s="12"/>
      <c r="P678" s="12"/>
      <c r="Q678" s="12"/>
      <c r="R678" s="27"/>
      <c r="S678" s="27"/>
      <c r="T678" s="27"/>
      <c r="U678" s="27"/>
      <c r="V678" s="12"/>
      <c r="W678" s="12"/>
      <c r="X678" s="12"/>
      <c r="Y678" s="12"/>
      <c r="Z678" s="31"/>
      <c r="AA678" s="12"/>
      <c r="AB678" s="12"/>
      <c r="AC678" s="12"/>
      <c r="AD678" s="12"/>
      <c r="AE678" s="12"/>
      <c r="AF678" s="12"/>
      <c r="AG678" s="12"/>
      <c r="AH678" s="12"/>
    </row>
    <row r="679" spans="1:34" ht="12.75">
      <c r="A679" s="12"/>
      <c r="B679" s="12"/>
      <c r="C679" s="12"/>
      <c r="D679" s="12"/>
      <c r="E679" s="12"/>
      <c r="F679" s="12"/>
      <c r="G679" s="12"/>
      <c r="H679" s="12"/>
      <c r="I679" s="12"/>
      <c r="J679" s="12"/>
      <c r="K679" s="12"/>
      <c r="L679" s="12"/>
      <c r="M679" s="12"/>
      <c r="N679" s="12"/>
      <c r="O679" s="12"/>
      <c r="P679" s="12"/>
      <c r="Q679" s="12"/>
      <c r="R679" s="27"/>
      <c r="S679" s="27"/>
      <c r="T679" s="27"/>
      <c r="U679" s="27"/>
      <c r="V679" s="12"/>
      <c r="W679" s="12"/>
      <c r="X679" s="12"/>
      <c r="Y679" s="12"/>
      <c r="Z679" s="31"/>
      <c r="AA679" s="12"/>
      <c r="AB679" s="12"/>
      <c r="AC679" s="12"/>
      <c r="AD679" s="12"/>
      <c r="AE679" s="12"/>
      <c r="AF679" s="12"/>
      <c r="AG679" s="12"/>
      <c r="AH679" s="12"/>
    </row>
    <row r="680" spans="1:34" ht="12.75">
      <c r="A680" s="12"/>
      <c r="B680" s="12"/>
      <c r="C680" s="12"/>
      <c r="D680" s="12"/>
      <c r="E680" s="12"/>
      <c r="F680" s="12"/>
      <c r="G680" s="12"/>
      <c r="H680" s="12"/>
      <c r="I680" s="12"/>
      <c r="J680" s="12"/>
      <c r="K680" s="12"/>
      <c r="L680" s="12"/>
      <c r="M680" s="12"/>
      <c r="N680" s="12"/>
      <c r="O680" s="12"/>
      <c r="P680" s="12"/>
      <c r="Q680" s="12"/>
      <c r="R680" s="27"/>
      <c r="S680" s="27"/>
      <c r="T680" s="27"/>
      <c r="U680" s="27"/>
      <c r="V680" s="12"/>
      <c r="W680" s="12"/>
      <c r="X680" s="12"/>
      <c r="Y680" s="12"/>
      <c r="Z680" s="31"/>
      <c r="AA680" s="12"/>
      <c r="AB680" s="12"/>
      <c r="AC680" s="12"/>
      <c r="AD680" s="12"/>
      <c r="AE680" s="12"/>
      <c r="AF680" s="12"/>
      <c r="AG680" s="12"/>
      <c r="AH680" s="12"/>
    </row>
    <row r="681" spans="1:34" ht="12.75">
      <c r="A681" s="12"/>
      <c r="B681" s="12"/>
      <c r="C681" s="12"/>
      <c r="D681" s="12"/>
      <c r="E681" s="12"/>
      <c r="F681" s="12"/>
      <c r="G681" s="12"/>
      <c r="H681" s="12"/>
      <c r="I681" s="12"/>
      <c r="J681" s="12"/>
      <c r="K681" s="12"/>
      <c r="L681" s="12"/>
      <c r="M681" s="12"/>
      <c r="N681" s="12"/>
      <c r="O681" s="12"/>
      <c r="P681" s="12"/>
      <c r="Q681" s="12"/>
      <c r="R681" s="27"/>
      <c r="S681" s="27"/>
      <c r="T681" s="27"/>
      <c r="U681" s="27"/>
      <c r="V681" s="12"/>
      <c r="W681" s="12"/>
      <c r="X681" s="12"/>
      <c r="Y681" s="12"/>
      <c r="Z681" s="31"/>
      <c r="AA681" s="12"/>
      <c r="AB681" s="12"/>
      <c r="AC681" s="12"/>
      <c r="AD681" s="12"/>
      <c r="AE681" s="12"/>
      <c r="AF681" s="12"/>
      <c r="AG681" s="12"/>
      <c r="AH681" s="12"/>
    </row>
    <row r="682" spans="1:34" ht="12.75">
      <c r="A682" s="12"/>
      <c r="B682" s="12"/>
      <c r="C682" s="12"/>
      <c r="D682" s="12"/>
      <c r="E682" s="12"/>
      <c r="F682" s="12"/>
      <c r="G682" s="12"/>
      <c r="H682" s="12"/>
      <c r="I682" s="12"/>
      <c r="J682" s="12"/>
      <c r="K682" s="12"/>
      <c r="L682" s="12"/>
      <c r="M682" s="12"/>
      <c r="N682" s="12"/>
      <c r="O682" s="12"/>
      <c r="P682" s="12"/>
      <c r="Q682" s="12"/>
      <c r="R682" s="27"/>
      <c r="S682" s="27"/>
      <c r="T682" s="27"/>
      <c r="U682" s="27"/>
      <c r="V682" s="12"/>
      <c r="W682" s="12"/>
      <c r="X682" s="12"/>
      <c r="Y682" s="12"/>
      <c r="Z682" s="31"/>
      <c r="AA682" s="12"/>
      <c r="AB682" s="12"/>
      <c r="AC682" s="12"/>
      <c r="AD682" s="12"/>
      <c r="AE682" s="12"/>
      <c r="AF682" s="12"/>
      <c r="AG682" s="12"/>
      <c r="AH682" s="12"/>
    </row>
    <row r="683" spans="1:34" ht="12.75">
      <c r="A683" s="12"/>
      <c r="B683" s="12"/>
      <c r="C683" s="12"/>
      <c r="D683" s="12"/>
      <c r="E683" s="12"/>
      <c r="F683" s="12"/>
      <c r="G683" s="12"/>
      <c r="H683" s="12"/>
      <c r="I683" s="12"/>
      <c r="J683" s="12"/>
      <c r="K683" s="12"/>
      <c r="L683" s="12"/>
      <c r="M683" s="12"/>
      <c r="N683" s="12"/>
      <c r="O683" s="12"/>
      <c r="P683" s="12"/>
      <c r="Q683" s="12"/>
      <c r="R683" s="27"/>
      <c r="S683" s="27"/>
      <c r="T683" s="27"/>
      <c r="U683" s="27"/>
      <c r="V683" s="12"/>
      <c r="W683" s="12"/>
      <c r="X683" s="12"/>
      <c r="Y683" s="12"/>
      <c r="Z683" s="31"/>
      <c r="AA683" s="12"/>
      <c r="AB683" s="12"/>
      <c r="AC683" s="12"/>
      <c r="AD683" s="12"/>
      <c r="AE683" s="12"/>
      <c r="AF683" s="12"/>
      <c r="AG683" s="12"/>
      <c r="AH683" s="12"/>
    </row>
    <row r="684" spans="1:34" ht="12.75">
      <c r="A684" s="12"/>
      <c r="B684" s="12"/>
      <c r="C684" s="12"/>
      <c r="D684" s="12"/>
      <c r="E684" s="12"/>
      <c r="F684" s="12"/>
      <c r="G684" s="12"/>
      <c r="H684" s="12"/>
      <c r="I684" s="12"/>
      <c r="J684" s="12"/>
      <c r="K684" s="12"/>
      <c r="L684" s="12"/>
      <c r="M684" s="12"/>
      <c r="N684" s="12"/>
      <c r="O684" s="12"/>
      <c r="P684" s="12"/>
      <c r="Q684" s="12"/>
      <c r="R684" s="27"/>
      <c r="S684" s="27"/>
      <c r="T684" s="27"/>
      <c r="U684" s="27"/>
      <c r="V684" s="12"/>
      <c r="W684" s="12"/>
      <c r="X684" s="12"/>
      <c r="Y684" s="12"/>
      <c r="Z684" s="31"/>
      <c r="AA684" s="12"/>
      <c r="AB684" s="12"/>
      <c r="AC684" s="12"/>
      <c r="AD684" s="12"/>
      <c r="AE684" s="12"/>
      <c r="AF684" s="12"/>
      <c r="AG684" s="12"/>
      <c r="AH684" s="12"/>
    </row>
    <row r="685" spans="1:34" ht="12.75">
      <c r="A685" s="12"/>
      <c r="B685" s="12"/>
      <c r="C685" s="12"/>
      <c r="D685" s="12"/>
      <c r="E685" s="12"/>
      <c r="F685" s="12"/>
      <c r="G685" s="12"/>
      <c r="H685" s="12"/>
      <c r="I685" s="12"/>
      <c r="J685" s="12"/>
      <c r="K685" s="12"/>
      <c r="L685" s="12"/>
      <c r="M685" s="12"/>
      <c r="N685" s="12"/>
      <c r="O685" s="12"/>
      <c r="P685" s="12"/>
      <c r="Q685" s="12"/>
      <c r="R685" s="27"/>
      <c r="S685" s="27"/>
      <c r="T685" s="27"/>
      <c r="U685" s="27"/>
      <c r="V685" s="12"/>
      <c r="W685" s="12"/>
      <c r="X685" s="12"/>
      <c r="Y685" s="12"/>
      <c r="Z685" s="31"/>
      <c r="AA685" s="12"/>
      <c r="AB685" s="12"/>
      <c r="AC685" s="12"/>
      <c r="AD685" s="12"/>
      <c r="AE685" s="12"/>
      <c r="AF685" s="12"/>
      <c r="AG685" s="12"/>
      <c r="AH685" s="12"/>
    </row>
    <row r="686" spans="1:34" ht="12.75">
      <c r="A686" s="12"/>
      <c r="B686" s="12"/>
      <c r="C686" s="12"/>
      <c r="D686" s="12"/>
      <c r="E686" s="12"/>
      <c r="F686" s="12"/>
      <c r="G686" s="12"/>
      <c r="H686" s="12"/>
      <c r="I686" s="12"/>
      <c r="J686" s="12"/>
      <c r="K686" s="12"/>
      <c r="L686" s="12"/>
      <c r="M686" s="12"/>
      <c r="N686" s="12"/>
      <c r="O686" s="12"/>
      <c r="P686" s="12"/>
      <c r="Q686" s="12"/>
      <c r="R686" s="27"/>
      <c r="S686" s="27"/>
      <c r="T686" s="27"/>
      <c r="U686" s="27"/>
      <c r="V686" s="12"/>
      <c r="W686" s="12"/>
      <c r="X686" s="12"/>
      <c r="Y686" s="12"/>
      <c r="Z686" s="31"/>
      <c r="AA686" s="12"/>
      <c r="AB686" s="12"/>
      <c r="AC686" s="12"/>
      <c r="AD686" s="12"/>
      <c r="AE686" s="12"/>
      <c r="AF686" s="12"/>
      <c r="AG686" s="12"/>
      <c r="AH686" s="12"/>
    </row>
    <row r="687" spans="1:34" ht="12.75">
      <c r="A687" s="12"/>
      <c r="B687" s="12"/>
      <c r="C687" s="12"/>
      <c r="D687" s="12"/>
      <c r="E687" s="12"/>
      <c r="F687" s="12"/>
      <c r="G687" s="12"/>
      <c r="H687" s="12"/>
      <c r="I687" s="12"/>
      <c r="J687" s="12"/>
      <c r="K687" s="12"/>
      <c r="L687" s="12"/>
      <c r="M687" s="12"/>
      <c r="N687" s="12"/>
      <c r="O687" s="12"/>
      <c r="P687" s="12"/>
      <c r="Q687" s="12"/>
      <c r="R687" s="27"/>
      <c r="S687" s="27"/>
      <c r="T687" s="27"/>
      <c r="U687" s="27"/>
      <c r="V687" s="12"/>
      <c r="W687" s="12"/>
      <c r="X687" s="12"/>
      <c r="Y687" s="12"/>
      <c r="Z687" s="31"/>
      <c r="AA687" s="12"/>
      <c r="AB687" s="12"/>
      <c r="AC687" s="12"/>
      <c r="AD687" s="12"/>
      <c r="AE687" s="12"/>
      <c r="AF687" s="12"/>
      <c r="AG687" s="12"/>
      <c r="AH687" s="12"/>
    </row>
    <row r="688" spans="1:34" ht="12.75">
      <c r="A688" s="12"/>
      <c r="B688" s="12"/>
      <c r="C688" s="12"/>
      <c r="D688" s="12"/>
      <c r="E688" s="12"/>
      <c r="F688" s="12"/>
      <c r="G688" s="12"/>
      <c r="H688" s="12"/>
      <c r="I688" s="12"/>
      <c r="J688" s="12"/>
      <c r="K688" s="12"/>
      <c r="L688" s="12"/>
      <c r="M688" s="12"/>
      <c r="N688" s="12"/>
      <c r="O688" s="12"/>
      <c r="P688" s="12"/>
      <c r="Q688" s="12"/>
      <c r="R688" s="27"/>
      <c r="S688" s="27"/>
      <c r="T688" s="27"/>
      <c r="U688" s="27"/>
      <c r="V688" s="12"/>
      <c r="W688" s="12"/>
      <c r="X688" s="12"/>
      <c r="Y688" s="12"/>
      <c r="Z688" s="31"/>
      <c r="AA688" s="12"/>
      <c r="AB688" s="12"/>
      <c r="AC688" s="12"/>
      <c r="AD688" s="12"/>
      <c r="AE688" s="12"/>
      <c r="AF688" s="12"/>
      <c r="AG688" s="12"/>
      <c r="AH688" s="12"/>
    </row>
    <row r="689" spans="1:34" ht="12.75">
      <c r="A689" s="12"/>
      <c r="B689" s="12"/>
      <c r="C689" s="12"/>
      <c r="D689" s="12"/>
      <c r="E689" s="12"/>
      <c r="F689" s="12"/>
      <c r="G689" s="12"/>
      <c r="H689" s="12"/>
      <c r="I689" s="12"/>
      <c r="J689" s="12"/>
      <c r="K689" s="12"/>
      <c r="L689" s="12"/>
      <c r="M689" s="12"/>
      <c r="N689" s="12"/>
      <c r="O689" s="12"/>
      <c r="P689" s="12"/>
      <c r="Q689" s="12"/>
      <c r="R689" s="27"/>
      <c r="S689" s="27"/>
      <c r="T689" s="27"/>
      <c r="U689" s="27"/>
      <c r="V689" s="12"/>
      <c r="W689" s="12"/>
      <c r="X689" s="12"/>
      <c r="Y689" s="12"/>
      <c r="Z689" s="31"/>
      <c r="AA689" s="12"/>
      <c r="AB689" s="12"/>
      <c r="AC689" s="12"/>
      <c r="AD689" s="12"/>
      <c r="AE689" s="12"/>
      <c r="AF689" s="12"/>
      <c r="AG689" s="12"/>
      <c r="AH689" s="12"/>
    </row>
    <row r="690" spans="1:34" ht="12.75">
      <c r="A690" s="12"/>
      <c r="B690" s="12"/>
      <c r="C690" s="12"/>
      <c r="D690" s="12"/>
      <c r="E690" s="12"/>
      <c r="F690" s="12"/>
      <c r="G690" s="12"/>
      <c r="H690" s="12"/>
      <c r="I690" s="12"/>
      <c r="J690" s="12"/>
      <c r="K690" s="12"/>
      <c r="L690" s="12"/>
      <c r="M690" s="12"/>
      <c r="N690" s="12"/>
      <c r="O690" s="12"/>
      <c r="P690" s="12"/>
      <c r="Q690" s="12"/>
      <c r="R690" s="27"/>
      <c r="S690" s="27"/>
      <c r="T690" s="27"/>
      <c r="U690" s="27"/>
      <c r="V690" s="12"/>
      <c r="W690" s="12"/>
      <c r="X690" s="12"/>
      <c r="Y690" s="12"/>
      <c r="Z690" s="31"/>
      <c r="AA690" s="12"/>
      <c r="AB690" s="12"/>
      <c r="AC690" s="12"/>
      <c r="AD690" s="12"/>
      <c r="AE690" s="12"/>
      <c r="AF690" s="12"/>
      <c r="AG690" s="12"/>
      <c r="AH690" s="12"/>
    </row>
    <row r="691" spans="1:34" ht="12.75">
      <c r="A691" s="12"/>
      <c r="B691" s="12"/>
      <c r="C691" s="12"/>
      <c r="D691" s="12"/>
      <c r="E691" s="12"/>
      <c r="F691" s="12"/>
      <c r="G691" s="12"/>
      <c r="H691" s="12"/>
      <c r="I691" s="12"/>
      <c r="J691" s="12"/>
      <c r="K691" s="12"/>
      <c r="L691" s="12"/>
      <c r="M691" s="12"/>
      <c r="N691" s="12"/>
      <c r="O691" s="12"/>
      <c r="P691" s="12"/>
      <c r="Q691" s="12"/>
      <c r="R691" s="27"/>
      <c r="S691" s="27"/>
      <c r="T691" s="27"/>
      <c r="U691" s="27"/>
      <c r="V691" s="12"/>
      <c r="W691" s="12"/>
      <c r="X691" s="12"/>
      <c r="Y691" s="12"/>
      <c r="Z691" s="31"/>
      <c r="AA691" s="12"/>
      <c r="AB691" s="12"/>
      <c r="AC691" s="12"/>
      <c r="AD691" s="12"/>
      <c r="AE691" s="12"/>
      <c r="AF691" s="12"/>
      <c r="AG691" s="12"/>
      <c r="AH691" s="12"/>
    </row>
    <row r="692" spans="1:34" ht="12.75">
      <c r="A692" s="12"/>
      <c r="B692" s="12"/>
      <c r="C692" s="12"/>
      <c r="D692" s="12"/>
      <c r="E692" s="12"/>
      <c r="F692" s="12"/>
      <c r="G692" s="12"/>
      <c r="H692" s="12"/>
      <c r="I692" s="12"/>
      <c r="J692" s="12"/>
      <c r="K692" s="12"/>
      <c r="L692" s="12"/>
      <c r="M692" s="12"/>
      <c r="N692" s="12"/>
      <c r="O692" s="12"/>
      <c r="P692" s="12"/>
      <c r="Q692" s="12"/>
      <c r="R692" s="27"/>
      <c r="S692" s="27"/>
      <c r="T692" s="27"/>
      <c r="U692" s="27"/>
      <c r="V692" s="12"/>
      <c r="W692" s="12"/>
      <c r="X692" s="12"/>
      <c r="Y692" s="12"/>
      <c r="Z692" s="31"/>
      <c r="AA692" s="12"/>
      <c r="AB692" s="12"/>
      <c r="AC692" s="12"/>
      <c r="AD692" s="12"/>
      <c r="AE692" s="12"/>
      <c r="AF692" s="12"/>
      <c r="AG692" s="12"/>
      <c r="AH692" s="12"/>
    </row>
    <row r="693" spans="1:34" ht="12.75">
      <c r="A693" s="12"/>
      <c r="B693" s="12"/>
      <c r="C693" s="12"/>
      <c r="D693" s="12"/>
      <c r="E693" s="12"/>
      <c r="F693" s="12"/>
      <c r="G693" s="12"/>
      <c r="H693" s="12"/>
      <c r="I693" s="12"/>
      <c r="J693" s="12"/>
      <c r="K693" s="12"/>
      <c r="L693" s="12"/>
      <c r="M693" s="12"/>
      <c r="N693" s="12"/>
      <c r="O693" s="12"/>
      <c r="P693" s="12"/>
      <c r="Q693" s="12"/>
      <c r="R693" s="27"/>
      <c r="S693" s="27"/>
      <c r="T693" s="27"/>
      <c r="U693" s="27"/>
      <c r="V693" s="12"/>
      <c r="W693" s="12"/>
      <c r="X693" s="12"/>
      <c r="Y693" s="12"/>
      <c r="Z693" s="31"/>
      <c r="AA693" s="12"/>
      <c r="AB693" s="12"/>
      <c r="AC693" s="12"/>
      <c r="AD693" s="12"/>
      <c r="AE693" s="12"/>
      <c r="AF693" s="12"/>
      <c r="AG693" s="12"/>
      <c r="AH693" s="12"/>
    </row>
    <row r="694" spans="1:34" ht="12.75">
      <c r="A694" s="12"/>
      <c r="B694" s="12"/>
      <c r="C694" s="12"/>
      <c r="D694" s="12"/>
      <c r="E694" s="12"/>
      <c r="F694" s="12"/>
      <c r="G694" s="12"/>
      <c r="H694" s="12"/>
      <c r="I694" s="12"/>
      <c r="J694" s="12"/>
      <c r="K694" s="12"/>
      <c r="L694" s="12"/>
      <c r="M694" s="12"/>
      <c r="N694" s="12"/>
      <c r="O694" s="12"/>
      <c r="P694" s="12"/>
      <c r="Q694" s="12"/>
      <c r="R694" s="27"/>
      <c r="S694" s="27"/>
      <c r="T694" s="27"/>
      <c r="U694" s="27"/>
      <c r="V694" s="12"/>
      <c r="W694" s="12"/>
      <c r="X694" s="12"/>
      <c r="Y694" s="12"/>
      <c r="Z694" s="31"/>
      <c r="AA694" s="12"/>
      <c r="AB694" s="12"/>
      <c r="AC694" s="12"/>
      <c r="AD694" s="12"/>
      <c r="AE694" s="12"/>
      <c r="AF694" s="12"/>
      <c r="AG694" s="12"/>
      <c r="AH694" s="12"/>
    </row>
    <row r="695" spans="1:34" ht="12.75">
      <c r="A695" s="12"/>
      <c r="B695" s="12"/>
      <c r="C695" s="12"/>
      <c r="D695" s="12"/>
      <c r="E695" s="12"/>
      <c r="F695" s="12"/>
      <c r="G695" s="12"/>
      <c r="H695" s="12"/>
      <c r="I695" s="12"/>
      <c r="J695" s="12"/>
      <c r="K695" s="12"/>
      <c r="L695" s="12"/>
      <c r="M695" s="12"/>
      <c r="N695" s="12"/>
      <c r="O695" s="12"/>
      <c r="P695" s="12"/>
      <c r="Q695" s="12"/>
      <c r="R695" s="27"/>
      <c r="S695" s="27"/>
      <c r="T695" s="27"/>
      <c r="U695" s="27"/>
      <c r="V695" s="12"/>
      <c r="W695" s="12"/>
      <c r="X695" s="12"/>
      <c r="Y695" s="12"/>
      <c r="Z695" s="31"/>
      <c r="AA695" s="12"/>
      <c r="AB695" s="12"/>
      <c r="AC695" s="12"/>
      <c r="AD695" s="12"/>
      <c r="AE695" s="12"/>
      <c r="AF695" s="12"/>
      <c r="AG695" s="12"/>
      <c r="AH695" s="12"/>
    </row>
    <row r="696" spans="1:34" ht="12.75">
      <c r="A696" s="12"/>
      <c r="B696" s="12"/>
      <c r="C696" s="12"/>
      <c r="D696" s="12"/>
      <c r="E696" s="12"/>
      <c r="F696" s="12"/>
      <c r="G696" s="12"/>
      <c r="H696" s="12"/>
      <c r="I696" s="12"/>
      <c r="J696" s="12"/>
      <c r="K696" s="12"/>
      <c r="L696" s="12"/>
      <c r="M696" s="12"/>
      <c r="N696" s="12"/>
      <c r="O696" s="12"/>
      <c r="P696" s="12"/>
      <c r="Q696" s="12"/>
      <c r="R696" s="27"/>
      <c r="S696" s="27"/>
      <c r="T696" s="27"/>
      <c r="U696" s="27"/>
      <c r="V696" s="12"/>
      <c r="W696" s="12"/>
      <c r="X696" s="12"/>
      <c r="Y696" s="12"/>
      <c r="Z696" s="31"/>
      <c r="AA696" s="12"/>
      <c r="AB696" s="12"/>
      <c r="AC696" s="12"/>
      <c r="AD696" s="12"/>
      <c r="AE696" s="12"/>
      <c r="AF696" s="12"/>
      <c r="AG696" s="12"/>
      <c r="AH696" s="12"/>
    </row>
    <row r="697" spans="1:34" ht="12.75">
      <c r="A697" s="12"/>
      <c r="B697" s="12"/>
      <c r="C697" s="12"/>
      <c r="D697" s="12"/>
      <c r="E697" s="12"/>
      <c r="F697" s="12"/>
      <c r="G697" s="12"/>
      <c r="H697" s="12"/>
      <c r="I697" s="12"/>
      <c r="J697" s="12"/>
      <c r="K697" s="12"/>
      <c r="L697" s="12"/>
      <c r="M697" s="12"/>
      <c r="N697" s="12"/>
      <c r="O697" s="12"/>
      <c r="P697" s="12"/>
      <c r="Q697" s="12"/>
      <c r="R697" s="27"/>
      <c r="S697" s="27"/>
      <c r="T697" s="27"/>
      <c r="U697" s="27"/>
      <c r="V697" s="12"/>
      <c r="W697" s="12"/>
      <c r="X697" s="12"/>
      <c r="Y697" s="12"/>
      <c r="Z697" s="31"/>
      <c r="AA697" s="12"/>
      <c r="AB697" s="12"/>
      <c r="AC697" s="12"/>
      <c r="AD697" s="12"/>
      <c r="AE697" s="12"/>
      <c r="AF697" s="12"/>
      <c r="AG697" s="12"/>
      <c r="AH697" s="12"/>
    </row>
    <row r="698" spans="1:34" ht="12.75">
      <c r="A698" s="12"/>
      <c r="B698" s="12"/>
      <c r="C698" s="12"/>
      <c r="D698" s="12"/>
      <c r="E698" s="12"/>
      <c r="F698" s="12"/>
      <c r="G698" s="12"/>
      <c r="H698" s="12"/>
      <c r="I698" s="12"/>
      <c r="J698" s="12"/>
      <c r="K698" s="12"/>
      <c r="L698" s="12"/>
      <c r="M698" s="12"/>
      <c r="N698" s="12"/>
      <c r="O698" s="12"/>
      <c r="P698" s="12"/>
      <c r="Q698" s="12"/>
      <c r="R698" s="27"/>
      <c r="S698" s="27"/>
      <c r="T698" s="27"/>
      <c r="U698" s="27"/>
      <c r="V698" s="12"/>
      <c r="W698" s="12"/>
      <c r="X698" s="12"/>
      <c r="Y698" s="12"/>
      <c r="Z698" s="31"/>
      <c r="AA698" s="12"/>
      <c r="AB698" s="12"/>
      <c r="AC698" s="12"/>
      <c r="AD698" s="12"/>
      <c r="AE698" s="12"/>
      <c r="AF698" s="12"/>
      <c r="AG698" s="12"/>
      <c r="AH698" s="12"/>
    </row>
    <row r="699" spans="1:34" ht="12.75">
      <c r="A699" s="12"/>
      <c r="B699" s="12"/>
      <c r="C699" s="12"/>
      <c r="D699" s="12"/>
      <c r="E699" s="12"/>
      <c r="F699" s="12"/>
      <c r="G699" s="12"/>
      <c r="H699" s="12"/>
      <c r="I699" s="12"/>
      <c r="J699" s="12"/>
      <c r="K699" s="12"/>
      <c r="L699" s="12"/>
      <c r="M699" s="12"/>
      <c r="N699" s="12"/>
      <c r="O699" s="12"/>
      <c r="P699" s="12"/>
      <c r="Q699" s="12"/>
      <c r="R699" s="27"/>
      <c r="S699" s="27"/>
      <c r="T699" s="27"/>
      <c r="U699" s="27"/>
      <c r="V699" s="12"/>
      <c r="W699" s="12"/>
      <c r="X699" s="12"/>
      <c r="Y699" s="12"/>
      <c r="Z699" s="31"/>
      <c r="AA699" s="12"/>
      <c r="AB699" s="12"/>
      <c r="AC699" s="12"/>
      <c r="AD699" s="12"/>
      <c r="AE699" s="12"/>
      <c r="AF699" s="12"/>
      <c r="AG699" s="12"/>
      <c r="AH699" s="12"/>
    </row>
    <row r="700" spans="1:34" ht="12.75">
      <c r="A700" s="12"/>
      <c r="B700" s="12"/>
      <c r="C700" s="12"/>
      <c r="D700" s="12"/>
      <c r="E700" s="12"/>
      <c r="F700" s="12"/>
      <c r="G700" s="12"/>
      <c r="H700" s="12"/>
      <c r="I700" s="12"/>
      <c r="J700" s="12"/>
      <c r="K700" s="12"/>
      <c r="L700" s="12"/>
      <c r="M700" s="12"/>
      <c r="N700" s="12"/>
      <c r="O700" s="12"/>
      <c r="P700" s="12"/>
      <c r="Q700" s="12"/>
      <c r="R700" s="27"/>
      <c r="S700" s="27"/>
      <c r="T700" s="27"/>
      <c r="U700" s="27"/>
      <c r="V700" s="12"/>
      <c r="W700" s="12"/>
      <c r="X700" s="12"/>
      <c r="Y700" s="12"/>
      <c r="Z700" s="31"/>
      <c r="AA700" s="12"/>
      <c r="AB700" s="12"/>
      <c r="AC700" s="12"/>
      <c r="AD700" s="12"/>
      <c r="AE700" s="12"/>
      <c r="AF700" s="12"/>
      <c r="AG700" s="12"/>
      <c r="AH700" s="12"/>
    </row>
    <row r="701" spans="1:34" ht="12.75">
      <c r="A701" s="12"/>
      <c r="B701" s="12"/>
      <c r="C701" s="12"/>
      <c r="D701" s="12"/>
      <c r="E701" s="12"/>
      <c r="F701" s="12"/>
      <c r="G701" s="12"/>
      <c r="H701" s="12"/>
      <c r="I701" s="12"/>
      <c r="J701" s="12"/>
      <c r="K701" s="12"/>
      <c r="L701" s="12"/>
      <c r="M701" s="12"/>
      <c r="N701" s="12"/>
      <c r="O701" s="12"/>
      <c r="P701" s="12"/>
      <c r="Q701" s="12"/>
      <c r="R701" s="27"/>
      <c r="S701" s="27"/>
      <c r="T701" s="27"/>
      <c r="U701" s="27"/>
      <c r="V701" s="12"/>
      <c r="W701" s="12"/>
      <c r="X701" s="12"/>
      <c r="Y701" s="12"/>
      <c r="Z701" s="31"/>
      <c r="AA701" s="12"/>
      <c r="AB701" s="12"/>
      <c r="AC701" s="12"/>
      <c r="AD701" s="12"/>
      <c r="AE701" s="12"/>
      <c r="AF701" s="12"/>
      <c r="AG701" s="12"/>
      <c r="AH701" s="12"/>
    </row>
    <row r="702" spans="1:34" ht="12.75">
      <c r="A702" s="12"/>
      <c r="B702" s="12"/>
      <c r="C702" s="12"/>
      <c r="D702" s="12"/>
      <c r="E702" s="12"/>
      <c r="F702" s="12"/>
      <c r="G702" s="12"/>
      <c r="H702" s="12"/>
      <c r="I702" s="12"/>
      <c r="J702" s="12"/>
      <c r="K702" s="12"/>
      <c r="L702" s="12"/>
      <c r="M702" s="12"/>
      <c r="N702" s="12"/>
      <c r="O702" s="12"/>
      <c r="P702" s="12"/>
      <c r="Q702" s="12"/>
      <c r="R702" s="27"/>
      <c r="S702" s="27"/>
      <c r="T702" s="27"/>
      <c r="U702" s="27"/>
      <c r="V702" s="12"/>
      <c r="W702" s="12"/>
      <c r="X702" s="12"/>
      <c r="Y702" s="12"/>
      <c r="Z702" s="31"/>
      <c r="AA702" s="12"/>
      <c r="AB702" s="12"/>
      <c r="AC702" s="12"/>
      <c r="AD702" s="12"/>
      <c r="AE702" s="12"/>
      <c r="AF702" s="12"/>
      <c r="AG702" s="12"/>
      <c r="AH702" s="12"/>
    </row>
    <row r="703" spans="1:34" ht="12.75">
      <c r="A703" s="12"/>
      <c r="B703" s="12"/>
      <c r="C703" s="12"/>
      <c r="D703" s="12"/>
      <c r="E703" s="12"/>
      <c r="F703" s="12"/>
      <c r="G703" s="12"/>
      <c r="H703" s="12"/>
      <c r="I703" s="12"/>
      <c r="J703" s="12"/>
      <c r="K703" s="12"/>
      <c r="L703" s="12"/>
      <c r="M703" s="12"/>
      <c r="N703" s="12"/>
      <c r="O703" s="12"/>
      <c r="P703" s="12"/>
      <c r="Q703" s="12"/>
      <c r="R703" s="27"/>
      <c r="S703" s="27"/>
      <c r="T703" s="27"/>
      <c r="U703" s="27"/>
      <c r="V703" s="12"/>
      <c r="W703" s="12"/>
      <c r="X703" s="12"/>
      <c r="Y703" s="12"/>
      <c r="Z703" s="31"/>
      <c r="AA703" s="12"/>
      <c r="AB703" s="12"/>
      <c r="AC703" s="12"/>
      <c r="AD703" s="12"/>
      <c r="AE703" s="12"/>
      <c r="AF703" s="12"/>
      <c r="AG703" s="12"/>
      <c r="AH703" s="12"/>
    </row>
    <row r="704" spans="1:34" ht="12.75">
      <c r="A704" s="12"/>
      <c r="B704" s="12"/>
      <c r="C704" s="12"/>
      <c r="D704" s="12"/>
      <c r="E704" s="12"/>
      <c r="F704" s="12"/>
      <c r="G704" s="12"/>
      <c r="H704" s="12"/>
      <c r="I704" s="12"/>
      <c r="J704" s="12"/>
      <c r="K704" s="12"/>
      <c r="L704" s="12"/>
      <c r="M704" s="12"/>
      <c r="N704" s="12"/>
      <c r="O704" s="12"/>
      <c r="P704" s="12"/>
      <c r="Q704" s="12"/>
      <c r="R704" s="27"/>
      <c r="S704" s="27"/>
      <c r="T704" s="27"/>
      <c r="U704" s="27"/>
      <c r="V704" s="12"/>
      <c r="W704" s="12"/>
      <c r="X704" s="12"/>
      <c r="Y704" s="12"/>
      <c r="Z704" s="31"/>
      <c r="AA704" s="12"/>
      <c r="AB704" s="12"/>
      <c r="AC704" s="12"/>
      <c r="AD704" s="12"/>
      <c r="AE704" s="12"/>
      <c r="AF704" s="12"/>
      <c r="AG704" s="12"/>
      <c r="AH704" s="12"/>
    </row>
    <row r="705" spans="1:34" ht="12.75">
      <c r="A705" s="12"/>
      <c r="B705" s="12"/>
      <c r="C705" s="12"/>
      <c r="D705" s="12"/>
      <c r="E705" s="12"/>
      <c r="F705" s="12"/>
      <c r="G705" s="12"/>
      <c r="H705" s="12"/>
      <c r="I705" s="12"/>
      <c r="J705" s="12"/>
      <c r="K705" s="12"/>
      <c r="L705" s="12"/>
      <c r="M705" s="12"/>
      <c r="N705" s="12"/>
      <c r="O705" s="12"/>
      <c r="P705" s="12"/>
      <c r="Q705" s="12"/>
      <c r="R705" s="27"/>
      <c r="S705" s="27"/>
      <c r="T705" s="27"/>
      <c r="U705" s="27"/>
      <c r="V705" s="12"/>
      <c r="W705" s="12"/>
      <c r="X705" s="12"/>
      <c r="Y705" s="12"/>
      <c r="Z705" s="31"/>
      <c r="AA705" s="12"/>
      <c r="AB705" s="12"/>
      <c r="AC705" s="12"/>
      <c r="AD705" s="12"/>
      <c r="AE705" s="12"/>
      <c r="AF705" s="12"/>
      <c r="AG705" s="12"/>
      <c r="AH705" s="12"/>
    </row>
    <row r="706" spans="1:34" ht="12.75">
      <c r="A706" s="12"/>
      <c r="B706" s="12"/>
      <c r="C706" s="12"/>
      <c r="D706" s="12"/>
      <c r="E706" s="12"/>
      <c r="F706" s="12"/>
      <c r="G706" s="12"/>
      <c r="H706" s="12"/>
      <c r="I706" s="12"/>
      <c r="J706" s="12"/>
      <c r="K706" s="12"/>
      <c r="L706" s="12"/>
      <c r="M706" s="12"/>
      <c r="N706" s="12"/>
      <c r="O706" s="12"/>
      <c r="P706" s="12"/>
      <c r="Q706" s="12"/>
      <c r="R706" s="27"/>
      <c r="S706" s="27"/>
      <c r="T706" s="27"/>
      <c r="U706" s="27"/>
      <c r="V706" s="12"/>
      <c r="W706" s="12"/>
      <c r="X706" s="12"/>
      <c r="Y706" s="12"/>
      <c r="Z706" s="31"/>
      <c r="AA706" s="12"/>
      <c r="AB706" s="12"/>
      <c r="AC706" s="12"/>
      <c r="AD706" s="12"/>
      <c r="AE706" s="12"/>
      <c r="AF706" s="12"/>
      <c r="AG706" s="12"/>
      <c r="AH706" s="12"/>
    </row>
    <row r="707" spans="1:34" ht="12.75">
      <c r="A707" s="12"/>
      <c r="B707" s="12"/>
      <c r="C707" s="12"/>
      <c r="D707" s="12"/>
      <c r="E707" s="12"/>
      <c r="F707" s="12"/>
      <c r="G707" s="12"/>
      <c r="H707" s="12"/>
      <c r="I707" s="12"/>
      <c r="J707" s="12"/>
      <c r="K707" s="12"/>
      <c r="L707" s="12"/>
      <c r="M707" s="12"/>
      <c r="N707" s="12"/>
      <c r="O707" s="12"/>
      <c r="P707" s="12"/>
      <c r="Q707" s="12"/>
      <c r="R707" s="27"/>
      <c r="S707" s="27"/>
      <c r="T707" s="27"/>
      <c r="U707" s="27"/>
      <c r="V707" s="12"/>
      <c r="W707" s="12"/>
      <c r="X707" s="12"/>
      <c r="Y707" s="12"/>
      <c r="Z707" s="31"/>
      <c r="AA707" s="12"/>
      <c r="AB707" s="12"/>
      <c r="AC707" s="12"/>
      <c r="AD707" s="12"/>
      <c r="AE707" s="12"/>
      <c r="AF707" s="12"/>
      <c r="AG707" s="12"/>
      <c r="AH707" s="12"/>
    </row>
    <row r="708" spans="1:34" ht="12.75">
      <c r="A708" s="12"/>
      <c r="B708" s="12"/>
      <c r="C708" s="12"/>
      <c r="D708" s="12"/>
      <c r="E708" s="12"/>
      <c r="F708" s="12"/>
      <c r="G708" s="12"/>
      <c r="H708" s="12"/>
      <c r="I708" s="12"/>
      <c r="J708" s="12"/>
      <c r="K708" s="12"/>
      <c r="L708" s="12"/>
      <c r="M708" s="12"/>
      <c r="N708" s="12"/>
      <c r="O708" s="12"/>
      <c r="P708" s="12"/>
      <c r="Q708" s="12"/>
      <c r="R708" s="27"/>
      <c r="S708" s="27"/>
      <c r="T708" s="27"/>
      <c r="U708" s="27"/>
      <c r="V708" s="12"/>
      <c r="W708" s="12"/>
      <c r="X708" s="12"/>
      <c r="Y708" s="12"/>
      <c r="Z708" s="31"/>
      <c r="AA708" s="12"/>
      <c r="AB708" s="12"/>
      <c r="AC708" s="12"/>
      <c r="AD708" s="12"/>
      <c r="AE708" s="12"/>
      <c r="AF708" s="12"/>
      <c r="AG708" s="12"/>
      <c r="AH708" s="12"/>
    </row>
    <row r="709" spans="1:34" ht="12.75">
      <c r="A709" s="12"/>
      <c r="B709" s="12"/>
      <c r="C709" s="12"/>
      <c r="D709" s="12"/>
      <c r="E709" s="12"/>
      <c r="F709" s="12"/>
      <c r="G709" s="12"/>
      <c r="H709" s="12"/>
      <c r="I709" s="12"/>
      <c r="J709" s="12"/>
      <c r="K709" s="12"/>
      <c r="L709" s="12"/>
      <c r="M709" s="12"/>
      <c r="N709" s="12"/>
      <c r="O709" s="12"/>
      <c r="P709" s="12"/>
      <c r="Q709" s="12"/>
      <c r="R709" s="27"/>
      <c r="S709" s="27"/>
      <c r="T709" s="27"/>
      <c r="U709" s="27"/>
      <c r="V709" s="12"/>
      <c r="W709" s="12"/>
      <c r="X709" s="12"/>
      <c r="Y709" s="12"/>
      <c r="Z709" s="31"/>
      <c r="AA709" s="12"/>
      <c r="AB709" s="12"/>
      <c r="AC709" s="12"/>
      <c r="AD709" s="12"/>
      <c r="AE709" s="12"/>
      <c r="AF709" s="12"/>
      <c r="AG709" s="12"/>
      <c r="AH709" s="12"/>
    </row>
    <row r="710" spans="1:34" ht="12.75">
      <c r="A710" s="12"/>
      <c r="B710" s="12"/>
      <c r="C710" s="12"/>
      <c r="D710" s="12"/>
      <c r="E710" s="12"/>
      <c r="F710" s="12"/>
      <c r="G710" s="12"/>
      <c r="H710" s="12"/>
      <c r="I710" s="12"/>
      <c r="J710" s="12"/>
      <c r="K710" s="12"/>
      <c r="L710" s="12"/>
      <c r="M710" s="12"/>
      <c r="N710" s="12"/>
      <c r="O710" s="12"/>
      <c r="P710" s="12"/>
      <c r="Q710" s="12"/>
      <c r="R710" s="27"/>
      <c r="S710" s="27"/>
      <c r="T710" s="27"/>
      <c r="U710" s="27"/>
      <c r="V710" s="12"/>
      <c r="W710" s="12"/>
      <c r="X710" s="12"/>
      <c r="Y710" s="12"/>
      <c r="Z710" s="31"/>
      <c r="AA710" s="12"/>
      <c r="AB710" s="12"/>
      <c r="AC710" s="12"/>
      <c r="AD710" s="12"/>
      <c r="AE710" s="12"/>
      <c r="AF710" s="12"/>
      <c r="AG710" s="12"/>
      <c r="AH710" s="12"/>
    </row>
    <row r="711" spans="1:34" ht="12.75">
      <c r="A711" s="12"/>
      <c r="B711" s="12"/>
      <c r="C711" s="12"/>
      <c r="D711" s="12"/>
      <c r="E711" s="12"/>
      <c r="F711" s="12"/>
      <c r="G711" s="12"/>
      <c r="H711" s="12"/>
      <c r="I711" s="12"/>
      <c r="J711" s="12"/>
      <c r="K711" s="12"/>
      <c r="L711" s="12"/>
      <c r="M711" s="12"/>
      <c r="N711" s="12"/>
      <c r="O711" s="12"/>
      <c r="P711" s="12"/>
      <c r="Q711" s="12"/>
      <c r="R711" s="27"/>
      <c r="S711" s="27"/>
      <c r="T711" s="27"/>
      <c r="U711" s="27"/>
      <c r="V711" s="12"/>
      <c r="W711" s="12"/>
      <c r="X711" s="12"/>
      <c r="Y711" s="12"/>
      <c r="Z711" s="31"/>
      <c r="AA711" s="12"/>
      <c r="AB711" s="12"/>
      <c r="AC711" s="12"/>
      <c r="AD711" s="12"/>
      <c r="AE711" s="12"/>
      <c r="AF711" s="12"/>
      <c r="AG711" s="12"/>
      <c r="AH711" s="12"/>
    </row>
    <row r="712" spans="1:34" ht="12.75">
      <c r="A712" s="12"/>
      <c r="B712" s="12"/>
      <c r="C712" s="12"/>
      <c r="D712" s="12"/>
      <c r="E712" s="12"/>
      <c r="F712" s="12"/>
      <c r="G712" s="12"/>
      <c r="H712" s="12"/>
      <c r="I712" s="12"/>
      <c r="J712" s="12"/>
      <c r="K712" s="12"/>
      <c r="L712" s="12"/>
      <c r="M712" s="12"/>
      <c r="N712" s="12"/>
      <c r="O712" s="12"/>
      <c r="P712" s="12"/>
      <c r="Q712" s="12"/>
      <c r="R712" s="27"/>
      <c r="S712" s="27"/>
      <c r="T712" s="27"/>
      <c r="U712" s="27"/>
      <c r="V712" s="12"/>
      <c r="W712" s="12"/>
      <c r="X712" s="12"/>
      <c r="Y712" s="12"/>
      <c r="Z712" s="31"/>
      <c r="AA712" s="12"/>
      <c r="AB712" s="12"/>
      <c r="AC712" s="12"/>
      <c r="AD712" s="12"/>
      <c r="AE712" s="12"/>
      <c r="AF712" s="12"/>
      <c r="AG712" s="12"/>
      <c r="AH712" s="12"/>
    </row>
    <row r="713" spans="1:34" ht="12.75">
      <c r="A713" s="12"/>
      <c r="B713" s="12"/>
      <c r="C713" s="12"/>
      <c r="D713" s="12"/>
      <c r="E713" s="12"/>
      <c r="F713" s="12"/>
      <c r="G713" s="12"/>
      <c r="H713" s="12"/>
      <c r="I713" s="12"/>
      <c r="J713" s="12"/>
      <c r="K713" s="12"/>
      <c r="L713" s="12"/>
      <c r="M713" s="12"/>
      <c r="N713" s="12"/>
      <c r="O713" s="12"/>
      <c r="P713" s="12"/>
      <c r="Q713" s="12"/>
      <c r="R713" s="27"/>
      <c r="S713" s="27"/>
      <c r="T713" s="27"/>
      <c r="U713" s="27"/>
      <c r="V713" s="12"/>
      <c r="W713" s="12"/>
      <c r="X713" s="12"/>
      <c r="Y713" s="12"/>
      <c r="Z713" s="31"/>
      <c r="AA713" s="12"/>
      <c r="AB713" s="12"/>
      <c r="AC713" s="12"/>
      <c r="AD713" s="12"/>
      <c r="AE713" s="12"/>
      <c r="AF713" s="12"/>
      <c r="AG713" s="12"/>
      <c r="AH713" s="12"/>
    </row>
    <row r="714" spans="1:34" ht="12.75">
      <c r="A714" s="12"/>
      <c r="B714" s="12"/>
      <c r="C714" s="12"/>
      <c r="D714" s="12"/>
      <c r="E714" s="12"/>
      <c r="F714" s="12"/>
      <c r="G714" s="12"/>
      <c r="H714" s="12"/>
      <c r="I714" s="12"/>
      <c r="J714" s="12"/>
      <c r="K714" s="12"/>
      <c r="L714" s="12"/>
      <c r="M714" s="12"/>
      <c r="N714" s="12"/>
      <c r="O714" s="12"/>
      <c r="P714" s="12"/>
      <c r="Q714" s="12"/>
      <c r="R714" s="27"/>
      <c r="S714" s="27"/>
      <c r="T714" s="27"/>
      <c r="U714" s="27"/>
      <c r="V714" s="12"/>
      <c r="W714" s="12"/>
      <c r="X714" s="12"/>
      <c r="Y714" s="12"/>
      <c r="Z714" s="31"/>
      <c r="AA714" s="12"/>
      <c r="AB714" s="12"/>
      <c r="AC714" s="12"/>
      <c r="AD714" s="12"/>
      <c r="AE714" s="12"/>
      <c r="AF714" s="12"/>
      <c r="AG714" s="12"/>
      <c r="AH714" s="12"/>
    </row>
    <row r="715" spans="1:34" ht="12.75">
      <c r="A715" s="12"/>
      <c r="B715" s="12"/>
      <c r="C715" s="12"/>
      <c r="D715" s="12"/>
      <c r="E715" s="12"/>
      <c r="F715" s="12"/>
      <c r="G715" s="12"/>
      <c r="H715" s="12"/>
      <c r="I715" s="12"/>
      <c r="J715" s="12"/>
      <c r="K715" s="12"/>
      <c r="L715" s="12"/>
      <c r="M715" s="12"/>
      <c r="N715" s="12"/>
      <c r="O715" s="12"/>
      <c r="P715" s="12"/>
      <c r="Q715" s="12"/>
      <c r="R715" s="27"/>
      <c r="S715" s="27"/>
      <c r="T715" s="27"/>
      <c r="U715" s="27"/>
      <c r="V715" s="12"/>
      <c r="W715" s="12"/>
      <c r="X715" s="12"/>
      <c r="Y715" s="12"/>
      <c r="Z715" s="31"/>
      <c r="AA715" s="12"/>
      <c r="AB715" s="12"/>
      <c r="AC715" s="12"/>
      <c r="AD715" s="12"/>
      <c r="AE715" s="12"/>
      <c r="AF715" s="12"/>
      <c r="AG715" s="12"/>
      <c r="AH715" s="12"/>
    </row>
    <row r="716" spans="1:34" ht="12.75">
      <c r="A716" s="12"/>
      <c r="B716" s="12"/>
      <c r="C716" s="12"/>
      <c r="D716" s="12"/>
      <c r="E716" s="12"/>
      <c r="F716" s="12"/>
      <c r="G716" s="12"/>
      <c r="H716" s="12"/>
      <c r="I716" s="12"/>
      <c r="J716" s="12"/>
      <c r="K716" s="12"/>
      <c r="L716" s="12"/>
      <c r="M716" s="12"/>
      <c r="N716" s="12"/>
      <c r="O716" s="12"/>
      <c r="P716" s="12"/>
      <c r="Q716" s="12"/>
      <c r="R716" s="27"/>
      <c r="S716" s="27"/>
      <c r="T716" s="27"/>
      <c r="U716" s="27"/>
      <c r="V716" s="12"/>
      <c r="W716" s="12"/>
      <c r="X716" s="12"/>
      <c r="Y716" s="12"/>
      <c r="Z716" s="31"/>
      <c r="AA716" s="12"/>
      <c r="AB716" s="12"/>
      <c r="AC716" s="12"/>
      <c r="AD716" s="12"/>
      <c r="AE716" s="12"/>
      <c r="AF716" s="12"/>
      <c r="AG716" s="12"/>
      <c r="AH716" s="12"/>
    </row>
    <row r="717" spans="1:34" ht="12.75">
      <c r="A717" s="12"/>
      <c r="B717" s="12"/>
      <c r="C717" s="12"/>
      <c r="D717" s="12"/>
      <c r="E717" s="12"/>
      <c r="F717" s="12"/>
      <c r="G717" s="12"/>
      <c r="H717" s="12"/>
      <c r="I717" s="12"/>
      <c r="J717" s="12"/>
      <c r="K717" s="12"/>
      <c r="L717" s="12"/>
      <c r="M717" s="12"/>
      <c r="N717" s="12"/>
      <c r="O717" s="12"/>
      <c r="P717" s="12"/>
      <c r="Q717" s="12"/>
      <c r="R717" s="27"/>
      <c r="S717" s="27"/>
      <c r="T717" s="27"/>
      <c r="U717" s="27"/>
      <c r="V717" s="12"/>
      <c r="W717" s="12"/>
      <c r="X717" s="12"/>
      <c r="Y717" s="12"/>
      <c r="Z717" s="31"/>
      <c r="AA717" s="12"/>
      <c r="AB717" s="12"/>
      <c r="AC717" s="12"/>
      <c r="AD717" s="12"/>
      <c r="AE717" s="12"/>
      <c r="AF717" s="12"/>
      <c r="AG717" s="12"/>
      <c r="AH717" s="12"/>
    </row>
    <row r="718" spans="1:34" ht="12.75">
      <c r="A718" s="12"/>
      <c r="B718" s="12"/>
      <c r="C718" s="12"/>
      <c r="D718" s="12"/>
      <c r="E718" s="12"/>
      <c r="F718" s="12"/>
      <c r="G718" s="12"/>
      <c r="H718" s="12"/>
      <c r="I718" s="12"/>
      <c r="J718" s="12"/>
      <c r="K718" s="12"/>
      <c r="L718" s="12"/>
      <c r="M718" s="12"/>
      <c r="N718" s="12"/>
      <c r="O718" s="12"/>
      <c r="P718" s="12"/>
      <c r="Q718" s="12"/>
      <c r="R718" s="27"/>
      <c r="S718" s="27"/>
      <c r="T718" s="27"/>
      <c r="U718" s="27"/>
      <c r="V718" s="12"/>
      <c r="W718" s="12"/>
      <c r="X718" s="12"/>
      <c r="Y718" s="12"/>
      <c r="Z718" s="31"/>
      <c r="AA718" s="12"/>
      <c r="AB718" s="12"/>
      <c r="AC718" s="12"/>
      <c r="AD718" s="12"/>
      <c r="AE718" s="12"/>
      <c r="AF718" s="12"/>
      <c r="AG718" s="12"/>
      <c r="AH718" s="12"/>
    </row>
    <row r="719" spans="1:34" ht="12.75">
      <c r="A719" s="12"/>
      <c r="B719" s="12"/>
      <c r="C719" s="12"/>
      <c r="D719" s="12"/>
      <c r="E719" s="12"/>
      <c r="F719" s="12"/>
      <c r="G719" s="12"/>
      <c r="H719" s="12"/>
      <c r="I719" s="12"/>
      <c r="J719" s="12"/>
      <c r="K719" s="12"/>
      <c r="L719" s="12"/>
      <c r="M719" s="12"/>
      <c r="N719" s="12"/>
      <c r="O719" s="12"/>
      <c r="P719" s="12"/>
      <c r="Q719" s="12"/>
      <c r="R719" s="27"/>
      <c r="S719" s="27"/>
      <c r="T719" s="27"/>
      <c r="U719" s="27"/>
      <c r="V719" s="12"/>
      <c r="W719" s="12"/>
      <c r="X719" s="12"/>
      <c r="Y719" s="12"/>
      <c r="Z719" s="31"/>
      <c r="AA719" s="12"/>
      <c r="AB719" s="12"/>
      <c r="AC719" s="12"/>
      <c r="AD719" s="12"/>
      <c r="AE719" s="12"/>
      <c r="AF719" s="12"/>
      <c r="AG719" s="12"/>
      <c r="AH719" s="12"/>
    </row>
    <row r="720" spans="1:34" ht="12.75">
      <c r="A720" s="12"/>
      <c r="B720" s="12"/>
      <c r="C720" s="12"/>
      <c r="D720" s="12"/>
      <c r="E720" s="12"/>
      <c r="F720" s="12"/>
      <c r="G720" s="12"/>
      <c r="H720" s="12"/>
      <c r="I720" s="12"/>
      <c r="J720" s="12"/>
      <c r="K720" s="12"/>
      <c r="L720" s="12"/>
      <c r="M720" s="12"/>
      <c r="N720" s="12"/>
      <c r="O720" s="12"/>
      <c r="P720" s="12"/>
      <c r="Q720" s="12"/>
      <c r="R720" s="27"/>
      <c r="S720" s="27"/>
      <c r="T720" s="27"/>
      <c r="U720" s="27"/>
      <c r="V720" s="12"/>
      <c r="W720" s="12"/>
      <c r="X720" s="12"/>
      <c r="Y720" s="12"/>
      <c r="Z720" s="31"/>
      <c r="AA720" s="12"/>
      <c r="AB720" s="12"/>
      <c r="AC720" s="12"/>
      <c r="AD720" s="12"/>
      <c r="AE720" s="12"/>
      <c r="AF720" s="12"/>
      <c r="AG720" s="12"/>
      <c r="AH720" s="12"/>
    </row>
    <row r="721" spans="1:34" ht="12.75">
      <c r="A721" s="12"/>
      <c r="B721" s="12"/>
      <c r="C721" s="12"/>
      <c r="D721" s="12"/>
      <c r="E721" s="12"/>
      <c r="F721" s="12"/>
      <c r="G721" s="12"/>
      <c r="H721" s="12"/>
      <c r="I721" s="12"/>
      <c r="J721" s="12"/>
      <c r="K721" s="12"/>
      <c r="L721" s="12"/>
      <c r="M721" s="12"/>
      <c r="N721" s="12"/>
      <c r="O721" s="12"/>
      <c r="P721" s="12"/>
      <c r="Q721" s="12"/>
      <c r="R721" s="27"/>
      <c r="S721" s="27"/>
      <c r="T721" s="27"/>
      <c r="U721" s="27"/>
      <c r="V721" s="12"/>
      <c r="W721" s="12"/>
      <c r="X721" s="12"/>
      <c r="Y721" s="12"/>
      <c r="Z721" s="31"/>
      <c r="AA721" s="12"/>
      <c r="AB721" s="12"/>
      <c r="AC721" s="12"/>
      <c r="AD721" s="12"/>
      <c r="AE721" s="12"/>
      <c r="AF721" s="12"/>
      <c r="AG721" s="12"/>
      <c r="AH721" s="12"/>
    </row>
    <row r="722" spans="1:34" ht="12.75">
      <c r="A722" s="12"/>
      <c r="B722" s="12"/>
      <c r="C722" s="12"/>
      <c r="D722" s="12"/>
      <c r="E722" s="12"/>
      <c r="F722" s="12"/>
      <c r="G722" s="12"/>
      <c r="H722" s="12"/>
      <c r="I722" s="12"/>
      <c r="J722" s="12"/>
      <c r="K722" s="12"/>
      <c r="L722" s="12"/>
      <c r="M722" s="12"/>
      <c r="N722" s="12"/>
      <c r="O722" s="12"/>
      <c r="P722" s="12"/>
      <c r="Q722" s="12"/>
      <c r="R722" s="27"/>
      <c r="S722" s="27"/>
      <c r="T722" s="27"/>
      <c r="U722" s="27"/>
      <c r="V722" s="12"/>
      <c r="W722" s="12"/>
      <c r="X722" s="12"/>
      <c r="Y722" s="12"/>
      <c r="Z722" s="31"/>
      <c r="AA722" s="12"/>
      <c r="AB722" s="12"/>
      <c r="AC722" s="12"/>
      <c r="AD722" s="12"/>
      <c r="AE722" s="12"/>
      <c r="AF722" s="12"/>
      <c r="AG722" s="12"/>
      <c r="AH722" s="12"/>
    </row>
    <row r="723" spans="1:34" ht="12.75">
      <c r="A723" s="12"/>
      <c r="B723" s="12"/>
      <c r="C723" s="12"/>
      <c r="D723" s="12"/>
      <c r="E723" s="12"/>
      <c r="F723" s="12"/>
      <c r="G723" s="12"/>
      <c r="H723" s="12"/>
      <c r="I723" s="12"/>
      <c r="J723" s="12"/>
      <c r="K723" s="12"/>
      <c r="L723" s="12"/>
      <c r="M723" s="12"/>
      <c r="N723" s="12"/>
      <c r="O723" s="12"/>
      <c r="P723" s="12"/>
      <c r="Q723" s="12"/>
      <c r="R723" s="27"/>
      <c r="S723" s="27"/>
      <c r="T723" s="27"/>
      <c r="U723" s="27"/>
      <c r="V723" s="12"/>
      <c r="W723" s="12"/>
      <c r="X723" s="12"/>
      <c r="Y723" s="12"/>
      <c r="Z723" s="31"/>
      <c r="AA723" s="12"/>
      <c r="AB723" s="12"/>
      <c r="AC723" s="12"/>
      <c r="AD723" s="12"/>
      <c r="AE723" s="12"/>
      <c r="AF723" s="12"/>
      <c r="AG723" s="12"/>
      <c r="AH723" s="12"/>
    </row>
    <row r="724" spans="1:34" ht="12.75">
      <c r="A724" s="12"/>
      <c r="B724" s="12"/>
      <c r="C724" s="12"/>
      <c r="D724" s="12"/>
      <c r="E724" s="12"/>
      <c r="F724" s="12"/>
      <c r="G724" s="12"/>
      <c r="H724" s="12"/>
      <c r="I724" s="12"/>
      <c r="J724" s="12"/>
      <c r="K724" s="12"/>
      <c r="L724" s="12"/>
      <c r="M724" s="12"/>
      <c r="N724" s="12"/>
      <c r="O724" s="12"/>
      <c r="P724" s="12"/>
      <c r="Q724" s="12"/>
      <c r="R724" s="27"/>
      <c r="S724" s="27"/>
      <c r="T724" s="27"/>
      <c r="U724" s="27"/>
      <c r="V724" s="12"/>
      <c r="W724" s="12"/>
      <c r="X724" s="12"/>
      <c r="Y724" s="12"/>
      <c r="Z724" s="31"/>
      <c r="AA724" s="12"/>
      <c r="AB724" s="12"/>
      <c r="AC724" s="12"/>
      <c r="AD724" s="12"/>
      <c r="AE724" s="12"/>
      <c r="AF724" s="12"/>
      <c r="AG724" s="12"/>
      <c r="AH724" s="12"/>
    </row>
    <row r="725" spans="1:34" ht="12.75">
      <c r="A725" s="12"/>
      <c r="B725" s="12"/>
      <c r="C725" s="12"/>
      <c r="D725" s="12"/>
      <c r="E725" s="12"/>
      <c r="F725" s="12"/>
      <c r="G725" s="12"/>
      <c r="H725" s="12"/>
      <c r="I725" s="12"/>
      <c r="J725" s="12"/>
      <c r="K725" s="12"/>
      <c r="L725" s="12"/>
      <c r="M725" s="12"/>
      <c r="N725" s="12"/>
      <c r="O725" s="12"/>
      <c r="P725" s="12"/>
      <c r="Q725" s="12"/>
      <c r="R725" s="27"/>
      <c r="S725" s="27"/>
      <c r="T725" s="27"/>
      <c r="U725" s="27"/>
      <c r="V725" s="12"/>
      <c r="W725" s="12"/>
      <c r="X725" s="12"/>
      <c r="Y725" s="12"/>
      <c r="Z725" s="31"/>
      <c r="AA725" s="12"/>
      <c r="AB725" s="12"/>
      <c r="AC725" s="12"/>
      <c r="AD725" s="12"/>
      <c r="AE725" s="12"/>
      <c r="AF725" s="12"/>
      <c r="AG725" s="12"/>
      <c r="AH725" s="12"/>
    </row>
    <row r="726" spans="1:34" ht="12.75">
      <c r="A726" s="12"/>
      <c r="B726" s="12"/>
      <c r="C726" s="12"/>
      <c r="D726" s="12"/>
      <c r="E726" s="12"/>
      <c r="F726" s="12"/>
      <c r="G726" s="12"/>
      <c r="H726" s="12"/>
      <c r="I726" s="12"/>
      <c r="J726" s="12"/>
      <c r="K726" s="12"/>
      <c r="L726" s="12"/>
      <c r="M726" s="12"/>
      <c r="N726" s="12"/>
      <c r="O726" s="12"/>
      <c r="P726" s="12"/>
      <c r="Q726" s="12"/>
      <c r="R726" s="27"/>
      <c r="S726" s="27"/>
      <c r="T726" s="27"/>
      <c r="U726" s="27"/>
      <c r="V726" s="12"/>
      <c r="W726" s="12"/>
      <c r="X726" s="12"/>
      <c r="Y726" s="12"/>
      <c r="Z726" s="31"/>
      <c r="AA726" s="12"/>
      <c r="AB726" s="12"/>
      <c r="AC726" s="12"/>
      <c r="AD726" s="12"/>
      <c r="AE726" s="12"/>
      <c r="AF726" s="12"/>
      <c r="AG726" s="12"/>
      <c r="AH726" s="12"/>
    </row>
    <row r="727" spans="1:34" ht="12.75">
      <c r="A727" s="12"/>
      <c r="B727" s="12"/>
      <c r="C727" s="12"/>
      <c r="D727" s="12"/>
      <c r="E727" s="12"/>
      <c r="F727" s="12"/>
      <c r="G727" s="12"/>
      <c r="H727" s="12"/>
      <c r="I727" s="12"/>
      <c r="J727" s="12"/>
      <c r="K727" s="12"/>
      <c r="L727" s="12"/>
      <c r="M727" s="12"/>
      <c r="N727" s="12"/>
      <c r="O727" s="12"/>
      <c r="P727" s="12"/>
      <c r="Q727" s="12"/>
      <c r="R727" s="27"/>
      <c r="S727" s="27"/>
      <c r="T727" s="27"/>
      <c r="U727" s="27"/>
      <c r="V727" s="12"/>
      <c r="W727" s="12"/>
      <c r="X727" s="12"/>
      <c r="Y727" s="12"/>
      <c r="Z727" s="31"/>
      <c r="AA727" s="12"/>
      <c r="AB727" s="12"/>
      <c r="AC727" s="12"/>
      <c r="AD727" s="12"/>
      <c r="AE727" s="12"/>
      <c r="AF727" s="12"/>
      <c r="AG727" s="12"/>
      <c r="AH727" s="12"/>
    </row>
    <row r="728" spans="1:34" ht="12.75">
      <c r="A728" s="12"/>
      <c r="B728" s="12"/>
      <c r="C728" s="12"/>
      <c r="D728" s="12"/>
      <c r="E728" s="12"/>
      <c r="F728" s="12"/>
      <c r="G728" s="12"/>
      <c r="H728" s="12"/>
      <c r="I728" s="12"/>
      <c r="J728" s="12"/>
      <c r="K728" s="12"/>
      <c r="L728" s="12"/>
      <c r="M728" s="12"/>
      <c r="N728" s="12"/>
      <c r="O728" s="12"/>
      <c r="P728" s="12"/>
      <c r="Q728" s="12"/>
      <c r="R728" s="27"/>
      <c r="S728" s="27"/>
      <c r="T728" s="27"/>
      <c r="U728" s="27"/>
      <c r="V728" s="12"/>
      <c r="W728" s="12"/>
      <c r="X728" s="12"/>
      <c r="Y728" s="12"/>
      <c r="Z728" s="31"/>
      <c r="AA728" s="12"/>
      <c r="AB728" s="12"/>
      <c r="AC728" s="12"/>
      <c r="AD728" s="12"/>
      <c r="AE728" s="12"/>
      <c r="AF728" s="12"/>
      <c r="AG728" s="12"/>
      <c r="AH728" s="12"/>
    </row>
    <row r="729" spans="1:34" ht="12.75">
      <c r="A729" s="12"/>
      <c r="B729" s="12"/>
      <c r="C729" s="12"/>
      <c r="D729" s="12"/>
      <c r="E729" s="12"/>
      <c r="F729" s="12"/>
      <c r="G729" s="12"/>
      <c r="H729" s="12"/>
      <c r="I729" s="12"/>
      <c r="J729" s="12"/>
      <c r="K729" s="12"/>
      <c r="L729" s="12"/>
      <c r="M729" s="12"/>
      <c r="N729" s="12"/>
      <c r="O729" s="12"/>
      <c r="P729" s="12"/>
      <c r="Q729" s="12"/>
      <c r="R729" s="27"/>
      <c r="S729" s="27"/>
      <c r="T729" s="27"/>
      <c r="U729" s="27"/>
      <c r="V729" s="12"/>
      <c r="W729" s="12"/>
      <c r="X729" s="12"/>
      <c r="Y729" s="12"/>
      <c r="Z729" s="31"/>
      <c r="AA729" s="12"/>
      <c r="AB729" s="12"/>
      <c r="AC729" s="12"/>
      <c r="AD729" s="12"/>
      <c r="AE729" s="12"/>
      <c r="AF729" s="12"/>
      <c r="AG729" s="12"/>
      <c r="AH729" s="12"/>
    </row>
    <row r="730" spans="1:34" ht="12.75">
      <c r="A730" s="12"/>
      <c r="B730" s="12"/>
      <c r="C730" s="12"/>
      <c r="D730" s="12"/>
      <c r="E730" s="12"/>
      <c r="F730" s="12"/>
      <c r="G730" s="12"/>
      <c r="H730" s="12"/>
      <c r="I730" s="12"/>
      <c r="J730" s="12"/>
      <c r="K730" s="12"/>
      <c r="L730" s="12"/>
      <c r="M730" s="12"/>
      <c r="N730" s="12"/>
      <c r="O730" s="12"/>
      <c r="P730" s="12"/>
      <c r="Q730" s="12"/>
      <c r="R730" s="27"/>
      <c r="S730" s="27"/>
      <c r="T730" s="27"/>
      <c r="U730" s="27"/>
      <c r="V730" s="12"/>
      <c r="W730" s="12"/>
      <c r="X730" s="12"/>
      <c r="Y730" s="12"/>
      <c r="Z730" s="31"/>
      <c r="AA730" s="12"/>
      <c r="AB730" s="12"/>
      <c r="AC730" s="12"/>
      <c r="AD730" s="12"/>
      <c r="AE730" s="12"/>
      <c r="AF730" s="12"/>
      <c r="AG730" s="12"/>
      <c r="AH730" s="12"/>
    </row>
    <row r="731" spans="1:34" ht="12.75">
      <c r="A731" s="12"/>
      <c r="B731" s="12"/>
      <c r="C731" s="12"/>
      <c r="D731" s="12"/>
      <c r="E731" s="12"/>
      <c r="F731" s="12"/>
      <c r="G731" s="12"/>
      <c r="H731" s="12"/>
      <c r="I731" s="12"/>
      <c r="J731" s="12"/>
      <c r="K731" s="12"/>
      <c r="L731" s="12"/>
      <c r="M731" s="12"/>
      <c r="N731" s="12"/>
      <c r="O731" s="12"/>
      <c r="P731" s="12"/>
      <c r="Q731" s="12"/>
      <c r="R731" s="27"/>
      <c r="S731" s="27"/>
      <c r="T731" s="27"/>
      <c r="U731" s="27"/>
      <c r="V731" s="12"/>
      <c r="W731" s="12"/>
      <c r="X731" s="12"/>
      <c r="Y731" s="12"/>
      <c r="Z731" s="31"/>
      <c r="AA731" s="12"/>
      <c r="AB731" s="12"/>
      <c r="AC731" s="12"/>
      <c r="AD731" s="12"/>
      <c r="AE731" s="12"/>
      <c r="AF731" s="12"/>
      <c r="AG731" s="12"/>
      <c r="AH731" s="12"/>
    </row>
    <row r="732" spans="1:34" ht="12.75">
      <c r="A732" s="12"/>
      <c r="B732" s="12"/>
      <c r="C732" s="12"/>
      <c r="D732" s="12"/>
      <c r="E732" s="12"/>
      <c r="F732" s="12"/>
      <c r="G732" s="12"/>
      <c r="H732" s="12"/>
      <c r="I732" s="12"/>
      <c r="J732" s="12"/>
      <c r="K732" s="12"/>
      <c r="L732" s="12"/>
      <c r="M732" s="12"/>
      <c r="N732" s="12"/>
      <c r="O732" s="12"/>
      <c r="P732" s="12"/>
      <c r="Q732" s="12"/>
      <c r="R732" s="27"/>
      <c r="S732" s="27"/>
      <c r="T732" s="27"/>
      <c r="U732" s="27"/>
      <c r="V732" s="12"/>
      <c r="W732" s="12"/>
      <c r="X732" s="12"/>
      <c r="Y732" s="12"/>
      <c r="Z732" s="31"/>
      <c r="AA732" s="12"/>
      <c r="AB732" s="12"/>
      <c r="AC732" s="12"/>
      <c r="AD732" s="12"/>
      <c r="AE732" s="12"/>
      <c r="AF732" s="12"/>
      <c r="AG732" s="12"/>
      <c r="AH732" s="12"/>
    </row>
    <row r="733" spans="1:34" ht="12.75">
      <c r="A733" s="12"/>
      <c r="B733" s="12"/>
      <c r="C733" s="12"/>
      <c r="D733" s="12"/>
      <c r="E733" s="12"/>
      <c r="F733" s="12"/>
      <c r="G733" s="12"/>
      <c r="H733" s="12"/>
      <c r="I733" s="12"/>
      <c r="J733" s="12"/>
      <c r="K733" s="12"/>
      <c r="L733" s="12"/>
      <c r="M733" s="12"/>
      <c r="N733" s="12"/>
      <c r="O733" s="12"/>
      <c r="P733" s="12"/>
      <c r="Q733" s="12"/>
      <c r="R733" s="27"/>
      <c r="S733" s="27"/>
      <c r="T733" s="27"/>
      <c r="U733" s="27"/>
      <c r="V733" s="12"/>
      <c r="W733" s="12"/>
      <c r="X733" s="12"/>
      <c r="Y733" s="12"/>
      <c r="Z733" s="31"/>
      <c r="AA733" s="12"/>
      <c r="AB733" s="12"/>
      <c r="AC733" s="12"/>
      <c r="AD733" s="12"/>
      <c r="AE733" s="12"/>
      <c r="AF733" s="12"/>
      <c r="AG733" s="12"/>
      <c r="AH733" s="12"/>
    </row>
    <row r="734" spans="1:34" ht="12.75">
      <c r="A734" s="12"/>
      <c r="B734" s="12"/>
      <c r="C734" s="12"/>
      <c r="D734" s="12"/>
      <c r="E734" s="12"/>
      <c r="F734" s="12"/>
      <c r="G734" s="12"/>
      <c r="H734" s="12"/>
      <c r="I734" s="12"/>
      <c r="J734" s="12"/>
      <c r="K734" s="12"/>
      <c r="L734" s="12"/>
      <c r="M734" s="12"/>
      <c r="N734" s="12"/>
      <c r="O734" s="12"/>
      <c r="P734" s="12"/>
      <c r="Q734" s="12"/>
      <c r="R734" s="27"/>
      <c r="S734" s="27"/>
      <c r="T734" s="27"/>
      <c r="U734" s="27"/>
      <c r="V734" s="12"/>
      <c r="W734" s="12"/>
      <c r="X734" s="12"/>
      <c r="Y734" s="12"/>
      <c r="Z734" s="31"/>
      <c r="AA734" s="12"/>
      <c r="AB734" s="12"/>
      <c r="AC734" s="12"/>
      <c r="AD734" s="12"/>
      <c r="AE734" s="12"/>
      <c r="AF734" s="12"/>
      <c r="AG734" s="12"/>
      <c r="AH734" s="12"/>
    </row>
    <row r="735" spans="1:34" ht="12.75">
      <c r="A735" s="12"/>
      <c r="B735" s="12"/>
      <c r="C735" s="12"/>
      <c r="D735" s="12"/>
      <c r="E735" s="12"/>
      <c r="F735" s="12"/>
      <c r="G735" s="12"/>
      <c r="H735" s="12"/>
      <c r="I735" s="12"/>
      <c r="J735" s="12"/>
      <c r="K735" s="12"/>
      <c r="L735" s="12"/>
      <c r="M735" s="12"/>
      <c r="N735" s="12"/>
      <c r="O735" s="12"/>
      <c r="P735" s="12"/>
      <c r="Q735" s="12"/>
      <c r="R735" s="27"/>
      <c r="S735" s="27"/>
      <c r="T735" s="27"/>
      <c r="U735" s="27"/>
      <c r="V735" s="12"/>
      <c r="W735" s="12"/>
      <c r="X735" s="12"/>
      <c r="Y735" s="12"/>
      <c r="Z735" s="31"/>
      <c r="AA735" s="12"/>
      <c r="AB735" s="12"/>
      <c r="AC735" s="12"/>
      <c r="AD735" s="12"/>
      <c r="AE735" s="12"/>
      <c r="AF735" s="12"/>
      <c r="AG735" s="12"/>
      <c r="AH735" s="12"/>
    </row>
    <row r="736" spans="1:34" ht="12.75">
      <c r="A736" s="12"/>
      <c r="B736" s="12"/>
      <c r="C736" s="12"/>
      <c r="D736" s="12"/>
      <c r="E736" s="12"/>
      <c r="F736" s="12"/>
      <c r="G736" s="12"/>
      <c r="H736" s="12"/>
      <c r="I736" s="12"/>
      <c r="J736" s="12"/>
      <c r="K736" s="12"/>
      <c r="L736" s="12"/>
      <c r="M736" s="12"/>
      <c r="N736" s="12"/>
      <c r="O736" s="12"/>
      <c r="P736" s="12"/>
      <c r="Q736" s="12"/>
      <c r="R736" s="27"/>
      <c r="S736" s="27"/>
      <c r="T736" s="27"/>
      <c r="U736" s="27"/>
      <c r="V736" s="12"/>
      <c r="W736" s="12"/>
      <c r="X736" s="12"/>
      <c r="Y736" s="12"/>
      <c r="Z736" s="31"/>
      <c r="AA736" s="12"/>
      <c r="AB736" s="12"/>
      <c r="AC736" s="12"/>
      <c r="AD736" s="12"/>
      <c r="AE736" s="12"/>
      <c r="AF736" s="12"/>
      <c r="AG736" s="12"/>
      <c r="AH736" s="12"/>
    </row>
    <row r="737" spans="1:34" ht="12.75">
      <c r="A737" s="12"/>
      <c r="B737" s="12"/>
      <c r="C737" s="12"/>
      <c r="D737" s="12"/>
      <c r="E737" s="12"/>
      <c r="F737" s="12"/>
      <c r="G737" s="12"/>
      <c r="H737" s="12"/>
      <c r="I737" s="12"/>
      <c r="J737" s="12"/>
      <c r="K737" s="12"/>
      <c r="L737" s="12"/>
      <c r="M737" s="12"/>
      <c r="N737" s="12"/>
      <c r="O737" s="12"/>
      <c r="P737" s="12"/>
      <c r="Q737" s="12"/>
      <c r="R737" s="27"/>
      <c r="S737" s="27"/>
      <c r="T737" s="27"/>
      <c r="U737" s="27"/>
      <c r="V737" s="12"/>
      <c r="W737" s="12"/>
      <c r="X737" s="12"/>
      <c r="Y737" s="12"/>
      <c r="Z737" s="31"/>
      <c r="AA737" s="12"/>
      <c r="AB737" s="12"/>
      <c r="AC737" s="12"/>
      <c r="AD737" s="12"/>
      <c r="AE737" s="12"/>
      <c r="AF737" s="12"/>
      <c r="AG737" s="12"/>
      <c r="AH737" s="12"/>
    </row>
    <row r="738" spans="1:34" ht="12.75">
      <c r="A738" s="12"/>
      <c r="B738" s="12"/>
      <c r="C738" s="12"/>
      <c r="D738" s="12"/>
      <c r="E738" s="12"/>
      <c r="F738" s="12"/>
      <c r="G738" s="12"/>
      <c r="H738" s="12"/>
      <c r="I738" s="12"/>
      <c r="J738" s="12"/>
      <c r="K738" s="12"/>
      <c r="L738" s="12"/>
      <c r="M738" s="12"/>
      <c r="N738" s="12"/>
      <c r="O738" s="12"/>
      <c r="P738" s="12"/>
      <c r="Q738" s="12"/>
      <c r="R738" s="27"/>
      <c r="S738" s="27"/>
      <c r="T738" s="27"/>
      <c r="U738" s="27"/>
      <c r="V738" s="12"/>
      <c r="W738" s="12"/>
      <c r="X738" s="12"/>
      <c r="Y738" s="12"/>
      <c r="Z738" s="31"/>
      <c r="AA738" s="12"/>
      <c r="AB738" s="12"/>
      <c r="AC738" s="12"/>
      <c r="AD738" s="12"/>
      <c r="AE738" s="12"/>
      <c r="AF738" s="12"/>
      <c r="AG738" s="12"/>
      <c r="AH738" s="12"/>
    </row>
    <row r="739" spans="1:34" ht="12.75">
      <c r="A739" s="12"/>
      <c r="B739" s="12"/>
      <c r="C739" s="12"/>
      <c r="D739" s="12"/>
      <c r="E739" s="12"/>
      <c r="F739" s="12"/>
      <c r="G739" s="12"/>
      <c r="H739" s="12"/>
      <c r="I739" s="12"/>
      <c r="J739" s="12"/>
      <c r="K739" s="12"/>
      <c r="L739" s="12"/>
      <c r="M739" s="12"/>
      <c r="N739" s="12"/>
      <c r="O739" s="12"/>
      <c r="P739" s="12"/>
      <c r="Q739" s="12"/>
      <c r="R739" s="27"/>
      <c r="S739" s="27"/>
      <c r="T739" s="27"/>
      <c r="U739" s="27"/>
      <c r="V739" s="12"/>
      <c r="W739" s="12"/>
      <c r="X739" s="12"/>
      <c r="Y739" s="12"/>
      <c r="Z739" s="31"/>
      <c r="AA739" s="12"/>
      <c r="AB739" s="12"/>
      <c r="AC739" s="12"/>
      <c r="AD739" s="12"/>
      <c r="AE739" s="12"/>
      <c r="AF739" s="12"/>
      <c r="AG739" s="12"/>
      <c r="AH739" s="12"/>
    </row>
    <row r="740" spans="1:34" ht="12.75">
      <c r="A740" s="12"/>
      <c r="B740" s="12"/>
      <c r="C740" s="12"/>
      <c r="D740" s="12"/>
      <c r="E740" s="12"/>
      <c r="F740" s="12"/>
      <c r="G740" s="12"/>
      <c r="H740" s="12"/>
      <c r="I740" s="12"/>
      <c r="J740" s="12"/>
      <c r="K740" s="12"/>
      <c r="L740" s="12"/>
      <c r="M740" s="12"/>
      <c r="N740" s="12"/>
      <c r="O740" s="12"/>
      <c r="P740" s="12"/>
      <c r="Q740" s="12"/>
      <c r="R740" s="27"/>
      <c r="S740" s="27"/>
      <c r="T740" s="27"/>
      <c r="U740" s="27"/>
      <c r="V740" s="12"/>
      <c r="W740" s="12"/>
      <c r="X740" s="12"/>
      <c r="Y740" s="12"/>
      <c r="Z740" s="31"/>
      <c r="AA740" s="12"/>
      <c r="AB740" s="12"/>
      <c r="AC740" s="12"/>
      <c r="AD740" s="12"/>
      <c r="AE740" s="12"/>
      <c r="AF740" s="12"/>
      <c r="AG740" s="12"/>
      <c r="AH740" s="12"/>
    </row>
    <row r="741" spans="1:34" ht="12.75">
      <c r="A741" s="12"/>
      <c r="B741" s="12"/>
      <c r="C741" s="12"/>
      <c r="D741" s="12"/>
      <c r="E741" s="12"/>
      <c r="F741" s="12"/>
      <c r="G741" s="12"/>
      <c r="H741" s="12"/>
      <c r="I741" s="12"/>
      <c r="J741" s="12"/>
      <c r="K741" s="12"/>
      <c r="L741" s="12"/>
      <c r="M741" s="12"/>
      <c r="N741" s="12"/>
      <c r="O741" s="12"/>
      <c r="P741" s="12"/>
      <c r="Q741" s="12"/>
      <c r="R741" s="27"/>
      <c r="S741" s="27"/>
      <c r="T741" s="27"/>
      <c r="U741" s="27"/>
      <c r="V741" s="12"/>
      <c r="W741" s="12"/>
      <c r="X741" s="12"/>
      <c r="Y741" s="12"/>
      <c r="Z741" s="31"/>
      <c r="AA741" s="12"/>
      <c r="AB741" s="12"/>
      <c r="AC741" s="12"/>
      <c r="AD741" s="12"/>
      <c r="AE741" s="12"/>
      <c r="AF741" s="12"/>
      <c r="AG741" s="12"/>
      <c r="AH741" s="12"/>
    </row>
    <row r="742" spans="1:34" ht="12.75">
      <c r="A742" s="12"/>
      <c r="B742" s="12"/>
      <c r="C742" s="12"/>
      <c r="D742" s="12"/>
      <c r="E742" s="12"/>
      <c r="F742" s="12"/>
      <c r="G742" s="12"/>
      <c r="H742" s="12"/>
      <c r="I742" s="12"/>
      <c r="J742" s="12"/>
      <c r="K742" s="12"/>
      <c r="L742" s="12"/>
      <c r="M742" s="12"/>
      <c r="N742" s="12"/>
      <c r="O742" s="12"/>
      <c r="P742" s="12"/>
      <c r="Q742" s="12"/>
      <c r="R742" s="27"/>
      <c r="S742" s="27"/>
      <c r="T742" s="27"/>
      <c r="U742" s="27"/>
      <c r="V742" s="12"/>
      <c r="W742" s="12"/>
      <c r="X742" s="12"/>
      <c r="Y742" s="12"/>
      <c r="Z742" s="31"/>
      <c r="AA742" s="12"/>
      <c r="AB742" s="12"/>
      <c r="AC742" s="12"/>
      <c r="AD742" s="12"/>
      <c r="AE742" s="12"/>
      <c r="AF742" s="12"/>
      <c r="AG742" s="12"/>
      <c r="AH742" s="12"/>
    </row>
    <row r="743" spans="1:34" ht="12.75">
      <c r="A743" s="12"/>
      <c r="B743" s="12"/>
      <c r="C743" s="12"/>
      <c r="D743" s="12"/>
      <c r="E743" s="12"/>
      <c r="F743" s="12"/>
      <c r="G743" s="12"/>
      <c r="H743" s="12"/>
      <c r="I743" s="12"/>
      <c r="J743" s="12"/>
      <c r="K743" s="12"/>
      <c r="L743" s="12"/>
      <c r="M743" s="12"/>
      <c r="N743" s="12"/>
      <c r="O743" s="12"/>
      <c r="P743" s="12"/>
      <c r="Q743" s="12"/>
      <c r="R743" s="27"/>
      <c r="S743" s="27"/>
      <c r="T743" s="27"/>
      <c r="U743" s="27"/>
      <c r="V743" s="12"/>
      <c r="W743" s="12"/>
      <c r="X743" s="12"/>
      <c r="Y743" s="12"/>
      <c r="Z743" s="31"/>
      <c r="AA743" s="12"/>
      <c r="AB743" s="12"/>
      <c r="AC743" s="12"/>
      <c r="AD743" s="12"/>
      <c r="AE743" s="12"/>
      <c r="AF743" s="12"/>
      <c r="AG743" s="12"/>
      <c r="AH743" s="12"/>
    </row>
    <row r="744" spans="1:34" ht="12.75">
      <c r="A744" s="12"/>
      <c r="B744" s="12"/>
      <c r="C744" s="12"/>
      <c r="D744" s="12"/>
      <c r="E744" s="12"/>
      <c r="F744" s="12"/>
      <c r="G744" s="12"/>
      <c r="H744" s="12"/>
      <c r="I744" s="12"/>
      <c r="J744" s="12"/>
      <c r="K744" s="12"/>
      <c r="L744" s="12"/>
      <c r="M744" s="12"/>
      <c r="N744" s="12"/>
      <c r="O744" s="12"/>
      <c r="P744" s="12"/>
      <c r="Q744" s="12"/>
      <c r="R744" s="27"/>
      <c r="S744" s="27"/>
      <c r="T744" s="27"/>
      <c r="U744" s="27"/>
      <c r="V744" s="12"/>
      <c r="W744" s="12"/>
      <c r="X744" s="12"/>
      <c r="Y744" s="12"/>
      <c r="Z744" s="31"/>
      <c r="AA744" s="12"/>
      <c r="AB744" s="12"/>
      <c r="AC744" s="12"/>
      <c r="AD744" s="12"/>
      <c r="AE744" s="12"/>
      <c r="AF744" s="12"/>
      <c r="AG744" s="12"/>
      <c r="AH744" s="12"/>
    </row>
    <row r="745" spans="1:34" ht="12.75">
      <c r="A745" s="12"/>
      <c r="B745" s="12"/>
      <c r="C745" s="12"/>
      <c r="D745" s="12"/>
      <c r="E745" s="12"/>
      <c r="F745" s="12"/>
      <c r="G745" s="12"/>
      <c r="H745" s="12"/>
      <c r="I745" s="12"/>
      <c r="J745" s="12"/>
      <c r="K745" s="12"/>
      <c r="L745" s="12"/>
      <c r="M745" s="12"/>
      <c r="N745" s="12"/>
      <c r="O745" s="12"/>
      <c r="P745" s="12"/>
      <c r="Q745" s="12"/>
      <c r="R745" s="27"/>
      <c r="S745" s="27"/>
      <c r="T745" s="27"/>
      <c r="U745" s="27"/>
      <c r="V745" s="12"/>
      <c r="W745" s="12"/>
      <c r="X745" s="12"/>
      <c r="Y745" s="12"/>
      <c r="Z745" s="31"/>
      <c r="AA745" s="12"/>
      <c r="AB745" s="12"/>
      <c r="AC745" s="12"/>
      <c r="AD745" s="12"/>
      <c r="AE745" s="12"/>
      <c r="AF745" s="12"/>
      <c r="AG745" s="12"/>
      <c r="AH745" s="12"/>
    </row>
    <row r="746" spans="1:34" ht="12.75">
      <c r="A746" s="12"/>
      <c r="B746" s="12"/>
      <c r="C746" s="12"/>
      <c r="D746" s="12"/>
      <c r="E746" s="12"/>
      <c r="F746" s="12"/>
      <c r="G746" s="12"/>
      <c r="H746" s="12"/>
      <c r="I746" s="12"/>
      <c r="J746" s="12"/>
      <c r="K746" s="12"/>
      <c r="L746" s="12"/>
      <c r="M746" s="12"/>
      <c r="N746" s="12"/>
      <c r="O746" s="12"/>
      <c r="P746" s="12"/>
      <c r="Q746" s="12"/>
      <c r="R746" s="27"/>
      <c r="S746" s="27"/>
      <c r="T746" s="27"/>
      <c r="U746" s="27"/>
      <c r="V746" s="12"/>
      <c r="W746" s="12"/>
      <c r="X746" s="12"/>
      <c r="Y746" s="12"/>
      <c r="Z746" s="31"/>
      <c r="AA746" s="12"/>
      <c r="AB746" s="12"/>
      <c r="AC746" s="12"/>
      <c r="AD746" s="12"/>
      <c r="AE746" s="12"/>
      <c r="AF746" s="12"/>
      <c r="AG746" s="12"/>
      <c r="AH746" s="12"/>
    </row>
    <row r="747" spans="1:34" ht="12.75">
      <c r="A747" s="12"/>
      <c r="B747" s="12"/>
      <c r="C747" s="12"/>
      <c r="D747" s="12"/>
      <c r="E747" s="12"/>
      <c r="F747" s="12"/>
      <c r="G747" s="12"/>
      <c r="H747" s="12"/>
      <c r="I747" s="12"/>
      <c r="J747" s="12"/>
      <c r="K747" s="12"/>
      <c r="L747" s="12"/>
      <c r="M747" s="12"/>
      <c r="N747" s="12"/>
      <c r="O747" s="12"/>
      <c r="P747" s="12"/>
      <c r="Q747" s="12"/>
      <c r="R747" s="27"/>
      <c r="S747" s="27"/>
      <c r="T747" s="27"/>
      <c r="U747" s="27"/>
      <c r="V747" s="12"/>
      <c r="W747" s="12"/>
      <c r="X747" s="12"/>
      <c r="Y747" s="12"/>
      <c r="Z747" s="31"/>
      <c r="AA747" s="12"/>
      <c r="AB747" s="12"/>
      <c r="AC747" s="12"/>
      <c r="AD747" s="12"/>
      <c r="AE747" s="12"/>
      <c r="AF747" s="12"/>
      <c r="AG747" s="12"/>
      <c r="AH747" s="12"/>
    </row>
    <row r="748" spans="1:34" ht="12.75">
      <c r="A748" s="12"/>
      <c r="B748" s="12"/>
      <c r="C748" s="12"/>
      <c r="D748" s="12"/>
      <c r="E748" s="12"/>
      <c r="F748" s="12"/>
      <c r="G748" s="12"/>
      <c r="H748" s="12"/>
      <c r="I748" s="12"/>
      <c r="J748" s="12"/>
      <c r="K748" s="12"/>
      <c r="L748" s="12"/>
      <c r="M748" s="12"/>
      <c r="N748" s="12"/>
      <c r="O748" s="12"/>
      <c r="P748" s="12"/>
      <c r="Q748" s="12"/>
      <c r="R748" s="27"/>
      <c r="S748" s="27"/>
      <c r="T748" s="27"/>
      <c r="U748" s="27"/>
      <c r="V748" s="12"/>
      <c r="W748" s="12"/>
      <c r="X748" s="12"/>
      <c r="Y748" s="12"/>
      <c r="Z748" s="31"/>
      <c r="AA748" s="12"/>
      <c r="AB748" s="12"/>
      <c r="AC748" s="12"/>
      <c r="AD748" s="12"/>
      <c r="AE748" s="12"/>
      <c r="AF748" s="12"/>
      <c r="AG748" s="12"/>
      <c r="AH748" s="12"/>
    </row>
    <row r="749" spans="1:34" ht="12.75">
      <c r="A749" s="12"/>
      <c r="B749" s="12"/>
      <c r="C749" s="12"/>
      <c r="D749" s="12"/>
      <c r="E749" s="12"/>
      <c r="F749" s="12"/>
      <c r="G749" s="12"/>
      <c r="H749" s="12"/>
      <c r="I749" s="12"/>
      <c r="J749" s="12"/>
      <c r="K749" s="12"/>
      <c r="L749" s="12"/>
      <c r="M749" s="12"/>
      <c r="N749" s="12"/>
      <c r="O749" s="12"/>
      <c r="P749" s="12"/>
      <c r="Q749" s="12"/>
      <c r="R749" s="27"/>
      <c r="S749" s="27"/>
      <c r="T749" s="27"/>
      <c r="U749" s="27"/>
      <c r="V749" s="12"/>
      <c r="W749" s="12"/>
      <c r="X749" s="12"/>
      <c r="Y749" s="12"/>
      <c r="Z749" s="31"/>
      <c r="AA749" s="12"/>
      <c r="AB749" s="12"/>
      <c r="AC749" s="12"/>
      <c r="AD749" s="12"/>
      <c r="AE749" s="12"/>
      <c r="AF749" s="12"/>
      <c r="AG749" s="12"/>
      <c r="AH749" s="12"/>
    </row>
    <row r="750" spans="1:34" ht="12.75">
      <c r="A750" s="12"/>
      <c r="B750" s="12"/>
      <c r="C750" s="12"/>
      <c r="D750" s="12"/>
      <c r="E750" s="12"/>
      <c r="F750" s="12"/>
      <c r="G750" s="12"/>
      <c r="H750" s="12"/>
      <c r="I750" s="12"/>
      <c r="J750" s="12"/>
      <c r="K750" s="12"/>
      <c r="L750" s="12"/>
      <c r="M750" s="12"/>
      <c r="N750" s="12"/>
      <c r="O750" s="12"/>
      <c r="P750" s="12"/>
      <c r="Q750" s="12"/>
      <c r="R750" s="27"/>
      <c r="S750" s="27"/>
      <c r="T750" s="27"/>
      <c r="U750" s="27"/>
      <c r="V750" s="12"/>
      <c r="W750" s="12"/>
      <c r="X750" s="12"/>
      <c r="Y750" s="12"/>
      <c r="Z750" s="31"/>
      <c r="AA750" s="12"/>
      <c r="AB750" s="12"/>
      <c r="AC750" s="12"/>
      <c r="AD750" s="12"/>
      <c r="AE750" s="12"/>
      <c r="AF750" s="12"/>
      <c r="AG750" s="12"/>
      <c r="AH750" s="12"/>
    </row>
    <row r="751" spans="1:34" ht="12.75">
      <c r="A751" s="12"/>
      <c r="B751" s="12"/>
      <c r="C751" s="12"/>
      <c r="D751" s="12"/>
      <c r="E751" s="12"/>
      <c r="F751" s="12"/>
      <c r="G751" s="12"/>
      <c r="H751" s="12"/>
      <c r="I751" s="12"/>
      <c r="J751" s="12"/>
      <c r="K751" s="12"/>
      <c r="L751" s="12"/>
      <c r="M751" s="12"/>
      <c r="N751" s="12"/>
      <c r="O751" s="12"/>
      <c r="P751" s="12"/>
      <c r="Q751" s="12"/>
      <c r="R751" s="27"/>
      <c r="S751" s="27"/>
      <c r="T751" s="27"/>
      <c r="U751" s="27"/>
      <c r="V751" s="12"/>
      <c r="W751" s="12"/>
      <c r="X751" s="12"/>
      <c r="Y751" s="12"/>
      <c r="Z751" s="31"/>
      <c r="AA751" s="12"/>
      <c r="AB751" s="12"/>
      <c r="AC751" s="12"/>
      <c r="AD751" s="12"/>
      <c r="AE751" s="12"/>
      <c r="AF751" s="12"/>
      <c r="AG751" s="12"/>
      <c r="AH751" s="12"/>
    </row>
    <row r="752" spans="1:34" ht="12.75">
      <c r="A752" s="12"/>
      <c r="B752" s="12"/>
      <c r="C752" s="12"/>
      <c r="D752" s="12"/>
      <c r="E752" s="12"/>
      <c r="F752" s="12"/>
      <c r="G752" s="12"/>
      <c r="H752" s="12"/>
      <c r="I752" s="12"/>
      <c r="J752" s="12"/>
      <c r="K752" s="12"/>
      <c r="L752" s="12"/>
      <c r="M752" s="12"/>
      <c r="N752" s="12"/>
      <c r="O752" s="12"/>
      <c r="P752" s="12"/>
      <c r="Q752" s="12"/>
      <c r="R752" s="27"/>
      <c r="S752" s="27"/>
      <c r="T752" s="27"/>
      <c r="U752" s="27"/>
      <c r="V752" s="12"/>
      <c r="W752" s="12"/>
      <c r="X752" s="12"/>
      <c r="Y752" s="12"/>
      <c r="Z752" s="31"/>
      <c r="AA752" s="12"/>
      <c r="AB752" s="12"/>
      <c r="AC752" s="12"/>
      <c r="AD752" s="12"/>
      <c r="AE752" s="12"/>
      <c r="AF752" s="12"/>
      <c r="AG752" s="12"/>
      <c r="AH752" s="12"/>
    </row>
    <row r="753" spans="1:34" ht="12.75">
      <c r="A753" s="12"/>
      <c r="B753" s="12"/>
      <c r="C753" s="12"/>
      <c r="D753" s="12"/>
      <c r="E753" s="12"/>
      <c r="F753" s="12"/>
      <c r="G753" s="12"/>
      <c r="H753" s="12"/>
      <c r="I753" s="12"/>
      <c r="J753" s="12"/>
      <c r="K753" s="12"/>
      <c r="L753" s="12"/>
      <c r="M753" s="12"/>
      <c r="N753" s="12"/>
      <c r="O753" s="12"/>
      <c r="P753" s="12"/>
      <c r="Q753" s="12"/>
      <c r="R753" s="27"/>
      <c r="S753" s="27"/>
      <c r="T753" s="27"/>
      <c r="U753" s="27"/>
      <c r="V753" s="12"/>
      <c r="W753" s="12"/>
      <c r="X753" s="12"/>
      <c r="Y753" s="12"/>
      <c r="Z753" s="31"/>
      <c r="AA753" s="12"/>
      <c r="AB753" s="12"/>
      <c r="AC753" s="12"/>
      <c r="AD753" s="12"/>
      <c r="AE753" s="12"/>
      <c r="AF753" s="12"/>
      <c r="AG753" s="12"/>
      <c r="AH753" s="12"/>
    </row>
    <row r="754" spans="1:34" ht="12.75">
      <c r="A754" s="12"/>
      <c r="B754" s="12"/>
      <c r="C754" s="12"/>
      <c r="D754" s="12"/>
      <c r="E754" s="12"/>
      <c r="F754" s="12"/>
      <c r="G754" s="12"/>
      <c r="H754" s="12"/>
      <c r="I754" s="12"/>
      <c r="J754" s="12"/>
      <c r="K754" s="12"/>
      <c r="L754" s="12"/>
      <c r="M754" s="12"/>
      <c r="N754" s="12"/>
      <c r="O754" s="12"/>
      <c r="P754" s="12"/>
      <c r="Q754" s="12"/>
      <c r="R754" s="27"/>
      <c r="S754" s="27"/>
      <c r="T754" s="27"/>
      <c r="U754" s="27"/>
      <c r="V754" s="12"/>
      <c r="W754" s="12"/>
      <c r="X754" s="12"/>
      <c r="Y754" s="12"/>
      <c r="Z754" s="31"/>
      <c r="AA754" s="12"/>
      <c r="AB754" s="12"/>
      <c r="AC754" s="12"/>
      <c r="AD754" s="12"/>
      <c r="AE754" s="12"/>
      <c r="AF754" s="12"/>
      <c r="AG754" s="12"/>
      <c r="AH754" s="12"/>
    </row>
    <row r="755" spans="1:34" ht="12.75">
      <c r="A755" s="12"/>
      <c r="B755" s="12"/>
      <c r="C755" s="12"/>
      <c r="D755" s="12"/>
      <c r="E755" s="12"/>
      <c r="F755" s="12"/>
      <c r="G755" s="12"/>
      <c r="H755" s="12"/>
      <c r="I755" s="12"/>
      <c r="J755" s="12"/>
      <c r="K755" s="12"/>
      <c r="L755" s="12"/>
      <c r="M755" s="12"/>
      <c r="N755" s="12"/>
      <c r="O755" s="12"/>
      <c r="P755" s="12"/>
      <c r="Q755" s="12"/>
      <c r="R755" s="27"/>
      <c r="S755" s="27"/>
      <c r="T755" s="27"/>
      <c r="U755" s="27"/>
      <c r="V755" s="12"/>
      <c r="W755" s="12"/>
      <c r="X755" s="12"/>
      <c r="Y755" s="12"/>
      <c r="Z755" s="31"/>
      <c r="AA755" s="12"/>
      <c r="AB755" s="12"/>
      <c r="AC755" s="12"/>
      <c r="AD755" s="12"/>
      <c r="AE755" s="12"/>
      <c r="AF755" s="12"/>
      <c r="AG755" s="12"/>
      <c r="AH755" s="12"/>
    </row>
    <row r="756" spans="1:34" ht="12.75">
      <c r="A756" s="12"/>
      <c r="B756" s="12"/>
      <c r="C756" s="12"/>
      <c r="D756" s="12"/>
      <c r="E756" s="12"/>
      <c r="F756" s="12"/>
      <c r="G756" s="12"/>
      <c r="H756" s="12"/>
      <c r="I756" s="12"/>
      <c r="J756" s="12"/>
      <c r="K756" s="12"/>
      <c r="L756" s="12"/>
      <c r="M756" s="12"/>
      <c r="N756" s="12"/>
      <c r="O756" s="12"/>
      <c r="P756" s="12"/>
      <c r="Q756" s="12"/>
      <c r="R756" s="27"/>
      <c r="S756" s="27"/>
      <c r="T756" s="27"/>
      <c r="U756" s="27"/>
      <c r="V756" s="12"/>
      <c r="W756" s="12"/>
      <c r="X756" s="12"/>
      <c r="Y756" s="12"/>
      <c r="Z756" s="31"/>
      <c r="AA756" s="12"/>
      <c r="AB756" s="12"/>
      <c r="AC756" s="12"/>
      <c r="AD756" s="12"/>
      <c r="AE756" s="12"/>
      <c r="AF756" s="12"/>
      <c r="AG756" s="12"/>
      <c r="AH756" s="12"/>
    </row>
    <row r="757" spans="1:34" ht="12.75">
      <c r="A757" s="12"/>
      <c r="B757" s="12"/>
      <c r="C757" s="12"/>
      <c r="D757" s="12"/>
      <c r="E757" s="12"/>
      <c r="F757" s="12"/>
      <c r="G757" s="12"/>
      <c r="H757" s="12"/>
      <c r="I757" s="12"/>
      <c r="J757" s="12"/>
      <c r="K757" s="12"/>
      <c r="L757" s="12"/>
      <c r="M757" s="12"/>
      <c r="N757" s="12"/>
      <c r="O757" s="12"/>
      <c r="P757" s="12"/>
      <c r="Q757" s="12"/>
      <c r="R757" s="27"/>
      <c r="S757" s="27"/>
      <c r="T757" s="27"/>
      <c r="U757" s="27"/>
      <c r="V757" s="12"/>
      <c r="W757" s="12"/>
      <c r="X757" s="12"/>
      <c r="Y757" s="12"/>
      <c r="Z757" s="31"/>
      <c r="AA757" s="12"/>
      <c r="AB757" s="12"/>
      <c r="AC757" s="12"/>
      <c r="AD757" s="12"/>
      <c r="AE757" s="12"/>
      <c r="AF757" s="12"/>
      <c r="AG757" s="12"/>
      <c r="AH757" s="12"/>
    </row>
    <row r="758" spans="1:34" ht="12.75">
      <c r="A758" s="12"/>
      <c r="B758" s="12"/>
      <c r="C758" s="12"/>
      <c r="D758" s="12"/>
      <c r="E758" s="12"/>
      <c r="F758" s="12"/>
      <c r="G758" s="12"/>
      <c r="H758" s="12"/>
      <c r="I758" s="12"/>
      <c r="J758" s="12"/>
      <c r="K758" s="12"/>
      <c r="L758" s="12"/>
      <c r="M758" s="12"/>
      <c r="N758" s="12"/>
      <c r="O758" s="12"/>
      <c r="P758" s="12"/>
      <c r="Q758" s="12"/>
      <c r="R758" s="27"/>
      <c r="S758" s="27"/>
      <c r="T758" s="27"/>
      <c r="U758" s="27"/>
      <c r="V758" s="12"/>
      <c r="W758" s="12"/>
      <c r="X758" s="12"/>
      <c r="Y758" s="12"/>
      <c r="Z758" s="31"/>
      <c r="AA758" s="12"/>
      <c r="AB758" s="12"/>
      <c r="AC758" s="12"/>
      <c r="AD758" s="12"/>
      <c r="AE758" s="12"/>
      <c r="AF758" s="12"/>
      <c r="AG758" s="12"/>
      <c r="AH758" s="12"/>
    </row>
    <row r="759" spans="1:34" ht="12.75">
      <c r="A759" s="12"/>
      <c r="B759" s="12"/>
      <c r="C759" s="12"/>
      <c r="D759" s="12"/>
      <c r="E759" s="12"/>
      <c r="F759" s="12"/>
      <c r="G759" s="12"/>
      <c r="H759" s="12"/>
      <c r="I759" s="12"/>
      <c r="J759" s="12"/>
      <c r="K759" s="12"/>
      <c r="L759" s="12"/>
      <c r="M759" s="12"/>
      <c r="N759" s="12"/>
      <c r="O759" s="12"/>
      <c r="P759" s="12"/>
      <c r="Q759" s="12"/>
      <c r="R759" s="27"/>
      <c r="S759" s="27"/>
      <c r="T759" s="27"/>
      <c r="U759" s="27"/>
      <c r="V759" s="12"/>
      <c r="W759" s="12"/>
      <c r="X759" s="12"/>
      <c r="Y759" s="12"/>
      <c r="Z759" s="31"/>
      <c r="AA759" s="12"/>
      <c r="AB759" s="12"/>
      <c r="AC759" s="12"/>
      <c r="AD759" s="12"/>
      <c r="AE759" s="12"/>
      <c r="AF759" s="12"/>
      <c r="AG759" s="12"/>
      <c r="AH759" s="12"/>
    </row>
    <row r="760" spans="1:34" ht="12.75">
      <c r="A760" s="12"/>
      <c r="B760" s="12"/>
      <c r="C760" s="12"/>
      <c r="D760" s="12"/>
      <c r="E760" s="12"/>
      <c r="F760" s="12"/>
      <c r="G760" s="12"/>
      <c r="H760" s="12"/>
      <c r="I760" s="12"/>
      <c r="J760" s="12"/>
      <c r="K760" s="12"/>
      <c r="L760" s="12"/>
      <c r="M760" s="12"/>
      <c r="N760" s="12"/>
      <c r="O760" s="12"/>
      <c r="P760" s="12"/>
      <c r="Q760" s="12"/>
      <c r="R760" s="27"/>
      <c r="S760" s="27"/>
      <c r="T760" s="27"/>
      <c r="U760" s="27"/>
      <c r="V760" s="12"/>
      <c r="W760" s="12"/>
      <c r="X760" s="12"/>
      <c r="Y760" s="12"/>
      <c r="Z760" s="31"/>
      <c r="AA760" s="12"/>
      <c r="AB760" s="12"/>
      <c r="AC760" s="12"/>
      <c r="AD760" s="12"/>
      <c r="AE760" s="12"/>
      <c r="AF760" s="12"/>
      <c r="AG760" s="12"/>
      <c r="AH760" s="12"/>
    </row>
    <row r="761" spans="1:34" ht="12.75">
      <c r="A761" s="12"/>
      <c r="B761" s="12"/>
      <c r="C761" s="12"/>
      <c r="D761" s="12"/>
      <c r="E761" s="12"/>
      <c r="F761" s="12"/>
      <c r="G761" s="12"/>
      <c r="H761" s="12"/>
      <c r="I761" s="12"/>
      <c r="J761" s="12"/>
      <c r="K761" s="12"/>
      <c r="L761" s="12"/>
      <c r="M761" s="12"/>
      <c r="N761" s="12"/>
      <c r="O761" s="12"/>
      <c r="P761" s="12"/>
      <c r="Q761" s="12"/>
      <c r="R761" s="27"/>
      <c r="S761" s="27"/>
      <c r="T761" s="27"/>
      <c r="U761" s="27"/>
      <c r="V761" s="12"/>
      <c r="W761" s="12"/>
      <c r="X761" s="12"/>
      <c r="Y761" s="12"/>
      <c r="Z761" s="31"/>
      <c r="AA761" s="12"/>
      <c r="AB761" s="12"/>
      <c r="AC761" s="12"/>
      <c r="AD761" s="12"/>
      <c r="AE761" s="12"/>
      <c r="AF761" s="12"/>
      <c r="AG761" s="12"/>
      <c r="AH761" s="12"/>
    </row>
    <row r="762" spans="1:34" ht="12.75">
      <c r="A762" s="12"/>
      <c r="B762" s="12"/>
      <c r="C762" s="12"/>
      <c r="D762" s="12"/>
      <c r="E762" s="12"/>
      <c r="F762" s="12"/>
      <c r="G762" s="12"/>
      <c r="H762" s="12"/>
      <c r="I762" s="12"/>
      <c r="J762" s="12"/>
      <c r="K762" s="12"/>
      <c r="L762" s="12"/>
      <c r="M762" s="12"/>
      <c r="N762" s="12"/>
      <c r="O762" s="12"/>
      <c r="P762" s="12"/>
      <c r="Q762" s="12"/>
      <c r="R762" s="27"/>
      <c r="S762" s="27"/>
      <c r="T762" s="27"/>
      <c r="U762" s="27"/>
      <c r="V762" s="12"/>
      <c r="W762" s="12"/>
      <c r="X762" s="12"/>
      <c r="Y762" s="12"/>
      <c r="Z762" s="31"/>
      <c r="AA762" s="12"/>
      <c r="AB762" s="12"/>
      <c r="AC762" s="12"/>
      <c r="AD762" s="12"/>
      <c r="AE762" s="12"/>
      <c r="AF762" s="12"/>
      <c r="AG762" s="12"/>
      <c r="AH762" s="12"/>
    </row>
    <row r="763" spans="1:34" ht="12.75">
      <c r="A763" s="12"/>
      <c r="B763" s="12"/>
      <c r="C763" s="12"/>
      <c r="D763" s="12"/>
      <c r="E763" s="12"/>
      <c r="F763" s="12"/>
      <c r="G763" s="12"/>
      <c r="H763" s="12"/>
      <c r="I763" s="12"/>
      <c r="J763" s="12"/>
      <c r="K763" s="12"/>
      <c r="L763" s="12"/>
      <c r="M763" s="12"/>
      <c r="N763" s="12"/>
      <c r="O763" s="12"/>
      <c r="P763" s="12"/>
      <c r="Q763" s="12"/>
      <c r="R763" s="27"/>
      <c r="S763" s="27"/>
      <c r="T763" s="27"/>
      <c r="U763" s="27"/>
      <c r="V763" s="12"/>
      <c r="W763" s="12"/>
      <c r="X763" s="12"/>
      <c r="Y763" s="12"/>
      <c r="Z763" s="31"/>
      <c r="AA763" s="12"/>
      <c r="AB763" s="12"/>
      <c r="AC763" s="12"/>
      <c r="AD763" s="12"/>
      <c r="AE763" s="12"/>
      <c r="AF763" s="12"/>
      <c r="AG763" s="12"/>
      <c r="AH763" s="12"/>
    </row>
    <row r="764" spans="1:34" ht="12.75">
      <c r="A764" s="12"/>
      <c r="B764" s="12"/>
      <c r="C764" s="12"/>
      <c r="D764" s="12"/>
      <c r="E764" s="12"/>
      <c r="F764" s="12"/>
      <c r="G764" s="12"/>
      <c r="H764" s="12"/>
      <c r="I764" s="12"/>
      <c r="J764" s="12"/>
      <c r="K764" s="12"/>
      <c r="L764" s="12"/>
      <c r="M764" s="12"/>
      <c r="N764" s="12"/>
      <c r="O764" s="12"/>
      <c r="P764" s="12"/>
      <c r="Q764" s="12"/>
      <c r="R764" s="27"/>
      <c r="S764" s="27"/>
      <c r="T764" s="27"/>
      <c r="U764" s="27"/>
      <c r="V764" s="12"/>
      <c r="W764" s="12"/>
      <c r="X764" s="12"/>
      <c r="Y764" s="12"/>
      <c r="Z764" s="31"/>
      <c r="AA764" s="12"/>
      <c r="AB764" s="12"/>
      <c r="AC764" s="12"/>
      <c r="AD764" s="12"/>
      <c r="AE764" s="12"/>
      <c r="AF764" s="12"/>
      <c r="AG764" s="12"/>
      <c r="AH764" s="12"/>
    </row>
    <row r="765" spans="1:34" ht="12.75">
      <c r="A765" s="12"/>
      <c r="B765" s="12"/>
      <c r="C765" s="12"/>
      <c r="D765" s="12"/>
      <c r="E765" s="12"/>
      <c r="F765" s="12"/>
      <c r="G765" s="12"/>
      <c r="H765" s="12"/>
      <c r="I765" s="12"/>
      <c r="J765" s="12"/>
      <c r="K765" s="12"/>
      <c r="L765" s="12"/>
      <c r="M765" s="12"/>
      <c r="N765" s="12"/>
      <c r="O765" s="12"/>
      <c r="P765" s="12"/>
      <c r="Q765" s="12"/>
      <c r="R765" s="27"/>
      <c r="S765" s="27"/>
      <c r="T765" s="27"/>
      <c r="U765" s="27"/>
      <c r="V765" s="12"/>
      <c r="W765" s="12"/>
      <c r="X765" s="12"/>
      <c r="Y765" s="12"/>
      <c r="Z765" s="31"/>
      <c r="AA765" s="12"/>
      <c r="AB765" s="12"/>
      <c r="AC765" s="12"/>
      <c r="AD765" s="12"/>
      <c r="AE765" s="12"/>
      <c r="AF765" s="12"/>
      <c r="AG765" s="12"/>
      <c r="AH765" s="12"/>
    </row>
    <row r="766" spans="1:34" ht="12.75">
      <c r="A766" s="12"/>
      <c r="B766" s="12"/>
      <c r="C766" s="12"/>
      <c r="D766" s="12"/>
      <c r="E766" s="12"/>
      <c r="F766" s="12"/>
      <c r="G766" s="12"/>
      <c r="H766" s="12"/>
      <c r="I766" s="12"/>
      <c r="J766" s="12"/>
      <c r="K766" s="12"/>
      <c r="L766" s="12"/>
      <c r="M766" s="12"/>
      <c r="N766" s="12"/>
      <c r="O766" s="12"/>
      <c r="P766" s="12"/>
      <c r="Q766" s="12"/>
      <c r="R766" s="27"/>
      <c r="S766" s="27"/>
      <c r="T766" s="27"/>
      <c r="U766" s="27"/>
      <c r="V766" s="12"/>
      <c r="W766" s="12"/>
      <c r="X766" s="12"/>
      <c r="Y766" s="12"/>
      <c r="Z766" s="31"/>
      <c r="AA766" s="12"/>
      <c r="AB766" s="12"/>
      <c r="AC766" s="12"/>
      <c r="AD766" s="12"/>
      <c r="AE766" s="12"/>
      <c r="AF766" s="12"/>
      <c r="AG766" s="12"/>
      <c r="AH766" s="12"/>
    </row>
    <row r="767" spans="1:34" ht="12.75">
      <c r="A767" s="12"/>
      <c r="B767" s="12"/>
      <c r="C767" s="12"/>
      <c r="D767" s="12"/>
      <c r="E767" s="12"/>
      <c r="F767" s="12"/>
      <c r="G767" s="12"/>
      <c r="H767" s="12"/>
      <c r="I767" s="12"/>
      <c r="J767" s="12"/>
      <c r="K767" s="12"/>
      <c r="L767" s="12"/>
      <c r="M767" s="12"/>
      <c r="N767" s="12"/>
      <c r="O767" s="12"/>
      <c r="P767" s="12"/>
      <c r="Q767" s="12"/>
      <c r="R767" s="27"/>
      <c r="S767" s="27"/>
      <c r="T767" s="27"/>
      <c r="U767" s="27"/>
      <c r="V767" s="12"/>
      <c r="W767" s="12"/>
      <c r="X767" s="12"/>
      <c r="Y767" s="12"/>
      <c r="Z767" s="31"/>
      <c r="AA767" s="12"/>
      <c r="AB767" s="12"/>
      <c r="AC767" s="12"/>
      <c r="AD767" s="12"/>
      <c r="AE767" s="12"/>
      <c r="AF767" s="12"/>
      <c r="AG767" s="12"/>
      <c r="AH767" s="12"/>
    </row>
    <row r="768" spans="1:34" ht="12.75">
      <c r="A768" s="12"/>
      <c r="B768" s="12"/>
      <c r="C768" s="12"/>
      <c r="D768" s="12"/>
      <c r="E768" s="12"/>
      <c r="F768" s="12"/>
      <c r="G768" s="12"/>
      <c r="H768" s="12"/>
      <c r="I768" s="12"/>
      <c r="J768" s="12"/>
      <c r="K768" s="12"/>
      <c r="L768" s="12"/>
      <c r="M768" s="12"/>
      <c r="N768" s="12"/>
      <c r="O768" s="12"/>
      <c r="P768" s="12"/>
      <c r="Q768" s="12"/>
      <c r="R768" s="27"/>
      <c r="S768" s="27"/>
      <c r="T768" s="27"/>
      <c r="U768" s="27"/>
      <c r="V768" s="12"/>
      <c r="W768" s="12"/>
      <c r="X768" s="12"/>
      <c r="Y768" s="12"/>
      <c r="Z768" s="31"/>
      <c r="AA768" s="12"/>
      <c r="AB768" s="12"/>
      <c r="AC768" s="12"/>
      <c r="AD768" s="12"/>
      <c r="AE768" s="12"/>
      <c r="AF768" s="12"/>
      <c r="AG768" s="12"/>
      <c r="AH768" s="12"/>
    </row>
    <row r="769" spans="1:34" ht="12.75">
      <c r="A769" s="12"/>
      <c r="B769" s="12"/>
      <c r="C769" s="12"/>
      <c r="D769" s="12"/>
      <c r="E769" s="12"/>
      <c r="F769" s="12"/>
      <c r="G769" s="12"/>
      <c r="H769" s="12"/>
      <c r="I769" s="12"/>
      <c r="J769" s="12"/>
      <c r="K769" s="12"/>
      <c r="L769" s="12"/>
      <c r="M769" s="12"/>
      <c r="N769" s="12"/>
      <c r="O769" s="12"/>
      <c r="P769" s="12"/>
      <c r="Q769" s="12"/>
      <c r="R769" s="27"/>
      <c r="S769" s="27"/>
      <c r="T769" s="27"/>
      <c r="U769" s="27"/>
      <c r="V769" s="12"/>
      <c r="W769" s="12"/>
      <c r="X769" s="12"/>
      <c r="Y769" s="12"/>
      <c r="Z769" s="31"/>
      <c r="AA769" s="12"/>
      <c r="AB769" s="12"/>
      <c r="AC769" s="12"/>
      <c r="AD769" s="12"/>
      <c r="AE769" s="12"/>
      <c r="AF769" s="12"/>
      <c r="AG769" s="12"/>
      <c r="AH769" s="12"/>
    </row>
    <row r="770" spans="1:34" ht="12.75">
      <c r="A770" s="12"/>
      <c r="B770" s="12"/>
      <c r="C770" s="12"/>
      <c r="D770" s="12"/>
      <c r="E770" s="12"/>
      <c r="F770" s="12"/>
      <c r="G770" s="12"/>
      <c r="H770" s="12"/>
      <c r="I770" s="12"/>
      <c r="J770" s="12"/>
      <c r="K770" s="12"/>
      <c r="L770" s="12"/>
      <c r="M770" s="12"/>
      <c r="N770" s="12"/>
      <c r="O770" s="12"/>
      <c r="P770" s="12"/>
      <c r="Q770" s="12"/>
      <c r="R770" s="27"/>
      <c r="S770" s="27"/>
      <c r="T770" s="27"/>
      <c r="U770" s="27"/>
      <c r="V770" s="12"/>
      <c r="W770" s="12"/>
      <c r="X770" s="12"/>
      <c r="Y770" s="12"/>
      <c r="Z770" s="31"/>
      <c r="AA770" s="12"/>
      <c r="AB770" s="12"/>
      <c r="AC770" s="12"/>
      <c r="AD770" s="12"/>
      <c r="AE770" s="12"/>
      <c r="AF770" s="12"/>
      <c r="AG770" s="12"/>
      <c r="AH770" s="12"/>
    </row>
    <row r="771" spans="1:34" ht="12.75">
      <c r="A771" s="12"/>
      <c r="B771" s="12"/>
      <c r="C771" s="12"/>
      <c r="D771" s="12"/>
      <c r="E771" s="12"/>
      <c r="F771" s="12"/>
      <c r="G771" s="12"/>
      <c r="H771" s="12"/>
      <c r="I771" s="12"/>
      <c r="J771" s="12"/>
      <c r="K771" s="12"/>
      <c r="L771" s="12"/>
      <c r="M771" s="12"/>
      <c r="N771" s="12"/>
      <c r="O771" s="12"/>
      <c r="P771" s="12"/>
      <c r="Q771" s="12"/>
      <c r="R771" s="27"/>
      <c r="S771" s="27"/>
      <c r="T771" s="27"/>
      <c r="U771" s="27"/>
      <c r="V771" s="12"/>
      <c r="W771" s="12"/>
      <c r="X771" s="12"/>
      <c r="Y771" s="12"/>
      <c r="Z771" s="31"/>
      <c r="AA771" s="12"/>
      <c r="AB771" s="12"/>
      <c r="AC771" s="12"/>
      <c r="AD771" s="12"/>
      <c r="AE771" s="12"/>
      <c r="AF771" s="12"/>
      <c r="AG771" s="12"/>
      <c r="AH771" s="12"/>
    </row>
    <row r="772" spans="1:34" ht="12.75">
      <c r="A772" s="12"/>
      <c r="B772" s="12"/>
      <c r="C772" s="12"/>
      <c r="D772" s="12"/>
      <c r="E772" s="12"/>
      <c r="F772" s="12"/>
      <c r="G772" s="12"/>
      <c r="H772" s="12"/>
      <c r="I772" s="12"/>
      <c r="J772" s="12"/>
      <c r="K772" s="12"/>
      <c r="L772" s="12"/>
      <c r="M772" s="12"/>
      <c r="N772" s="12"/>
      <c r="O772" s="12"/>
      <c r="P772" s="12"/>
      <c r="Q772" s="12"/>
      <c r="R772" s="27"/>
      <c r="S772" s="27"/>
      <c r="T772" s="27"/>
      <c r="U772" s="27"/>
      <c r="V772" s="12"/>
      <c r="W772" s="12"/>
      <c r="X772" s="12"/>
      <c r="Y772" s="12"/>
      <c r="Z772" s="31"/>
      <c r="AA772" s="12"/>
      <c r="AB772" s="12"/>
      <c r="AC772" s="12"/>
      <c r="AD772" s="12"/>
      <c r="AE772" s="12"/>
      <c r="AF772" s="12"/>
      <c r="AG772" s="12"/>
      <c r="AH772" s="12"/>
    </row>
    <row r="773" spans="1:34" ht="12.75">
      <c r="A773" s="12"/>
      <c r="B773" s="12"/>
      <c r="C773" s="12"/>
      <c r="D773" s="12"/>
      <c r="E773" s="12"/>
      <c r="F773" s="12"/>
      <c r="G773" s="12"/>
      <c r="H773" s="12"/>
      <c r="I773" s="12"/>
      <c r="J773" s="12"/>
      <c r="K773" s="12"/>
      <c r="L773" s="12"/>
      <c r="M773" s="12"/>
      <c r="N773" s="12"/>
      <c r="O773" s="12"/>
      <c r="P773" s="12"/>
      <c r="Q773" s="12"/>
      <c r="R773" s="27"/>
      <c r="S773" s="27"/>
      <c r="T773" s="27"/>
      <c r="U773" s="27"/>
      <c r="V773" s="12"/>
      <c r="W773" s="12"/>
      <c r="X773" s="12"/>
      <c r="Y773" s="12"/>
      <c r="Z773" s="31"/>
      <c r="AA773" s="12"/>
      <c r="AB773" s="12"/>
      <c r="AC773" s="12"/>
      <c r="AD773" s="12"/>
      <c r="AE773" s="12"/>
      <c r="AF773" s="12"/>
      <c r="AG773" s="12"/>
      <c r="AH773" s="12"/>
    </row>
    <row r="774" spans="1:34" ht="12.75">
      <c r="A774" s="12"/>
      <c r="B774" s="12"/>
      <c r="C774" s="12"/>
      <c r="D774" s="12"/>
      <c r="E774" s="12"/>
      <c r="F774" s="12"/>
      <c r="G774" s="12"/>
      <c r="H774" s="12"/>
      <c r="I774" s="12"/>
      <c r="J774" s="12"/>
      <c r="K774" s="12"/>
      <c r="L774" s="12"/>
      <c r="M774" s="12"/>
      <c r="N774" s="12"/>
      <c r="O774" s="12"/>
      <c r="P774" s="12"/>
      <c r="Q774" s="12"/>
      <c r="R774" s="27"/>
      <c r="S774" s="27"/>
      <c r="T774" s="27"/>
      <c r="U774" s="27"/>
      <c r="V774" s="12"/>
      <c r="W774" s="12"/>
      <c r="X774" s="12"/>
      <c r="Y774" s="12"/>
      <c r="Z774" s="31"/>
      <c r="AA774" s="12"/>
      <c r="AB774" s="12"/>
      <c r="AC774" s="12"/>
      <c r="AD774" s="12"/>
      <c r="AE774" s="12"/>
      <c r="AF774" s="12"/>
      <c r="AG774" s="12"/>
      <c r="AH774" s="12"/>
    </row>
    <row r="775" spans="1:34" ht="12.75">
      <c r="A775" s="12"/>
      <c r="B775" s="12"/>
      <c r="C775" s="12"/>
      <c r="D775" s="12"/>
      <c r="E775" s="12"/>
      <c r="F775" s="12"/>
      <c r="G775" s="12"/>
      <c r="H775" s="12"/>
      <c r="I775" s="12"/>
      <c r="J775" s="12"/>
      <c r="K775" s="12"/>
      <c r="L775" s="12"/>
      <c r="M775" s="12"/>
      <c r="N775" s="12"/>
      <c r="O775" s="12"/>
      <c r="P775" s="12"/>
      <c r="Q775" s="12"/>
      <c r="R775" s="27"/>
      <c r="S775" s="27"/>
      <c r="T775" s="27"/>
      <c r="U775" s="27"/>
      <c r="V775" s="12"/>
      <c r="W775" s="12"/>
      <c r="X775" s="12"/>
      <c r="Y775" s="12"/>
      <c r="Z775" s="31"/>
      <c r="AA775" s="12"/>
      <c r="AB775" s="12"/>
      <c r="AC775" s="12"/>
      <c r="AD775" s="12"/>
      <c r="AE775" s="12"/>
      <c r="AF775" s="12"/>
      <c r="AG775" s="12"/>
      <c r="AH775" s="12"/>
    </row>
    <row r="776" spans="1:34" ht="12.75">
      <c r="A776" s="12"/>
      <c r="B776" s="12"/>
      <c r="C776" s="12"/>
      <c r="D776" s="12"/>
      <c r="E776" s="12"/>
      <c r="F776" s="12"/>
      <c r="G776" s="12"/>
      <c r="H776" s="12"/>
      <c r="I776" s="12"/>
      <c r="J776" s="12"/>
      <c r="K776" s="12"/>
      <c r="L776" s="12"/>
      <c r="M776" s="12"/>
      <c r="N776" s="12"/>
      <c r="O776" s="12"/>
      <c r="P776" s="12"/>
      <c r="Q776" s="12"/>
      <c r="R776" s="27"/>
      <c r="S776" s="27"/>
      <c r="T776" s="27"/>
      <c r="U776" s="27"/>
      <c r="V776" s="12"/>
      <c r="W776" s="12"/>
      <c r="X776" s="12"/>
      <c r="Y776" s="12"/>
      <c r="Z776" s="31"/>
      <c r="AA776" s="12"/>
      <c r="AB776" s="12"/>
      <c r="AC776" s="12"/>
      <c r="AD776" s="12"/>
      <c r="AE776" s="12"/>
      <c r="AF776" s="12"/>
      <c r="AG776" s="12"/>
      <c r="AH776" s="12"/>
    </row>
    <row r="777" spans="1:34" ht="12.75">
      <c r="A777" s="12"/>
      <c r="B777" s="12"/>
      <c r="C777" s="12"/>
      <c r="D777" s="12"/>
      <c r="E777" s="12"/>
      <c r="F777" s="12"/>
      <c r="G777" s="12"/>
      <c r="H777" s="12"/>
      <c r="I777" s="12"/>
      <c r="J777" s="12"/>
      <c r="K777" s="12"/>
      <c r="L777" s="12"/>
      <c r="M777" s="12"/>
      <c r="N777" s="12"/>
      <c r="O777" s="12"/>
      <c r="P777" s="12"/>
      <c r="Q777" s="12"/>
      <c r="R777" s="27"/>
      <c r="S777" s="27"/>
      <c r="T777" s="27"/>
      <c r="U777" s="27"/>
      <c r="V777" s="12"/>
      <c r="W777" s="12"/>
      <c r="X777" s="12"/>
      <c r="Y777" s="12"/>
      <c r="Z777" s="31"/>
      <c r="AA777" s="12"/>
      <c r="AB777" s="12"/>
      <c r="AC777" s="12"/>
      <c r="AD777" s="12"/>
      <c r="AE777" s="12"/>
      <c r="AF777" s="12"/>
      <c r="AG777" s="12"/>
      <c r="AH777" s="12"/>
    </row>
    <row r="778" spans="1:34" ht="12.75">
      <c r="A778" s="12"/>
      <c r="B778" s="12"/>
      <c r="C778" s="12"/>
      <c r="D778" s="12"/>
      <c r="E778" s="12"/>
      <c r="F778" s="12"/>
      <c r="G778" s="12"/>
      <c r="H778" s="12"/>
      <c r="I778" s="12"/>
      <c r="J778" s="12"/>
      <c r="K778" s="12"/>
      <c r="L778" s="12"/>
      <c r="M778" s="12"/>
      <c r="N778" s="12"/>
      <c r="O778" s="12"/>
      <c r="P778" s="12"/>
      <c r="Q778" s="12"/>
      <c r="R778" s="27"/>
      <c r="S778" s="27"/>
      <c r="T778" s="27"/>
      <c r="U778" s="27"/>
      <c r="V778" s="12"/>
      <c r="W778" s="12"/>
      <c r="X778" s="12"/>
      <c r="Y778" s="12"/>
      <c r="Z778" s="31"/>
      <c r="AA778" s="12"/>
      <c r="AB778" s="12"/>
      <c r="AC778" s="12"/>
      <c r="AD778" s="12"/>
      <c r="AE778" s="12"/>
      <c r="AF778" s="12"/>
      <c r="AG778" s="12"/>
      <c r="AH778" s="12"/>
    </row>
    <row r="779" spans="1:34" ht="12.75">
      <c r="A779" s="12"/>
      <c r="B779" s="12"/>
      <c r="C779" s="12"/>
      <c r="D779" s="12"/>
      <c r="E779" s="12"/>
      <c r="F779" s="12"/>
      <c r="G779" s="12"/>
      <c r="H779" s="12"/>
      <c r="I779" s="12"/>
      <c r="J779" s="12"/>
      <c r="K779" s="12"/>
      <c r="L779" s="12"/>
      <c r="M779" s="12"/>
      <c r="N779" s="12"/>
      <c r="O779" s="12"/>
      <c r="P779" s="12"/>
      <c r="Q779" s="12"/>
      <c r="R779" s="27"/>
      <c r="S779" s="27"/>
      <c r="T779" s="27"/>
      <c r="U779" s="27"/>
      <c r="V779" s="12"/>
      <c r="W779" s="12"/>
      <c r="X779" s="12"/>
      <c r="Y779" s="12"/>
      <c r="Z779" s="31"/>
      <c r="AA779" s="12"/>
      <c r="AB779" s="12"/>
      <c r="AC779" s="12"/>
      <c r="AD779" s="12"/>
      <c r="AE779" s="12"/>
      <c r="AF779" s="12"/>
      <c r="AG779" s="12"/>
      <c r="AH779" s="12"/>
    </row>
    <row r="780" spans="1:34" ht="12.75">
      <c r="A780" s="12"/>
      <c r="B780" s="12"/>
      <c r="C780" s="12"/>
      <c r="D780" s="12"/>
      <c r="E780" s="12"/>
      <c r="F780" s="12"/>
      <c r="G780" s="12"/>
      <c r="H780" s="12"/>
      <c r="I780" s="12"/>
      <c r="J780" s="12"/>
      <c r="K780" s="12"/>
      <c r="L780" s="12"/>
      <c r="M780" s="12"/>
      <c r="N780" s="12"/>
      <c r="O780" s="12"/>
      <c r="P780" s="12"/>
      <c r="Q780" s="12"/>
      <c r="R780" s="27"/>
      <c r="S780" s="27"/>
      <c r="T780" s="27"/>
      <c r="U780" s="27"/>
      <c r="V780" s="12"/>
      <c r="W780" s="12"/>
      <c r="X780" s="12"/>
      <c r="Y780" s="12"/>
      <c r="Z780" s="31"/>
      <c r="AA780" s="12"/>
      <c r="AB780" s="12"/>
      <c r="AC780" s="12"/>
      <c r="AD780" s="12"/>
      <c r="AE780" s="12"/>
      <c r="AF780" s="12"/>
      <c r="AG780" s="12"/>
      <c r="AH780" s="12"/>
    </row>
    <row r="781" spans="1:34" ht="12.75">
      <c r="A781" s="12"/>
      <c r="B781" s="12"/>
      <c r="C781" s="12"/>
      <c r="D781" s="12"/>
      <c r="E781" s="12"/>
      <c r="F781" s="12"/>
      <c r="G781" s="12"/>
      <c r="H781" s="12"/>
      <c r="I781" s="12"/>
      <c r="J781" s="12"/>
      <c r="K781" s="12"/>
      <c r="L781" s="12"/>
      <c r="M781" s="12"/>
      <c r="N781" s="12"/>
      <c r="O781" s="12"/>
      <c r="P781" s="12"/>
      <c r="Q781" s="12"/>
      <c r="R781" s="27"/>
      <c r="S781" s="27"/>
      <c r="T781" s="27"/>
      <c r="U781" s="27"/>
      <c r="V781" s="12"/>
      <c r="W781" s="12"/>
      <c r="X781" s="12"/>
      <c r="Y781" s="12"/>
      <c r="Z781" s="31"/>
      <c r="AA781" s="12"/>
      <c r="AB781" s="12"/>
      <c r="AC781" s="12"/>
      <c r="AD781" s="12"/>
      <c r="AE781" s="12"/>
      <c r="AF781" s="12"/>
      <c r="AG781" s="12"/>
      <c r="AH781" s="12"/>
    </row>
    <row r="782" spans="1:34" ht="12.75">
      <c r="A782" s="12"/>
      <c r="B782" s="12"/>
      <c r="C782" s="12"/>
      <c r="D782" s="12"/>
      <c r="E782" s="12"/>
      <c r="F782" s="12"/>
      <c r="G782" s="12"/>
      <c r="H782" s="12"/>
      <c r="I782" s="12"/>
      <c r="J782" s="12"/>
      <c r="K782" s="12"/>
      <c r="L782" s="12"/>
      <c r="M782" s="12"/>
      <c r="N782" s="12"/>
      <c r="O782" s="12"/>
      <c r="P782" s="12"/>
      <c r="Q782" s="12"/>
      <c r="R782" s="27"/>
      <c r="S782" s="27"/>
      <c r="T782" s="27"/>
      <c r="U782" s="27"/>
      <c r="V782" s="12"/>
      <c r="W782" s="12"/>
      <c r="X782" s="12"/>
      <c r="Y782" s="12"/>
      <c r="Z782" s="31"/>
      <c r="AA782" s="12"/>
      <c r="AB782" s="12"/>
      <c r="AC782" s="12"/>
      <c r="AD782" s="12"/>
      <c r="AE782" s="12"/>
      <c r="AF782" s="12"/>
      <c r="AG782" s="12"/>
      <c r="AH782" s="12"/>
    </row>
    <row r="783" spans="1:34" ht="12.75">
      <c r="A783" s="12"/>
      <c r="B783" s="12"/>
      <c r="C783" s="12"/>
      <c r="D783" s="12"/>
      <c r="E783" s="12"/>
      <c r="F783" s="12"/>
      <c r="G783" s="12"/>
      <c r="H783" s="12"/>
      <c r="I783" s="12"/>
      <c r="J783" s="12"/>
      <c r="K783" s="12"/>
      <c r="L783" s="12"/>
      <c r="M783" s="12"/>
      <c r="N783" s="12"/>
      <c r="O783" s="12"/>
      <c r="P783" s="12"/>
      <c r="Q783" s="12"/>
      <c r="R783" s="27"/>
      <c r="S783" s="27"/>
      <c r="T783" s="27"/>
      <c r="U783" s="27"/>
      <c r="V783" s="12"/>
      <c r="W783" s="12"/>
      <c r="X783" s="12"/>
      <c r="Y783" s="12"/>
      <c r="Z783" s="31"/>
      <c r="AA783" s="12"/>
      <c r="AB783" s="12"/>
      <c r="AC783" s="12"/>
      <c r="AD783" s="12"/>
      <c r="AE783" s="12"/>
      <c r="AF783" s="12"/>
      <c r="AG783" s="12"/>
      <c r="AH783" s="12"/>
    </row>
    <row r="784" spans="1:34" ht="12.75">
      <c r="A784" s="12"/>
      <c r="B784" s="12"/>
      <c r="C784" s="12"/>
      <c r="D784" s="12"/>
      <c r="E784" s="12"/>
      <c r="F784" s="12"/>
      <c r="G784" s="12"/>
      <c r="H784" s="12"/>
      <c r="I784" s="12"/>
      <c r="J784" s="12"/>
      <c r="K784" s="12"/>
      <c r="L784" s="12"/>
      <c r="M784" s="12"/>
      <c r="N784" s="12"/>
      <c r="O784" s="12"/>
      <c r="P784" s="12"/>
      <c r="Q784" s="12"/>
      <c r="R784" s="27"/>
      <c r="S784" s="27"/>
      <c r="T784" s="27"/>
      <c r="U784" s="27"/>
      <c r="V784" s="12"/>
      <c r="W784" s="12"/>
      <c r="X784" s="12"/>
      <c r="Y784" s="12"/>
      <c r="Z784" s="31"/>
      <c r="AA784" s="12"/>
      <c r="AB784" s="12"/>
      <c r="AC784" s="12"/>
      <c r="AD784" s="12"/>
      <c r="AE784" s="12"/>
      <c r="AF784" s="12"/>
      <c r="AG784" s="12"/>
      <c r="AH784" s="12"/>
    </row>
    <row r="785" spans="1:34" ht="12.75">
      <c r="A785" s="12"/>
      <c r="B785" s="12"/>
      <c r="C785" s="12"/>
      <c r="D785" s="12"/>
      <c r="E785" s="12"/>
      <c r="F785" s="12"/>
      <c r="G785" s="12"/>
      <c r="H785" s="12"/>
      <c r="I785" s="12"/>
      <c r="J785" s="12"/>
      <c r="K785" s="12"/>
      <c r="L785" s="12"/>
      <c r="M785" s="12"/>
      <c r="N785" s="12"/>
      <c r="O785" s="12"/>
      <c r="P785" s="12"/>
      <c r="Q785" s="12"/>
      <c r="R785" s="27"/>
      <c r="S785" s="27"/>
      <c r="T785" s="27"/>
      <c r="U785" s="27"/>
      <c r="V785" s="12"/>
      <c r="W785" s="12"/>
      <c r="X785" s="12"/>
      <c r="Y785" s="12"/>
      <c r="Z785" s="31"/>
      <c r="AA785" s="12"/>
      <c r="AB785" s="12"/>
      <c r="AC785" s="12"/>
      <c r="AD785" s="12"/>
      <c r="AE785" s="12"/>
      <c r="AF785" s="12"/>
      <c r="AG785" s="12"/>
      <c r="AH785" s="12"/>
    </row>
    <row r="786" spans="1:34" ht="12.75">
      <c r="A786" s="12"/>
      <c r="B786" s="12"/>
      <c r="C786" s="12"/>
      <c r="D786" s="12"/>
      <c r="E786" s="12"/>
      <c r="F786" s="12"/>
      <c r="G786" s="12"/>
      <c r="H786" s="12"/>
      <c r="I786" s="12"/>
      <c r="J786" s="12"/>
      <c r="K786" s="12"/>
      <c r="L786" s="12"/>
      <c r="M786" s="12"/>
      <c r="N786" s="12"/>
      <c r="O786" s="12"/>
      <c r="P786" s="12"/>
      <c r="Q786" s="12"/>
      <c r="R786" s="27"/>
      <c r="S786" s="27"/>
      <c r="T786" s="27"/>
      <c r="U786" s="27"/>
      <c r="V786" s="12"/>
      <c r="W786" s="12"/>
      <c r="X786" s="12"/>
      <c r="Y786" s="12"/>
      <c r="Z786" s="31"/>
      <c r="AA786" s="12"/>
      <c r="AB786" s="12"/>
      <c r="AC786" s="12"/>
      <c r="AD786" s="12"/>
      <c r="AE786" s="12"/>
      <c r="AF786" s="12"/>
      <c r="AG786" s="12"/>
      <c r="AH786" s="12"/>
    </row>
    <row r="787" spans="1:34" ht="12.75">
      <c r="A787" s="12"/>
      <c r="B787" s="12"/>
      <c r="C787" s="12"/>
      <c r="D787" s="12"/>
      <c r="E787" s="12"/>
      <c r="F787" s="12"/>
      <c r="G787" s="12"/>
      <c r="H787" s="12"/>
      <c r="I787" s="12"/>
      <c r="J787" s="12"/>
      <c r="K787" s="12"/>
      <c r="L787" s="12"/>
      <c r="M787" s="12"/>
      <c r="N787" s="12"/>
      <c r="O787" s="12"/>
      <c r="P787" s="12"/>
      <c r="Q787" s="12"/>
      <c r="R787" s="27"/>
      <c r="S787" s="27"/>
      <c r="T787" s="27"/>
      <c r="U787" s="27"/>
      <c r="V787" s="12"/>
      <c r="W787" s="12"/>
      <c r="X787" s="12"/>
      <c r="Y787" s="12"/>
      <c r="Z787" s="31"/>
      <c r="AA787" s="12"/>
      <c r="AB787" s="12"/>
      <c r="AC787" s="12"/>
      <c r="AD787" s="12"/>
      <c r="AE787" s="12"/>
      <c r="AF787" s="12"/>
      <c r="AG787" s="12"/>
      <c r="AH787" s="12"/>
    </row>
    <row r="788" spans="1:34" ht="12.75">
      <c r="A788" s="12"/>
      <c r="B788" s="12"/>
      <c r="C788" s="12"/>
      <c r="D788" s="12"/>
      <c r="E788" s="12"/>
      <c r="F788" s="12"/>
      <c r="G788" s="12"/>
      <c r="H788" s="12"/>
      <c r="I788" s="12"/>
      <c r="J788" s="12"/>
      <c r="K788" s="12"/>
      <c r="L788" s="12"/>
      <c r="M788" s="12"/>
      <c r="N788" s="12"/>
      <c r="O788" s="12"/>
      <c r="P788" s="12"/>
      <c r="Q788" s="12"/>
      <c r="R788" s="27"/>
      <c r="S788" s="27"/>
      <c r="T788" s="27"/>
      <c r="U788" s="27"/>
      <c r="V788" s="12"/>
      <c r="W788" s="12"/>
      <c r="X788" s="12"/>
      <c r="Y788" s="12"/>
      <c r="Z788" s="31"/>
      <c r="AA788" s="12"/>
      <c r="AB788" s="12"/>
      <c r="AC788" s="12"/>
      <c r="AD788" s="12"/>
      <c r="AE788" s="12"/>
      <c r="AF788" s="12"/>
      <c r="AG788" s="12"/>
      <c r="AH788" s="12"/>
    </row>
    <row r="789" spans="1:34" ht="12.75">
      <c r="A789" s="12"/>
      <c r="B789" s="12"/>
      <c r="C789" s="12"/>
      <c r="D789" s="12"/>
      <c r="E789" s="12"/>
      <c r="F789" s="12"/>
      <c r="G789" s="12"/>
      <c r="H789" s="12"/>
      <c r="I789" s="12"/>
      <c r="J789" s="12"/>
      <c r="K789" s="12"/>
      <c r="L789" s="12"/>
      <c r="M789" s="12"/>
      <c r="N789" s="12"/>
      <c r="O789" s="12"/>
      <c r="P789" s="12"/>
      <c r="Q789" s="12"/>
      <c r="R789" s="27"/>
      <c r="S789" s="27"/>
      <c r="T789" s="27"/>
      <c r="U789" s="27"/>
      <c r="V789" s="12"/>
      <c r="W789" s="12"/>
      <c r="X789" s="12"/>
      <c r="Y789" s="12"/>
      <c r="Z789" s="31"/>
      <c r="AA789" s="12"/>
      <c r="AB789" s="12"/>
      <c r="AC789" s="12"/>
      <c r="AD789" s="12"/>
      <c r="AE789" s="12"/>
      <c r="AF789" s="12"/>
      <c r="AG789" s="12"/>
      <c r="AH789" s="12"/>
    </row>
    <row r="790" spans="1:34" ht="12.75">
      <c r="A790" s="12"/>
      <c r="B790" s="12"/>
      <c r="C790" s="12"/>
      <c r="D790" s="12"/>
      <c r="E790" s="12"/>
      <c r="F790" s="12"/>
      <c r="G790" s="12"/>
      <c r="H790" s="12"/>
      <c r="I790" s="12"/>
      <c r="J790" s="12"/>
      <c r="K790" s="12"/>
      <c r="L790" s="12"/>
      <c r="M790" s="12"/>
      <c r="N790" s="12"/>
      <c r="O790" s="12"/>
      <c r="P790" s="12"/>
      <c r="Q790" s="12"/>
      <c r="R790" s="27"/>
      <c r="S790" s="27"/>
      <c r="T790" s="27"/>
      <c r="U790" s="27"/>
      <c r="V790" s="12"/>
      <c r="W790" s="12"/>
      <c r="X790" s="12"/>
      <c r="Y790" s="12"/>
      <c r="Z790" s="31"/>
      <c r="AA790" s="12"/>
      <c r="AB790" s="12"/>
      <c r="AC790" s="12"/>
      <c r="AD790" s="12"/>
      <c r="AE790" s="12"/>
      <c r="AF790" s="12"/>
      <c r="AG790" s="12"/>
      <c r="AH790" s="12"/>
    </row>
    <row r="791" spans="1:34" ht="12.75">
      <c r="A791" s="12"/>
      <c r="B791" s="12"/>
      <c r="C791" s="12"/>
      <c r="D791" s="12"/>
      <c r="E791" s="12"/>
      <c r="F791" s="12"/>
      <c r="G791" s="12"/>
      <c r="H791" s="12"/>
      <c r="I791" s="12"/>
      <c r="J791" s="12"/>
      <c r="K791" s="12"/>
      <c r="L791" s="12"/>
      <c r="M791" s="12"/>
      <c r="N791" s="12"/>
      <c r="O791" s="12"/>
      <c r="P791" s="12"/>
      <c r="Q791" s="12"/>
      <c r="R791" s="27"/>
      <c r="S791" s="27"/>
      <c r="T791" s="27"/>
      <c r="U791" s="27"/>
      <c r="V791" s="12"/>
      <c r="W791" s="12"/>
      <c r="X791" s="12"/>
      <c r="Y791" s="12"/>
      <c r="Z791" s="31"/>
      <c r="AA791" s="12"/>
      <c r="AB791" s="12"/>
      <c r="AC791" s="12"/>
      <c r="AD791" s="12"/>
      <c r="AE791" s="12"/>
      <c r="AF791" s="12"/>
      <c r="AG791" s="12"/>
      <c r="AH791" s="12"/>
    </row>
    <row r="792" spans="1:34" ht="12.75">
      <c r="A792" s="12"/>
      <c r="B792" s="12"/>
      <c r="C792" s="12"/>
      <c r="D792" s="12"/>
      <c r="E792" s="12"/>
      <c r="F792" s="12"/>
      <c r="G792" s="12"/>
      <c r="H792" s="12"/>
      <c r="I792" s="12"/>
      <c r="J792" s="12"/>
      <c r="K792" s="12"/>
      <c r="L792" s="12"/>
      <c r="M792" s="12"/>
      <c r="N792" s="12"/>
      <c r="O792" s="12"/>
      <c r="P792" s="12"/>
      <c r="Q792" s="12"/>
      <c r="R792" s="27"/>
      <c r="S792" s="27"/>
      <c r="T792" s="27"/>
      <c r="U792" s="27"/>
      <c r="V792" s="12"/>
      <c r="W792" s="12"/>
      <c r="X792" s="12"/>
      <c r="Y792" s="12"/>
      <c r="Z792" s="31"/>
      <c r="AA792" s="12"/>
      <c r="AB792" s="12"/>
      <c r="AC792" s="12"/>
      <c r="AD792" s="12"/>
      <c r="AE792" s="12"/>
      <c r="AF792" s="12"/>
      <c r="AG792" s="12"/>
      <c r="AH792" s="12"/>
    </row>
    <row r="793" spans="1:34" ht="12.75">
      <c r="A793" s="12"/>
      <c r="B793" s="12"/>
      <c r="C793" s="12"/>
      <c r="D793" s="12"/>
      <c r="E793" s="12"/>
      <c r="F793" s="12"/>
      <c r="G793" s="12"/>
      <c r="H793" s="12"/>
      <c r="I793" s="12"/>
      <c r="J793" s="12"/>
      <c r="K793" s="12"/>
      <c r="L793" s="12"/>
      <c r="M793" s="12"/>
      <c r="N793" s="12"/>
      <c r="O793" s="12"/>
      <c r="P793" s="12"/>
      <c r="Q793" s="12"/>
      <c r="R793" s="27"/>
      <c r="S793" s="27"/>
      <c r="T793" s="27"/>
      <c r="U793" s="27"/>
      <c r="V793" s="12"/>
      <c r="W793" s="12"/>
      <c r="X793" s="12"/>
      <c r="Y793" s="12"/>
      <c r="Z793" s="31"/>
      <c r="AA793" s="12"/>
      <c r="AB793" s="12"/>
      <c r="AC793" s="12"/>
      <c r="AD793" s="12"/>
      <c r="AE793" s="12"/>
      <c r="AF793" s="12"/>
      <c r="AG793" s="12"/>
      <c r="AH793" s="12"/>
    </row>
    <row r="794" spans="1:34" ht="12.75">
      <c r="A794" s="12"/>
      <c r="B794" s="12"/>
      <c r="C794" s="12"/>
      <c r="D794" s="12"/>
      <c r="E794" s="12"/>
      <c r="F794" s="12"/>
      <c r="G794" s="12"/>
      <c r="H794" s="12"/>
      <c r="I794" s="12"/>
      <c r="J794" s="12"/>
      <c r="K794" s="12"/>
      <c r="L794" s="12"/>
      <c r="M794" s="12"/>
      <c r="N794" s="12"/>
      <c r="O794" s="12"/>
      <c r="P794" s="12"/>
      <c r="Q794" s="12"/>
      <c r="R794" s="27"/>
      <c r="S794" s="27"/>
      <c r="T794" s="27"/>
      <c r="U794" s="27"/>
      <c r="V794" s="12"/>
      <c r="W794" s="12"/>
      <c r="X794" s="12"/>
      <c r="Y794" s="12"/>
      <c r="Z794" s="31"/>
      <c r="AA794" s="12"/>
      <c r="AB794" s="12"/>
      <c r="AC794" s="12"/>
      <c r="AD794" s="12"/>
      <c r="AE794" s="12"/>
      <c r="AF794" s="12"/>
      <c r="AG794" s="12"/>
      <c r="AH794" s="12"/>
    </row>
    <row r="795" spans="1:34" ht="12.75">
      <c r="A795" s="12"/>
      <c r="B795" s="12"/>
      <c r="C795" s="12"/>
      <c r="D795" s="12"/>
      <c r="E795" s="12"/>
      <c r="F795" s="12"/>
      <c r="G795" s="12"/>
      <c r="H795" s="12"/>
      <c r="I795" s="12"/>
      <c r="J795" s="12"/>
      <c r="K795" s="12"/>
      <c r="L795" s="12"/>
      <c r="M795" s="12"/>
      <c r="N795" s="12"/>
      <c r="O795" s="12"/>
      <c r="P795" s="12"/>
      <c r="Q795" s="12"/>
      <c r="R795" s="27"/>
      <c r="S795" s="27"/>
      <c r="T795" s="27"/>
      <c r="U795" s="27"/>
      <c r="V795" s="12"/>
      <c r="W795" s="12"/>
      <c r="X795" s="12"/>
      <c r="Y795" s="12"/>
      <c r="Z795" s="31"/>
      <c r="AA795" s="12"/>
      <c r="AB795" s="12"/>
      <c r="AC795" s="12"/>
      <c r="AD795" s="12"/>
      <c r="AE795" s="12"/>
      <c r="AF795" s="12"/>
      <c r="AG795" s="12"/>
      <c r="AH795" s="12"/>
    </row>
    <row r="796" spans="1:34" ht="12.75">
      <c r="A796" s="12"/>
      <c r="B796" s="12"/>
      <c r="C796" s="12"/>
      <c r="D796" s="12"/>
      <c r="E796" s="12"/>
      <c r="F796" s="12"/>
      <c r="G796" s="12"/>
      <c r="H796" s="12"/>
      <c r="I796" s="12"/>
      <c r="J796" s="12"/>
      <c r="K796" s="12"/>
      <c r="L796" s="12"/>
      <c r="M796" s="12"/>
      <c r="N796" s="12"/>
      <c r="O796" s="12"/>
      <c r="P796" s="12"/>
      <c r="Q796" s="12"/>
      <c r="R796" s="27"/>
      <c r="S796" s="27"/>
      <c r="T796" s="27"/>
      <c r="U796" s="27"/>
      <c r="V796" s="12"/>
      <c r="W796" s="12"/>
      <c r="X796" s="12"/>
      <c r="Y796" s="12"/>
      <c r="Z796" s="31"/>
      <c r="AA796" s="12"/>
      <c r="AB796" s="12"/>
      <c r="AC796" s="12"/>
      <c r="AD796" s="12"/>
      <c r="AE796" s="12"/>
      <c r="AF796" s="12"/>
      <c r="AG796" s="12"/>
      <c r="AH796" s="12"/>
    </row>
    <row r="797" spans="1:34" ht="12.75">
      <c r="A797" s="12"/>
      <c r="B797" s="12"/>
      <c r="C797" s="12"/>
      <c r="D797" s="12"/>
      <c r="E797" s="12"/>
      <c r="F797" s="12"/>
      <c r="G797" s="12"/>
      <c r="H797" s="12"/>
      <c r="I797" s="12"/>
      <c r="J797" s="12"/>
      <c r="K797" s="12"/>
      <c r="L797" s="12"/>
      <c r="M797" s="12"/>
      <c r="N797" s="12"/>
      <c r="O797" s="12"/>
      <c r="P797" s="12"/>
      <c r="Q797" s="12"/>
      <c r="R797" s="27"/>
      <c r="S797" s="27"/>
      <c r="T797" s="27"/>
      <c r="U797" s="27"/>
      <c r="V797" s="12"/>
      <c r="W797" s="12"/>
      <c r="X797" s="12"/>
      <c r="Y797" s="12"/>
      <c r="Z797" s="31"/>
      <c r="AA797" s="12"/>
      <c r="AB797" s="12"/>
      <c r="AC797" s="12"/>
      <c r="AD797" s="12"/>
      <c r="AE797" s="12"/>
      <c r="AF797" s="12"/>
      <c r="AG797" s="12"/>
      <c r="AH797" s="12"/>
    </row>
    <row r="798" spans="1:34" ht="12.75">
      <c r="A798" s="12"/>
      <c r="B798" s="12"/>
      <c r="C798" s="12"/>
      <c r="D798" s="12"/>
      <c r="E798" s="12"/>
      <c r="F798" s="12"/>
      <c r="G798" s="12"/>
      <c r="H798" s="12"/>
      <c r="I798" s="12"/>
      <c r="J798" s="12"/>
      <c r="K798" s="12"/>
      <c r="L798" s="12"/>
      <c r="M798" s="12"/>
      <c r="N798" s="12"/>
      <c r="O798" s="12"/>
      <c r="P798" s="12"/>
      <c r="Q798" s="12"/>
      <c r="R798" s="27"/>
      <c r="S798" s="27"/>
      <c r="T798" s="27"/>
      <c r="U798" s="27"/>
      <c r="V798" s="12"/>
      <c r="W798" s="12"/>
      <c r="X798" s="12"/>
      <c r="Y798" s="12"/>
      <c r="Z798" s="31"/>
      <c r="AA798" s="12"/>
      <c r="AB798" s="12"/>
      <c r="AC798" s="12"/>
      <c r="AD798" s="12"/>
      <c r="AE798" s="12"/>
      <c r="AF798" s="12"/>
      <c r="AG798" s="12"/>
      <c r="AH798" s="12"/>
    </row>
    <row r="799" spans="1:34" ht="12.75">
      <c r="A799" s="12"/>
      <c r="B799" s="12"/>
      <c r="C799" s="12"/>
      <c r="D799" s="12"/>
      <c r="E799" s="12"/>
      <c r="F799" s="12"/>
      <c r="G799" s="12"/>
      <c r="H799" s="12"/>
      <c r="I799" s="12"/>
      <c r="J799" s="12"/>
      <c r="K799" s="12"/>
      <c r="L799" s="12"/>
      <c r="M799" s="12"/>
      <c r="N799" s="12"/>
      <c r="O799" s="12"/>
      <c r="P799" s="12"/>
      <c r="Q799" s="12"/>
      <c r="R799" s="27"/>
      <c r="S799" s="27"/>
      <c r="T799" s="27"/>
      <c r="U799" s="27"/>
      <c r="V799" s="12"/>
      <c r="W799" s="12"/>
      <c r="X799" s="12"/>
      <c r="Y799" s="12"/>
      <c r="Z799" s="31"/>
      <c r="AA799" s="12"/>
      <c r="AB799" s="12"/>
      <c r="AC799" s="12"/>
      <c r="AD799" s="12"/>
      <c r="AE799" s="12"/>
      <c r="AF799" s="12"/>
      <c r="AG799" s="12"/>
      <c r="AH799" s="12"/>
    </row>
    <row r="800" spans="1:34" ht="12.75">
      <c r="A800" s="12"/>
      <c r="B800" s="12"/>
      <c r="C800" s="12"/>
      <c r="D800" s="12"/>
      <c r="E800" s="12"/>
      <c r="F800" s="12"/>
      <c r="G800" s="12"/>
      <c r="H800" s="12"/>
      <c r="I800" s="12"/>
      <c r="J800" s="12"/>
      <c r="K800" s="12"/>
      <c r="L800" s="12"/>
      <c r="M800" s="12"/>
      <c r="N800" s="12"/>
      <c r="O800" s="12"/>
      <c r="P800" s="12"/>
      <c r="Q800" s="12"/>
      <c r="R800" s="27"/>
      <c r="S800" s="27"/>
      <c r="T800" s="27"/>
      <c r="U800" s="27"/>
      <c r="V800" s="12"/>
      <c r="W800" s="12"/>
      <c r="X800" s="12"/>
      <c r="Y800" s="12"/>
      <c r="Z800" s="31"/>
      <c r="AA800" s="12"/>
      <c r="AB800" s="12"/>
      <c r="AC800" s="12"/>
      <c r="AD800" s="12"/>
      <c r="AE800" s="12"/>
      <c r="AF800" s="12"/>
      <c r="AG800" s="12"/>
      <c r="AH800" s="12"/>
    </row>
    <row r="801" spans="1:34" ht="12.75">
      <c r="A801" s="12"/>
      <c r="B801" s="12"/>
      <c r="C801" s="12"/>
      <c r="D801" s="12"/>
      <c r="E801" s="12"/>
      <c r="F801" s="12"/>
      <c r="G801" s="12"/>
      <c r="H801" s="12"/>
      <c r="I801" s="12"/>
      <c r="J801" s="12"/>
      <c r="K801" s="12"/>
      <c r="L801" s="12"/>
      <c r="M801" s="12"/>
      <c r="N801" s="12"/>
      <c r="O801" s="12"/>
      <c r="P801" s="12"/>
      <c r="Q801" s="12"/>
      <c r="R801" s="27"/>
      <c r="S801" s="27"/>
      <c r="T801" s="27"/>
      <c r="U801" s="27"/>
      <c r="V801" s="12"/>
      <c r="W801" s="12"/>
      <c r="X801" s="12"/>
      <c r="Y801" s="12"/>
      <c r="Z801" s="31"/>
      <c r="AA801" s="12"/>
      <c r="AB801" s="12"/>
      <c r="AC801" s="12"/>
      <c r="AD801" s="12"/>
      <c r="AE801" s="12"/>
      <c r="AF801" s="12"/>
      <c r="AG801" s="12"/>
      <c r="AH801" s="12"/>
    </row>
    <row r="802" spans="1:34" ht="12.75">
      <c r="A802" s="12"/>
      <c r="B802" s="12"/>
      <c r="C802" s="12"/>
      <c r="D802" s="12"/>
      <c r="E802" s="12"/>
      <c r="F802" s="12"/>
      <c r="G802" s="12"/>
      <c r="H802" s="12"/>
      <c r="I802" s="12"/>
      <c r="J802" s="12"/>
      <c r="K802" s="12"/>
      <c r="L802" s="12"/>
      <c r="M802" s="12"/>
      <c r="N802" s="12"/>
      <c r="O802" s="12"/>
      <c r="P802" s="12"/>
      <c r="Q802" s="12"/>
      <c r="R802" s="27"/>
      <c r="S802" s="27"/>
      <c r="T802" s="27"/>
      <c r="U802" s="27"/>
      <c r="V802" s="12"/>
      <c r="W802" s="12"/>
      <c r="X802" s="12"/>
      <c r="Y802" s="12"/>
      <c r="Z802" s="31"/>
      <c r="AA802" s="12"/>
      <c r="AB802" s="12"/>
      <c r="AC802" s="12"/>
      <c r="AD802" s="12"/>
      <c r="AE802" s="12"/>
      <c r="AF802" s="12"/>
      <c r="AG802" s="12"/>
      <c r="AH802" s="12"/>
    </row>
    <row r="803" spans="1:34" ht="12.75">
      <c r="A803" s="12"/>
      <c r="B803" s="12"/>
      <c r="C803" s="12"/>
      <c r="D803" s="12"/>
      <c r="E803" s="12"/>
      <c r="F803" s="12"/>
      <c r="G803" s="12"/>
      <c r="H803" s="12"/>
      <c r="I803" s="12"/>
      <c r="J803" s="12"/>
      <c r="K803" s="12"/>
      <c r="L803" s="12"/>
      <c r="M803" s="12"/>
      <c r="N803" s="12"/>
      <c r="O803" s="12"/>
      <c r="P803" s="12"/>
      <c r="Q803" s="12"/>
      <c r="R803" s="27"/>
      <c r="S803" s="27"/>
      <c r="T803" s="27"/>
      <c r="U803" s="27"/>
      <c r="V803" s="12"/>
      <c r="W803" s="12"/>
      <c r="X803" s="12"/>
      <c r="Y803" s="12"/>
      <c r="Z803" s="31"/>
      <c r="AA803" s="12"/>
      <c r="AB803" s="12"/>
      <c r="AC803" s="12"/>
      <c r="AD803" s="12"/>
      <c r="AE803" s="12"/>
      <c r="AF803" s="12"/>
      <c r="AG803" s="12"/>
      <c r="AH803" s="12"/>
    </row>
    <row r="804" spans="1:34" ht="12.75">
      <c r="A804" s="12"/>
      <c r="B804" s="12"/>
      <c r="C804" s="12"/>
      <c r="D804" s="12"/>
      <c r="E804" s="12"/>
      <c r="F804" s="12"/>
      <c r="G804" s="12"/>
      <c r="H804" s="12"/>
      <c r="I804" s="12"/>
      <c r="J804" s="12"/>
      <c r="K804" s="12"/>
      <c r="L804" s="12"/>
      <c r="M804" s="12"/>
      <c r="N804" s="12"/>
      <c r="O804" s="12"/>
      <c r="P804" s="12"/>
      <c r="Q804" s="12"/>
      <c r="R804" s="27"/>
      <c r="S804" s="27"/>
      <c r="T804" s="27"/>
      <c r="U804" s="27"/>
      <c r="V804" s="12"/>
      <c r="W804" s="12"/>
      <c r="X804" s="12"/>
      <c r="Y804" s="12"/>
      <c r="Z804" s="31"/>
      <c r="AA804" s="12"/>
      <c r="AB804" s="12"/>
      <c r="AC804" s="12"/>
      <c r="AD804" s="12"/>
      <c r="AE804" s="12"/>
      <c r="AF804" s="12"/>
      <c r="AG804" s="12"/>
      <c r="AH804" s="12"/>
    </row>
    <row r="805" spans="1:34" ht="12.75">
      <c r="A805" s="12"/>
      <c r="B805" s="12"/>
      <c r="C805" s="12"/>
      <c r="D805" s="12"/>
      <c r="E805" s="12"/>
      <c r="F805" s="12"/>
      <c r="G805" s="12"/>
      <c r="H805" s="12"/>
      <c r="I805" s="12"/>
      <c r="J805" s="12"/>
      <c r="K805" s="12"/>
      <c r="L805" s="12"/>
      <c r="M805" s="12"/>
      <c r="N805" s="12"/>
      <c r="O805" s="12"/>
      <c r="P805" s="12"/>
      <c r="Q805" s="12"/>
      <c r="R805" s="27"/>
      <c r="S805" s="27"/>
      <c r="T805" s="27"/>
      <c r="U805" s="27"/>
      <c r="V805" s="12"/>
      <c r="W805" s="12"/>
      <c r="X805" s="12"/>
      <c r="Y805" s="12"/>
      <c r="Z805" s="31"/>
      <c r="AA805" s="12"/>
      <c r="AB805" s="12"/>
      <c r="AC805" s="12"/>
      <c r="AD805" s="12"/>
      <c r="AE805" s="12"/>
      <c r="AF805" s="12"/>
      <c r="AG805" s="12"/>
      <c r="AH805" s="12"/>
    </row>
    <row r="806" spans="1:34" ht="12.75">
      <c r="A806" s="12"/>
      <c r="B806" s="12"/>
      <c r="C806" s="12"/>
      <c r="D806" s="12"/>
      <c r="E806" s="12"/>
      <c r="F806" s="12"/>
      <c r="G806" s="12"/>
      <c r="H806" s="12"/>
      <c r="I806" s="12"/>
      <c r="J806" s="12"/>
      <c r="K806" s="12"/>
      <c r="L806" s="12"/>
      <c r="M806" s="12"/>
      <c r="N806" s="12"/>
      <c r="O806" s="12"/>
      <c r="P806" s="12"/>
      <c r="Q806" s="12"/>
      <c r="R806" s="27"/>
      <c r="S806" s="27"/>
      <c r="T806" s="27"/>
      <c r="U806" s="27"/>
      <c r="V806" s="12"/>
      <c r="W806" s="12"/>
      <c r="X806" s="12"/>
      <c r="Y806" s="12"/>
      <c r="Z806" s="31"/>
      <c r="AA806" s="12"/>
      <c r="AB806" s="12"/>
      <c r="AC806" s="12"/>
      <c r="AD806" s="12"/>
      <c r="AE806" s="12"/>
      <c r="AF806" s="12"/>
      <c r="AG806" s="12"/>
      <c r="AH806" s="12"/>
    </row>
    <row r="807" spans="1:34" ht="12.75">
      <c r="A807" s="12"/>
      <c r="B807" s="12"/>
      <c r="C807" s="12"/>
      <c r="D807" s="12"/>
      <c r="E807" s="12"/>
      <c r="F807" s="12"/>
      <c r="G807" s="12"/>
      <c r="H807" s="12"/>
      <c r="I807" s="12"/>
      <c r="J807" s="12"/>
      <c r="K807" s="12"/>
      <c r="L807" s="12"/>
      <c r="M807" s="12"/>
      <c r="N807" s="12"/>
      <c r="O807" s="12"/>
      <c r="P807" s="12"/>
      <c r="Q807" s="12"/>
      <c r="R807" s="27"/>
      <c r="S807" s="27"/>
      <c r="T807" s="27"/>
      <c r="U807" s="27"/>
      <c r="V807" s="12"/>
      <c r="W807" s="12"/>
      <c r="X807" s="12"/>
      <c r="Y807" s="12"/>
      <c r="Z807" s="31"/>
      <c r="AA807" s="12"/>
      <c r="AB807" s="12"/>
      <c r="AC807" s="12"/>
      <c r="AD807" s="12"/>
      <c r="AE807" s="12"/>
      <c r="AF807" s="12"/>
      <c r="AG807" s="12"/>
      <c r="AH807" s="12"/>
    </row>
    <row r="808" spans="1:34" ht="12.75">
      <c r="A808" s="12"/>
      <c r="B808" s="12"/>
      <c r="C808" s="12"/>
      <c r="D808" s="12"/>
      <c r="E808" s="12"/>
      <c r="F808" s="12"/>
      <c r="G808" s="12"/>
      <c r="H808" s="12"/>
      <c r="I808" s="12"/>
      <c r="J808" s="12"/>
      <c r="K808" s="12"/>
      <c r="L808" s="12"/>
      <c r="M808" s="12"/>
      <c r="N808" s="12"/>
      <c r="O808" s="12"/>
      <c r="P808" s="12"/>
      <c r="Q808" s="12"/>
      <c r="R808" s="27"/>
      <c r="S808" s="27"/>
      <c r="T808" s="27"/>
      <c r="U808" s="27"/>
      <c r="V808" s="12"/>
      <c r="W808" s="12"/>
      <c r="X808" s="12"/>
      <c r="Y808" s="12"/>
      <c r="Z808" s="31"/>
      <c r="AA808" s="12"/>
      <c r="AB808" s="12"/>
      <c r="AC808" s="12"/>
      <c r="AD808" s="12"/>
      <c r="AE808" s="12"/>
      <c r="AF808" s="12"/>
      <c r="AG808" s="12"/>
      <c r="AH808" s="12"/>
    </row>
    <row r="809" spans="1:34" ht="12.75">
      <c r="A809" s="12"/>
      <c r="B809" s="12"/>
      <c r="C809" s="12"/>
      <c r="D809" s="12"/>
      <c r="E809" s="12"/>
      <c r="F809" s="12"/>
      <c r="G809" s="12"/>
      <c r="H809" s="12"/>
      <c r="I809" s="12"/>
      <c r="J809" s="12"/>
      <c r="K809" s="12"/>
      <c r="L809" s="12"/>
      <c r="M809" s="12"/>
      <c r="N809" s="12"/>
      <c r="O809" s="12"/>
      <c r="P809" s="12"/>
      <c r="Q809" s="12"/>
      <c r="R809" s="27"/>
      <c r="S809" s="27"/>
      <c r="T809" s="27"/>
      <c r="U809" s="27"/>
      <c r="V809" s="12"/>
      <c r="W809" s="12"/>
      <c r="X809" s="12"/>
      <c r="Y809" s="12"/>
      <c r="Z809" s="31"/>
      <c r="AA809" s="12"/>
      <c r="AB809" s="12"/>
      <c r="AC809" s="12"/>
      <c r="AD809" s="12"/>
      <c r="AE809" s="12"/>
      <c r="AF809" s="12"/>
      <c r="AG809" s="12"/>
      <c r="AH809" s="12"/>
    </row>
    <row r="810" spans="1:34" ht="12.75">
      <c r="A810" s="12"/>
      <c r="B810" s="12"/>
      <c r="C810" s="12"/>
      <c r="D810" s="12"/>
      <c r="E810" s="12"/>
      <c r="F810" s="12"/>
      <c r="G810" s="12"/>
      <c r="H810" s="12"/>
      <c r="I810" s="12"/>
      <c r="J810" s="12"/>
      <c r="K810" s="12"/>
      <c r="L810" s="12"/>
      <c r="M810" s="12"/>
      <c r="N810" s="12"/>
      <c r="O810" s="12"/>
      <c r="P810" s="12"/>
      <c r="Q810" s="12"/>
      <c r="R810" s="27"/>
      <c r="S810" s="27"/>
      <c r="T810" s="27"/>
      <c r="U810" s="27"/>
      <c r="V810" s="12"/>
      <c r="W810" s="12"/>
      <c r="X810" s="12"/>
      <c r="Y810" s="12"/>
      <c r="Z810" s="31"/>
      <c r="AA810" s="12"/>
      <c r="AB810" s="12"/>
      <c r="AC810" s="12"/>
      <c r="AD810" s="12"/>
      <c r="AE810" s="12"/>
      <c r="AF810" s="12"/>
      <c r="AG810" s="12"/>
      <c r="AH810" s="12"/>
    </row>
    <row r="811" spans="1:34" ht="12.75">
      <c r="A811" s="12"/>
      <c r="B811" s="12"/>
      <c r="C811" s="12"/>
      <c r="D811" s="12"/>
      <c r="E811" s="12"/>
      <c r="F811" s="12"/>
      <c r="G811" s="12"/>
      <c r="H811" s="12"/>
      <c r="I811" s="12"/>
      <c r="J811" s="12"/>
      <c r="K811" s="12"/>
      <c r="L811" s="12"/>
      <c r="M811" s="12"/>
      <c r="N811" s="12"/>
      <c r="O811" s="12"/>
      <c r="P811" s="12"/>
      <c r="Q811" s="12"/>
      <c r="R811" s="27"/>
      <c r="S811" s="27"/>
      <c r="T811" s="27"/>
      <c r="U811" s="27"/>
      <c r="V811" s="12"/>
      <c r="W811" s="12"/>
      <c r="X811" s="12"/>
      <c r="Y811" s="12"/>
      <c r="Z811" s="31"/>
      <c r="AA811" s="12"/>
      <c r="AB811" s="12"/>
      <c r="AC811" s="12"/>
      <c r="AD811" s="12"/>
      <c r="AE811" s="12"/>
      <c r="AF811" s="12"/>
      <c r="AG811" s="12"/>
      <c r="AH811" s="12"/>
    </row>
    <row r="812" spans="1:34" ht="12.75">
      <c r="A812" s="12"/>
      <c r="B812" s="12"/>
      <c r="C812" s="12"/>
      <c r="D812" s="12"/>
      <c r="E812" s="12"/>
      <c r="F812" s="12"/>
      <c r="G812" s="12"/>
      <c r="H812" s="12"/>
      <c r="I812" s="12"/>
      <c r="J812" s="12"/>
      <c r="K812" s="12"/>
      <c r="L812" s="12"/>
      <c r="M812" s="12"/>
      <c r="N812" s="12"/>
      <c r="O812" s="12"/>
      <c r="P812" s="12"/>
      <c r="Q812" s="12"/>
      <c r="R812" s="27"/>
      <c r="S812" s="27"/>
      <c r="T812" s="27"/>
      <c r="U812" s="27"/>
      <c r="V812" s="12"/>
      <c r="W812" s="12"/>
      <c r="X812" s="12"/>
      <c r="Y812" s="12"/>
      <c r="Z812" s="31"/>
      <c r="AA812" s="12"/>
      <c r="AB812" s="12"/>
      <c r="AC812" s="12"/>
      <c r="AD812" s="12"/>
      <c r="AE812" s="12"/>
      <c r="AF812" s="12"/>
      <c r="AG812" s="12"/>
      <c r="AH812" s="12"/>
    </row>
    <row r="813" spans="1:34" ht="12.75">
      <c r="A813" s="12"/>
      <c r="B813" s="12"/>
      <c r="C813" s="12"/>
      <c r="D813" s="12"/>
      <c r="E813" s="12"/>
      <c r="F813" s="12"/>
      <c r="G813" s="12"/>
      <c r="H813" s="12"/>
      <c r="I813" s="12"/>
      <c r="J813" s="12"/>
      <c r="K813" s="12"/>
      <c r="L813" s="12"/>
      <c r="M813" s="12"/>
      <c r="N813" s="12"/>
      <c r="O813" s="12"/>
      <c r="P813" s="12"/>
      <c r="Q813" s="12"/>
      <c r="R813" s="27"/>
      <c r="S813" s="27"/>
      <c r="T813" s="27"/>
      <c r="U813" s="27"/>
      <c r="V813" s="12"/>
      <c r="W813" s="12"/>
      <c r="X813" s="12"/>
      <c r="Y813" s="12"/>
      <c r="Z813" s="31"/>
      <c r="AA813" s="12"/>
      <c r="AB813" s="12"/>
      <c r="AC813" s="12"/>
      <c r="AD813" s="12"/>
      <c r="AE813" s="12"/>
      <c r="AF813" s="12"/>
      <c r="AG813" s="12"/>
      <c r="AH813" s="12"/>
    </row>
    <row r="814" spans="1:34" ht="12.75">
      <c r="A814" s="12"/>
      <c r="B814" s="12"/>
      <c r="C814" s="12"/>
      <c r="D814" s="12"/>
      <c r="E814" s="12"/>
      <c r="F814" s="12"/>
      <c r="G814" s="12"/>
      <c r="H814" s="12"/>
      <c r="I814" s="12"/>
      <c r="J814" s="12"/>
      <c r="K814" s="12"/>
      <c r="L814" s="12"/>
      <c r="M814" s="12"/>
      <c r="N814" s="12"/>
      <c r="O814" s="12"/>
      <c r="P814" s="12"/>
      <c r="Q814" s="12"/>
      <c r="R814" s="27"/>
      <c r="S814" s="27"/>
      <c r="T814" s="27"/>
      <c r="U814" s="27"/>
      <c r="V814" s="12"/>
      <c r="W814" s="12"/>
      <c r="X814" s="12"/>
      <c r="Y814" s="12"/>
      <c r="Z814" s="31"/>
      <c r="AA814" s="12"/>
      <c r="AB814" s="12"/>
      <c r="AC814" s="12"/>
      <c r="AD814" s="12"/>
      <c r="AE814" s="12"/>
      <c r="AF814" s="12"/>
      <c r="AG814" s="12"/>
      <c r="AH814" s="12"/>
    </row>
    <row r="815" spans="1:34" ht="12.75">
      <c r="A815" s="12"/>
      <c r="B815" s="12"/>
      <c r="C815" s="12"/>
      <c r="D815" s="12"/>
      <c r="E815" s="12"/>
      <c r="F815" s="12"/>
      <c r="G815" s="12"/>
      <c r="H815" s="12"/>
      <c r="I815" s="12"/>
      <c r="J815" s="12"/>
      <c r="K815" s="12"/>
      <c r="L815" s="12"/>
      <c r="M815" s="12"/>
      <c r="N815" s="12"/>
      <c r="O815" s="12"/>
      <c r="P815" s="12"/>
      <c r="Q815" s="12"/>
      <c r="R815" s="27"/>
      <c r="S815" s="27"/>
      <c r="T815" s="27"/>
      <c r="U815" s="27"/>
      <c r="V815" s="12"/>
      <c r="W815" s="12"/>
      <c r="X815" s="12"/>
      <c r="Y815" s="12"/>
      <c r="Z815" s="31"/>
      <c r="AA815" s="12"/>
      <c r="AB815" s="12"/>
      <c r="AC815" s="12"/>
      <c r="AD815" s="12"/>
      <c r="AE815" s="12"/>
      <c r="AF815" s="12"/>
      <c r="AG815" s="12"/>
      <c r="AH815" s="12"/>
    </row>
    <row r="816" spans="1:34" ht="12.75">
      <c r="A816" s="12"/>
      <c r="B816" s="12"/>
      <c r="C816" s="12"/>
      <c r="D816" s="12"/>
      <c r="E816" s="12"/>
      <c r="F816" s="12"/>
      <c r="G816" s="12"/>
      <c r="H816" s="12"/>
      <c r="I816" s="12"/>
      <c r="J816" s="12"/>
      <c r="K816" s="12"/>
      <c r="L816" s="12"/>
      <c r="M816" s="12"/>
      <c r="N816" s="12"/>
      <c r="O816" s="12"/>
      <c r="P816" s="12"/>
      <c r="Q816" s="12"/>
      <c r="R816" s="27"/>
      <c r="S816" s="27"/>
      <c r="T816" s="27"/>
      <c r="U816" s="27"/>
      <c r="V816" s="12"/>
      <c r="W816" s="12"/>
      <c r="X816" s="12"/>
      <c r="Y816" s="12"/>
      <c r="Z816" s="31"/>
      <c r="AA816" s="12"/>
      <c r="AB816" s="12"/>
      <c r="AC816" s="12"/>
      <c r="AD816" s="12"/>
      <c r="AE816" s="12"/>
      <c r="AF816" s="12"/>
      <c r="AG816" s="12"/>
      <c r="AH816" s="12"/>
    </row>
    <row r="817" spans="1:34" ht="12.75">
      <c r="A817" s="12"/>
      <c r="B817" s="12"/>
      <c r="C817" s="12"/>
      <c r="D817" s="12"/>
      <c r="E817" s="12"/>
      <c r="F817" s="12"/>
      <c r="G817" s="12"/>
      <c r="H817" s="12"/>
      <c r="I817" s="12"/>
      <c r="J817" s="12"/>
      <c r="K817" s="12"/>
      <c r="L817" s="12"/>
      <c r="M817" s="12"/>
      <c r="N817" s="12"/>
      <c r="O817" s="12"/>
      <c r="P817" s="12"/>
      <c r="Q817" s="12"/>
      <c r="R817" s="27"/>
      <c r="S817" s="27"/>
      <c r="T817" s="27"/>
      <c r="U817" s="27"/>
      <c r="V817" s="12"/>
      <c r="W817" s="12"/>
      <c r="X817" s="12"/>
      <c r="Y817" s="12"/>
      <c r="Z817" s="31"/>
      <c r="AA817" s="12"/>
      <c r="AB817" s="12"/>
      <c r="AC817" s="12"/>
      <c r="AD817" s="12"/>
      <c r="AE817" s="12"/>
      <c r="AF817" s="12"/>
      <c r="AG817" s="12"/>
      <c r="AH817" s="12"/>
    </row>
    <row r="818" spans="1:34" ht="12.75">
      <c r="A818" s="12"/>
      <c r="B818" s="12"/>
      <c r="C818" s="12"/>
      <c r="D818" s="12"/>
      <c r="E818" s="12"/>
      <c r="F818" s="12"/>
      <c r="G818" s="12"/>
      <c r="H818" s="12"/>
      <c r="I818" s="12"/>
      <c r="J818" s="12"/>
      <c r="K818" s="12"/>
      <c r="L818" s="12"/>
      <c r="M818" s="12"/>
      <c r="N818" s="12"/>
      <c r="O818" s="12"/>
      <c r="P818" s="12"/>
      <c r="Q818" s="12"/>
      <c r="R818" s="27"/>
      <c r="S818" s="27"/>
      <c r="T818" s="27"/>
      <c r="U818" s="27"/>
      <c r="V818" s="12"/>
      <c r="W818" s="12"/>
      <c r="X818" s="12"/>
      <c r="Y818" s="12"/>
      <c r="Z818" s="31"/>
      <c r="AA818" s="12"/>
      <c r="AB818" s="12"/>
      <c r="AC818" s="12"/>
      <c r="AD818" s="12"/>
      <c r="AE818" s="12"/>
      <c r="AF818" s="12"/>
      <c r="AG818" s="12"/>
      <c r="AH818" s="12"/>
    </row>
    <row r="819" spans="1:34" ht="12.75">
      <c r="A819" s="12"/>
      <c r="B819" s="12"/>
      <c r="C819" s="12"/>
      <c r="D819" s="12"/>
      <c r="E819" s="12"/>
      <c r="F819" s="12"/>
      <c r="G819" s="12"/>
      <c r="H819" s="12"/>
      <c r="I819" s="12"/>
      <c r="J819" s="12"/>
      <c r="K819" s="12"/>
      <c r="L819" s="12"/>
      <c r="M819" s="12"/>
      <c r="N819" s="12"/>
      <c r="O819" s="12"/>
      <c r="P819" s="12"/>
      <c r="Q819" s="12"/>
      <c r="R819" s="27"/>
      <c r="S819" s="27"/>
      <c r="T819" s="27"/>
      <c r="U819" s="27"/>
      <c r="V819" s="12"/>
      <c r="W819" s="12"/>
      <c r="X819" s="12"/>
      <c r="Y819" s="12"/>
      <c r="Z819" s="31"/>
      <c r="AA819" s="12"/>
      <c r="AB819" s="12"/>
      <c r="AC819" s="12"/>
      <c r="AD819" s="12"/>
      <c r="AE819" s="12"/>
      <c r="AF819" s="12"/>
      <c r="AG819" s="12"/>
      <c r="AH819" s="12"/>
    </row>
    <row r="820" spans="1:34" ht="12.75">
      <c r="A820" s="12"/>
      <c r="B820" s="12"/>
      <c r="C820" s="12"/>
      <c r="D820" s="12"/>
      <c r="E820" s="12"/>
      <c r="F820" s="12"/>
      <c r="G820" s="12"/>
      <c r="H820" s="12"/>
      <c r="I820" s="12"/>
      <c r="J820" s="12"/>
      <c r="K820" s="12"/>
      <c r="L820" s="12"/>
      <c r="M820" s="12"/>
      <c r="N820" s="12"/>
      <c r="O820" s="12"/>
      <c r="P820" s="12"/>
      <c r="Q820" s="12"/>
      <c r="R820" s="27"/>
      <c r="S820" s="27"/>
      <c r="T820" s="27"/>
      <c r="U820" s="27"/>
      <c r="V820" s="12"/>
      <c r="W820" s="12"/>
      <c r="X820" s="12"/>
      <c r="Y820" s="12"/>
      <c r="Z820" s="31"/>
      <c r="AA820" s="12"/>
      <c r="AB820" s="12"/>
      <c r="AC820" s="12"/>
      <c r="AD820" s="12"/>
      <c r="AE820" s="12"/>
      <c r="AF820" s="12"/>
      <c r="AG820" s="12"/>
      <c r="AH820" s="12"/>
    </row>
    <row r="821" spans="1:34" ht="12.75">
      <c r="A821" s="12"/>
      <c r="B821" s="12"/>
      <c r="C821" s="12"/>
      <c r="D821" s="12"/>
      <c r="E821" s="12"/>
      <c r="F821" s="12"/>
      <c r="G821" s="12"/>
      <c r="H821" s="12"/>
      <c r="I821" s="12"/>
      <c r="J821" s="12"/>
      <c r="K821" s="12"/>
      <c r="L821" s="12"/>
      <c r="M821" s="12"/>
      <c r="N821" s="12"/>
      <c r="O821" s="12"/>
      <c r="P821" s="12"/>
      <c r="Q821" s="12"/>
      <c r="R821" s="27"/>
      <c r="S821" s="27"/>
      <c r="T821" s="27"/>
      <c r="U821" s="27"/>
      <c r="V821" s="12"/>
      <c r="W821" s="12"/>
      <c r="X821" s="12"/>
      <c r="Y821" s="12"/>
      <c r="Z821" s="31"/>
      <c r="AA821" s="12"/>
      <c r="AB821" s="12"/>
      <c r="AC821" s="12"/>
      <c r="AD821" s="12"/>
      <c r="AE821" s="12"/>
      <c r="AF821" s="12"/>
      <c r="AG821" s="12"/>
      <c r="AH821" s="12"/>
    </row>
    <row r="822" spans="1:34" ht="12.75">
      <c r="A822" s="12"/>
      <c r="B822" s="12"/>
      <c r="C822" s="12"/>
      <c r="D822" s="12"/>
      <c r="E822" s="12"/>
      <c r="F822" s="12"/>
      <c r="G822" s="12"/>
      <c r="H822" s="12"/>
      <c r="I822" s="12"/>
      <c r="J822" s="12"/>
      <c r="K822" s="12"/>
      <c r="L822" s="12"/>
      <c r="M822" s="12"/>
      <c r="N822" s="12"/>
      <c r="O822" s="12"/>
      <c r="P822" s="12"/>
      <c r="Q822" s="12"/>
      <c r="R822" s="27"/>
      <c r="S822" s="27"/>
      <c r="T822" s="27"/>
      <c r="U822" s="27"/>
      <c r="V822" s="12"/>
      <c r="W822" s="12"/>
      <c r="X822" s="12"/>
      <c r="Y822" s="12"/>
      <c r="Z822" s="31"/>
      <c r="AA822" s="12"/>
      <c r="AB822" s="12"/>
      <c r="AC822" s="12"/>
      <c r="AD822" s="12"/>
      <c r="AE822" s="12"/>
      <c r="AF822" s="12"/>
      <c r="AG822" s="12"/>
      <c r="AH822" s="12"/>
    </row>
    <row r="823" spans="1:34" ht="12.75">
      <c r="A823" s="12"/>
      <c r="B823" s="12"/>
      <c r="C823" s="12"/>
      <c r="D823" s="12"/>
      <c r="E823" s="12"/>
      <c r="F823" s="12"/>
      <c r="G823" s="12"/>
      <c r="H823" s="12"/>
      <c r="I823" s="12"/>
      <c r="J823" s="12"/>
      <c r="K823" s="12"/>
      <c r="L823" s="12"/>
      <c r="M823" s="12"/>
      <c r="N823" s="12"/>
      <c r="O823" s="12"/>
      <c r="P823" s="12"/>
      <c r="Q823" s="12"/>
      <c r="R823" s="27"/>
      <c r="S823" s="27"/>
      <c r="T823" s="27"/>
      <c r="U823" s="27"/>
      <c r="V823" s="12"/>
      <c r="W823" s="12"/>
      <c r="X823" s="12"/>
      <c r="Y823" s="12"/>
      <c r="Z823" s="31"/>
      <c r="AA823" s="12"/>
      <c r="AB823" s="12"/>
      <c r="AC823" s="12"/>
      <c r="AD823" s="12"/>
      <c r="AE823" s="12"/>
      <c r="AF823" s="12"/>
      <c r="AG823" s="12"/>
      <c r="AH823" s="12"/>
    </row>
    <row r="824" spans="1:34" ht="12.75">
      <c r="A824" s="12"/>
      <c r="B824" s="12"/>
      <c r="C824" s="12"/>
      <c r="D824" s="12"/>
      <c r="E824" s="12"/>
      <c r="F824" s="12"/>
      <c r="G824" s="12"/>
      <c r="H824" s="12"/>
      <c r="I824" s="12"/>
      <c r="J824" s="12"/>
      <c r="K824" s="12"/>
      <c r="L824" s="12"/>
      <c r="M824" s="12"/>
      <c r="N824" s="12"/>
      <c r="O824" s="12"/>
      <c r="P824" s="12"/>
      <c r="Q824" s="12"/>
      <c r="R824" s="27"/>
      <c r="S824" s="27"/>
      <c r="T824" s="27"/>
      <c r="U824" s="27"/>
      <c r="V824" s="12"/>
      <c r="W824" s="12"/>
      <c r="X824" s="12"/>
      <c r="Y824" s="12"/>
      <c r="Z824" s="31"/>
      <c r="AA824" s="12"/>
      <c r="AB824" s="12"/>
      <c r="AC824" s="12"/>
      <c r="AD824" s="12"/>
      <c r="AE824" s="12"/>
      <c r="AF824" s="12"/>
      <c r="AG824" s="12"/>
      <c r="AH824" s="12"/>
    </row>
    <row r="825" spans="1:34" ht="12.75">
      <c r="A825" s="12"/>
      <c r="B825" s="12"/>
      <c r="C825" s="12"/>
      <c r="D825" s="12"/>
      <c r="E825" s="12"/>
      <c r="F825" s="12"/>
      <c r="G825" s="12"/>
      <c r="H825" s="12"/>
      <c r="I825" s="12"/>
      <c r="J825" s="12"/>
      <c r="K825" s="12"/>
      <c r="L825" s="12"/>
      <c r="M825" s="12"/>
      <c r="N825" s="12"/>
      <c r="O825" s="12"/>
      <c r="P825" s="12"/>
      <c r="Q825" s="12"/>
      <c r="R825" s="27"/>
      <c r="S825" s="27"/>
      <c r="T825" s="27"/>
      <c r="U825" s="27"/>
      <c r="V825" s="12"/>
      <c r="W825" s="12"/>
      <c r="X825" s="12"/>
      <c r="Y825" s="12"/>
      <c r="Z825" s="31"/>
      <c r="AA825" s="12"/>
      <c r="AB825" s="12"/>
      <c r="AC825" s="12"/>
      <c r="AD825" s="12"/>
      <c r="AE825" s="12"/>
      <c r="AF825" s="12"/>
      <c r="AG825" s="12"/>
      <c r="AH825" s="12"/>
    </row>
    <row r="826" spans="1:34" ht="12.75">
      <c r="A826" s="12"/>
      <c r="B826" s="12"/>
      <c r="C826" s="12"/>
      <c r="D826" s="12"/>
      <c r="E826" s="12"/>
      <c r="F826" s="12"/>
      <c r="G826" s="12"/>
      <c r="H826" s="12"/>
      <c r="I826" s="12"/>
      <c r="J826" s="12"/>
      <c r="K826" s="12"/>
      <c r="L826" s="12"/>
      <c r="M826" s="12"/>
      <c r="N826" s="12"/>
      <c r="O826" s="12"/>
      <c r="P826" s="12"/>
      <c r="Q826" s="12"/>
      <c r="R826" s="27"/>
      <c r="S826" s="27"/>
      <c r="T826" s="27"/>
      <c r="U826" s="27"/>
      <c r="V826" s="12"/>
      <c r="W826" s="12"/>
      <c r="X826" s="12"/>
      <c r="Y826" s="12"/>
      <c r="Z826" s="31"/>
      <c r="AA826" s="12"/>
      <c r="AB826" s="12"/>
      <c r="AC826" s="12"/>
      <c r="AD826" s="12"/>
      <c r="AE826" s="12"/>
      <c r="AF826" s="12"/>
      <c r="AG826" s="12"/>
      <c r="AH826" s="12"/>
    </row>
    <row r="827" spans="1:34" ht="12.75">
      <c r="A827" s="12"/>
      <c r="B827" s="12"/>
      <c r="C827" s="12"/>
      <c r="D827" s="12"/>
      <c r="E827" s="12"/>
      <c r="F827" s="12"/>
      <c r="G827" s="12"/>
      <c r="H827" s="12"/>
      <c r="I827" s="12"/>
      <c r="J827" s="12"/>
      <c r="K827" s="12"/>
      <c r="L827" s="12"/>
      <c r="M827" s="12"/>
      <c r="N827" s="12"/>
      <c r="O827" s="12"/>
      <c r="P827" s="12"/>
      <c r="Q827" s="12"/>
      <c r="R827" s="27"/>
      <c r="S827" s="27"/>
      <c r="T827" s="27"/>
      <c r="U827" s="27"/>
      <c r="V827" s="12"/>
      <c r="W827" s="12"/>
      <c r="X827" s="12"/>
      <c r="Y827" s="12"/>
      <c r="Z827" s="31"/>
      <c r="AA827" s="12"/>
      <c r="AB827" s="12"/>
      <c r="AC827" s="12"/>
      <c r="AD827" s="12"/>
      <c r="AE827" s="12"/>
      <c r="AF827" s="12"/>
      <c r="AG827" s="12"/>
      <c r="AH827" s="12"/>
    </row>
    <row r="828" spans="1:34" ht="12.75">
      <c r="A828" s="12"/>
      <c r="B828" s="12"/>
      <c r="C828" s="12"/>
      <c r="D828" s="12"/>
      <c r="E828" s="12"/>
      <c r="F828" s="12"/>
      <c r="G828" s="12"/>
      <c r="H828" s="12"/>
      <c r="I828" s="12"/>
      <c r="J828" s="12"/>
      <c r="K828" s="12"/>
      <c r="L828" s="12"/>
      <c r="M828" s="12"/>
      <c r="N828" s="12"/>
      <c r="O828" s="12"/>
      <c r="P828" s="12"/>
      <c r="Q828" s="12"/>
      <c r="R828" s="27"/>
      <c r="S828" s="27"/>
      <c r="T828" s="27"/>
      <c r="U828" s="27"/>
      <c r="V828" s="12"/>
      <c r="W828" s="12"/>
      <c r="X828" s="12"/>
      <c r="Y828" s="12"/>
      <c r="Z828" s="31"/>
      <c r="AA828" s="12"/>
      <c r="AB828" s="12"/>
      <c r="AC828" s="12"/>
      <c r="AD828" s="12"/>
      <c r="AE828" s="12"/>
      <c r="AF828" s="12"/>
      <c r="AG828" s="12"/>
      <c r="AH828" s="12"/>
    </row>
    <row r="829" spans="1:34" ht="12.75">
      <c r="A829" s="12"/>
      <c r="B829" s="12"/>
      <c r="C829" s="12"/>
      <c r="D829" s="12"/>
      <c r="E829" s="12"/>
      <c r="F829" s="12"/>
      <c r="G829" s="12"/>
      <c r="H829" s="12"/>
      <c r="I829" s="12"/>
      <c r="J829" s="12"/>
      <c r="K829" s="12"/>
      <c r="L829" s="12"/>
      <c r="M829" s="12"/>
      <c r="N829" s="12"/>
      <c r="O829" s="12"/>
      <c r="P829" s="12"/>
      <c r="Q829" s="12"/>
      <c r="R829" s="27"/>
      <c r="S829" s="27"/>
      <c r="T829" s="27"/>
      <c r="U829" s="27"/>
      <c r="V829" s="12"/>
      <c r="W829" s="12"/>
      <c r="X829" s="12"/>
      <c r="Y829" s="12"/>
      <c r="Z829" s="31"/>
      <c r="AA829" s="12"/>
      <c r="AB829" s="12"/>
      <c r="AC829" s="12"/>
      <c r="AD829" s="12"/>
      <c r="AE829" s="12"/>
      <c r="AF829" s="12"/>
      <c r="AG829" s="12"/>
      <c r="AH829" s="12"/>
    </row>
    <row r="830" spans="1:34" ht="12.75">
      <c r="A830" s="12"/>
      <c r="B830" s="12"/>
      <c r="C830" s="12"/>
      <c r="D830" s="12"/>
      <c r="E830" s="12"/>
      <c r="F830" s="12"/>
      <c r="G830" s="12"/>
      <c r="H830" s="12"/>
      <c r="I830" s="12"/>
      <c r="J830" s="12"/>
      <c r="K830" s="12"/>
      <c r="L830" s="12"/>
      <c r="M830" s="12"/>
      <c r="N830" s="12"/>
      <c r="O830" s="12"/>
      <c r="P830" s="12"/>
      <c r="Q830" s="12"/>
      <c r="R830" s="27"/>
      <c r="S830" s="27"/>
      <c r="T830" s="27"/>
      <c r="U830" s="27"/>
      <c r="V830" s="12"/>
      <c r="W830" s="12"/>
      <c r="X830" s="12"/>
      <c r="Y830" s="12"/>
      <c r="Z830" s="31"/>
      <c r="AA830" s="12"/>
      <c r="AB830" s="12"/>
      <c r="AC830" s="12"/>
      <c r="AD830" s="12"/>
      <c r="AE830" s="12"/>
      <c r="AF830" s="12"/>
      <c r="AG830" s="12"/>
      <c r="AH830" s="12"/>
    </row>
    <row r="831" spans="1:34" ht="12.75">
      <c r="A831" s="12"/>
      <c r="B831" s="12"/>
      <c r="C831" s="12"/>
      <c r="D831" s="12"/>
      <c r="E831" s="12"/>
      <c r="F831" s="12"/>
      <c r="G831" s="12"/>
      <c r="H831" s="12"/>
      <c r="I831" s="12"/>
      <c r="J831" s="12"/>
      <c r="K831" s="12"/>
      <c r="L831" s="12"/>
      <c r="M831" s="12"/>
      <c r="N831" s="12"/>
      <c r="O831" s="12"/>
      <c r="P831" s="12"/>
      <c r="Q831" s="12"/>
      <c r="R831" s="27"/>
      <c r="S831" s="27"/>
      <c r="T831" s="27"/>
      <c r="U831" s="27"/>
      <c r="V831" s="12"/>
      <c r="W831" s="12"/>
      <c r="X831" s="12"/>
      <c r="Y831" s="12"/>
      <c r="Z831" s="31"/>
      <c r="AA831" s="12"/>
      <c r="AB831" s="12"/>
      <c r="AC831" s="12"/>
      <c r="AD831" s="12"/>
      <c r="AE831" s="12"/>
      <c r="AF831" s="12"/>
      <c r="AG831" s="12"/>
      <c r="AH831" s="12"/>
    </row>
    <row r="832" spans="1:34" ht="12.75">
      <c r="A832" s="12"/>
      <c r="B832" s="12"/>
      <c r="C832" s="12"/>
      <c r="D832" s="12"/>
      <c r="E832" s="12"/>
      <c r="F832" s="12"/>
      <c r="G832" s="12"/>
      <c r="H832" s="12"/>
      <c r="I832" s="12"/>
      <c r="J832" s="12"/>
      <c r="K832" s="12"/>
      <c r="L832" s="12"/>
      <c r="M832" s="12"/>
      <c r="N832" s="12"/>
      <c r="O832" s="12"/>
      <c r="P832" s="12"/>
      <c r="Q832" s="12"/>
      <c r="R832" s="27"/>
      <c r="S832" s="27"/>
      <c r="T832" s="27"/>
      <c r="U832" s="27"/>
      <c r="V832" s="12"/>
      <c r="W832" s="12"/>
      <c r="X832" s="12"/>
      <c r="Y832" s="12"/>
      <c r="Z832" s="31"/>
      <c r="AA832" s="12"/>
      <c r="AB832" s="12"/>
      <c r="AC832" s="12"/>
      <c r="AD832" s="12"/>
      <c r="AE832" s="12"/>
      <c r="AF832" s="12"/>
      <c r="AG832" s="12"/>
      <c r="AH832" s="12"/>
    </row>
    <row r="833" spans="1:34" ht="12.75">
      <c r="A833" s="12"/>
      <c r="B833" s="12"/>
      <c r="C833" s="12"/>
      <c r="D833" s="12"/>
      <c r="E833" s="12"/>
      <c r="F833" s="12"/>
      <c r="G833" s="12"/>
      <c r="H833" s="12"/>
      <c r="I833" s="12"/>
      <c r="J833" s="12"/>
      <c r="K833" s="12"/>
      <c r="L833" s="12"/>
      <c r="M833" s="12"/>
      <c r="N833" s="12"/>
      <c r="O833" s="12"/>
      <c r="P833" s="12"/>
      <c r="Q833" s="12"/>
      <c r="R833" s="27"/>
      <c r="S833" s="27"/>
      <c r="T833" s="27"/>
      <c r="U833" s="27"/>
      <c r="V833" s="12"/>
      <c r="W833" s="12"/>
      <c r="X833" s="12"/>
      <c r="Y833" s="12"/>
      <c r="Z833" s="31"/>
      <c r="AA833" s="12"/>
      <c r="AB833" s="12"/>
      <c r="AC833" s="12"/>
      <c r="AD833" s="12"/>
      <c r="AE833" s="12"/>
      <c r="AF833" s="12"/>
      <c r="AG833" s="12"/>
      <c r="AH833" s="12"/>
    </row>
    <row r="834" spans="1:34" ht="12.75">
      <c r="A834" s="12"/>
      <c r="B834" s="12"/>
      <c r="C834" s="12"/>
      <c r="D834" s="12"/>
      <c r="E834" s="12"/>
      <c r="F834" s="12"/>
      <c r="G834" s="12"/>
      <c r="H834" s="12"/>
      <c r="I834" s="12"/>
      <c r="J834" s="12"/>
      <c r="K834" s="12"/>
      <c r="L834" s="12"/>
      <c r="M834" s="12"/>
      <c r="N834" s="12"/>
      <c r="O834" s="12"/>
      <c r="P834" s="12"/>
      <c r="Q834" s="12"/>
      <c r="R834" s="27"/>
      <c r="S834" s="27"/>
      <c r="T834" s="27"/>
      <c r="U834" s="27"/>
      <c r="V834" s="12"/>
      <c r="W834" s="12"/>
      <c r="X834" s="12"/>
      <c r="Y834" s="12"/>
      <c r="Z834" s="31"/>
      <c r="AA834" s="12"/>
      <c r="AB834" s="12"/>
      <c r="AC834" s="12"/>
      <c r="AD834" s="12"/>
      <c r="AE834" s="12"/>
      <c r="AF834" s="12"/>
      <c r="AG834" s="12"/>
      <c r="AH834" s="12"/>
    </row>
    <row r="835" spans="1:34" ht="12.75">
      <c r="A835" s="12"/>
      <c r="B835" s="12"/>
      <c r="C835" s="12"/>
      <c r="D835" s="12"/>
      <c r="E835" s="12"/>
      <c r="F835" s="12"/>
      <c r="G835" s="12"/>
      <c r="H835" s="12"/>
      <c r="I835" s="12"/>
      <c r="J835" s="12"/>
      <c r="K835" s="12"/>
      <c r="L835" s="12"/>
      <c r="M835" s="12"/>
      <c r="N835" s="12"/>
      <c r="O835" s="12"/>
      <c r="P835" s="12"/>
      <c r="Q835" s="12"/>
      <c r="R835" s="27"/>
      <c r="S835" s="27"/>
      <c r="T835" s="27"/>
      <c r="U835" s="27"/>
      <c r="V835" s="12"/>
      <c r="W835" s="12"/>
      <c r="X835" s="12"/>
      <c r="Y835" s="12"/>
      <c r="Z835" s="31"/>
      <c r="AA835" s="12"/>
      <c r="AB835" s="12"/>
      <c r="AC835" s="12"/>
      <c r="AD835" s="12"/>
      <c r="AE835" s="12"/>
      <c r="AF835" s="12"/>
      <c r="AG835" s="12"/>
      <c r="AH835" s="12"/>
    </row>
    <row r="836" spans="1:34" ht="12.75">
      <c r="A836" s="12"/>
      <c r="B836" s="12"/>
      <c r="C836" s="12"/>
      <c r="D836" s="12"/>
      <c r="E836" s="12"/>
      <c r="F836" s="12"/>
      <c r="G836" s="12"/>
      <c r="H836" s="12"/>
      <c r="I836" s="12"/>
      <c r="J836" s="12"/>
      <c r="K836" s="12"/>
      <c r="L836" s="12"/>
      <c r="M836" s="12"/>
      <c r="N836" s="12"/>
      <c r="O836" s="12"/>
      <c r="P836" s="12"/>
      <c r="Q836" s="12"/>
      <c r="R836" s="27"/>
      <c r="S836" s="27"/>
      <c r="T836" s="27"/>
      <c r="U836" s="27"/>
      <c r="V836" s="12"/>
      <c r="W836" s="12"/>
      <c r="X836" s="12"/>
      <c r="Y836" s="12"/>
      <c r="Z836" s="31"/>
      <c r="AA836" s="12"/>
      <c r="AB836" s="12"/>
      <c r="AC836" s="12"/>
      <c r="AD836" s="12"/>
      <c r="AE836" s="12"/>
      <c r="AF836" s="12"/>
      <c r="AG836" s="12"/>
      <c r="AH836" s="12"/>
    </row>
    <row r="837" spans="1:34" ht="12.75">
      <c r="A837" s="12"/>
      <c r="B837" s="12"/>
      <c r="C837" s="12"/>
      <c r="D837" s="12"/>
      <c r="E837" s="12"/>
      <c r="F837" s="12"/>
      <c r="G837" s="12"/>
      <c r="H837" s="12"/>
      <c r="I837" s="12"/>
      <c r="J837" s="12"/>
      <c r="K837" s="12"/>
      <c r="L837" s="12"/>
      <c r="M837" s="12"/>
      <c r="N837" s="12"/>
      <c r="O837" s="12"/>
      <c r="P837" s="12"/>
      <c r="Q837" s="12"/>
      <c r="R837" s="27"/>
      <c r="S837" s="27"/>
      <c r="T837" s="27"/>
      <c r="U837" s="27"/>
      <c r="V837" s="12"/>
      <c r="W837" s="12"/>
      <c r="X837" s="12"/>
      <c r="Y837" s="12"/>
      <c r="Z837" s="31"/>
      <c r="AA837" s="12"/>
      <c r="AB837" s="12"/>
      <c r="AC837" s="12"/>
      <c r="AD837" s="12"/>
      <c r="AE837" s="12"/>
      <c r="AF837" s="12"/>
      <c r="AG837" s="12"/>
      <c r="AH837" s="12"/>
    </row>
    <row r="838" spans="1:34" ht="12.75">
      <c r="A838" s="12"/>
      <c r="B838" s="12"/>
      <c r="C838" s="12"/>
      <c r="D838" s="12"/>
      <c r="E838" s="12"/>
      <c r="F838" s="12"/>
      <c r="G838" s="12"/>
      <c r="H838" s="12"/>
      <c r="I838" s="12"/>
      <c r="J838" s="12"/>
      <c r="K838" s="12"/>
      <c r="L838" s="12"/>
      <c r="M838" s="12"/>
      <c r="N838" s="12"/>
      <c r="O838" s="12"/>
      <c r="P838" s="12"/>
      <c r="Q838" s="12"/>
      <c r="R838" s="27"/>
      <c r="S838" s="27"/>
      <c r="T838" s="27"/>
      <c r="U838" s="27"/>
      <c r="V838" s="12"/>
      <c r="W838" s="12"/>
      <c r="X838" s="12"/>
      <c r="Y838" s="12"/>
      <c r="Z838" s="31"/>
      <c r="AA838" s="12"/>
      <c r="AB838" s="12"/>
      <c r="AC838" s="12"/>
      <c r="AD838" s="12"/>
      <c r="AE838" s="12"/>
      <c r="AF838" s="12"/>
      <c r="AG838" s="12"/>
      <c r="AH838" s="12"/>
    </row>
    <row r="839" spans="1:34" ht="12.75">
      <c r="A839" s="12"/>
      <c r="B839" s="12"/>
      <c r="C839" s="12"/>
      <c r="D839" s="12"/>
      <c r="E839" s="12"/>
      <c r="F839" s="12"/>
      <c r="G839" s="12"/>
      <c r="H839" s="12"/>
      <c r="I839" s="12"/>
      <c r="J839" s="12"/>
      <c r="K839" s="12"/>
      <c r="L839" s="12"/>
      <c r="M839" s="12"/>
      <c r="N839" s="12"/>
      <c r="O839" s="12"/>
      <c r="P839" s="12"/>
      <c r="Q839" s="12"/>
      <c r="R839" s="27"/>
      <c r="S839" s="27"/>
      <c r="T839" s="27"/>
      <c r="U839" s="27"/>
      <c r="V839" s="12"/>
      <c r="W839" s="12"/>
      <c r="X839" s="12"/>
      <c r="Y839" s="12"/>
      <c r="Z839" s="31"/>
      <c r="AA839" s="12"/>
      <c r="AB839" s="12"/>
      <c r="AC839" s="12"/>
      <c r="AD839" s="12"/>
      <c r="AE839" s="12"/>
      <c r="AF839" s="12"/>
      <c r="AG839" s="12"/>
      <c r="AH839" s="12"/>
    </row>
    <row r="840" spans="1:34" ht="12.75">
      <c r="A840" s="12"/>
      <c r="B840" s="12"/>
      <c r="C840" s="12"/>
      <c r="D840" s="12"/>
      <c r="E840" s="12"/>
      <c r="F840" s="12"/>
      <c r="G840" s="12"/>
      <c r="H840" s="12"/>
      <c r="I840" s="12"/>
      <c r="J840" s="12"/>
      <c r="K840" s="12"/>
      <c r="L840" s="12"/>
      <c r="M840" s="12"/>
      <c r="N840" s="12"/>
      <c r="O840" s="12"/>
      <c r="P840" s="12"/>
      <c r="Q840" s="12"/>
      <c r="R840" s="27"/>
      <c r="S840" s="27"/>
      <c r="T840" s="27"/>
      <c r="U840" s="27"/>
      <c r="V840" s="12"/>
      <c r="W840" s="12"/>
      <c r="X840" s="12"/>
      <c r="Y840" s="12"/>
      <c r="Z840" s="31"/>
      <c r="AA840" s="12"/>
      <c r="AB840" s="12"/>
      <c r="AC840" s="12"/>
      <c r="AD840" s="12"/>
      <c r="AE840" s="12"/>
      <c r="AF840" s="12"/>
      <c r="AG840" s="12"/>
      <c r="AH840" s="12"/>
    </row>
    <row r="841" spans="1:34" ht="12.75">
      <c r="A841" s="12"/>
      <c r="B841" s="12"/>
      <c r="C841" s="12"/>
      <c r="D841" s="12"/>
      <c r="E841" s="12"/>
      <c r="F841" s="12"/>
      <c r="G841" s="12"/>
      <c r="H841" s="12"/>
      <c r="I841" s="12"/>
      <c r="J841" s="12"/>
      <c r="K841" s="12"/>
      <c r="L841" s="12"/>
      <c r="M841" s="12"/>
      <c r="N841" s="12"/>
      <c r="O841" s="12"/>
      <c r="P841" s="12"/>
      <c r="Q841" s="12"/>
      <c r="R841" s="27"/>
      <c r="S841" s="27"/>
      <c r="T841" s="27"/>
      <c r="U841" s="27"/>
      <c r="V841" s="12"/>
      <c r="W841" s="12"/>
      <c r="X841" s="12"/>
      <c r="Y841" s="12"/>
      <c r="Z841" s="31"/>
      <c r="AA841" s="12"/>
      <c r="AB841" s="12"/>
      <c r="AC841" s="12"/>
      <c r="AD841" s="12"/>
      <c r="AE841" s="12"/>
      <c r="AF841" s="12"/>
      <c r="AG841" s="12"/>
      <c r="AH841" s="12"/>
    </row>
    <row r="842" spans="1:34" ht="12.75">
      <c r="A842" s="12"/>
      <c r="B842" s="12"/>
      <c r="C842" s="12"/>
      <c r="D842" s="12"/>
      <c r="E842" s="12"/>
      <c r="F842" s="12"/>
      <c r="G842" s="12"/>
      <c r="H842" s="12"/>
      <c r="I842" s="12"/>
      <c r="J842" s="12"/>
      <c r="K842" s="12"/>
      <c r="L842" s="12"/>
      <c r="M842" s="12"/>
      <c r="N842" s="12"/>
      <c r="O842" s="12"/>
      <c r="P842" s="12"/>
      <c r="Q842" s="12"/>
      <c r="R842" s="27"/>
      <c r="S842" s="27"/>
      <c r="T842" s="27"/>
      <c r="U842" s="27"/>
      <c r="V842" s="12"/>
      <c r="W842" s="12"/>
      <c r="X842" s="12"/>
      <c r="Y842" s="12"/>
      <c r="Z842" s="31"/>
      <c r="AA842" s="12"/>
      <c r="AB842" s="12"/>
      <c r="AC842" s="12"/>
      <c r="AD842" s="12"/>
      <c r="AE842" s="12"/>
      <c r="AF842" s="12"/>
      <c r="AG842" s="12"/>
      <c r="AH842" s="12"/>
    </row>
    <row r="843" spans="1:34" ht="12.75">
      <c r="A843" s="12"/>
      <c r="B843" s="12"/>
      <c r="C843" s="12"/>
      <c r="D843" s="12"/>
      <c r="E843" s="12"/>
      <c r="F843" s="12"/>
      <c r="G843" s="12"/>
      <c r="H843" s="12"/>
      <c r="I843" s="12"/>
      <c r="J843" s="12"/>
      <c r="K843" s="12"/>
      <c r="L843" s="12"/>
      <c r="M843" s="12"/>
      <c r="N843" s="12"/>
      <c r="O843" s="12"/>
      <c r="P843" s="12"/>
      <c r="Q843" s="12"/>
      <c r="R843" s="27"/>
      <c r="S843" s="27"/>
      <c r="T843" s="27"/>
      <c r="U843" s="27"/>
      <c r="V843" s="12"/>
      <c r="W843" s="12"/>
      <c r="X843" s="12"/>
      <c r="Y843" s="12"/>
      <c r="Z843" s="31"/>
      <c r="AA843" s="12"/>
      <c r="AB843" s="12"/>
      <c r="AC843" s="12"/>
      <c r="AD843" s="12"/>
      <c r="AE843" s="12"/>
      <c r="AF843" s="12"/>
      <c r="AG843" s="12"/>
      <c r="AH843" s="12"/>
    </row>
    <row r="844" spans="1:34" ht="12.75">
      <c r="A844" s="12"/>
      <c r="B844" s="12"/>
      <c r="C844" s="12"/>
      <c r="D844" s="12"/>
      <c r="E844" s="12"/>
      <c r="F844" s="12"/>
      <c r="G844" s="12"/>
      <c r="H844" s="12"/>
      <c r="I844" s="12"/>
      <c r="J844" s="12"/>
      <c r="K844" s="12"/>
      <c r="L844" s="12"/>
      <c r="M844" s="12"/>
      <c r="N844" s="12"/>
      <c r="O844" s="12"/>
      <c r="P844" s="12"/>
      <c r="Q844" s="12"/>
      <c r="R844" s="27"/>
      <c r="S844" s="27"/>
      <c r="T844" s="27"/>
      <c r="U844" s="27"/>
      <c r="V844" s="12"/>
      <c r="W844" s="12"/>
      <c r="X844" s="12"/>
      <c r="Y844" s="12"/>
      <c r="Z844" s="31"/>
      <c r="AA844" s="12"/>
      <c r="AB844" s="12"/>
      <c r="AC844" s="12"/>
      <c r="AD844" s="12"/>
      <c r="AE844" s="12"/>
      <c r="AF844" s="12"/>
      <c r="AG844" s="12"/>
      <c r="AH844" s="12"/>
    </row>
    <row r="845" spans="1:34" ht="12.75">
      <c r="A845" s="12"/>
      <c r="B845" s="12"/>
      <c r="C845" s="12"/>
      <c r="D845" s="12"/>
      <c r="E845" s="12"/>
      <c r="F845" s="12"/>
      <c r="G845" s="12"/>
      <c r="H845" s="12"/>
      <c r="I845" s="12"/>
      <c r="J845" s="12"/>
      <c r="K845" s="12"/>
      <c r="L845" s="12"/>
      <c r="M845" s="12"/>
      <c r="N845" s="12"/>
      <c r="O845" s="12"/>
      <c r="P845" s="12"/>
      <c r="Q845" s="12"/>
      <c r="R845" s="27"/>
      <c r="S845" s="27"/>
      <c r="T845" s="27"/>
      <c r="U845" s="27"/>
      <c r="V845" s="12"/>
      <c r="W845" s="12"/>
      <c r="X845" s="12"/>
      <c r="Y845" s="12"/>
      <c r="Z845" s="31"/>
      <c r="AA845" s="12"/>
      <c r="AB845" s="12"/>
      <c r="AC845" s="12"/>
      <c r="AD845" s="12"/>
      <c r="AE845" s="12"/>
      <c r="AF845" s="12"/>
      <c r="AG845" s="12"/>
      <c r="AH845" s="12"/>
    </row>
    <row r="846" spans="1:34" ht="12.75">
      <c r="A846" s="12"/>
      <c r="B846" s="12"/>
      <c r="C846" s="12"/>
      <c r="D846" s="12"/>
      <c r="E846" s="12"/>
      <c r="F846" s="12"/>
      <c r="G846" s="12"/>
      <c r="H846" s="12"/>
      <c r="I846" s="12"/>
      <c r="J846" s="12"/>
      <c r="K846" s="12"/>
      <c r="L846" s="12"/>
      <c r="M846" s="12"/>
      <c r="N846" s="12"/>
      <c r="O846" s="12"/>
      <c r="P846" s="12"/>
      <c r="Q846" s="12"/>
      <c r="R846" s="27"/>
      <c r="S846" s="27"/>
      <c r="T846" s="27"/>
      <c r="U846" s="27"/>
      <c r="V846" s="12"/>
      <c r="W846" s="12"/>
      <c r="X846" s="12"/>
      <c r="Y846" s="12"/>
      <c r="Z846" s="31"/>
      <c r="AA846" s="12"/>
      <c r="AB846" s="12"/>
      <c r="AC846" s="12"/>
      <c r="AD846" s="12"/>
      <c r="AE846" s="12"/>
      <c r="AF846" s="12"/>
      <c r="AG846" s="12"/>
      <c r="AH846" s="12"/>
    </row>
    <row r="847" spans="1:34" ht="12.75">
      <c r="A847" s="12"/>
      <c r="B847" s="12"/>
      <c r="C847" s="12"/>
      <c r="D847" s="12"/>
      <c r="E847" s="12"/>
      <c r="F847" s="12"/>
      <c r="G847" s="12"/>
      <c r="H847" s="12"/>
      <c r="I847" s="12"/>
      <c r="J847" s="12"/>
      <c r="K847" s="12"/>
      <c r="L847" s="12"/>
      <c r="M847" s="12"/>
      <c r="N847" s="12"/>
      <c r="O847" s="12"/>
      <c r="P847" s="12"/>
      <c r="Q847" s="12"/>
      <c r="R847" s="27"/>
      <c r="S847" s="27"/>
      <c r="T847" s="27"/>
      <c r="U847" s="27"/>
      <c r="V847" s="12"/>
      <c r="W847" s="12"/>
      <c r="X847" s="12"/>
      <c r="Y847" s="12"/>
      <c r="Z847" s="31"/>
      <c r="AA847" s="12"/>
      <c r="AB847" s="12"/>
      <c r="AC847" s="12"/>
      <c r="AD847" s="12"/>
      <c r="AE847" s="12"/>
      <c r="AF847" s="12"/>
      <c r="AG847" s="12"/>
      <c r="AH847" s="12"/>
    </row>
    <row r="848" spans="1:34" ht="12.75">
      <c r="A848" s="12"/>
      <c r="B848" s="12"/>
      <c r="C848" s="12"/>
      <c r="D848" s="12"/>
      <c r="E848" s="12"/>
      <c r="F848" s="12"/>
      <c r="G848" s="12"/>
      <c r="H848" s="12"/>
      <c r="I848" s="12"/>
      <c r="J848" s="12"/>
      <c r="K848" s="12"/>
      <c r="L848" s="12"/>
      <c r="M848" s="12"/>
      <c r="N848" s="12"/>
      <c r="O848" s="12"/>
      <c r="P848" s="12"/>
      <c r="Q848" s="12"/>
      <c r="R848" s="27"/>
      <c r="S848" s="27"/>
      <c r="T848" s="27"/>
      <c r="U848" s="27"/>
      <c r="V848" s="12"/>
      <c r="W848" s="12"/>
      <c r="X848" s="12"/>
      <c r="Y848" s="12"/>
      <c r="Z848" s="31"/>
      <c r="AA848" s="12"/>
      <c r="AB848" s="12"/>
      <c r="AC848" s="12"/>
      <c r="AD848" s="12"/>
      <c r="AE848" s="12"/>
      <c r="AF848" s="12"/>
      <c r="AG848" s="12"/>
      <c r="AH848" s="12"/>
    </row>
    <row r="849" spans="1:34" ht="12.75">
      <c r="A849" s="12"/>
      <c r="B849" s="12"/>
      <c r="C849" s="12"/>
      <c r="D849" s="12"/>
      <c r="E849" s="12"/>
      <c r="F849" s="12"/>
      <c r="G849" s="12"/>
      <c r="H849" s="12"/>
      <c r="I849" s="12"/>
      <c r="J849" s="12"/>
      <c r="K849" s="12"/>
      <c r="L849" s="12"/>
      <c r="M849" s="12"/>
      <c r="N849" s="12"/>
      <c r="O849" s="12"/>
      <c r="P849" s="12"/>
      <c r="Q849" s="12"/>
      <c r="R849" s="27"/>
      <c r="S849" s="27"/>
      <c r="T849" s="27"/>
      <c r="U849" s="27"/>
      <c r="V849" s="12"/>
      <c r="W849" s="12"/>
      <c r="X849" s="12"/>
      <c r="Y849" s="12"/>
      <c r="Z849" s="31"/>
      <c r="AA849" s="12"/>
      <c r="AB849" s="12"/>
      <c r="AC849" s="12"/>
      <c r="AD849" s="12"/>
      <c r="AE849" s="12"/>
      <c r="AF849" s="12"/>
      <c r="AG849" s="12"/>
      <c r="AH849" s="12"/>
    </row>
    <row r="850" spans="1:34" ht="12.75">
      <c r="A850" s="12"/>
      <c r="B850" s="12"/>
      <c r="C850" s="12"/>
      <c r="D850" s="12"/>
      <c r="E850" s="12"/>
      <c r="F850" s="12"/>
      <c r="G850" s="12"/>
      <c r="H850" s="12"/>
      <c r="I850" s="12"/>
      <c r="J850" s="12"/>
      <c r="K850" s="12"/>
      <c r="L850" s="12"/>
      <c r="M850" s="12"/>
      <c r="N850" s="12"/>
      <c r="O850" s="12"/>
      <c r="P850" s="12"/>
      <c r="Q850" s="12"/>
      <c r="R850" s="27"/>
      <c r="S850" s="27"/>
      <c r="T850" s="27"/>
      <c r="U850" s="27"/>
      <c r="V850" s="12"/>
      <c r="W850" s="12"/>
      <c r="X850" s="12"/>
      <c r="Y850" s="12"/>
      <c r="Z850" s="31"/>
      <c r="AA850" s="12"/>
      <c r="AB850" s="12"/>
      <c r="AC850" s="12"/>
      <c r="AD850" s="12"/>
      <c r="AE850" s="12"/>
      <c r="AF850" s="12"/>
      <c r="AG850" s="12"/>
      <c r="AH850" s="12"/>
    </row>
    <row r="851" spans="1:34" ht="12.75">
      <c r="A851" s="12"/>
      <c r="B851" s="12"/>
      <c r="C851" s="12"/>
      <c r="D851" s="12"/>
      <c r="E851" s="12"/>
      <c r="F851" s="12"/>
      <c r="G851" s="12"/>
      <c r="H851" s="12"/>
      <c r="I851" s="12"/>
      <c r="J851" s="12"/>
      <c r="K851" s="12"/>
      <c r="L851" s="12"/>
      <c r="M851" s="12"/>
      <c r="N851" s="12"/>
      <c r="O851" s="12"/>
      <c r="P851" s="12"/>
      <c r="Q851" s="12"/>
      <c r="R851" s="27"/>
      <c r="S851" s="27"/>
      <c r="T851" s="27"/>
      <c r="U851" s="27"/>
      <c r="V851" s="12"/>
      <c r="W851" s="12"/>
      <c r="X851" s="12"/>
      <c r="Y851" s="12"/>
      <c r="Z851" s="31"/>
      <c r="AA851" s="12"/>
      <c r="AB851" s="12"/>
      <c r="AC851" s="12"/>
      <c r="AD851" s="12"/>
      <c r="AE851" s="12"/>
      <c r="AF851" s="12"/>
      <c r="AG851" s="12"/>
      <c r="AH851" s="12"/>
    </row>
    <row r="852" spans="1:34" ht="12.75">
      <c r="A852" s="12"/>
      <c r="B852" s="12"/>
      <c r="C852" s="12"/>
      <c r="D852" s="12"/>
      <c r="E852" s="12"/>
      <c r="F852" s="12"/>
      <c r="G852" s="12"/>
      <c r="H852" s="12"/>
      <c r="I852" s="12"/>
      <c r="J852" s="12"/>
      <c r="K852" s="12"/>
      <c r="L852" s="12"/>
      <c r="M852" s="12"/>
      <c r="N852" s="12"/>
      <c r="O852" s="12"/>
      <c r="P852" s="12"/>
      <c r="Q852" s="12"/>
      <c r="R852" s="27"/>
      <c r="S852" s="27"/>
      <c r="T852" s="27"/>
      <c r="U852" s="27"/>
      <c r="V852" s="12"/>
      <c r="W852" s="12"/>
      <c r="X852" s="12"/>
      <c r="Y852" s="12"/>
      <c r="Z852" s="31"/>
      <c r="AA852" s="12"/>
      <c r="AB852" s="12"/>
      <c r="AC852" s="12"/>
      <c r="AD852" s="12"/>
      <c r="AE852" s="12"/>
      <c r="AF852" s="12"/>
      <c r="AG852" s="12"/>
      <c r="AH852" s="12"/>
    </row>
    <row r="853" spans="1:34" ht="12.75">
      <c r="A853" s="12"/>
      <c r="B853" s="12"/>
      <c r="C853" s="12"/>
      <c r="D853" s="12"/>
      <c r="E853" s="12"/>
      <c r="F853" s="12"/>
      <c r="G853" s="12"/>
      <c r="H853" s="12"/>
      <c r="I853" s="12"/>
      <c r="J853" s="12"/>
      <c r="K853" s="12"/>
      <c r="L853" s="12"/>
      <c r="M853" s="12"/>
      <c r="N853" s="12"/>
      <c r="O853" s="12"/>
      <c r="P853" s="12"/>
      <c r="Q853" s="12"/>
      <c r="R853" s="27"/>
      <c r="S853" s="27"/>
      <c r="T853" s="27"/>
      <c r="U853" s="27"/>
      <c r="V853" s="12"/>
      <c r="W853" s="12"/>
      <c r="X853" s="12"/>
      <c r="Y853" s="12"/>
      <c r="Z853" s="31"/>
      <c r="AA853" s="12"/>
      <c r="AB853" s="12"/>
      <c r="AC853" s="12"/>
      <c r="AD853" s="12"/>
      <c r="AE853" s="12"/>
      <c r="AF853" s="12"/>
      <c r="AG853" s="12"/>
      <c r="AH853" s="12"/>
    </row>
    <row r="854" spans="1:34" ht="12.75">
      <c r="A854" s="12"/>
      <c r="B854" s="12"/>
      <c r="C854" s="12"/>
      <c r="D854" s="12"/>
      <c r="E854" s="12"/>
      <c r="F854" s="12"/>
      <c r="G854" s="12"/>
      <c r="H854" s="12"/>
      <c r="I854" s="12"/>
      <c r="J854" s="12"/>
      <c r="K854" s="12"/>
      <c r="L854" s="12"/>
      <c r="M854" s="12"/>
      <c r="N854" s="12"/>
      <c r="O854" s="12"/>
      <c r="P854" s="12"/>
      <c r="Q854" s="12"/>
      <c r="R854" s="27"/>
      <c r="S854" s="27"/>
      <c r="T854" s="27"/>
      <c r="U854" s="27"/>
      <c r="V854" s="12"/>
      <c r="W854" s="12"/>
      <c r="X854" s="12"/>
      <c r="Y854" s="12"/>
      <c r="Z854" s="31"/>
      <c r="AA854" s="12"/>
      <c r="AB854" s="12"/>
      <c r="AC854" s="12"/>
      <c r="AD854" s="12"/>
      <c r="AE854" s="12"/>
      <c r="AF854" s="12"/>
      <c r="AG854" s="12"/>
      <c r="AH854" s="12"/>
    </row>
    <row r="855" spans="1:34" ht="12.75">
      <c r="A855" s="12"/>
      <c r="B855" s="12"/>
      <c r="C855" s="12"/>
      <c r="D855" s="12"/>
      <c r="E855" s="12"/>
      <c r="F855" s="12"/>
      <c r="G855" s="12"/>
      <c r="H855" s="12"/>
      <c r="I855" s="12"/>
      <c r="J855" s="12"/>
      <c r="K855" s="12"/>
      <c r="L855" s="12"/>
      <c r="M855" s="12"/>
      <c r="N855" s="12"/>
      <c r="O855" s="12"/>
      <c r="P855" s="12"/>
      <c r="Q855" s="12"/>
      <c r="R855" s="27"/>
      <c r="S855" s="27"/>
      <c r="T855" s="27"/>
      <c r="U855" s="27"/>
      <c r="V855" s="12"/>
      <c r="W855" s="12"/>
      <c r="X855" s="12"/>
      <c r="Y855" s="12"/>
      <c r="Z855" s="31"/>
      <c r="AA855" s="12"/>
      <c r="AB855" s="12"/>
      <c r="AC855" s="12"/>
      <c r="AD855" s="12"/>
      <c r="AE855" s="12"/>
      <c r="AF855" s="12"/>
      <c r="AG855" s="12"/>
      <c r="AH855" s="12"/>
    </row>
    <row r="856" spans="1:34" ht="12.75">
      <c r="A856" s="12"/>
      <c r="B856" s="12"/>
      <c r="C856" s="12"/>
      <c r="D856" s="12"/>
      <c r="E856" s="12"/>
      <c r="F856" s="12"/>
      <c r="G856" s="12"/>
      <c r="H856" s="12"/>
      <c r="I856" s="12"/>
      <c r="J856" s="12"/>
      <c r="K856" s="12"/>
      <c r="L856" s="12"/>
      <c r="M856" s="12"/>
      <c r="N856" s="12"/>
      <c r="O856" s="12"/>
      <c r="P856" s="12"/>
      <c r="Q856" s="12"/>
      <c r="R856" s="27"/>
      <c r="S856" s="27"/>
      <c r="T856" s="27"/>
      <c r="U856" s="27"/>
      <c r="V856" s="12"/>
      <c r="W856" s="12"/>
      <c r="X856" s="12"/>
      <c r="Y856" s="12"/>
      <c r="Z856" s="31"/>
      <c r="AA856" s="12"/>
      <c r="AB856" s="12"/>
      <c r="AC856" s="12"/>
      <c r="AD856" s="12"/>
      <c r="AE856" s="12"/>
      <c r="AF856" s="12"/>
      <c r="AG856" s="12"/>
      <c r="AH856" s="12"/>
    </row>
    <row r="857" spans="1:34" ht="12.75">
      <c r="A857" s="12"/>
      <c r="B857" s="12"/>
      <c r="C857" s="12"/>
      <c r="D857" s="12"/>
      <c r="E857" s="12"/>
      <c r="F857" s="12"/>
      <c r="G857" s="12"/>
      <c r="H857" s="12"/>
      <c r="I857" s="12"/>
      <c r="J857" s="12"/>
      <c r="K857" s="12"/>
      <c r="L857" s="12"/>
      <c r="M857" s="12"/>
      <c r="N857" s="12"/>
      <c r="O857" s="12"/>
      <c r="P857" s="12"/>
      <c r="Q857" s="12"/>
      <c r="R857" s="27"/>
      <c r="S857" s="27"/>
      <c r="T857" s="27"/>
      <c r="U857" s="27"/>
      <c r="V857" s="12"/>
      <c r="W857" s="12"/>
      <c r="X857" s="12"/>
      <c r="Y857" s="12"/>
      <c r="Z857" s="31"/>
      <c r="AA857" s="12"/>
      <c r="AB857" s="12"/>
      <c r="AC857" s="12"/>
      <c r="AD857" s="12"/>
      <c r="AE857" s="12"/>
      <c r="AF857" s="12"/>
      <c r="AG857" s="12"/>
      <c r="AH857" s="12"/>
    </row>
    <row r="858" spans="1:34" ht="12.75">
      <c r="A858" s="12"/>
      <c r="B858" s="12"/>
      <c r="C858" s="12"/>
      <c r="D858" s="12"/>
      <c r="E858" s="12"/>
      <c r="F858" s="12"/>
      <c r="G858" s="12"/>
      <c r="H858" s="12"/>
      <c r="I858" s="12"/>
      <c r="J858" s="12"/>
      <c r="K858" s="12"/>
      <c r="L858" s="12"/>
      <c r="M858" s="12"/>
      <c r="N858" s="12"/>
      <c r="O858" s="12"/>
      <c r="P858" s="12"/>
      <c r="Q858" s="12"/>
      <c r="R858" s="27"/>
      <c r="S858" s="27"/>
      <c r="T858" s="27"/>
      <c r="U858" s="27"/>
      <c r="V858" s="12"/>
      <c r="W858" s="12"/>
      <c r="X858" s="12"/>
      <c r="Y858" s="12"/>
      <c r="Z858" s="31"/>
      <c r="AA858" s="12"/>
      <c r="AB858" s="12"/>
      <c r="AC858" s="12"/>
      <c r="AD858" s="12"/>
      <c r="AE858" s="12"/>
      <c r="AF858" s="12"/>
      <c r="AG858" s="12"/>
      <c r="AH858" s="12"/>
    </row>
    <row r="859" spans="1:34" ht="12.75">
      <c r="A859" s="12"/>
      <c r="B859" s="12"/>
      <c r="C859" s="12"/>
      <c r="D859" s="12"/>
      <c r="E859" s="12"/>
      <c r="F859" s="12"/>
      <c r="G859" s="12"/>
      <c r="H859" s="12"/>
      <c r="I859" s="12"/>
      <c r="J859" s="12"/>
      <c r="K859" s="12"/>
      <c r="L859" s="12"/>
      <c r="M859" s="12"/>
      <c r="N859" s="12"/>
      <c r="O859" s="12"/>
      <c r="P859" s="12"/>
      <c r="Q859" s="12"/>
      <c r="R859" s="27"/>
      <c r="S859" s="27"/>
      <c r="T859" s="27"/>
      <c r="U859" s="27"/>
      <c r="V859" s="12"/>
      <c r="W859" s="12"/>
      <c r="X859" s="12"/>
      <c r="Y859" s="12"/>
      <c r="Z859" s="31"/>
      <c r="AA859" s="12"/>
      <c r="AB859" s="12"/>
      <c r="AC859" s="12"/>
      <c r="AD859" s="12"/>
      <c r="AE859" s="12"/>
      <c r="AF859" s="12"/>
      <c r="AG859" s="12"/>
      <c r="AH859" s="12"/>
    </row>
    <row r="860" spans="1:34" ht="12.75">
      <c r="A860" s="12"/>
      <c r="B860" s="12"/>
      <c r="C860" s="12"/>
      <c r="D860" s="12"/>
      <c r="E860" s="12"/>
      <c r="F860" s="12"/>
      <c r="G860" s="12"/>
      <c r="H860" s="12"/>
      <c r="I860" s="12"/>
      <c r="J860" s="12"/>
      <c r="K860" s="12"/>
      <c r="L860" s="12"/>
      <c r="M860" s="12"/>
      <c r="N860" s="12"/>
      <c r="O860" s="12"/>
      <c r="P860" s="12"/>
      <c r="Q860" s="12"/>
      <c r="R860" s="27"/>
      <c r="S860" s="27"/>
      <c r="T860" s="27"/>
      <c r="U860" s="27"/>
      <c r="V860" s="12"/>
      <c r="W860" s="12"/>
      <c r="X860" s="12"/>
      <c r="Y860" s="12"/>
      <c r="Z860" s="31"/>
      <c r="AA860" s="12"/>
      <c r="AB860" s="12"/>
      <c r="AC860" s="12"/>
      <c r="AD860" s="12"/>
      <c r="AE860" s="12"/>
      <c r="AF860" s="12"/>
      <c r="AG860" s="12"/>
      <c r="AH860" s="12"/>
    </row>
    <row r="861" spans="1:34" ht="12.75">
      <c r="A861" s="12"/>
      <c r="B861" s="12"/>
      <c r="C861" s="12"/>
      <c r="D861" s="12"/>
      <c r="E861" s="12"/>
      <c r="F861" s="12"/>
      <c r="G861" s="12"/>
      <c r="H861" s="12"/>
      <c r="I861" s="12"/>
      <c r="J861" s="12"/>
      <c r="K861" s="12"/>
      <c r="L861" s="12"/>
      <c r="M861" s="12"/>
      <c r="N861" s="12"/>
      <c r="O861" s="12"/>
      <c r="P861" s="12"/>
      <c r="Q861" s="12"/>
      <c r="R861" s="27"/>
      <c r="S861" s="27"/>
      <c r="T861" s="27"/>
      <c r="U861" s="27"/>
      <c r="V861" s="12"/>
      <c r="W861" s="12"/>
      <c r="X861" s="12"/>
      <c r="Y861" s="12"/>
      <c r="Z861" s="31"/>
      <c r="AA861" s="12"/>
      <c r="AB861" s="12"/>
      <c r="AC861" s="12"/>
      <c r="AD861" s="12"/>
      <c r="AE861" s="12"/>
      <c r="AF861" s="12"/>
      <c r="AG861" s="12"/>
      <c r="AH861" s="12"/>
    </row>
    <row r="862" spans="1:34" ht="12.75">
      <c r="A862" s="12"/>
      <c r="B862" s="12"/>
      <c r="C862" s="12"/>
      <c r="D862" s="12"/>
      <c r="E862" s="12"/>
      <c r="F862" s="12"/>
      <c r="G862" s="12"/>
      <c r="H862" s="12"/>
      <c r="I862" s="12"/>
      <c r="J862" s="12"/>
      <c r="K862" s="12"/>
      <c r="L862" s="12"/>
      <c r="M862" s="12"/>
      <c r="N862" s="12"/>
      <c r="O862" s="12"/>
      <c r="P862" s="12"/>
      <c r="Q862" s="12"/>
      <c r="R862" s="27"/>
      <c r="S862" s="27"/>
      <c r="T862" s="27"/>
      <c r="U862" s="27"/>
      <c r="V862" s="12"/>
      <c r="W862" s="12"/>
      <c r="X862" s="12"/>
      <c r="Y862" s="12"/>
      <c r="Z862" s="31"/>
      <c r="AA862" s="12"/>
      <c r="AB862" s="12"/>
      <c r="AC862" s="12"/>
      <c r="AD862" s="12"/>
      <c r="AE862" s="12"/>
      <c r="AF862" s="12"/>
      <c r="AG862" s="12"/>
      <c r="AH862" s="12"/>
    </row>
    <row r="863" spans="1:34" ht="12.75">
      <c r="A863" s="12"/>
      <c r="B863" s="12"/>
      <c r="C863" s="12"/>
      <c r="D863" s="12"/>
      <c r="E863" s="12"/>
      <c r="F863" s="12"/>
      <c r="G863" s="12"/>
      <c r="H863" s="12"/>
      <c r="I863" s="12"/>
      <c r="J863" s="12"/>
      <c r="K863" s="12"/>
      <c r="L863" s="12"/>
      <c r="M863" s="12"/>
      <c r="N863" s="12"/>
      <c r="O863" s="12"/>
      <c r="P863" s="12"/>
      <c r="Q863" s="12"/>
      <c r="R863" s="27"/>
      <c r="S863" s="27"/>
      <c r="T863" s="27"/>
      <c r="U863" s="27"/>
      <c r="V863" s="12"/>
      <c r="W863" s="12"/>
      <c r="X863" s="12"/>
      <c r="Y863" s="12"/>
      <c r="Z863" s="31"/>
      <c r="AA863" s="12"/>
      <c r="AB863" s="12"/>
      <c r="AC863" s="12"/>
      <c r="AD863" s="12"/>
      <c r="AE863" s="12"/>
      <c r="AF863" s="12"/>
      <c r="AG863" s="12"/>
      <c r="AH863" s="12"/>
    </row>
    <row r="864" spans="1:34" ht="12.75">
      <c r="A864" s="12"/>
      <c r="B864" s="12"/>
      <c r="C864" s="12"/>
      <c r="D864" s="12"/>
      <c r="E864" s="12"/>
      <c r="F864" s="12"/>
      <c r="G864" s="12"/>
      <c r="H864" s="12"/>
      <c r="I864" s="12"/>
      <c r="J864" s="12"/>
      <c r="K864" s="12"/>
      <c r="L864" s="12"/>
      <c r="M864" s="12"/>
      <c r="N864" s="12"/>
      <c r="O864" s="12"/>
      <c r="P864" s="12"/>
      <c r="Q864" s="12"/>
      <c r="R864" s="27"/>
      <c r="S864" s="27"/>
      <c r="T864" s="27"/>
      <c r="U864" s="27"/>
      <c r="V864" s="12"/>
      <c r="W864" s="12"/>
      <c r="X864" s="12"/>
      <c r="Y864" s="12"/>
      <c r="Z864" s="31"/>
      <c r="AA864" s="12"/>
      <c r="AB864" s="12"/>
      <c r="AC864" s="12"/>
      <c r="AD864" s="12"/>
      <c r="AE864" s="12"/>
      <c r="AF864" s="12"/>
      <c r="AG864" s="12"/>
      <c r="AH864" s="12"/>
    </row>
    <row r="865" spans="1:34" ht="12.75">
      <c r="A865" s="12"/>
      <c r="B865" s="12"/>
      <c r="C865" s="12"/>
      <c r="D865" s="12"/>
      <c r="E865" s="12"/>
      <c r="F865" s="12"/>
      <c r="G865" s="12"/>
      <c r="H865" s="12"/>
      <c r="I865" s="12"/>
      <c r="J865" s="12"/>
      <c r="K865" s="12"/>
      <c r="L865" s="12"/>
      <c r="M865" s="12"/>
      <c r="N865" s="12"/>
      <c r="O865" s="12"/>
      <c r="P865" s="12"/>
      <c r="Q865" s="12"/>
      <c r="R865" s="27"/>
      <c r="S865" s="27"/>
      <c r="T865" s="27"/>
      <c r="U865" s="27"/>
      <c r="V865" s="12"/>
      <c r="W865" s="12"/>
      <c r="X865" s="12"/>
      <c r="Y865" s="12"/>
      <c r="Z865" s="31"/>
      <c r="AA865" s="12"/>
      <c r="AB865" s="12"/>
      <c r="AC865" s="12"/>
      <c r="AD865" s="12"/>
      <c r="AE865" s="12"/>
      <c r="AF865" s="12"/>
      <c r="AG865" s="12"/>
      <c r="AH865" s="12"/>
    </row>
    <row r="866" spans="1:34" ht="12.75">
      <c r="A866" s="12"/>
      <c r="B866" s="12"/>
      <c r="C866" s="12"/>
      <c r="D866" s="12"/>
      <c r="E866" s="12"/>
      <c r="F866" s="12"/>
      <c r="G866" s="12"/>
      <c r="H866" s="12"/>
      <c r="I866" s="12"/>
      <c r="J866" s="12"/>
      <c r="K866" s="12"/>
      <c r="L866" s="12"/>
      <c r="M866" s="12"/>
      <c r="N866" s="12"/>
      <c r="O866" s="12"/>
      <c r="P866" s="12"/>
      <c r="Q866" s="12"/>
      <c r="R866" s="27"/>
      <c r="S866" s="27"/>
      <c r="T866" s="27"/>
      <c r="U866" s="27"/>
      <c r="V866" s="12"/>
      <c r="W866" s="12"/>
      <c r="X866" s="12"/>
      <c r="Y866" s="12"/>
      <c r="Z866" s="31"/>
      <c r="AA866" s="12"/>
      <c r="AB866" s="12"/>
      <c r="AC866" s="12"/>
      <c r="AD866" s="12"/>
      <c r="AE866" s="12"/>
      <c r="AF866" s="12"/>
      <c r="AG866" s="12"/>
      <c r="AH866" s="12"/>
    </row>
    <row r="867" spans="1:34" ht="12.75">
      <c r="A867" s="12"/>
      <c r="B867" s="12"/>
      <c r="C867" s="12"/>
      <c r="D867" s="12"/>
      <c r="E867" s="12"/>
      <c r="F867" s="12"/>
      <c r="G867" s="12"/>
      <c r="H867" s="12"/>
      <c r="I867" s="12"/>
      <c r="J867" s="12"/>
      <c r="K867" s="12"/>
      <c r="L867" s="12"/>
      <c r="M867" s="12"/>
      <c r="N867" s="12"/>
      <c r="O867" s="12"/>
      <c r="P867" s="12"/>
      <c r="Q867" s="12"/>
      <c r="R867" s="27"/>
      <c r="S867" s="27"/>
      <c r="T867" s="27"/>
      <c r="U867" s="27"/>
      <c r="V867" s="12"/>
      <c r="W867" s="12"/>
      <c r="X867" s="12"/>
      <c r="Y867" s="12"/>
      <c r="Z867" s="31"/>
      <c r="AA867" s="12"/>
      <c r="AB867" s="12"/>
      <c r="AC867" s="12"/>
      <c r="AD867" s="12"/>
      <c r="AE867" s="12"/>
      <c r="AF867" s="12"/>
      <c r="AG867" s="12"/>
      <c r="AH867" s="12"/>
    </row>
    <row r="868" spans="1:34" ht="12.75">
      <c r="A868" s="12"/>
      <c r="B868" s="12"/>
      <c r="C868" s="12"/>
      <c r="D868" s="12"/>
      <c r="E868" s="12"/>
      <c r="F868" s="12"/>
      <c r="G868" s="12"/>
      <c r="H868" s="12"/>
      <c r="I868" s="12"/>
      <c r="J868" s="12"/>
      <c r="K868" s="12"/>
      <c r="L868" s="12"/>
      <c r="M868" s="12"/>
      <c r="N868" s="12"/>
      <c r="O868" s="12"/>
      <c r="P868" s="12"/>
      <c r="Q868" s="12"/>
      <c r="R868" s="27"/>
      <c r="S868" s="27"/>
      <c r="T868" s="27"/>
      <c r="U868" s="27"/>
      <c r="V868" s="12"/>
      <c r="W868" s="12"/>
      <c r="X868" s="12"/>
      <c r="Y868" s="12"/>
      <c r="Z868" s="31"/>
      <c r="AA868" s="12"/>
      <c r="AB868" s="12"/>
      <c r="AC868" s="12"/>
      <c r="AD868" s="12"/>
      <c r="AE868" s="12"/>
      <c r="AF868" s="12"/>
      <c r="AG868" s="12"/>
      <c r="AH868" s="12"/>
    </row>
    <row r="869" spans="1:34" ht="12.75">
      <c r="A869" s="12"/>
      <c r="B869" s="12"/>
      <c r="C869" s="12"/>
      <c r="D869" s="12"/>
      <c r="E869" s="12"/>
      <c r="F869" s="12"/>
      <c r="G869" s="12"/>
      <c r="H869" s="12"/>
      <c r="I869" s="12"/>
      <c r="J869" s="12"/>
      <c r="K869" s="12"/>
      <c r="L869" s="12"/>
      <c r="M869" s="12"/>
      <c r="N869" s="12"/>
      <c r="O869" s="12"/>
      <c r="P869" s="12"/>
      <c r="Q869" s="12"/>
      <c r="R869" s="27"/>
      <c r="S869" s="27"/>
      <c r="T869" s="27"/>
      <c r="U869" s="27"/>
      <c r="V869" s="12"/>
      <c r="W869" s="12"/>
      <c r="X869" s="12"/>
      <c r="Y869" s="12"/>
      <c r="Z869" s="31"/>
      <c r="AA869" s="12"/>
      <c r="AB869" s="12"/>
      <c r="AC869" s="12"/>
      <c r="AD869" s="12"/>
      <c r="AE869" s="12"/>
      <c r="AF869" s="12"/>
      <c r="AG869" s="12"/>
      <c r="AH869" s="12"/>
    </row>
    <row r="870" spans="1:34" ht="12.75">
      <c r="A870" s="12"/>
      <c r="B870" s="12"/>
      <c r="C870" s="12"/>
      <c r="D870" s="12"/>
      <c r="E870" s="12"/>
      <c r="F870" s="12"/>
      <c r="G870" s="12"/>
      <c r="H870" s="12"/>
      <c r="I870" s="12"/>
      <c r="J870" s="12"/>
      <c r="K870" s="12"/>
      <c r="L870" s="12"/>
      <c r="M870" s="12"/>
      <c r="N870" s="12"/>
      <c r="O870" s="12"/>
      <c r="P870" s="12"/>
      <c r="Q870" s="12"/>
      <c r="R870" s="27"/>
      <c r="S870" s="27"/>
      <c r="T870" s="27"/>
      <c r="U870" s="27"/>
      <c r="V870" s="12"/>
      <c r="W870" s="12"/>
      <c r="X870" s="12"/>
      <c r="Y870" s="12"/>
      <c r="Z870" s="31"/>
      <c r="AA870" s="12"/>
      <c r="AB870" s="12"/>
      <c r="AC870" s="12"/>
      <c r="AD870" s="12"/>
      <c r="AE870" s="12"/>
      <c r="AF870" s="12"/>
      <c r="AG870" s="12"/>
      <c r="AH870" s="12"/>
    </row>
    <row r="871" spans="1:34" ht="12.75">
      <c r="A871" s="12"/>
      <c r="B871" s="12"/>
      <c r="C871" s="12"/>
      <c r="D871" s="12"/>
      <c r="E871" s="12"/>
      <c r="F871" s="12"/>
      <c r="G871" s="12"/>
      <c r="H871" s="12"/>
      <c r="I871" s="12"/>
      <c r="J871" s="12"/>
      <c r="K871" s="12"/>
      <c r="L871" s="12"/>
      <c r="M871" s="12"/>
      <c r="N871" s="12"/>
      <c r="O871" s="12"/>
      <c r="P871" s="12"/>
      <c r="Q871" s="12"/>
      <c r="R871" s="27"/>
      <c r="S871" s="27"/>
      <c r="T871" s="27"/>
      <c r="U871" s="27"/>
      <c r="V871" s="12"/>
      <c r="W871" s="12"/>
      <c r="X871" s="12"/>
      <c r="Y871" s="12"/>
      <c r="Z871" s="31"/>
      <c r="AA871" s="12"/>
      <c r="AB871" s="12"/>
      <c r="AC871" s="12"/>
      <c r="AD871" s="12"/>
      <c r="AE871" s="12"/>
      <c r="AF871" s="12"/>
      <c r="AG871" s="12"/>
      <c r="AH871" s="12"/>
    </row>
    <row r="872" spans="1:34" ht="12.75">
      <c r="A872" s="12"/>
      <c r="B872" s="12"/>
      <c r="C872" s="12"/>
      <c r="D872" s="12"/>
      <c r="E872" s="12"/>
      <c r="F872" s="12"/>
      <c r="G872" s="12"/>
      <c r="H872" s="12"/>
      <c r="I872" s="12"/>
      <c r="J872" s="12"/>
      <c r="K872" s="12"/>
      <c r="L872" s="12"/>
      <c r="M872" s="12"/>
      <c r="N872" s="12"/>
      <c r="O872" s="12"/>
      <c r="P872" s="12"/>
      <c r="Q872" s="12"/>
      <c r="R872" s="27"/>
      <c r="S872" s="27"/>
      <c r="T872" s="27"/>
      <c r="U872" s="27"/>
      <c r="V872" s="12"/>
      <c r="W872" s="12"/>
      <c r="X872" s="12"/>
      <c r="Y872" s="12"/>
      <c r="Z872" s="31"/>
      <c r="AA872" s="12"/>
      <c r="AB872" s="12"/>
      <c r="AC872" s="12"/>
      <c r="AD872" s="12"/>
      <c r="AE872" s="12"/>
      <c r="AF872" s="12"/>
      <c r="AG872" s="12"/>
      <c r="AH872" s="12"/>
    </row>
    <row r="873" spans="1:34" ht="12.75">
      <c r="A873" s="12"/>
      <c r="B873" s="12"/>
      <c r="C873" s="12"/>
      <c r="D873" s="12"/>
      <c r="E873" s="12"/>
      <c r="F873" s="12"/>
      <c r="G873" s="12"/>
      <c r="H873" s="12"/>
      <c r="I873" s="12"/>
      <c r="J873" s="12"/>
      <c r="K873" s="12"/>
      <c r="L873" s="12"/>
      <c r="M873" s="12"/>
      <c r="N873" s="12"/>
      <c r="O873" s="12"/>
      <c r="P873" s="12"/>
      <c r="Q873" s="12"/>
      <c r="R873" s="27"/>
      <c r="S873" s="27"/>
      <c r="T873" s="27"/>
      <c r="U873" s="27"/>
      <c r="V873" s="12"/>
      <c r="W873" s="12"/>
      <c r="X873" s="12"/>
      <c r="Y873" s="12"/>
      <c r="Z873" s="31"/>
      <c r="AA873" s="12"/>
      <c r="AB873" s="12"/>
      <c r="AC873" s="12"/>
      <c r="AD873" s="12"/>
      <c r="AE873" s="12"/>
      <c r="AF873" s="12"/>
      <c r="AG873" s="12"/>
      <c r="AH873" s="12"/>
    </row>
    <row r="874" spans="1:34" ht="12.75">
      <c r="A874" s="12"/>
      <c r="B874" s="12"/>
      <c r="C874" s="12"/>
      <c r="D874" s="12"/>
      <c r="E874" s="12"/>
      <c r="F874" s="12"/>
      <c r="G874" s="12"/>
      <c r="H874" s="12"/>
      <c r="I874" s="12"/>
      <c r="J874" s="12"/>
      <c r="K874" s="12"/>
      <c r="L874" s="12"/>
      <c r="M874" s="12"/>
      <c r="N874" s="12"/>
      <c r="O874" s="12"/>
      <c r="P874" s="12"/>
      <c r="Q874" s="12"/>
      <c r="R874" s="27"/>
      <c r="S874" s="27"/>
      <c r="T874" s="27"/>
      <c r="U874" s="27"/>
      <c r="V874" s="12"/>
      <c r="W874" s="12"/>
      <c r="X874" s="12"/>
      <c r="Y874" s="12"/>
      <c r="Z874" s="31"/>
      <c r="AA874" s="12"/>
      <c r="AB874" s="12"/>
      <c r="AC874" s="12"/>
      <c r="AD874" s="12"/>
      <c r="AE874" s="12"/>
      <c r="AF874" s="12"/>
      <c r="AG874" s="12"/>
      <c r="AH874" s="12"/>
    </row>
    <row r="875" spans="1:34" ht="12.75">
      <c r="A875" s="12"/>
      <c r="B875" s="12"/>
      <c r="C875" s="12"/>
      <c r="D875" s="12"/>
      <c r="E875" s="12"/>
      <c r="F875" s="12"/>
      <c r="G875" s="12"/>
      <c r="H875" s="12"/>
      <c r="I875" s="12"/>
      <c r="J875" s="12"/>
      <c r="K875" s="12"/>
      <c r="L875" s="12"/>
      <c r="M875" s="12"/>
      <c r="N875" s="12"/>
      <c r="O875" s="12"/>
      <c r="P875" s="12"/>
      <c r="Q875" s="12"/>
      <c r="R875" s="27"/>
      <c r="S875" s="27"/>
      <c r="T875" s="27"/>
      <c r="U875" s="27"/>
      <c r="V875" s="12"/>
      <c r="W875" s="12"/>
      <c r="X875" s="12"/>
      <c r="Y875" s="12"/>
      <c r="Z875" s="31"/>
      <c r="AA875" s="12"/>
      <c r="AB875" s="12"/>
      <c r="AC875" s="12"/>
      <c r="AD875" s="12"/>
      <c r="AE875" s="12"/>
      <c r="AF875" s="12"/>
      <c r="AG875" s="12"/>
      <c r="AH875" s="12"/>
    </row>
    <row r="876" spans="1:34" ht="12.75">
      <c r="A876" s="12"/>
      <c r="B876" s="12"/>
      <c r="C876" s="12"/>
      <c r="D876" s="12"/>
      <c r="E876" s="12"/>
      <c r="F876" s="12"/>
      <c r="G876" s="12"/>
      <c r="H876" s="12"/>
      <c r="I876" s="12"/>
      <c r="J876" s="12"/>
      <c r="K876" s="12"/>
      <c r="L876" s="12"/>
      <c r="M876" s="12"/>
      <c r="N876" s="12"/>
      <c r="O876" s="12"/>
      <c r="P876" s="12"/>
      <c r="Q876" s="12"/>
      <c r="R876" s="27"/>
      <c r="S876" s="27"/>
      <c r="T876" s="27"/>
      <c r="U876" s="27"/>
      <c r="V876" s="12"/>
      <c r="W876" s="12"/>
      <c r="X876" s="12"/>
      <c r="Y876" s="12"/>
      <c r="Z876" s="31"/>
      <c r="AA876" s="12"/>
      <c r="AB876" s="12"/>
      <c r="AC876" s="12"/>
      <c r="AD876" s="12"/>
      <c r="AE876" s="12"/>
      <c r="AF876" s="12"/>
      <c r="AG876" s="12"/>
      <c r="AH876" s="12"/>
    </row>
    <row r="877" spans="1:34" ht="12.75">
      <c r="A877" s="12"/>
      <c r="B877" s="12"/>
      <c r="C877" s="12"/>
      <c r="D877" s="12"/>
      <c r="E877" s="12"/>
      <c r="F877" s="12"/>
      <c r="G877" s="12"/>
      <c r="H877" s="12"/>
      <c r="I877" s="12"/>
      <c r="J877" s="12"/>
      <c r="K877" s="12"/>
      <c r="L877" s="12"/>
      <c r="M877" s="12"/>
      <c r="N877" s="12"/>
      <c r="O877" s="12"/>
      <c r="P877" s="12"/>
      <c r="Q877" s="12"/>
      <c r="R877" s="27"/>
      <c r="S877" s="27"/>
      <c r="T877" s="27"/>
      <c r="U877" s="27"/>
      <c r="V877" s="12"/>
      <c r="W877" s="12"/>
      <c r="X877" s="12"/>
      <c r="Y877" s="12"/>
      <c r="Z877" s="31"/>
      <c r="AA877" s="12"/>
      <c r="AB877" s="12"/>
      <c r="AC877" s="12"/>
      <c r="AD877" s="12"/>
      <c r="AE877" s="12"/>
      <c r="AF877" s="12"/>
      <c r="AG877" s="12"/>
      <c r="AH877" s="12"/>
    </row>
    <row r="878" spans="1:34" ht="12.75">
      <c r="A878" s="12"/>
      <c r="B878" s="12"/>
      <c r="C878" s="12"/>
      <c r="D878" s="12"/>
      <c r="E878" s="12"/>
      <c r="F878" s="12"/>
      <c r="G878" s="12"/>
      <c r="H878" s="12"/>
      <c r="I878" s="12"/>
      <c r="J878" s="12"/>
      <c r="K878" s="12"/>
      <c r="L878" s="12"/>
      <c r="M878" s="12"/>
      <c r="N878" s="12"/>
      <c r="O878" s="12"/>
      <c r="P878" s="12"/>
      <c r="Q878" s="12"/>
      <c r="R878" s="27"/>
      <c r="S878" s="27"/>
      <c r="T878" s="27"/>
      <c r="U878" s="27"/>
      <c r="V878" s="12"/>
      <c r="W878" s="12"/>
      <c r="X878" s="12"/>
      <c r="Y878" s="12"/>
      <c r="Z878" s="31"/>
      <c r="AA878" s="12"/>
      <c r="AB878" s="12"/>
      <c r="AC878" s="12"/>
      <c r="AD878" s="12"/>
      <c r="AE878" s="12"/>
      <c r="AF878" s="12"/>
      <c r="AG878" s="12"/>
      <c r="AH878" s="12"/>
    </row>
    <row r="879" spans="1:34" ht="12.75">
      <c r="A879" s="12"/>
      <c r="B879" s="12"/>
      <c r="C879" s="12"/>
      <c r="D879" s="12"/>
      <c r="E879" s="12"/>
      <c r="F879" s="12"/>
      <c r="G879" s="12"/>
      <c r="H879" s="12"/>
      <c r="I879" s="12"/>
      <c r="J879" s="12"/>
      <c r="K879" s="12"/>
      <c r="L879" s="12"/>
      <c r="M879" s="12"/>
      <c r="N879" s="12"/>
      <c r="O879" s="12"/>
      <c r="P879" s="12"/>
      <c r="Q879" s="12"/>
      <c r="R879" s="27"/>
      <c r="S879" s="27"/>
      <c r="T879" s="27"/>
      <c r="U879" s="27"/>
      <c r="V879" s="12"/>
      <c r="W879" s="12"/>
      <c r="X879" s="12"/>
      <c r="Y879" s="12"/>
      <c r="Z879" s="31"/>
      <c r="AA879" s="12"/>
      <c r="AB879" s="12"/>
      <c r="AC879" s="12"/>
      <c r="AD879" s="12"/>
      <c r="AE879" s="12"/>
      <c r="AF879" s="12"/>
      <c r="AG879" s="12"/>
      <c r="AH879" s="12"/>
    </row>
    <row r="880" spans="1:34" ht="12.75">
      <c r="A880" s="12"/>
      <c r="B880" s="12"/>
      <c r="C880" s="12"/>
      <c r="D880" s="12"/>
      <c r="E880" s="12"/>
      <c r="F880" s="12"/>
      <c r="G880" s="12"/>
      <c r="H880" s="12"/>
      <c r="I880" s="12"/>
      <c r="J880" s="12"/>
      <c r="K880" s="12"/>
      <c r="L880" s="12"/>
      <c r="M880" s="12"/>
      <c r="N880" s="12"/>
      <c r="O880" s="12"/>
      <c r="P880" s="12"/>
      <c r="Q880" s="12"/>
      <c r="R880" s="27"/>
      <c r="S880" s="27"/>
      <c r="T880" s="27"/>
      <c r="U880" s="27"/>
      <c r="V880" s="12"/>
      <c r="W880" s="12"/>
      <c r="X880" s="12"/>
      <c r="Y880" s="12"/>
      <c r="Z880" s="31"/>
      <c r="AA880" s="12"/>
      <c r="AB880" s="12"/>
      <c r="AC880" s="12"/>
      <c r="AD880" s="12"/>
      <c r="AE880" s="12"/>
      <c r="AF880" s="12"/>
      <c r="AG880" s="12"/>
      <c r="AH880" s="12"/>
    </row>
    <row r="881" spans="1:34" ht="12.75">
      <c r="A881" s="12"/>
      <c r="B881" s="12"/>
      <c r="C881" s="12"/>
      <c r="D881" s="12"/>
      <c r="E881" s="12"/>
      <c r="F881" s="12"/>
      <c r="G881" s="12"/>
      <c r="H881" s="12"/>
      <c r="I881" s="12"/>
      <c r="J881" s="12"/>
      <c r="K881" s="12"/>
      <c r="L881" s="12"/>
      <c r="M881" s="12"/>
      <c r="N881" s="12"/>
      <c r="O881" s="12"/>
      <c r="P881" s="12"/>
      <c r="Q881" s="12"/>
      <c r="R881" s="27"/>
      <c r="S881" s="27"/>
      <c r="T881" s="27"/>
      <c r="U881" s="27"/>
      <c r="V881" s="12"/>
      <c r="W881" s="12"/>
      <c r="X881" s="12"/>
      <c r="Y881" s="12"/>
      <c r="Z881" s="31"/>
      <c r="AA881" s="12"/>
      <c r="AB881" s="12"/>
      <c r="AC881" s="12"/>
      <c r="AD881" s="12"/>
      <c r="AE881" s="12"/>
      <c r="AF881" s="12"/>
      <c r="AG881" s="12"/>
      <c r="AH881" s="12"/>
    </row>
    <row r="882" spans="1:34" ht="12.75">
      <c r="A882" s="12"/>
      <c r="B882" s="12"/>
      <c r="C882" s="12"/>
      <c r="D882" s="12"/>
      <c r="E882" s="12"/>
      <c r="F882" s="12"/>
      <c r="G882" s="12"/>
      <c r="H882" s="12"/>
      <c r="I882" s="12"/>
      <c r="J882" s="12"/>
      <c r="K882" s="12"/>
      <c r="L882" s="12"/>
      <c r="M882" s="12"/>
      <c r="N882" s="12"/>
      <c r="O882" s="12"/>
      <c r="P882" s="12"/>
      <c r="Q882" s="12"/>
      <c r="R882" s="27"/>
      <c r="S882" s="27"/>
      <c r="T882" s="27"/>
      <c r="U882" s="27"/>
      <c r="V882" s="12"/>
      <c r="W882" s="12"/>
      <c r="X882" s="12"/>
      <c r="Y882" s="12"/>
      <c r="Z882" s="31"/>
      <c r="AA882" s="12"/>
      <c r="AB882" s="12"/>
      <c r="AC882" s="12"/>
      <c r="AD882" s="12"/>
      <c r="AE882" s="12"/>
      <c r="AF882" s="12"/>
      <c r="AG882" s="12"/>
      <c r="AH882" s="12"/>
    </row>
    <row r="883" spans="1:34" ht="12.75">
      <c r="A883" s="12"/>
      <c r="B883" s="12"/>
      <c r="C883" s="12"/>
      <c r="D883" s="12"/>
      <c r="E883" s="12"/>
      <c r="F883" s="12"/>
      <c r="G883" s="12"/>
      <c r="H883" s="12"/>
      <c r="I883" s="12"/>
      <c r="J883" s="12"/>
      <c r="K883" s="12"/>
      <c r="L883" s="12"/>
      <c r="M883" s="12"/>
      <c r="N883" s="12"/>
      <c r="O883" s="12"/>
      <c r="P883" s="12"/>
      <c r="Q883" s="12"/>
      <c r="R883" s="27"/>
      <c r="S883" s="27"/>
      <c r="T883" s="27"/>
      <c r="U883" s="27"/>
      <c r="V883" s="12"/>
      <c r="W883" s="12"/>
      <c r="X883" s="12"/>
      <c r="Y883" s="12"/>
      <c r="Z883" s="31"/>
      <c r="AA883" s="12"/>
      <c r="AB883" s="12"/>
      <c r="AC883" s="12"/>
      <c r="AD883" s="12"/>
      <c r="AE883" s="12"/>
      <c r="AF883" s="12"/>
      <c r="AG883" s="12"/>
      <c r="AH883" s="12"/>
    </row>
    <row r="884" spans="1:34" ht="12.75">
      <c r="A884" s="12"/>
      <c r="B884" s="12"/>
      <c r="C884" s="12"/>
      <c r="D884" s="12"/>
      <c r="E884" s="12"/>
      <c r="F884" s="12"/>
      <c r="G884" s="12"/>
      <c r="H884" s="12"/>
      <c r="I884" s="12"/>
      <c r="J884" s="12"/>
      <c r="K884" s="12"/>
      <c r="L884" s="12"/>
      <c r="M884" s="12"/>
      <c r="N884" s="12"/>
      <c r="O884" s="12"/>
      <c r="P884" s="12"/>
      <c r="Q884" s="12"/>
      <c r="R884" s="27"/>
      <c r="S884" s="27"/>
      <c r="T884" s="27"/>
      <c r="U884" s="27"/>
      <c r="V884" s="12"/>
      <c r="W884" s="12"/>
      <c r="X884" s="12"/>
      <c r="Y884" s="12"/>
      <c r="Z884" s="31"/>
      <c r="AA884" s="12"/>
      <c r="AB884" s="12"/>
      <c r="AC884" s="12"/>
      <c r="AD884" s="12"/>
      <c r="AE884" s="12"/>
      <c r="AF884" s="12"/>
      <c r="AG884" s="12"/>
      <c r="AH884" s="12"/>
    </row>
    <row r="885" spans="1:34" ht="12.75">
      <c r="A885" s="12"/>
      <c r="B885" s="12"/>
      <c r="C885" s="12"/>
      <c r="D885" s="12"/>
      <c r="E885" s="12"/>
      <c r="F885" s="12"/>
      <c r="G885" s="12"/>
      <c r="H885" s="12"/>
      <c r="I885" s="12"/>
      <c r="J885" s="12"/>
      <c r="K885" s="12"/>
      <c r="L885" s="12"/>
      <c r="M885" s="12"/>
      <c r="N885" s="12"/>
      <c r="O885" s="12"/>
      <c r="P885" s="12"/>
      <c r="Q885" s="12"/>
      <c r="R885" s="27"/>
      <c r="S885" s="27"/>
      <c r="T885" s="27"/>
      <c r="U885" s="27"/>
      <c r="V885" s="12"/>
      <c r="W885" s="12"/>
      <c r="X885" s="12"/>
      <c r="Y885" s="12"/>
      <c r="Z885" s="31"/>
      <c r="AA885" s="12"/>
      <c r="AB885" s="12"/>
      <c r="AC885" s="12"/>
      <c r="AD885" s="12"/>
      <c r="AE885" s="12"/>
      <c r="AF885" s="12"/>
      <c r="AG885" s="12"/>
      <c r="AH885" s="12"/>
    </row>
    <row r="886" spans="1:34" ht="12.75">
      <c r="A886" s="12"/>
      <c r="B886" s="12"/>
      <c r="C886" s="12"/>
      <c r="D886" s="12"/>
      <c r="E886" s="12"/>
      <c r="F886" s="12"/>
      <c r="G886" s="12"/>
      <c r="H886" s="12"/>
      <c r="I886" s="12"/>
      <c r="J886" s="12"/>
      <c r="K886" s="12"/>
      <c r="L886" s="12"/>
      <c r="M886" s="12"/>
      <c r="N886" s="12"/>
      <c r="O886" s="12"/>
      <c r="P886" s="12"/>
      <c r="Q886" s="12"/>
      <c r="R886" s="27"/>
      <c r="S886" s="27"/>
      <c r="T886" s="27"/>
      <c r="U886" s="27"/>
      <c r="V886" s="12"/>
      <c r="W886" s="12"/>
      <c r="X886" s="12"/>
      <c r="Y886" s="12"/>
      <c r="Z886" s="31"/>
      <c r="AA886" s="12"/>
      <c r="AB886" s="12"/>
      <c r="AC886" s="12"/>
      <c r="AD886" s="12"/>
      <c r="AE886" s="12"/>
      <c r="AF886" s="12"/>
      <c r="AG886" s="12"/>
      <c r="AH886" s="12"/>
    </row>
    <row r="887" spans="1:34" ht="12.75">
      <c r="A887" s="12"/>
      <c r="B887" s="12"/>
      <c r="C887" s="12"/>
      <c r="D887" s="12"/>
      <c r="E887" s="12"/>
      <c r="F887" s="12"/>
      <c r="G887" s="12"/>
      <c r="H887" s="12"/>
      <c r="I887" s="12"/>
      <c r="J887" s="12"/>
      <c r="K887" s="12"/>
      <c r="L887" s="12"/>
      <c r="M887" s="12"/>
      <c r="N887" s="12"/>
      <c r="O887" s="12"/>
      <c r="P887" s="12"/>
      <c r="Q887" s="12"/>
      <c r="R887" s="27"/>
      <c r="S887" s="27"/>
      <c r="T887" s="27"/>
      <c r="U887" s="27"/>
      <c r="V887" s="12"/>
      <c r="W887" s="12"/>
      <c r="X887" s="12"/>
      <c r="Y887" s="12"/>
      <c r="Z887" s="31"/>
      <c r="AA887" s="12"/>
      <c r="AB887" s="12"/>
      <c r="AC887" s="12"/>
      <c r="AD887" s="12"/>
      <c r="AE887" s="12"/>
      <c r="AF887" s="12"/>
      <c r="AG887" s="12"/>
      <c r="AH887" s="12"/>
    </row>
    <row r="888" spans="1:34" ht="12.75">
      <c r="A888" s="12"/>
      <c r="B888" s="12"/>
      <c r="C888" s="12"/>
      <c r="D888" s="12"/>
      <c r="E888" s="12"/>
      <c r="F888" s="12"/>
      <c r="G888" s="12"/>
      <c r="H888" s="12"/>
      <c r="I888" s="12"/>
      <c r="J888" s="12"/>
      <c r="K888" s="12"/>
      <c r="L888" s="12"/>
      <c r="M888" s="12"/>
      <c r="N888" s="12"/>
      <c r="O888" s="12"/>
      <c r="P888" s="12"/>
      <c r="Q888" s="12"/>
      <c r="R888" s="27"/>
      <c r="S888" s="27"/>
      <c r="T888" s="27"/>
      <c r="U888" s="27"/>
      <c r="V888" s="12"/>
      <c r="W888" s="12"/>
      <c r="X888" s="12"/>
      <c r="Y888" s="12"/>
      <c r="Z888" s="31"/>
      <c r="AA888" s="12"/>
      <c r="AB888" s="12"/>
      <c r="AC888" s="12"/>
      <c r="AD888" s="12"/>
      <c r="AE888" s="12"/>
      <c r="AF888" s="12"/>
      <c r="AG888" s="12"/>
      <c r="AH888" s="12"/>
    </row>
    <row r="889" spans="1:34" ht="12.75">
      <c r="A889" s="12"/>
      <c r="B889" s="12"/>
      <c r="C889" s="12"/>
      <c r="D889" s="12"/>
      <c r="E889" s="12"/>
      <c r="F889" s="12"/>
      <c r="G889" s="12"/>
      <c r="H889" s="12"/>
      <c r="I889" s="12"/>
      <c r="J889" s="12"/>
      <c r="K889" s="12"/>
      <c r="L889" s="12"/>
      <c r="M889" s="12"/>
      <c r="N889" s="12"/>
      <c r="O889" s="12"/>
      <c r="P889" s="12"/>
      <c r="Q889" s="12"/>
      <c r="R889" s="27"/>
      <c r="S889" s="27"/>
      <c r="T889" s="27"/>
      <c r="U889" s="27"/>
      <c r="V889" s="12"/>
      <c r="W889" s="12"/>
      <c r="X889" s="12"/>
      <c r="Y889" s="12"/>
      <c r="Z889" s="31"/>
      <c r="AA889" s="12"/>
      <c r="AB889" s="12"/>
      <c r="AC889" s="12"/>
      <c r="AD889" s="12"/>
      <c r="AE889" s="12"/>
      <c r="AF889" s="12"/>
      <c r="AG889" s="12"/>
      <c r="AH889" s="12"/>
    </row>
    <row r="890" spans="1:34" ht="12.75">
      <c r="A890" s="12"/>
      <c r="B890" s="12"/>
      <c r="C890" s="12"/>
      <c r="D890" s="12"/>
      <c r="E890" s="12"/>
      <c r="F890" s="12"/>
      <c r="G890" s="12"/>
      <c r="H890" s="12"/>
      <c r="I890" s="12"/>
      <c r="J890" s="12"/>
      <c r="K890" s="12"/>
      <c r="L890" s="12"/>
      <c r="M890" s="12"/>
      <c r="N890" s="12"/>
      <c r="O890" s="12"/>
      <c r="P890" s="12"/>
      <c r="Q890" s="12"/>
      <c r="R890" s="27"/>
      <c r="S890" s="27"/>
      <c r="T890" s="27"/>
      <c r="U890" s="27"/>
      <c r="V890" s="12"/>
      <c r="W890" s="12"/>
      <c r="X890" s="12"/>
      <c r="Y890" s="12"/>
      <c r="Z890" s="31"/>
      <c r="AA890" s="12"/>
      <c r="AB890" s="12"/>
      <c r="AC890" s="12"/>
      <c r="AD890" s="12"/>
      <c r="AE890" s="12"/>
      <c r="AF890" s="12"/>
      <c r="AG890" s="12"/>
      <c r="AH890" s="12"/>
    </row>
    <row r="891" spans="1:34" ht="12.75">
      <c r="A891" s="12"/>
      <c r="B891" s="12"/>
      <c r="C891" s="12"/>
      <c r="D891" s="12"/>
      <c r="E891" s="12"/>
      <c r="F891" s="12"/>
      <c r="G891" s="12"/>
      <c r="H891" s="12"/>
      <c r="I891" s="12"/>
      <c r="J891" s="12"/>
      <c r="K891" s="12"/>
      <c r="L891" s="12"/>
      <c r="M891" s="12"/>
      <c r="N891" s="12"/>
      <c r="O891" s="12"/>
      <c r="P891" s="12"/>
      <c r="Q891" s="12"/>
      <c r="R891" s="27"/>
      <c r="S891" s="27"/>
      <c r="T891" s="27"/>
      <c r="U891" s="27"/>
      <c r="V891" s="12"/>
      <c r="W891" s="12"/>
      <c r="X891" s="12"/>
      <c r="Y891" s="12"/>
      <c r="Z891" s="31"/>
      <c r="AA891" s="12"/>
      <c r="AB891" s="12"/>
      <c r="AC891" s="12"/>
      <c r="AD891" s="12"/>
      <c r="AE891" s="12"/>
      <c r="AF891" s="12"/>
      <c r="AG891" s="12"/>
      <c r="AH891" s="12"/>
    </row>
    <row r="892" spans="1:34" ht="12.75">
      <c r="A892" s="12"/>
      <c r="B892" s="12"/>
      <c r="C892" s="12"/>
      <c r="D892" s="12"/>
      <c r="E892" s="12"/>
      <c r="F892" s="12"/>
      <c r="G892" s="12"/>
      <c r="H892" s="12"/>
      <c r="I892" s="12"/>
      <c r="J892" s="12"/>
      <c r="K892" s="12"/>
      <c r="L892" s="12"/>
      <c r="M892" s="12"/>
      <c r="N892" s="12"/>
      <c r="O892" s="12"/>
      <c r="P892" s="12"/>
      <c r="Q892" s="12"/>
      <c r="R892" s="27"/>
      <c r="S892" s="27"/>
      <c r="T892" s="27"/>
      <c r="U892" s="27"/>
      <c r="V892" s="12"/>
      <c r="W892" s="12"/>
      <c r="X892" s="12"/>
      <c r="Y892" s="12"/>
      <c r="Z892" s="31"/>
      <c r="AA892" s="12"/>
      <c r="AB892" s="12"/>
      <c r="AC892" s="12"/>
      <c r="AD892" s="12"/>
      <c r="AE892" s="12"/>
      <c r="AF892" s="12"/>
      <c r="AG892" s="12"/>
      <c r="AH892" s="12"/>
    </row>
    <row r="893" spans="1:34" ht="12.75">
      <c r="A893" s="12"/>
      <c r="B893" s="12"/>
      <c r="C893" s="12"/>
      <c r="D893" s="12"/>
      <c r="E893" s="12"/>
      <c r="F893" s="12"/>
      <c r="G893" s="12"/>
      <c r="H893" s="12"/>
      <c r="I893" s="12"/>
      <c r="J893" s="12"/>
      <c r="K893" s="12"/>
      <c r="L893" s="12"/>
      <c r="M893" s="12"/>
      <c r="N893" s="12"/>
      <c r="O893" s="12"/>
      <c r="P893" s="12"/>
      <c r="Q893" s="12"/>
      <c r="R893" s="27"/>
      <c r="S893" s="27"/>
      <c r="T893" s="27"/>
      <c r="U893" s="27"/>
      <c r="V893" s="12"/>
      <c r="W893" s="12"/>
      <c r="X893" s="12"/>
      <c r="Y893" s="12"/>
      <c r="Z893" s="31"/>
      <c r="AA893" s="12"/>
      <c r="AB893" s="12"/>
      <c r="AC893" s="12"/>
      <c r="AD893" s="12"/>
      <c r="AE893" s="12"/>
      <c r="AF893" s="12"/>
      <c r="AG893" s="12"/>
      <c r="AH893" s="12"/>
    </row>
    <row r="894" spans="1:34" ht="12.75">
      <c r="A894" s="12"/>
      <c r="B894" s="12"/>
      <c r="C894" s="12"/>
      <c r="D894" s="12"/>
      <c r="E894" s="12"/>
      <c r="F894" s="12"/>
      <c r="G894" s="12"/>
      <c r="H894" s="12"/>
      <c r="I894" s="12"/>
      <c r="J894" s="12"/>
      <c r="K894" s="12"/>
      <c r="L894" s="12"/>
      <c r="M894" s="12"/>
      <c r="N894" s="12"/>
      <c r="O894" s="12"/>
      <c r="P894" s="12"/>
      <c r="Q894" s="12"/>
      <c r="R894" s="27"/>
      <c r="S894" s="27"/>
      <c r="T894" s="27"/>
      <c r="U894" s="27"/>
      <c r="V894" s="12"/>
      <c r="W894" s="12"/>
      <c r="X894" s="12"/>
      <c r="Y894" s="12"/>
      <c r="Z894" s="31"/>
      <c r="AA894" s="12"/>
      <c r="AB894" s="12"/>
      <c r="AC894" s="12"/>
      <c r="AD894" s="12"/>
      <c r="AE894" s="12"/>
      <c r="AF894" s="12"/>
      <c r="AG894" s="12"/>
      <c r="AH894" s="12"/>
    </row>
    <row r="895" spans="1:34" ht="12.75">
      <c r="A895" s="12"/>
      <c r="B895" s="12"/>
      <c r="C895" s="12"/>
      <c r="D895" s="12"/>
      <c r="E895" s="12"/>
      <c r="F895" s="12"/>
      <c r="G895" s="12"/>
      <c r="H895" s="12"/>
      <c r="I895" s="12"/>
      <c r="J895" s="12"/>
      <c r="K895" s="12"/>
      <c r="L895" s="12"/>
      <c r="M895" s="12"/>
      <c r="N895" s="12"/>
      <c r="O895" s="12"/>
      <c r="P895" s="12"/>
      <c r="Q895" s="12"/>
      <c r="R895" s="27"/>
      <c r="S895" s="27"/>
      <c r="T895" s="27"/>
      <c r="U895" s="27"/>
      <c r="V895" s="12"/>
      <c r="W895" s="12"/>
      <c r="X895" s="12"/>
      <c r="Y895" s="12"/>
      <c r="Z895" s="31"/>
      <c r="AA895" s="12"/>
      <c r="AB895" s="12"/>
      <c r="AC895" s="12"/>
      <c r="AD895" s="12"/>
      <c r="AE895" s="12"/>
      <c r="AF895" s="12"/>
      <c r="AG895" s="12"/>
      <c r="AH895" s="12"/>
    </row>
    <row r="896" spans="1:34" ht="12.75">
      <c r="A896" s="12"/>
      <c r="B896" s="12"/>
      <c r="C896" s="12"/>
      <c r="D896" s="12"/>
      <c r="E896" s="12"/>
      <c r="F896" s="12"/>
      <c r="G896" s="12"/>
      <c r="H896" s="12"/>
      <c r="I896" s="12"/>
      <c r="J896" s="12"/>
      <c r="K896" s="12"/>
      <c r="L896" s="12"/>
      <c r="M896" s="12"/>
      <c r="N896" s="12"/>
      <c r="O896" s="12"/>
      <c r="P896" s="12"/>
      <c r="Q896" s="12"/>
      <c r="R896" s="27"/>
      <c r="S896" s="27"/>
      <c r="T896" s="27"/>
      <c r="U896" s="27"/>
      <c r="V896" s="12"/>
      <c r="W896" s="12"/>
      <c r="X896" s="12"/>
      <c r="Y896" s="12"/>
      <c r="Z896" s="31"/>
      <c r="AA896" s="12"/>
      <c r="AB896" s="12"/>
      <c r="AC896" s="12"/>
      <c r="AD896" s="12"/>
      <c r="AE896" s="12"/>
      <c r="AF896" s="12"/>
      <c r="AG896" s="12"/>
      <c r="AH896" s="12"/>
    </row>
    <row r="897" spans="1:34" ht="12.75">
      <c r="A897" s="12"/>
      <c r="B897" s="12"/>
      <c r="C897" s="12"/>
      <c r="D897" s="12"/>
      <c r="E897" s="12"/>
      <c r="F897" s="12"/>
      <c r="G897" s="12"/>
      <c r="H897" s="12"/>
      <c r="I897" s="12"/>
      <c r="J897" s="12"/>
      <c r="K897" s="12"/>
      <c r="L897" s="12"/>
      <c r="M897" s="12"/>
      <c r="N897" s="12"/>
      <c r="O897" s="12"/>
      <c r="P897" s="12"/>
      <c r="Q897" s="12"/>
      <c r="R897" s="27"/>
      <c r="S897" s="27"/>
      <c r="T897" s="27"/>
      <c r="U897" s="27"/>
      <c r="V897" s="12"/>
      <c r="W897" s="12"/>
      <c r="X897" s="12"/>
      <c r="Y897" s="12"/>
      <c r="Z897" s="31"/>
      <c r="AA897" s="12"/>
      <c r="AB897" s="12"/>
      <c r="AC897" s="12"/>
      <c r="AD897" s="12"/>
      <c r="AE897" s="12"/>
      <c r="AF897" s="12"/>
      <c r="AG897" s="12"/>
      <c r="AH897" s="12"/>
    </row>
    <row r="898" spans="1:34" ht="12.75">
      <c r="A898" s="12"/>
      <c r="B898" s="12"/>
      <c r="C898" s="12"/>
      <c r="D898" s="12"/>
      <c r="E898" s="12"/>
      <c r="F898" s="12"/>
      <c r="G898" s="12"/>
      <c r="H898" s="12"/>
      <c r="I898" s="12"/>
      <c r="J898" s="12"/>
      <c r="K898" s="12"/>
      <c r="L898" s="12"/>
      <c r="M898" s="12"/>
      <c r="N898" s="12"/>
      <c r="O898" s="12"/>
      <c r="P898" s="12"/>
      <c r="Q898" s="12"/>
      <c r="R898" s="27"/>
      <c r="S898" s="27"/>
      <c r="T898" s="27"/>
      <c r="U898" s="27"/>
      <c r="V898" s="12"/>
      <c r="W898" s="12"/>
      <c r="X898" s="12"/>
      <c r="Y898" s="12"/>
      <c r="Z898" s="31"/>
      <c r="AA898" s="12"/>
      <c r="AB898" s="12"/>
      <c r="AC898" s="12"/>
      <c r="AD898" s="12"/>
      <c r="AE898" s="12"/>
      <c r="AF898" s="12"/>
      <c r="AG898" s="12"/>
      <c r="AH898" s="12"/>
    </row>
    <row r="899" spans="1:34" ht="12.75">
      <c r="A899" s="12"/>
      <c r="B899" s="12"/>
      <c r="C899" s="12"/>
      <c r="D899" s="12"/>
      <c r="E899" s="12"/>
      <c r="F899" s="12"/>
      <c r="G899" s="12"/>
      <c r="H899" s="12"/>
      <c r="I899" s="12"/>
      <c r="J899" s="12"/>
      <c r="K899" s="12"/>
      <c r="L899" s="12"/>
      <c r="M899" s="12"/>
      <c r="N899" s="12"/>
      <c r="O899" s="12"/>
      <c r="P899" s="12"/>
      <c r="Q899" s="12"/>
      <c r="R899" s="27"/>
      <c r="S899" s="27"/>
      <c r="T899" s="27"/>
      <c r="U899" s="27"/>
      <c r="V899" s="12"/>
      <c r="W899" s="12"/>
      <c r="X899" s="12"/>
      <c r="Y899" s="12"/>
      <c r="Z899" s="31"/>
      <c r="AA899" s="12"/>
      <c r="AB899" s="12"/>
      <c r="AC899" s="12"/>
      <c r="AD899" s="12"/>
      <c r="AE899" s="12"/>
      <c r="AF899" s="12"/>
      <c r="AG899" s="12"/>
      <c r="AH899" s="12"/>
    </row>
    <row r="900" spans="1:34" ht="12.75">
      <c r="A900" s="12"/>
      <c r="B900" s="12"/>
      <c r="C900" s="12"/>
      <c r="D900" s="12"/>
      <c r="E900" s="12"/>
      <c r="F900" s="12"/>
      <c r="G900" s="12"/>
      <c r="H900" s="12"/>
      <c r="I900" s="12"/>
      <c r="J900" s="12"/>
      <c r="K900" s="12"/>
      <c r="L900" s="12"/>
      <c r="M900" s="12"/>
      <c r="N900" s="12"/>
      <c r="O900" s="12"/>
      <c r="P900" s="12"/>
      <c r="Q900" s="12"/>
      <c r="R900" s="27"/>
      <c r="S900" s="27"/>
      <c r="T900" s="27"/>
      <c r="U900" s="27"/>
      <c r="V900" s="12"/>
      <c r="W900" s="12"/>
      <c r="X900" s="12"/>
      <c r="Y900" s="12"/>
      <c r="Z900" s="31"/>
      <c r="AA900" s="12"/>
      <c r="AB900" s="12"/>
      <c r="AC900" s="12"/>
      <c r="AD900" s="12"/>
      <c r="AE900" s="12"/>
      <c r="AF900" s="12"/>
      <c r="AG900" s="12"/>
      <c r="AH900" s="12"/>
    </row>
    <row r="901" spans="1:34" ht="12.75">
      <c r="A901" s="12"/>
      <c r="B901" s="12"/>
      <c r="C901" s="12"/>
      <c r="D901" s="12"/>
      <c r="E901" s="12"/>
      <c r="F901" s="12"/>
      <c r="G901" s="12"/>
      <c r="H901" s="12"/>
      <c r="I901" s="12"/>
      <c r="J901" s="12"/>
      <c r="K901" s="12"/>
      <c r="L901" s="12"/>
      <c r="M901" s="12"/>
      <c r="N901" s="12"/>
      <c r="O901" s="12"/>
      <c r="P901" s="12"/>
      <c r="Q901" s="12"/>
      <c r="R901" s="27"/>
      <c r="S901" s="27"/>
      <c r="T901" s="27"/>
      <c r="U901" s="27"/>
      <c r="V901" s="12"/>
      <c r="W901" s="12"/>
      <c r="X901" s="12"/>
      <c r="Y901" s="12"/>
      <c r="Z901" s="31"/>
      <c r="AA901" s="12"/>
      <c r="AB901" s="12"/>
      <c r="AC901" s="12"/>
      <c r="AD901" s="12"/>
      <c r="AE901" s="12"/>
      <c r="AF901" s="12"/>
      <c r="AG901" s="12"/>
      <c r="AH901" s="12"/>
    </row>
    <row r="902" spans="1:34" ht="12.75">
      <c r="A902" s="12"/>
      <c r="B902" s="12"/>
      <c r="C902" s="12"/>
      <c r="D902" s="12"/>
      <c r="E902" s="12"/>
      <c r="F902" s="12"/>
      <c r="G902" s="12"/>
      <c r="H902" s="12"/>
      <c r="I902" s="12"/>
      <c r="J902" s="12"/>
      <c r="K902" s="12"/>
      <c r="L902" s="12"/>
      <c r="M902" s="12"/>
      <c r="N902" s="12"/>
      <c r="O902" s="12"/>
      <c r="P902" s="12"/>
      <c r="Q902" s="12"/>
      <c r="R902" s="27"/>
      <c r="S902" s="27"/>
      <c r="T902" s="27"/>
      <c r="U902" s="27"/>
      <c r="V902" s="12"/>
      <c r="W902" s="12"/>
      <c r="X902" s="12"/>
      <c r="Y902" s="12"/>
      <c r="Z902" s="31"/>
      <c r="AA902" s="12"/>
      <c r="AB902" s="12"/>
      <c r="AC902" s="12"/>
      <c r="AD902" s="12"/>
      <c r="AE902" s="12"/>
      <c r="AF902" s="12"/>
      <c r="AG902" s="12"/>
      <c r="AH902" s="12"/>
    </row>
    <row r="903" spans="1:34" ht="12.75">
      <c r="A903" s="12"/>
      <c r="B903" s="12"/>
      <c r="C903" s="12"/>
      <c r="D903" s="12"/>
      <c r="E903" s="12"/>
      <c r="F903" s="12"/>
      <c r="G903" s="12"/>
      <c r="H903" s="12"/>
      <c r="I903" s="12"/>
      <c r="J903" s="12"/>
      <c r="K903" s="12"/>
      <c r="L903" s="12"/>
      <c r="M903" s="12"/>
      <c r="N903" s="12"/>
      <c r="O903" s="12"/>
      <c r="P903" s="12"/>
      <c r="Q903" s="12"/>
      <c r="R903" s="27"/>
      <c r="S903" s="27"/>
      <c r="T903" s="27"/>
      <c r="U903" s="27"/>
      <c r="V903" s="12"/>
      <c r="W903" s="12"/>
      <c r="X903" s="12"/>
      <c r="Y903" s="12"/>
      <c r="Z903" s="31"/>
      <c r="AA903" s="12"/>
      <c r="AB903" s="12"/>
      <c r="AC903" s="12"/>
      <c r="AD903" s="12"/>
      <c r="AE903" s="12"/>
      <c r="AF903" s="12"/>
      <c r="AG903" s="12"/>
      <c r="AH903" s="12"/>
    </row>
    <row r="904" spans="1:34" ht="12.75">
      <c r="A904" s="12"/>
      <c r="B904" s="12"/>
      <c r="C904" s="12"/>
      <c r="D904" s="12"/>
      <c r="E904" s="12"/>
      <c r="F904" s="12"/>
      <c r="G904" s="12"/>
      <c r="H904" s="12"/>
      <c r="I904" s="12"/>
      <c r="J904" s="12"/>
      <c r="K904" s="12"/>
      <c r="L904" s="12"/>
      <c r="M904" s="12"/>
      <c r="N904" s="12"/>
      <c r="O904" s="12"/>
      <c r="P904" s="12"/>
      <c r="Q904" s="12"/>
      <c r="R904" s="27"/>
      <c r="S904" s="27"/>
      <c r="T904" s="27"/>
      <c r="U904" s="27"/>
      <c r="V904" s="12"/>
      <c r="W904" s="12"/>
      <c r="X904" s="12"/>
      <c r="Y904" s="12"/>
      <c r="Z904" s="31"/>
      <c r="AA904" s="12"/>
      <c r="AB904" s="12"/>
      <c r="AC904" s="12"/>
      <c r="AD904" s="12"/>
      <c r="AE904" s="12"/>
      <c r="AF904" s="12"/>
      <c r="AG904" s="12"/>
      <c r="AH904" s="12"/>
    </row>
    <row r="905" spans="1:34" ht="12.75">
      <c r="A905" s="12"/>
      <c r="B905" s="12"/>
      <c r="C905" s="12"/>
      <c r="D905" s="12"/>
      <c r="E905" s="12"/>
      <c r="F905" s="12"/>
      <c r="G905" s="12"/>
      <c r="H905" s="12"/>
      <c r="I905" s="12"/>
      <c r="J905" s="12"/>
      <c r="K905" s="12"/>
      <c r="L905" s="12"/>
      <c r="M905" s="12"/>
      <c r="N905" s="12"/>
      <c r="O905" s="12"/>
      <c r="P905" s="12"/>
      <c r="Q905" s="12"/>
      <c r="R905" s="27"/>
      <c r="S905" s="27"/>
      <c r="T905" s="27"/>
      <c r="U905" s="27"/>
      <c r="V905" s="12"/>
      <c r="W905" s="12"/>
      <c r="X905" s="12"/>
      <c r="Y905" s="12"/>
      <c r="Z905" s="31"/>
      <c r="AA905" s="12"/>
      <c r="AB905" s="12"/>
      <c r="AC905" s="12"/>
      <c r="AD905" s="12"/>
      <c r="AE905" s="12"/>
      <c r="AF905" s="12"/>
      <c r="AG905" s="12"/>
      <c r="AH905" s="12"/>
    </row>
    <row r="906" spans="1:34" ht="12.75">
      <c r="A906" s="12"/>
      <c r="B906" s="12"/>
      <c r="C906" s="12"/>
      <c r="D906" s="12"/>
      <c r="E906" s="12"/>
      <c r="F906" s="12"/>
      <c r="G906" s="12"/>
      <c r="H906" s="12"/>
      <c r="I906" s="12"/>
      <c r="J906" s="12"/>
      <c r="K906" s="12"/>
      <c r="L906" s="12"/>
      <c r="M906" s="12"/>
      <c r="N906" s="12"/>
      <c r="O906" s="12"/>
      <c r="P906" s="12"/>
      <c r="Q906" s="12"/>
      <c r="R906" s="27"/>
      <c r="S906" s="27"/>
      <c r="T906" s="27"/>
      <c r="U906" s="27"/>
      <c r="V906" s="12"/>
      <c r="W906" s="12"/>
      <c r="X906" s="12"/>
      <c r="Y906" s="12"/>
      <c r="Z906" s="31"/>
      <c r="AA906" s="12"/>
      <c r="AB906" s="12"/>
      <c r="AC906" s="12"/>
      <c r="AD906" s="12"/>
      <c r="AE906" s="12"/>
      <c r="AF906" s="12"/>
      <c r="AG906" s="12"/>
      <c r="AH906" s="12"/>
    </row>
    <row r="907" spans="1:34" ht="12.75">
      <c r="A907" s="12"/>
      <c r="B907" s="12"/>
      <c r="C907" s="12"/>
      <c r="D907" s="12"/>
      <c r="E907" s="12"/>
      <c r="F907" s="12"/>
      <c r="G907" s="12"/>
      <c r="H907" s="12"/>
      <c r="I907" s="12"/>
      <c r="J907" s="12"/>
      <c r="K907" s="12"/>
      <c r="L907" s="12"/>
      <c r="M907" s="12"/>
      <c r="N907" s="12"/>
      <c r="O907" s="12"/>
      <c r="P907" s="12"/>
      <c r="Q907" s="12"/>
      <c r="R907" s="27"/>
      <c r="S907" s="27"/>
      <c r="T907" s="27"/>
      <c r="U907" s="27"/>
      <c r="V907" s="12"/>
      <c r="W907" s="12"/>
      <c r="X907" s="12"/>
      <c r="Y907" s="12"/>
      <c r="Z907" s="31"/>
      <c r="AA907" s="12"/>
      <c r="AB907" s="12"/>
      <c r="AC907" s="12"/>
      <c r="AD907" s="12"/>
      <c r="AE907" s="12"/>
      <c r="AF907" s="12"/>
      <c r="AG907" s="12"/>
      <c r="AH907" s="12"/>
    </row>
    <row r="908" spans="1:34" ht="12.75">
      <c r="A908" s="12"/>
      <c r="B908" s="12"/>
      <c r="C908" s="12"/>
      <c r="D908" s="12"/>
      <c r="E908" s="12"/>
      <c r="F908" s="12"/>
      <c r="G908" s="12"/>
      <c r="H908" s="12"/>
      <c r="I908" s="12"/>
      <c r="J908" s="12"/>
      <c r="K908" s="12"/>
      <c r="L908" s="12"/>
      <c r="M908" s="12"/>
      <c r="N908" s="12"/>
      <c r="O908" s="12"/>
      <c r="P908" s="12"/>
      <c r="Q908" s="12"/>
      <c r="R908" s="27"/>
      <c r="S908" s="27"/>
      <c r="T908" s="27"/>
      <c r="U908" s="27"/>
      <c r="V908" s="12"/>
      <c r="W908" s="12"/>
      <c r="X908" s="12"/>
      <c r="Y908" s="12"/>
      <c r="Z908" s="31"/>
      <c r="AA908" s="12"/>
      <c r="AB908" s="12"/>
      <c r="AC908" s="12"/>
      <c r="AD908" s="12"/>
      <c r="AE908" s="12"/>
      <c r="AF908" s="12"/>
      <c r="AG908" s="12"/>
      <c r="AH908" s="12"/>
    </row>
    <row r="909" spans="1:34" ht="12.75">
      <c r="A909" s="12"/>
      <c r="B909" s="12"/>
      <c r="C909" s="12"/>
      <c r="D909" s="12"/>
      <c r="E909" s="12"/>
      <c r="F909" s="12"/>
      <c r="G909" s="12"/>
      <c r="H909" s="12"/>
      <c r="I909" s="12"/>
      <c r="J909" s="12"/>
      <c r="K909" s="12"/>
      <c r="L909" s="12"/>
      <c r="M909" s="12"/>
      <c r="N909" s="12"/>
      <c r="O909" s="12"/>
      <c r="P909" s="12"/>
      <c r="Q909" s="12"/>
      <c r="R909" s="27"/>
      <c r="S909" s="27"/>
      <c r="T909" s="27"/>
      <c r="U909" s="27"/>
      <c r="V909" s="12"/>
      <c r="W909" s="12"/>
      <c r="X909" s="12"/>
      <c r="Y909" s="12"/>
      <c r="Z909" s="31"/>
      <c r="AA909" s="12"/>
      <c r="AB909" s="12"/>
      <c r="AC909" s="12"/>
      <c r="AD909" s="12"/>
      <c r="AE909" s="12"/>
      <c r="AF909" s="12"/>
      <c r="AG909" s="12"/>
      <c r="AH909" s="12"/>
    </row>
    <row r="910" spans="1:34" ht="12.75">
      <c r="A910" s="12"/>
      <c r="B910" s="12"/>
      <c r="C910" s="12"/>
      <c r="D910" s="12"/>
      <c r="E910" s="12"/>
      <c r="F910" s="12"/>
      <c r="G910" s="12"/>
      <c r="H910" s="12"/>
      <c r="I910" s="12"/>
      <c r="J910" s="12"/>
      <c r="K910" s="12"/>
      <c r="L910" s="12"/>
      <c r="M910" s="12"/>
      <c r="N910" s="12"/>
      <c r="O910" s="12"/>
      <c r="P910" s="12"/>
      <c r="Q910" s="12"/>
      <c r="R910" s="27"/>
      <c r="S910" s="27"/>
      <c r="T910" s="27"/>
      <c r="U910" s="27"/>
      <c r="V910" s="12"/>
      <c r="W910" s="12"/>
      <c r="X910" s="12"/>
      <c r="Y910" s="12"/>
      <c r="Z910" s="31"/>
      <c r="AA910" s="12"/>
      <c r="AB910" s="12"/>
      <c r="AC910" s="12"/>
      <c r="AD910" s="12"/>
      <c r="AE910" s="12"/>
      <c r="AF910" s="12"/>
      <c r="AG910" s="12"/>
      <c r="AH910" s="12"/>
    </row>
    <row r="911" spans="1:34" ht="12.75">
      <c r="A911" s="12"/>
      <c r="B911" s="12"/>
      <c r="C911" s="12"/>
      <c r="D911" s="12"/>
      <c r="E911" s="12"/>
      <c r="F911" s="12"/>
      <c r="G911" s="12"/>
      <c r="H911" s="12"/>
      <c r="I911" s="12"/>
      <c r="J911" s="12"/>
      <c r="K911" s="12"/>
      <c r="L911" s="12"/>
      <c r="M911" s="12"/>
      <c r="N911" s="12"/>
      <c r="O911" s="12"/>
      <c r="P911" s="12"/>
      <c r="Q911" s="12"/>
      <c r="R911" s="27"/>
      <c r="S911" s="27"/>
      <c r="T911" s="27"/>
      <c r="U911" s="27"/>
      <c r="V911" s="12"/>
      <c r="W911" s="12"/>
      <c r="X911" s="12"/>
      <c r="Y911" s="12"/>
      <c r="Z911" s="31"/>
      <c r="AA911" s="12"/>
      <c r="AB911" s="12"/>
      <c r="AC911" s="12"/>
      <c r="AD911" s="12"/>
      <c r="AE911" s="12"/>
      <c r="AF911" s="12"/>
      <c r="AG911" s="12"/>
      <c r="AH911" s="12"/>
    </row>
    <row r="912" spans="1:34" ht="12.75">
      <c r="A912" s="12"/>
      <c r="B912" s="12"/>
      <c r="C912" s="12"/>
      <c r="D912" s="12"/>
      <c r="E912" s="12"/>
      <c r="F912" s="12"/>
      <c r="G912" s="12"/>
      <c r="H912" s="12"/>
      <c r="I912" s="12"/>
      <c r="J912" s="12"/>
      <c r="K912" s="12"/>
      <c r="L912" s="12"/>
      <c r="M912" s="12"/>
      <c r="N912" s="12"/>
      <c r="O912" s="12"/>
      <c r="P912" s="12"/>
      <c r="Q912" s="12"/>
      <c r="R912" s="27"/>
      <c r="S912" s="27"/>
      <c r="T912" s="27"/>
      <c r="U912" s="27"/>
      <c r="V912" s="12"/>
      <c r="W912" s="12"/>
      <c r="X912" s="12"/>
      <c r="Y912" s="12"/>
      <c r="Z912" s="31"/>
      <c r="AA912" s="12"/>
      <c r="AB912" s="12"/>
      <c r="AC912" s="12"/>
      <c r="AD912" s="12"/>
      <c r="AE912" s="12"/>
      <c r="AF912" s="12"/>
      <c r="AG912" s="12"/>
      <c r="AH912" s="12"/>
    </row>
    <row r="913" spans="1:34" ht="12.75">
      <c r="A913" s="12"/>
      <c r="B913" s="12"/>
      <c r="C913" s="12"/>
      <c r="D913" s="12"/>
      <c r="E913" s="12"/>
      <c r="F913" s="12"/>
      <c r="G913" s="12"/>
      <c r="H913" s="12"/>
      <c r="I913" s="12"/>
      <c r="J913" s="12"/>
      <c r="K913" s="12"/>
      <c r="L913" s="12"/>
      <c r="M913" s="12"/>
      <c r="N913" s="12"/>
      <c r="O913" s="12"/>
      <c r="P913" s="12"/>
      <c r="Q913" s="12"/>
      <c r="R913" s="27"/>
      <c r="S913" s="27"/>
      <c r="T913" s="27"/>
      <c r="U913" s="27"/>
      <c r="V913" s="12"/>
      <c r="W913" s="12"/>
      <c r="X913" s="12"/>
      <c r="Y913" s="12"/>
      <c r="Z913" s="31"/>
      <c r="AA913" s="12"/>
      <c r="AB913" s="12"/>
      <c r="AC913" s="12"/>
      <c r="AD913" s="12"/>
      <c r="AE913" s="12"/>
      <c r="AF913" s="12"/>
      <c r="AG913" s="12"/>
      <c r="AH913" s="12"/>
    </row>
    <row r="914" spans="1:34" ht="12.75">
      <c r="A914" s="12"/>
      <c r="B914" s="12"/>
      <c r="C914" s="12"/>
      <c r="D914" s="12"/>
      <c r="E914" s="12"/>
      <c r="F914" s="12"/>
      <c r="G914" s="12"/>
      <c r="H914" s="12"/>
      <c r="I914" s="12"/>
      <c r="J914" s="12"/>
      <c r="K914" s="12"/>
      <c r="L914" s="12"/>
      <c r="M914" s="12"/>
      <c r="N914" s="12"/>
      <c r="O914" s="12"/>
      <c r="P914" s="12"/>
      <c r="Q914" s="12"/>
      <c r="R914" s="27"/>
      <c r="S914" s="27"/>
      <c r="T914" s="27"/>
      <c r="U914" s="27"/>
      <c r="V914" s="12"/>
      <c r="W914" s="12"/>
      <c r="X914" s="12"/>
      <c r="Y914" s="12"/>
      <c r="Z914" s="31"/>
      <c r="AA914" s="12"/>
      <c r="AB914" s="12"/>
      <c r="AC914" s="12"/>
      <c r="AD914" s="12"/>
      <c r="AE914" s="12"/>
      <c r="AF914" s="12"/>
      <c r="AG914" s="12"/>
      <c r="AH914" s="12"/>
    </row>
    <row r="915" spans="1:34" ht="12.75">
      <c r="A915" s="12"/>
      <c r="B915" s="12"/>
      <c r="C915" s="12"/>
      <c r="D915" s="12"/>
      <c r="E915" s="12"/>
      <c r="F915" s="12"/>
      <c r="G915" s="12"/>
      <c r="H915" s="12"/>
      <c r="I915" s="12"/>
      <c r="J915" s="12"/>
      <c r="K915" s="12"/>
      <c r="L915" s="12"/>
      <c r="M915" s="12"/>
      <c r="N915" s="12"/>
      <c r="O915" s="12"/>
      <c r="P915" s="12"/>
      <c r="Q915" s="12"/>
      <c r="R915" s="27"/>
      <c r="S915" s="27"/>
      <c r="T915" s="27"/>
      <c r="U915" s="27"/>
      <c r="V915" s="12"/>
      <c r="W915" s="12"/>
      <c r="X915" s="12"/>
      <c r="Y915" s="12"/>
      <c r="Z915" s="31"/>
      <c r="AA915" s="12"/>
      <c r="AB915" s="12"/>
      <c r="AC915" s="12"/>
      <c r="AD915" s="12"/>
      <c r="AE915" s="12"/>
      <c r="AF915" s="12"/>
      <c r="AG915" s="12"/>
      <c r="AH915" s="12"/>
    </row>
    <row r="916" spans="1:34" ht="12.75">
      <c r="A916" s="12"/>
      <c r="B916" s="12"/>
      <c r="C916" s="12"/>
      <c r="D916" s="12"/>
      <c r="E916" s="12"/>
      <c r="F916" s="12"/>
      <c r="G916" s="12"/>
      <c r="H916" s="12"/>
      <c r="I916" s="12"/>
      <c r="J916" s="12"/>
      <c r="K916" s="12"/>
      <c r="L916" s="12"/>
      <c r="M916" s="12"/>
      <c r="N916" s="12"/>
      <c r="O916" s="12"/>
      <c r="P916" s="12"/>
      <c r="Q916" s="12"/>
      <c r="R916" s="27"/>
      <c r="S916" s="27"/>
      <c r="T916" s="27"/>
      <c r="U916" s="27"/>
      <c r="V916" s="12"/>
      <c r="W916" s="12"/>
      <c r="X916" s="12"/>
      <c r="Y916" s="12"/>
      <c r="Z916" s="31"/>
      <c r="AA916" s="12"/>
      <c r="AB916" s="12"/>
      <c r="AC916" s="12"/>
      <c r="AD916" s="12"/>
      <c r="AE916" s="12"/>
      <c r="AF916" s="12"/>
      <c r="AG916" s="12"/>
      <c r="AH916" s="12"/>
    </row>
    <row r="917" spans="1:34" ht="12.75">
      <c r="A917" s="12"/>
      <c r="B917" s="12"/>
      <c r="C917" s="12"/>
      <c r="D917" s="12"/>
      <c r="E917" s="12"/>
      <c r="F917" s="12"/>
      <c r="G917" s="12"/>
      <c r="H917" s="12"/>
      <c r="I917" s="12"/>
      <c r="J917" s="12"/>
      <c r="K917" s="12"/>
      <c r="L917" s="12"/>
      <c r="M917" s="12"/>
      <c r="N917" s="12"/>
      <c r="O917" s="12"/>
      <c r="P917" s="12"/>
      <c r="Q917" s="12"/>
      <c r="R917" s="27"/>
      <c r="S917" s="27"/>
      <c r="T917" s="27"/>
      <c r="U917" s="27"/>
      <c r="V917" s="12"/>
      <c r="W917" s="12"/>
      <c r="X917" s="12"/>
      <c r="Y917" s="12"/>
      <c r="Z917" s="31"/>
      <c r="AA917" s="12"/>
      <c r="AB917" s="12"/>
      <c r="AC917" s="12"/>
      <c r="AD917" s="12"/>
      <c r="AE917" s="12"/>
      <c r="AF917" s="12"/>
      <c r="AG917" s="12"/>
      <c r="AH917" s="12"/>
    </row>
    <row r="918" spans="1:34" ht="12.75">
      <c r="A918" s="12"/>
      <c r="B918" s="12"/>
      <c r="C918" s="12"/>
      <c r="D918" s="12"/>
      <c r="E918" s="12"/>
      <c r="F918" s="12"/>
      <c r="G918" s="12"/>
      <c r="H918" s="12"/>
      <c r="I918" s="12"/>
      <c r="J918" s="12"/>
      <c r="K918" s="12"/>
      <c r="L918" s="12"/>
      <c r="M918" s="12"/>
      <c r="N918" s="12"/>
      <c r="O918" s="12"/>
      <c r="P918" s="12"/>
      <c r="Q918" s="12"/>
      <c r="R918" s="27"/>
      <c r="S918" s="27"/>
      <c r="T918" s="27"/>
      <c r="U918" s="27"/>
      <c r="V918" s="12"/>
      <c r="W918" s="12"/>
      <c r="X918" s="12"/>
      <c r="Y918" s="12"/>
      <c r="Z918" s="31"/>
      <c r="AA918" s="12"/>
      <c r="AB918" s="12"/>
      <c r="AC918" s="12"/>
      <c r="AD918" s="12"/>
      <c r="AE918" s="12"/>
      <c r="AF918" s="12"/>
      <c r="AG918" s="12"/>
      <c r="AH918" s="12"/>
    </row>
    <row r="919" spans="1:34" ht="12.75">
      <c r="A919" s="12"/>
      <c r="B919" s="12"/>
      <c r="C919" s="12"/>
      <c r="D919" s="12"/>
      <c r="E919" s="12"/>
      <c r="F919" s="12"/>
      <c r="G919" s="12"/>
      <c r="H919" s="12"/>
      <c r="I919" s="12"/>
      <c r="J919" s="12"/>
      <c r="K919" s="12"/>
      <c r="L919" s="12"/>
      <c r="M919" s="12"/>
      <c r="N919" s="12"/>
      <c r="O919" s="12"/>
      <c r="P919" s="12"/>
      <c r="Q919" s="12"/>
      <c r="R919" s="27"/>
      <c r="S919" s="27"/>
      <c r="T919" s="27"/>
      <c r="U919" s="27"/>
      <c r="V919" s="12"/>
      <c r="W919" s="12"/>
      <c r="X919" s="12"/>
      <c r="Y919" s="12"/>
      <c r="Z919" s="31"/>
      <c r="AA919" s="12"/>
      <c r="AB919" s="12"/>
      <c r="AC919" s="12"/>
      <c r="AD919" s="12"/>
      <c r="AE919" s="12"/>
      <c r="AF919" s="12"/>
      <c r="AG919" s="12"/>
      <c r="AH919" s="12"/>
    </row>
    <row r="920" spans="1:34" ht="12.75">
      <c r="A920" s="12"/>
      <c r="B920" s="12"/>
      <c r="C920" s="12"/>
      <c r="D920" s="12"/>
      <c r="E920" s="12"/>
      <c r="F920" s="12"/>
      <c r="G920" s="12"/>
      <c r="H920" s="12"/>
      <c r="I920" s="12"/>
      <c r="J920" s="12"/>
      <c r="K920" s="12"/>
      <c r="L920" s="12"/>
      <c r="M920" s="12"/>
      <c r="N920" s="12"/>
      <c r="O920" s="12"/>
      <c r="P920" s="12"/>
      <c r="Q920" s="12"/>
      <c r="R920" s="27"/>
      <c r="S920" s="27"/>
      <c r="T920" s="27"/>
      <c r="U920" s="27"/>
      <c r="V920" s="12"/>
      <c r="W920" s="12"/>
      <c r="X920" s="12"/>
      <c r="Y920" s="12"/>
      <c r="Z920" s="31"/>
      <c r="AA920" s="12"/>
      <c r="AB920" s="12"/>
      <c r="AC920" s="12"/>
      <c r="AD920" s="12"/>
      <c r="AE920" s="12"/>
      <c r="AF920" s="12"/>
      <c r="AG920" s="12"/>
      <c r="AH920" s="12"/>
    </row>
    <row r="921" spans="1:34" ht="12.75">
      <c r="A921" s="12"/>
      <c r="B921" s="12"/>
      <c r="C921" s="12"/>
      <c r="D921" s="12"/>
      <c r="E921" s="12"/>
      <c r="F921" s="12"/>
      <c r="G921" s="12"/>
      <c r="H921" s="12"/>
      <c r="I921" s="12"/>
      <c r="J921" s="12"/>
      <c r="K921" s="12"/>
      <c r="L921" s="12"/>
      <c r="M921" s="12"/>
      <c r="N921" s="12"/>
      <c r="O921" s="12"/>
      <c r="P921" s="12"/>
      <c r="Q921" s="12"/>
      <c r="R921" s="27"/>
      <c r="S921" s="27"/>
      <c r="T921" s="27"/>
      <c r="U921" s="27"/>
      <c r="V921" s="12"/>
      <c r="W921" s="12"/>
      <c r="X921" s="12"/>
      <c r="Y921" s="12"/>
      <c r="Z921" s="31"/>
      <c r="AA921" s="12"/>
      <c r="AB921" s="12"/>
      <c r="AC921" s="12"/>
      <c r="AD921" s="12"/>
      <c r="AE921" s="12"/>
      <c r="AF921" s="12"/>
      <c r="AG921" s="12"/>
      <c r="AH921" s="12"/>
    </row>
    <row r="922" spans="1:34" ht="12.75">
      <c r="A922" s="12"/>
      <c r="B922" s="12"/>
      <c r="C922" s="12"/>
      <c r="D922" s="12"/>
      <c r="E922" s="12"/>
      <c r="F922" s="12"/>
      <c r="G922" s="12"/>
      <c r="H922" s="12"/>
      <c r="I922" s="12"/>
      <c r="J922" s="12"/>
      <c r="K922" s="12"/>
      <c r="L922" s="12"/>
      <c r="M922" s="12"/>
      <c r="N922" s="12"/>
      <c r="O922" s="12"/>
      <c r="P922" s="12"/>
      <c r="Q922" s="12"/>
      <c r="R922" s="27"/>
      <c r="S922" s="27"/>
      <c r="T922" s="27"/>
      <c r="U922" s="27"/>
      <c r="V922" s="12"/>
      <c r="W922" s="12"/>
      <c r="X922" s="12"/>
      <c r="Y922" s="12"/>
      <c r="Z922" s="31"/>
      <c r="AA922" s="12"/>
      <c r="AB922" s="12"/>
      <c r="AC922" s="12"/>
      <c r="AD922" s="12"/>
      <c r="AE922" s="12"/>
      <c r="AF922" s="12"/>
      <c r="AG922" s="12"/>
      <c r="AH922" s="12"/>
    </row>
    <row r="923" spans="1:34" ht="12.75">
      <c r="A923" s="12"/>
      <c r="B923" s="12"/>
      <c r="C923" s="12"/>
      <c r="D923" s="12"/>
      <c r="E923" s="12"/>
      <c r="F923" s="12"/>
      <c r="G923" s="12"/>
      <c r="H923" s="12"/>
      <c r="I923" s="12"/>
      <c r="J923" s="12"/>
      <c r="K923" s="12"/>
      <c r="L923" s="12"/>
      <c r="M923" s="12"/>
      <c r="N923" s="12"/>
      <c r="O923" s="12"/>
      <c r="P923" s="12"/>
      <c r="Q923" s="12"/>
      <c r="R923" s="27"/>
      <c r="S923" s="27"/>
      <c r="T923" s="27"/>
      <c r="U923" s="27"/>
      <c r="V923" s="12"/>
      <c r="W923" s="12"/>
      <c r="X923" s="12"/>
      <c r="Y923" s="12"/>
      <c r="Z923" s="31"/>
      <c r="AA923" s="12"/>
      <c r="AB923" s="12"/>
      <c r="AC923" s="12"/>
      <c r="AD923" s="12"/>
      <c r="AE923" s="12"/>
      <c r="AF923" s="12"/>
      <c r="AG923" s="12"/>
      <c r="AH923" s="12"/>
    </row>
    <row r="924" spans="1:34" ht="12.75">
      <c r="A924" s="12"/>
      <c r="B924" s="12"/>
      <c r="C924" s="12"/>
      <c r="D924" s="12"/>
      <c r="E924" s="12"/>
      <c r="F924" s="12"/>
      <c r="G924" s="12"/>
      <c r="H924" s="12"/>
      <c r="I924" s="12"/>
      <c r="J924" s="12"/>
      <c r="K924" s="12"/>
      <c r="L924" s="12"/>
      <c r="M924" s="12"/>
      <c r="N924" s="12"/>
      <c r="O924" s="12"/>
      <c r="P924" s="12"/>
      <c r="Q924" s="12"/>
      <c r="R924" s="27"/>
      <c r="S924" s="27"/>
      <c r="T924" s="27"/>
      <c r="U924" s="27"/>
      <c r="V924" s="12"/>
      <c r="W924" s="12"/>
      <c r="X924" s="12"/>
      <c r="Y924" s="12"/>
      <c r="Z924" s="31"/>
      <c r="AA924" s="12"/>
      <c r="AB924" s="12"/>
      <c r="AC924" s="12"/>
      <c r="AD924" s="12"/>
      <c r="AE924" s="12"/>
      <c r="AF924" s="12"/>
      <c r="AG924" s="12"/>
      <c r="AH924" s="12"/>
    </row>
    <row r="925" spans="1:34" ht="12.75">
      <c r="A925" s="12"/>
      <c r="B925" s="12"/>
      <c r="C925" s="12"/>
      <c r="D925" s="12"/>
      <c r="E925" s="12"/>
      <c r="F925" s="12"/>
      <c r="G925" s="12"/>
      <c r="H925" s="12"/>
      <c r="I925" s="12"/>
      <c r="J925" s="12"/>
      <c r="K925" s="12"/>
      <c r="L925" s="12"/>
      <c r="M925" s="12"/>
      <c r="N925" s="12"/>
      <c r="O925" s="12"/>
      <c r="P925" s="12"/>
      <c r="Q925" s="12"/>
      <c r="R925" s="27"/>
      <c r="S925" s="27"/>
      <c r="T925" s="27"/>
      <c r="U925" s="27"/>
      <c r="V925" s="12"/>
      <c r="W925" s="12"/>
      <c r="X925" s="12"/>
      <c r="Y925" s="12"/>
      <c r="Z925" s="31"/>
      <c r="AA925" s="12"/>
      <c r="AB925" s="12"/>
      <c r="AC925" s="12"/>
      <c r="AD925" s="12"/>
      <c r="AE925" s="12"/>
      <c r="AF925" s="12"/>
      <c r="AG925" s="12"/>
      <c r="AH925" s="12"/>
    </row>
    <row r="926" spans="1:34" ht="12.75">
      <c r="A926" s="12"/>
      <c r="B926" s="12"/>
      <c r="C926" s="12"/>
      <c r="D926" s="12"/>
      <c r="E926" s="12"/>
      <c r="F926" s="12"/>
      <c r="G926" s="12"/>
      <c r="H926" s="12"/>
      <c r="I926" s="12"/>
      <c r="J926" s="12"/>
      <c r="K926" s="12"/>
      <c r="L926" s="12"/>
      <c r="M926" s="12"/>
      <c r="N926" s="12"/>
      <c r="O926" s="12"/>
      <c r="P926" s="12"/>
      <c r="Q926" s="12"/>
      <c r="R926" s="27"/>
      <c r="S926" s="27"/>
      <c r="T926" s="27"/>
      <c r="U926" s="27"/>
      <c r="V926" s="12"/>
      <c r="W926" s="12"/>
      <c r="X926" s="12"/>
      <c r="Y926" s="12"/>
      <c r="Z926" s="31"/>
      <c r="AA926" s="12"/>
      <c r="AB926" s="12"/>
      <c r="AC926" s="12"/>
      <c r="AD926" s="12"/>
      <c r="AE926" s="12"/>
      <c r="AF926" s="12"/>
      <c r="AG926" s="12"/>
      <c r="AH926" s="12"/>
    </row>
    <row r="927" spans="1:34" ht="12.75">
      <c r="A927" s="12"/>
      <c r="B927" s="12"/>
      <c r="C927" s="12"/>
      <c r="D927" s="12"/>
      <c r="E927" s="12"/>
      <c r="F927" s="12"/>
      <c r="G927" s="12"/>
      <c r="H927" s="12"/>
      <c r="I927" s="12"/>
      <c r="J927" s="12"/>
      <c r="K927" s="12"/>
      <c r="L927" s="12"/>
      <c r="M927" s="12"/>
      <c r="N927" s="12"/>
      <c r="O927" s="12"/>
      <c r="P927" s="12"/>
      <c r="Q927" s="12"/>
      <c r="R927" s="27"/>
      <c r="S927" s="27"/>
      <c r="T927" s="27"/>
      <c r="U927" s="27"/>
      <c r="V927" s="12"/>
      <c r="W927" s="12"/>
      <c r="X927" s="12"/>
      <c r="Y927" s="12"/>
      <c r="Z927" s="31"/>
      <c r="AA927" s="12"/>
      <c r="AB927" s="12"/>
      <c r="AC927" s="12"/>
      <c r="AD927" s="12"/>
      <c r="AE927" s="12"/>
      <c r="AF927" s="12"/>
      <c r="AG927" s="12"/>
      <c r="AH927" s="12"/>
    </row>
    <row r="928" spans="1:34" ht="12.75">
      <c r="A928" s="12"/>
      <c r="B928" s="12"/>
      <c r="C928" s="12"/>
      <c r="D928" s="12"/>
      <c r="E928" s="12"/>
      <c r="F928" s="12"/>
      <c r="G928" s="12"/>
      <c r="H928" s="12"/>
      <c r="I928" s="12"/>
      <c r="J928" s="12"/>
      <c r="K928" s="12"/>
      <c r="L928" s="12"/>
      <c r="M928" s="12"/>
      <c r="N928" s="12"/>
      <c r="O928" s="12"/>
      <c r="P928" s="12"/>
      <c r="Q928" s="12"/>
      <c r="R928" s="27"/>
      <c r="S928" s="27"/>
      <c r="T928" s="27"/>
      <c r="U928" s="27"/>
      <c r="V928" s="12"/>
      <c r="W928" s="12"/>
      <c r="X928" s="12"/>
      <c r="Y928" s="12"/>
      <c r="Z928" s="31"/>
      <c r="AA928" s="12"/>
      <c r="AB928" s="12"/>
      <c r="AC928" s="12"/>
      <c r="AD928" s="12"/>
      <c r="AE928" s="12"/>
      <c r="AF928" s="12"/>
      <c r="AG928" s="12"/>
      <c r="AH928" s="12"/>
    </row>
    <row r="929" spans="1:34" ht="12.75">
      <c r="A929" s="12"/>
      <c r="B929" s="12"/>
      <c r="C929" s="12"/>
      <c r="D929" s="12"/>
      <c r="E929" s="12"/>
      <c r="F929" s="12"/>
      <c r="G929" s="12"/>
      <c r="H929" s="12"/>
      <c r="I929" s="12"/>
      <c r="J929" s="12"/>
      <c r="K929" s="12"/>
      <c r="L929" s="12"/>
      <c r="M929" s="12"/>
      <c r="N929" s="12"/>
      <c r="O929" s="12"/>
      <c r="P929" s="12"/>
      <c r="Q929" s="12"/>
      <c r="R929" s="27"/>
      <c r="S929" s="27"/>
      <c r="T929" s="27"/>
      <c r="U929" s="27"/>
      <c r="V929" s="12"/>
      <c r="W929" s="12"/>
      <c r="X929" s="12"/>
      <c r="Y929" s="12"/>
      <c r="Z929" s="31"/>
      <c r="AA929" s="12"/>
      <c r="AB929" s="12"/>
      <c r="AC929" s="12"/>
      <c r="AD929" s="12"/>
      <c r="AE929" s="12"/>
      <c r="AF929" s="12"/>
      <c r="AG929" s="12"/>
      <c r="AH929" s="12"/>
    </row>
    <row r="930" spans="1:34" ht="12.75">
      <c r="A930" s="12"/>
      <c r="B930" s="12"/>
      <c r="C930" s="12"/>
      <c r="D930" s="12"/>
      <c r="E930" s="12"/>
      <c r="F930" s="12"/>
      <c r="G930" s="12"/>
      <c r="H930" s="12"/>
      <c r="I930" s="12"/>
      <c r="J930" s="12"/>
      <c r="K930" s="12"/>
      <c r="L930" s="12"/>
      <c r="M930" s="12"/>
      <c r="N930" s="12"/>
      <c r="O930" s="12"/>
      <c r="P930" s="12"/>
      <c r="Q930" s="12"/>
      <c r="R930" s="27"/>
      <c r="S930" s="27"/>
      <c r="T930" s="27"/>
      <c r="U930" s="27"/>
      <c r="V930" s="12"/>
      <c r="W930" s="12"/>
      <c r="X930" s="12"/>
      <c r="Y930" s="12"/>
      <c r="Z930" s="31"/>
      <c r="AA930" s="12"/>
      <c r="AB930" s="12"/>
      <c r="AC930" s="12"/>
      <c r="AD930" s="12"/>
      <c r="AE930" s="12"/>
      <c r="AF930" s="12"/>
      <c r="AG930" s="12"/>
      <c r="AH930" s="12"/>
    </row>
    <row r="931" spans="1:34" ht="12.75">
      <c r="A931" s="12"/>
      <c r="B931" s="12"/>
      <c r="C931" s="12"/>
      <c r="D931" s="12"/>
      <c r="E931" s="12"/>
      <c r="F931" s="12"/>
      <c r="G931" s="12"/>
      <c r="H931" s="12"/>
      <c r="I931" s="12"/>
      <c r="J931" s="12"/>
      <c r="K931" s="12"/>
      <c r="L931" s="12"/>
      <c r="M931" s="12"/>
      <c r="N931" s="12"/>
      <c r="O931" s="12"/>
      <c r="P931" s="12"/>
      <c r="Q931" s="12"/>
      <c r="R931" s="27"/>
      <c r="S931" s="27"/>
      <c r="T931" s="27"/>
      <c r="U931" s="27"/>
      <c r="V931" s="12"/>
      <c r="W931" s="12"/>
      <c r="X931" s="12"/>
      <c r="Y931" s="12"/>
      <c r="Z931" s="31"/>
      <c r="AA931" s="12"/>
      <c r="AB931" s="12"/>
      <c r="AC931" s="12"/>
      <c r="AD931" s="12"/>
      <c r="AE931" s="12"/>
      <c r="AF931" s="12"/>
      <c r="AG931" s="12"/>
      <c r="AH931" s="12"/>
    </row>
    <row r="932" spans="1:34" ht="12.75">
      <c r="A932" s="12"/>
      <c r="B932" s="12"/>
      <c r="C932" s="12"/>
      <c r="D932" s="12"/>
      <c r="E932" s="12"/>
      <c r="F932" s="12"/>
      <c r="G932" s="12"/>
      <c r="H932" s="12"/>
      <c r="I932" s="12"/>
      <c r="J932" s="12"/>
      <c r="K932" s="12"/>
      <c r="L932" s="12"/>
      <c r="M932" s="12"/>
      <c r="N932" s="12"/>
      <c r="O932" s="12"/>
      <c r="P932" s="12"/>
      <c r="Q932" s="12"/>
      <c r="R932" s="27"/>
      <c r="S932" s="27"/>
      <c r="T932" s="27"/>
      <c r="U932" s="27"/>
      <c r="V932" s="12"/>
      <c r="W932" s="12"/>
      <c r="X932" s="12"/>
      <c r="Y932" s="12"/>
      <c r="Z932" s="31"/>
      <c r="AA932" s="12"/>
      <c r="AB932" s="12"/>
      <c r="AC932" s="12"/>
      <c r="AD932" s="12"/>
      <c r="AE932" s="12"/>
      <c r="AF932" s="12"/>
      <c r="AG932" s="12"/>
      <c r="AH932" s="12"/>
    </row>
    <row r="933" spans="1:34" ht="12.75">
      <c r="A933" s="12"/>
      <c r="B933" s="12"/>
      <c r="C933" s="12"/>
      <c r="D933" s="12"/>
      <c r="E933" s="12"/>
      <c r="F933" s="12"/>
      <c r="G933" s="12"/>
      <c r="H933" s="12"/>
      <c r="I933" s="12"/>
      <c r="J933" s="12"/>
      <c r="K933" s="12"/>
      <c r="L933" s="12"/>
      <c r="M933" s="12"/>
      <c r="N933" s="12"/>
      <c r="O933" s="12"/>
      <c r="P933" s="12"/>
      <c r="Q933" s="12"/>
      <c r="R933" s="27"/>
      <c r="S933" s="27"/>
      <c r="T933" s="27"/>
      <c r="U933" s="27"/>
      <c r="V933" s="12"/>
      <c r="W933" s="12"/>
      <c r="X933" s="12"/>
      <c r="Y933" s="12"/>
      <c r="Z933" s="31"/>
      <c r="AA933" s="12"/>
      <c r="AB933" s="12"/>
      <c r="AC933" s="12"/>
      <c r="AD933" s="12"/>
      <c r="AE933" s="12"/>
      <c r="AF933" s="12"/>
      <c r="AG933" s="12"/>
      <c r="AH933" s="12"/>
    </row>
    <row r="934" spans="1:34" ht="12.75">
      <c r="A934" s="12"/>
      <c r="B934" s="12"/>
      <c r="C934" s="12"/>
      <c r="D934" s="12"/>
      <c r="E934" s="12"/>
      <c r="F934" s="12"/>
      <c r="G934" s="12"/>
      <c r="H934" s="12"/>
      <c r="I934" s="12"/>
      <c r="J934" s="12"/>
      <c r="K934" s="12"/>
      <c r="L934" s="12"/>
      <c r="M934" s="12"/>
      <c r="N934" s="12"/>
      <c r="O934" s="12"/>
      <c r="P934" s="12"/>
      <c r="Q934" s="12"/>
      <c r="R934" s="27"/>
      <c r="S934" s="27"/>
      <c r="T934" s="27"/>
      <c r="U934" s="27"/>
      <c r="V934" s="12"/>
      <c r="W934" s="12"/>
      <c r="X934" s="12"/>
      <c r="Y934" s="12"/>
      <c r="Z934" s="31"/>
      <c r="AA934" s="12"/>
      <c r="AB934" s="12"/>
      <c r="AC934" s="12"/>
      <c r="AD934" s="12"/>
      <c r="AE934" s="12"/>
      <c r="AF934" s="12"/>
      <c r="AG934" s="12"/>
      <c r="AH934" s="12"/>
    </row>
    <row r="935" spans="1:34" ht="12.75">
      <c r="A935" s="12"/>
      <c r="B935" s="12"/>
      <c r="C935" s="12"/>
      <c r="D935" s="12"/>
      <c r="E935" s="12"/>
      <c r="F935" s="12"/>
      <c r="G935" s="12"/>
      <c r="H935" s="12"/>
      <c r="I935" s="12"/>
      <c r="J935" s="12"/>
      <c r="K935" s="12"/>
      <c r="L935" s="12"/>
      <c r="M935" s="12"/>
      <c r="N935" s="12"/>
      <c r="O935" s="12"/>
      <c r="P935" s="12"/>
      <c r="Q935" s="12"/>
      <c r="R935" s="27"/>
      <c r="S935" s="27"/>
      <c r="T935" s="27"/>
      <c r="U935" s="27"/>
      <c r="V935" s="12"/>
      <c r="W935" s="12"/>
      <c r="X935" s="12"/>
      <c r="Y935" s="12"/>
      <c r="Z935" s="31"/>
      <c r="AA935" s="12"/>
      <c r="AB935" s="12"/>
      <c r="AC935" s="12"/>
      <c r="AD935" s="12"/>
      <c r="AE935" s="12"/>
      <c r="AF935" s="12"/>
      <c r="AG935" s="12"/>
      <c r="AH935" s="12"/>
    </row>
    <row r="936" spans="1:34" ht="12.75">
      <c r="A936" s="12"/>
      <c r="B936" s="12"/>
      <c r="C936" s="12"/>
      <c r="D936" s="12"/>
      <c r="E936" s="12"/>
      <c r="F936" s="12"/>
      <c r="G936" s="12"/>
      <c r="H936" s="12"/>
      <c r="I936" s="12"/>
      <c r="J936" s="12"/>
      <c r="K936" s="12"/>
      <c r="L936" s="12"/>
      <c r="M936" s="12"/>
      <c r="N936" s="12"/>
      <c r="O936" s="12"/>
      <c r="P936" s="12"/>
      <c r="Q936" s="12"/>
      <c r="R936" s="27"/>
      <c r="S936" s="27"/>
      <c r="T936" s="27"/>
      <c r="U936" s="27"/>
      <c r="V936" s="12"/>
      <c r="W936" s="12"/>
      <c r="X936" s="12"/>
      <c r="Y936" s="12"/>
      <c r="Z936" s="31"/>
      <c r="AA936" s="12"/>
      <c r="AB936" s="12"/>
      <c r="AC936" s="12"/>
      <c r="AD936" s="12"/>
      <c r="AE936" s="12"/>
      <c r="AF936" s="12"/>
      <c r="AG936" s="12"/>
      <c r="AH936" s="12"/>
    </row>
    <row r="937" spans="1:34" ht="12.75">
      <c r="A937" s="12"/>
      <c r="B937" s="12"/>
      <c r="C937" s="12"/>
      <c r="D937" s="12"/>
      <c r="E937" s="12"/>
      <c r="F937" s="12"/>
      <c r="G937" s="12"/>
      <c r="H937" s="12"/>
      <c r="I937" s="12"/>
      <c r="J937" s="12"/>
      <c r="K937" s="12"/>
      <c r="L937" s="12"/>
      <c r="M937" s="12"/>
      <c r="N937" s="12"/>
      <c r="O937" s="12"/>
      <c r="P937" s="12"/>
      <c r="Q937" s="12"/>
      <c r="R937" s="27"/>
      <c r="S937" s="27"/>
      <c r="T937" s="27"/>
      <c r="U937" s="27"/>
      <c r="V937" s="12"/>
      <c r="W937" s="12"/>
      <c r="X937" s="12"/>
      <c r="Y937" s="12"/>
      <c r="Z937" s="31"/>
      <c r="AA937" s="12"/>
      <c r="AB937" s="12"/>
      <c r="AC937" s="12"/>
      <c r="AD937" s="12"/>
      <c r="AE937" s="12"/>
      <c r="AF937" s="12"/>
      <c r="AG937" s="12"/>
      <c r="AH937" s="12"/>
    </row>
    <row r="938" spans="1:34" ht="12.75">
      <c r="A938" s="12"/>
      <c r="B938" s="12"/>
      <c r="C938" s="12"/>
      <c r="D938" s="12"/>
      <c r="E938" s="12"/>
      <c r="F938" s="12"/>
      <c r="G938" s="12"/>
      <c r="H938" s="12"/>
      <c r="I938" s="12"/>
      <c r="J938" s="12"/>
      <c r="K938" s="12"/>
      <c r="L938" s="12"/>
      <c r="M938" s="12"/>
      <c r="N938" s="12"/>
      <c r="O938" s="12"/>
      <c r="P938" s="12"/>
      <c r="Q938" s="12"/>
      <c r="R938" s="27"/>
      <c r="S938" s="27"/>
      <c r="T938" s="27"/>
      <c r="U938" s="27"/>
      <c r="V938" s="12"/>
      <c r="W938" s="12"/>
      <c r="X938" s="12"/>
      <c r="Y938" s="12"/>
      <c r="Z938" s="31"/>
      <c r="AA938" s="12"/>
      <c r="AB938" s="12"/>
      <c r="AC938" s="12"/>
      <c r="AD938" s="12"/>
      <c r="AE938" s="12"/>
      <c r="AF938" s="12"/>
      <c r="AG938" s="12"/>
      <c r="AH938" s="12"/>
    </row>
    <row r="939" spans="1:34" ht="12.75">
      <c r="A939" s="12"/>
      <c r="B939" s="12"/>
      <c r="C939" s="12"/>
      <c r="D939" s="12"/>
      <c r="E939" s="12"/>
      <c r="F939" s="12"/>
      <c r="G939" s="12"/>
      <c r="H939" s="12"/>
      <c r="I939" s="12"/>
      <c r="J939" s="12"/>
      <c r="K939" s="12"/>
      <c r="L939" s="12"/>
      <c r="M939" s="12"/>
      <c r="N939" s="12"/>
      <c r="O939" s="12"/>
      <c r="P939" s="12"/>
      <c r="Q939" s="12"/>
      <c r="R939" s="27"/>
      <c r="S939" s="27"/>
      <c r="T939" s="27"/>
      <c r="U939" s="27"/>
      <c r="V939" s="12"/>
      <c r="W939" s="12"/>
      <c r="X939" s="12"/>
      <c r="Y939" s="12"/>
      <c r="Z939" s="31"/>
      <c r="AA939" s="12"/>
      <c r="AB939" s="12"/>
      <c r="AC939" s="12"/>
      <c r="AD939" s="12"/>
      <c r="AE939" s="12"/>
      <c r="AF939" s="12"/>
      <c r="AG939" s="12"/>
      <c r="AH939" s="12"/>
    </row>
    <row r="940" spans="1:34" ht="12.75">
      <c r="A940" s="12"/>
      <c r="B940" s="12"/>
      <c r="C940" s="12"/>
      <c r="D940" s="12"/>
      <c r="E940" s="12"/>
      <c r="F940" s="12"/>
      <c r="G940" s="12"/>
      <c r="H940" s="12"/>
      <c r="I940" s="12"/>
      <c r="J940" s="12"/>
      <c r="K940" s="12"/>
      <c r="L940" s="12"/>
      <c r="M940" s="12"/>
      <c r="N940" s="12"/>
      <c r="O940" s="12"/>
      <c r="P940" s="12"/>
      <c r="Q940" s="12"/>
      <c r="R940" s="27"/>
      <c r="S940" s="27"/>
      <c r="T940" s="27"/>
      <c r="U940" s="27"/>
      <c r="V940" s="12"/>
      <c r="W940" s="12"/>
      <c r="X940" s="12"/>
      <c r="Y940" s="12"/>
      <c r="Z940" s="31"/>
      <c r="AA940" s="12"/>
      <c r="AB940" s="12"/>
      <c r="AC940" s="12"/>
      <c r="AD940" s="12"/>
      <c r="AE940" s="12"/>
      <c r="AF940" s="12"/>
      <c r="AG940" s="12"/>
      <c r="AH940" s="12"/>
    </row>
    <row r="941" spans="1:34" ht="12.75">
      <c r="A941" s="12"/>
      <c r="B941" s="12"/>
      <c r="C941" s="12"/>
      <c r="D941" s="12"/>
      <c r="E941" s="12"/>
      <c r="F941" s="12"/>
      <c r="G941" s="12"/>
      <c r="H941" s="12"/>
      <c r="I941" s="12"/>
      <c r="J941" s="12"/>
      <c r="K941" s="12"/>
      <c r="L941" s="12"/>
      <c r="M941" s="12"/>
      <c r="N941" s="12"/>
      <c r="O941" s="12"/>
      <c r="P941" s="12"/>
      <c r="Q941" s="12"/>
      <c r="R941" s="27"/>
      <c r="S941" s="27"/>
      <c r="T941" s="27"/>
      <c r="U941" s="27"/>
      <c r="V941" s="12"/>
      <c r="W941" s="12"/>
      <c r="X941" s="12"/>
      <c r="Y941" s="12"/>
      <c r="Z941" s="31"/>
      <c r="AA941" s="12"/>
      <c r="AB941" s="12"/>
      <c r="AC941" s="12"/>
      <c r="AD941" s="12"/>
      <c r="AE941" s="12"/>
      <c r="AF941" s="12"/>
      <c r="AG941" s="12"/>
      <c r="AH941" s="12"/>
    </row>
    <row r="942" spans="1:34" ht="12.75">
      <c r="A942" s="12"/>
      <c r="B942" s="12"/>
      <c r="C942" s="12"/>
      <c r="D942" s="12"/>
      <c r="E942" s="12"/>
      <c r="F942" s="12"/>
      <c r="G942" s="12"/>
      <c r="H942" s="12"/>
      <c r="I942" s="12"/>
      <c r="J942" s="12"/>
      <c r="K942" s="12"/>
      <c r="L942" s="12"/>
      <c r="M942" s="12"/>
      <c r="N942" s="12"/>
      <c r="O942" s="12"/>
      <c r="P942" s="12"/>
      <c r="Q942" s="12"/>
      <c r="R942" s="27"/>
      <c r="S942" s="27"/>
      <c r="T942" s="27"/>
      <c r="U942" s="27"/>
      <c r="V942" s="12"/>
      <c r="W942" s="12"/>
      <c r="X942" s="12"/>
      <c r="Y942" s="12"/>
      <c r="Z942" s="31"/>
      <c r="AA942" s="12"/>
      <c r="AB942" s="12"/>
      <c r="AC942" s="12"/>
      <c r="AD942" s="12"/>
      <c r="AE942" s="12"/>
      <c r="AF942" s="12"/>
      <c r="AG942" s="12"/>
      <c r="AH942" s="12"/>
    </row>
    <row r="943" spans="1:34" ht="12.75">
      <c r="A943" s="12"/>
      <c r="B943" s="12"/>
      <c r="C943" s="12"/>
      <c r="D943" s="12"/>
      <c r="E943" s="12"/>
      <c r="F943" s="12"/>
      <c r="G943" s="12"/>
      <c r="H943" s="12"/>
      <c r="I943" s="12"/>
      <c r="J943" s="12"/>
      <c r="K943" s="12"/>
      <c r="L943" s="12"/>
      <c r="M943" s="12"/>
      <c r="N943" s="12"/>
      <c r="O943" s="12"/>
      <c r="P943" s="12"/>
      <c r="Q943" s="12"/>
      <c r="R943" s="27"/>
      <c r="S943" s="27"/>
      <c r="T943" s="27"/>
      <c r="U943" s="27"/>
      <c r="V943" s="12"/>
      <c r="W943" s="12"/>
      <c r="X943" s="12"/>
      <c r="Y943" s="12"/>
      <c r="Z943" s="31"/>
      <c r="AA943" s="12"/>
      <c r="AB943" s="12"/>
      <c r="AC943" s="12"/>
      <c r="AD943" s="12"/>
      <c r="AE943" s="12"/>
      <c r="AF943" s="12"/>
      <c r="AG943" s="12"/>
      <c r="AH943" s="12"/>
    </row>
    <row r="944" spans="1:34" ht="12.75">
      <c r="A944" s="12"/>
      <c r="B944" s="12"/>
      <c r="C944" s="12"/>
      <c r="D944" s="12"/>
      <c r="E944" s="12"/>
      <c r="F944" s="12"/>
      <c r="G944" s="12"/>
      <c r="H944" s="12"/>
      <c r="I944" s="12"/>
      <c r="J944" s="12"/>
      <c r="K944" s="12"/>
      <c r="L944" s="12"/>
      <c r="M944" s="12"/>
      <c r="N944" s="12"/>
      <c r="O944" s="12"/>
      <c r="P944" s="12"/>
      <c r="Q944" s="12"/>
      <c r="R944" s="27"/>
      <c r="S944" s="27"/>
      <c r="T944" s="27"/>
      <c r="U944" s="27"/>
      <c r="V944" s="12"/>
      <c r="W944" s="12"/>
      <c r="X944" s="12"/>
      <c r="Y944" s="12"/>
      <c r="Z944" s="31"/>
      <c r="AA944" s="12"/>
      <c r="AB944" s="12"/>
      <c r="AC944" s="12"/>
      <c r="AD944" s="12"/>
      <c r="AE944" s="12"/>
      <c r="AF944" s="12"/>
      <c r="AG944" s="12"/>
      <c r="AH944" s="12"/>
    </row>
    <row r="945" spans="1:34" ht="12.75">
      <c r="A945" s="12"/>
      <c r="B945" s="12"/>
      <c r="C945" s="12"/>
      <c r="D945" s="12"/>
      <c r="E945" s="12"/>
      <c r="F945" s="12"/>
      <c r="G945" s="12"/>
      <c r="H945" s="12"/>
      <c r="I945" s="12"/>
      <c r="J945" s="12"/>
      <c r="K945" s="12"/>
      <c r="L945" s="12"/>
      <c r="M945" s="12"/>
      <c r="N945" s="12"/>
      <c r="O945" s="12"/>
      <c r="P945" s="12"/>
      <c r="Q945" s="12"/>
      <c r="R945" s="27"/>
      <c r="S945" s="27"/>
      <c r="T945" s="27"/>
      <c r="U945" s="27"/>
      <c r="V945" s="12"/>
      <c r="W945" s="12"/>
      <c r="X945" s="12"/>
      <c r="Y945" s="12"/>
      <c r="Z945" s="31"/>
      <c r="AA945" s="12"/>
      <c r="AB945" s="12"/>
      <c r="AC945" s="12"/>
      <c r="AD945" s="12"/>
      <c r="AE945" s="12"/>
      <c r="AF945" s="12"/>
      <c r="AG945" s="12"/>
      <c r="AH945" s="12"/>
    </row>
    <row r="946" spans="1:34" ht="12.75">
      <c r="A946" s="12"/>
      <c r="B946" s="12"/>
      <c r="C946" s="12"/>
      <c r="D946" s="12"/>
      <c r="E946" s="12"/>
      <c r="F946" s="12"/>
      <c r="G946" s="12"/>
      <c r="H946" s="12"/>
      <c r="I946" s="12"/>
      <c r="J946" s="12"/>
      <c r="K946" s="12"/>
      <c r="L946" s="12"/>
      <c r="M946" s="12"/>
      <c r="N946" s="12"/>
      <c r="O946" s="12"/>
      <c r="P946" s="12"/>
      <c r="Q946" s="12"/>
      <c r="R946" s="27"/>
      <c r="S946" s="27"/>
      <c r="T946" s="27"/>
      <c r="U946" s="27"/>
      <c r="V946" s="12"/>
      <c r="W946" s="12"/>
      <c r="X946" s="12"/>
      <c r="Y946" s="12"/>
      <c r="Z946" s="31"/>
      <c r="AA946" s="12"/>
      <c r="AB946" s="12"/>
      <c r="AC946" s="12"/>
      <c r="AD946" s="12"/>
      <c r="AE946" s="12"/>
      <c r="AF946" s="12"/>
      <c r="AG946" s="12"/>
      <c r="AH946" s="12"/>
    </row>
    <row r="947" spans="1:34" ht="12.75">
      <c r="A947" s="12"/>
      <c r="B947" s="12"/>
      <c r="C947" s="12"/>
      <c r="D947" s="12"/>
      <c r="E947" s="12"/>
      <c r="F947" s="12"/>
      <c r="G947" s="12"/>
      <c r="H947" s="12"/>
      <c r="I947" s="12"/>
      <c r="J947" s="12"/>
      <c r="K947" s="12"/>
      <c r="L947" s="12"/>
      <c r="M947" s="12"/>
      <c r="N947" s="12"/>
      <c r="O947" s="12"/>
      <c r="P947" s="12"/>
      <c r="Q947" s="12"/>
      <c r="R947" s="27"/>
      <c r="S947" s="27"/>
      <c r="T947" s="27"/>
      <c r="U947" s="27"/>
      <c r="V947" s="12"/>
      <c r="W947" s="12"/>
      <c r="X947" s="12"/>
      <c r="Y947" s="12"/>
      <c r="Z947" s="31"/>
      <c r="AA947" s="12"/>
      <c r="AB947" s="12"/>
      <c r="AC947" s="12"/>
      <c r="AD947" s="12"/>
      <c r="AE947" s="12"/>
      <c r="AF947" s="12"/>
      <c r="AG947" s="12"/>
      <c r="AH947" s="12"/>
    </row>
    <row r="948" spans="1:34" ht="12.75">
      <c r="A948" s="12"/>
      <c r="B948" s="12"/>
      <c r="C948" s="12"/>
      <c r="D948" s="12"/>
      <c r="E948" s="12"/>
      <c r="F948" s="12"/>
      <c r="G948" s="12"/>
      <c r="H948" s="12"/>
      <c r="I948" s="12"/>
      <c r="J948" s="12"/>
      <c r="K948" s="12"/>
      <c r="L948" s="12"/>
      <c r="M948" s="12"/>
      <c r="N948" s="12"/>
      <c r="O948" s="12"/>
      <c r="P948" s="12"/>
      <c r="Q948" s="12"/>
      <c r="R948" s="27"/>
      <c r="S948" s="27"/>
      <c r="T948" s="27"/>
      <c r="U948" s="27"/>
      <c r="V948" s="12"/>
      <c r="W948" s="12"/>
      <c r="X948" s="12"/>
      <c r="Y948" s="12"/>
      <c r="Z948" s="31"/>
      <c r="AA948" s="12"/>
      <c r="AB948" s="12"/>
      <c r="AC948" s="12"/>
      <c r="AD948" s="12"/>
      <c r="AE948" s="12"/>
      <c r="AF948" s="12"/>
      <c r="AG948" s="12"/>
      <c r="AH948" s="12"/>
    </row>
    <row r="949" spans="1:34" ht="12.75">
      <c r="A949" s="12"/>
      <c r="B949" s="12"/>
      <c r="C949" s="12"/>
      <c r="D949" s="12"/>
      <c r="E949" s="12"/>
      <c r="F949" s="12"/>
      <c r="G949" s="12"/>
      <c r="H949" s="12"/>
      <c r="I949" s="12"/>
      <c r="J949" s="12"/>
      <c r="K949" s="12"/>
      <c r="L949" s="12"/>
      <c r="M949" s="12"/>
      <c r="N949" s="12"/>
      <c r="O949" s="12"/>
      <c r="P949" s="12"/>
      <c r="Q949" s="12"/>
      <c r="R949" s="27"/>
      <c r="S949" s="27"/>
      <c r="T949" s="27"/>
      <c r="U949" s="27"/>
      <c r="V949" s="12"/>
      <c r="W949" s="12"/>
      <c r="X949" s="12"/>
      <c r="Y949" s="12"/>
      <c r="Z949" s="31"/>
      <c r="AA949" s="12"/>
      <c r="AB949" s="12"/>
      <c r="AC949" s="12"/>
      <c r="AD949" s="12"/>
      <c r="AE949" s="12"/>
      <c r="AF949" s="12"/>
      <c r="AG949" s="12"/>
      <c r="AH949" s="12"/>
    </row>
    <row r="950" spans="1:34" ht="12.75">
      <c r="A950" s="12"/>
      <c r="B950" s="12"/>
      <c r="C950" s="12"/>
      <c r="D950" s="12"/>
      <c r="E950" s="12"/>
      <c r="F950" s="12"/>
      <c r="G950" s="12"/>
      <c r="H950" s="12"/>
      <c r="I950" s="12"/>
      <c r="J950" s="12"/>
      <c r="K950" s="12"/>
      <c r="L950" s="12"/>
      <c r="M950" s="12"/>
      <c r="N950" s="12"/>
      <c r="O950" s="12"/>
      <c r="P950" s="12"/>
      <c r="Q950" s="12"/>
      <c r="R950" s="27"/>
      <c r="S950" s="27"/>
      <c r="T950" s="27"/>
      <c r="U950" s="27"/>
      <c r="V950" s="12"/>
      <c r="W950" s="12"/>
      <c r="X950" s="12"/>
      <c r="Y950" s="12"/>
      <c r="Z950" s="31"/>
      <c r="AA950" s="12"/>
      <c r="AB950" s="12"/>
      <c r="AC950" s="12"/>
      <c r="AD950" s="12"/>
      <c r="AE950" s="12"/>
      <c r="AF950" s="12"/>
      <c r="AG950" s="12"/>
      <c r="AH950" s="12"/>
    </row>
    <row r="951" spans="1:34" ht="12.75">
      <c r="A951" s="12"/>
      <c r="B951" s="12"/>
      <c r="C951" s="12"/>
      <c r="D951" s="12"/>
      <c r="E951" s="12"/>
      <c r="F951" s="12"/>
      <c r="G951" s="12"/>
      <c r="H951" s="12"/>
      <c r="I951" s="12"/>
      <c r="J951" s="12"/>
      <c r="K951" s="12"/>
      <c r="L951" s="12"/>
      <c r="M951" s="12"/>
      <c r="N951" s="12"/>
      <c r="O951" s="12"/>
      <c r="P951" s="12"/>
      <c r="Q951" s="12"/>
      <c r="R951" s="27"/>
      <c r="S951" s="27"/>
      <c r="T951" s="27"/>
      <c r="U951" s="27"/>
      <c r="V951" s="12"/>
      <c r="W951" s="12"/>
      <c r="X951" s="12"/>
      <c r="Y951" s="12"/>
      <c r="Z951" s="31"/>
      <c r="AA951" s="12"/>
      <c r="AB951" s="12"/>
      <c r="AC951" s="12"/>
      <c r="AD951" s="12"/>
      <c r="AE951" s="12"/>
      <c r="AF951" s="12"/>
      <c r="AG951" s="12"/>
      <c r="AH951" s="12"/>
    </row>
    <row r="952" spans="1:34" ht="12.75">
      <c r="A952" s="12"/>
      <c r="B952" s="12"/>
      <c r="C952" s="12"/>
      <c r="D952" s="12"/>
      <c r="E952" s="12"/>
      <c r="F952" s="12"/>
      <c r="G952" s="12"/>
      <c r="H952" s="12"/>
      <c r="I952" s="12"/>
      <c r="J952" s="12"/>
      <c r="K952" s="12"/>
      <c r="L952" s="12"/>
      <c r="M952" s="12"/>
      <c r="N952" s="12"/>
      <c r="O952" s="12"/>
      <c r="P952" s="12"/>
      <c r="Q952" s="12"/>
      <c r="R952" s="27"/>
      <c r="S952" s="27"/>
      <c r="T952" s="27"/>
      <c r="U952" s="27"/>
      <c r="V952" s="12"/>
      <c r="W952" s="12"/>
      <c r="X952" s="12"/>
      <c r="Y952" s="12"/>
      <c r="Z952" s="31"/>
      <c r="AA952" s="12"/>
      <c r="AB952" s="12"/>
      <c r="AC952" s="12"/>
      <c r="AD952" s="12"/>
      <c r="AE952" s="12"/>
      <c r="AF952" s="12"/>
      <c r="AG952" s="12"/>
      <c r="AH952" s="12"/>
    </row>
    <row r="953" spans="1:34" ht="12.75">
      <c r="A953" s="12"/>
      <c r="B953" s="12"/>
      <c r="C953" s="12"/>
      <c r="D953" s="12"/>
      <c r="E953" s="12"/>
      <c r="F953" s="12"/>
      <c r="G953" s="12"/>
      <c r="H953" s="12"/>
      <c r="I953" s="12"/>
      <c r="J953" s="12"/>
      <c r="K953" s="12"/>
      <c r="L953" s="12"/>
      <c r="M953" s="12"/>
      <c r="N953" s="12"/>
      <c r="O953" s="12"/>
      <c r="P953" s="12"/>
      <c r="Q953" s="12"/>
      <c r="R953" s="27"/>
      <c r="S953" s="27"/>
      <c r="T953" s="27"/>
      <c r="U953" s="27"/>
      <c r="V953" s="12"/>
      <c r="W953" s="12"/>
      <c r="X953" s="12"/>
      <c r="Y953" s="12"/>
      <c r="Z953" s="31"/>
      <c r="AA953" s="12"/>
      <c r="AB953" s="12"/>
      <c r="AC953" s="12"/>
      <c r="AD953" s="12"/>
      <c r="AE953" s="12"/>
      <c r="AF953" s="12"/>
      <c r="AG953" s="12"/>
      <c r="AH953" s="12"/>
    </row>
    <row r="954" spans="1:34" ht="12.75">
      <c r="A954" s="12"/>
      <c r="B954" s="12"/>
      <c r="C954" s="12"/>
      <c r="D954" s="12"/>
      <c r="E954" s="12"/>
      <c r="F954" s="12"/>
      <c r="G954" s="12"/>
      <c r="H954" s="12"/>
      <c r="I954" s="12"/>
      <c r="J954" s="12"/>
      <c r="K954" s="12"/>
      <c r="L954" s="12"/>
      <c r="M954" s="12"/>
      <c r="N954" s="12"/>
      <c r="O954" s="12"/>
      <c r="P954" s="12"/>
      <c r="Q954" s="12"/>
      <c r="R954" s="27"/>
      <c r="S954" s="27"/>
      <c r="T954" s="27"/>
      <c r="U954" s="27"/>
      <c r="V954" s="12"/>
      <c r="W954" s="12"/>
      <c r="X954" s="12"/>
      <c r="Y954" s="12"/>
      <c r="Z954" s="31"/>
      <c r="AA954" s="12"/>
      <c r="AB954" s="12"/>
      <c r="AC954" s="12"/>
      <c r="AD954" s="12"/>
      <c r="AE954" s="12"/>
      <c r="AF954" s="12"/>
      <c r="AG954" s="12"/>
      <c r="AH954" s="12"/>
    </row>
    <row r="955" spans="1:34" ht="12.75">
      <c r="A955" s="12"/>
      <c r="B955" s="12"/>
      <c r="C955" s="12"/>
      <c r="D955" s="12"/>
      <c r="E955" s="12"/>
      <c r="F955" s="12"/>
      <c r="G955" s="12"/>
      <c r="H955" s="12"/>
      <c r="I955" s="12"/>
      <c r="J955" s="12"/>
      <c r="K955" s="12"/>
      <c r="L955" s="12"/>
      <c r="M955" s="12"/>
      <c r="N955" s="12"/>
      <c r="O955" s="12"/>
      <c r="P955" s="12"/>
      <c r="Q955" s="12"/>
      <c r="R955" s="27"/>
      <c r="S955" s="27"/>
      <c r="T955" s="27"/>
      <c r="U955" s="27"/>
      <c r="V955" s="12"/>
      <c r="W955" s="12"/>
      <c r="X955" s="12"/>
      <c r="Y955" s="12"/>
      <c r="Z955" s="31"/>
      <c r="AA955" s="12"/>
      <c r="AB955" s="12"/>
      <c r="AC955" s="12"/>
      <c r="AD955" s="12"/>
      <c r="AE955" s="12"/>
      <c r="AF955" s="12"/>
      <c r="AG955" s="12"/>
      <c r="AH955" s="12"/>
    </row>
    <row r="956" spans="1:34" ht="12.75">
      <c r="A956" s="12"/>
      <c r="B956" s="12"/>
      <c r="C956" s="12"/>
      <c r="D956" s="12"/>
      <c r="E956" s="12"/>
      <c r="F956" s="12"/>
      <c r="G956" s="12"/>
      <c r="H956" s="12"/>
      <c r="I956" s="12"/>
      <c r="J956" s="12"/>
      <c r="K956" s="12"/>
      <c r="L956" s="12"/>
      <c r="M956" s="12"/>
      <c r="N956" s="12"/>
      <c r="O956" s="12"/>
      <c r="P956" s="12"/>
      <c r="Q956" s="12"/>
      <c r="R956" s="27"/>
      <c r="S956" s="27"/>
      <c r="T956" s="27"/>
      <c r="U956" s="27"/>
      <c r="V956" s="12"/>
      <c r="W956" s="12"/>
      <c r="X956" s="12"/>
      <c r="Y956" s="12"/>
      <c r="Z956" s="31"/>
      <c r="AA956" s="12"/>
      <c r="AB956" s="12"/>
      <c r="AC956" s="12"/>
      <c r="AD956" s="12"/>
      <c r="AE956" s="12"/>
      <c r="AF956" s="12"/>
      <c r="AG956" s="12"/>
      <c r="AH956" s="12"/>
    </row>
    <row r="957" spans="1:34" ht="12.75">
      <c r="A957" s="12"/>
      <c r="B957" s="12"/>
      <c r="C957" s="12"/>
      <c r="D957" s="12"/>
      <c r="E957" s="12"/>
      <c r="F957" s="12"/>
      <c r="G957" s="12"/>
      <c r="H957" s="12"/>
      <c r="I957" s="12"/>
      <c r="J957" s="12"/>
      <c r="K957" s="12"/>
      <c r="L957" s="12"/>
      <c r="M957" s="12"/>
      <c r="N957" s="12"/>
      <c r="O957" s="12"/>
      <c r="P957" s="12"/>
      <c r="Q957" s="12"/>
      <c r="R957" s="27"/>
      <c r="S957" s="27"/>
      <c r="T957" s="27"/>
      <c r="U957" s="27"/>
      <c r="V957" s="12"/>
      <c r="W957" s="12"/>
      <c r="X957" s="12"/>
      <c r="Y957" s="12"/>
      <c r="Z957" s="31"/>
      <c r="AA957" s="12"/>
      <c r="AB957" s="12"/>
      <c r="AC957" s="12"/>
      <c r="AD957" s="12"/>
      <c r="AE957" s="12"/>
      <c r="AF957" s="12"/>
      <c r="AG957" s="12"/>
      <c r="AH957" s="12"/>
    </row>
    <row r="958" spans="1:34" ht="12.75">
      <c r="A958" s="12"/>
      <c r="B958" s="12"/>
      <c r="C958" s="12"/>
      <c r="D958" s="12"/>
      <c r="E958" s="12"/>
      <c r="F958" s="12"/>
      <c r="G958" s="12"/>
      <c r="H958" s="12"/>
      <c r="I958" s="12"/>
      <c r="J958" s="12"/>
      <c r="K958" s="12"/>
      <c r="L958" s="12"/>
      <c r="M958" s="12"/>
      <c r="N958" s="12"/>
      <c r="O958" s="12"/>
      <c r="P958" s="12"/>
      <c r="Q958" s="12"/>
      <c r="R958" s="27"/>
      <c r="S958" s="27"/>
      <c r="T958" s="27"/>
      <c r="U958" s="27"/>
      <c r="V958" s="12"/>
      <c r="W958" s="12"/>
      <c r="X958" s="12"/>
      <c r="Y958" s="12"/>
      <c r="Z958" s="31"/>
      <c r="AA958" s="12"/>
      <c r="AB958" s="12"/>
      <c r="AC958" s="12"/>
      <c r="AD958" s="12"/>
      <c r="AE958" s="12"/>
      <c r="AF958" s="12"/>
      <c r="AG958" s="12"/>
      <c r="AH958" s="12"/>
    </row>
    <row r="959" spans="1:34" ht="12.75">
      <c r="A959" s="12"/>
      <c r="B959" s="12"/>
      <c r="C959" s="12"/>
      <c r="D959" s="12"/>
      <c r="E959" s="12"/>
      <c r="F959" s="12"/>
      <c r="G959" s="12"/>
      <c r="H959" s="12"/>
      <c r="I959" s="12"/>
      <c r="J959" s="12"/>
      <c r="K959" s="12"/>
      <c r="L959" s="12"/>
      <c r="M959" s="12"/>
      <c r="N959" s="12"/>
      <c r="O959" s="12"/>
      <c r="P959" s="12"/>
      <c r="Q959" s="12"/>
      <c r="R959" s="27"/>
      <c r="S959" s="27"/>
      <c r="T959" s="27"/>
      <c r="U959" s="27"/>
      <c r="V959" s="12"/>
      <c r="W959" s="12"/>
      <c r="X959" s="12"/>
      <c r="Y959" s="12"/>
      <c r="Z959" s="31"/>
      <c r="AA959" s="12"/>
      <c r="AB959" s="12"/>
      <c r="AC959" s="12"/>
      <c r="AD959" s="12"/>
      <c r="AE959" s="12"/>
      <c r="AF959" s="12"/>
      <c r="AG959" s="12"/>
      <c r="AH959" s="12"/>
    </row>
    <row r="960" spans="1:34" ht="12.75">
      <c r="A960" s="12"/>
      <c r="B960" s="12"/>
      <c r="C960" s="12"/>
      <c r="D960" s="12"/>
      <c r="E960" s="12"/>
      <c r="F960" s="12"/>
      <c r="G960" s="12"/>
      <c r="H960" s="12"/>
      <c r="I960" s="12"/>
      <c r="J960" s="12"/>
      <c r="K960" s="12"/>
      <c r="L960" s="12"/>
      <c r="M960" s="12"/>
      <c r="N960" s="12"/>
      <c r="O960" s="12"/>
      <c r="P960" s="12"/>
      <c r="Q960" s="12"/>
      <c r="R960" s="27"/>
      <c r="S960" s="27"/>
      <c r="T960" s="27"/>
      <c r="U960" s="27"/>
      <c r="V960" s="12"/>
      <c r="W960" s="12"/>
      <c r="X960" s="12"/>
      <c r="Y960" s="12"/>
      <c r="Z960" s="31"/>
      <c r="AA960" s="12"/>
      <c r="AB960" s="12"/>
      <c r="AC960" s="12"/>
      <c r="AD960" s="12"/>
      <c r="AE960" s="12"/>
      <c r="AF960" s="12"/>
      <c r="AG960" s="12"/>
      <c r="AH960" s="12"/>
    </row>
    <row r="961" spans="1:34" ht="12.75">
      <c r="A961" s="12"/>
      <c r="B961" s="12"/>
      <c r="C961" s="12"/>
      <c r="D961" s="12"/>
      <c r="E961" s="12"/>
      <c r="F961" s="12"/>
      <c r="G961" s="12"/>
      <c r="H961" s="12"/>
      <c r="I961" s="12"/>
      <c r="J961" s="12"/>
      <c r="K961" s="12"/>
      <c r="L961" s="12"/>
      <c r="M961" s="12"/>
      <c r="N961" s="12"/>
      <c r="O961" s="12"/>
      <c r="P961" s="12"/>
      <c r="Q961" s="12"/>
      <c r="R961" s="27"/>
      <c r="S961" s="27"/>
      <c r="T961" s="27"/>
      <c r="U961" s="27"/>
      <c r="V961" s="12"/>
      <c r="W961" s="12"/>
      <c r="X961" s="12"/>
      <c r="Y961" s="12"/>
      <c r="Z961" s="31"/>
      <c r="AA961" s="12"/>
      <c r="AB961" s="12"/>
      <c r="AC961" s="12"/>
      <c r="AD961" s="12"/>
      <c r="AE961" s="12"/>
      <c r="AF961" s="12"/>
      <c r="AG961" s="12"/>
      <c r="AH961" s="12"/>
    </row>
    <row r="962" spans="1:34" ht="12.75">
      <c r="A962" s="12"/>
      <c r="B962" s="12"/>
      <c r="C962" s="12"/>
      <c r="D962" s="12"/>
      <c r="E962" s="12"/>
      <c r="F962" s="12"/>
      <c r="G962" s="12"/>
      <c r="H962" s="12"/>
      <c r="I962" s="12"/>
      <c r="J962" s="12"/>
      <c r="K962" s="12"/>
      <c r="L962" s="12"/>
      <c r="M962" s="12"/>
      <c r="N962" s="12"/>
      <c r="O962" s="12"/>
      <c r="P962" s="12"/>
      <c r="Q962" s="12"/>
      <c r="R962" s="27"/>
      <c r="S962" s="27"/>
      <c r="T962" s="27"/>
      <c r="U962" s="27"/>
      <c r="V962" s="12"/>
      <c r="W962" s="12"/>
      <c r="X962" s="12"/>
      <c r="Y962" s="12"/>
      <c r="Z962" s="31"/>
      <c r="AA962" s="12"/>
      <c r="AB962" s="12"/>
      <c r="AC962" s="12"/>
      <c r="AD962" s="12"/>
      <c r="AE962" s="12"/>
      <c r="AF962" s="12"/>
      <c r="AG962" s="12"/>
      <c r="AH962" s="12"/>
    </row>
    <row r="963" spans="1:34" ht="12.75">
      <c r="A963" s="12"/>
      <c r="B963" s="12"/>
      <c r="C963" s="12"/>
      <c r="D963" s="12"/>
      <c r="E963" s="12"/>
      <c r="F963" s="12"/>
      <c r="G963" s="12"/>
      <c r="H963" s="12"/>
      <c r="I963" s="12"/>
      <c r="J963" s="12"/>
      <c r="K963" s="12"/>
      <c r="L963" s="12"/>
      <c r="M963" s="12"/>
      <c r="N963" s="12"/>
      <c r="O963" s="12"/>
      <c r="P963" s="12"/>
      <c r="Q963" s="12"/>
      <c r="R963" s="27"/>
      <c r="S963" s="27"/>
      <c r="T963" s="27"/>
      <c r="U963" s="27"/>
      <c r="V963" s="12"/>
      <c r="W963" s="12"/>
      <c r="X963" s="12"/>
      <c r="Y963" s="12"/>
      <c r="Z963" s="31"/>
      <c r="AA963" s="12"/>
      <c r="AB963" s="12"/>
      <c r="AC963" s="12"/>
      <c r="AD963" s="12"/>
      <c r="AE963" s="12"/>
      <c r="AF963" s="12"/>
      <c r="AG963" s="12"/>
      <c r="AH963" s="12"/>
    </row>
    <row r="964" spans="1:34" ht="12.75">
      <c r="A964" s="12"/>
      <c r="B964" s="12"/>
      <c r="C964" s="12"/>
      <c r="D964" s="12"/>
      <c r="E964" s="12"/>
      <c r="F964" s="12"/>
      <c r="G964" s="12"/>
      <c r="H964" s="12"/>
      <c r="I964" s="12"/>
      <c r="J964" s="12"/>
      <c r="K964" s="12"/>
      <c r="L964" s="12"/>
      <c r="M964" s="12"/>
      <c r="N964" s="12"/>
      <c r="O964" s="12"/>
      <c r="P964" s="12"/>
      <c r="Q964" s="12"/>
      <c r="R964" s="27"/>
      <c r="S964" s="27"/>
      <c r="T964" s="27"/>
      <c r="U964" s="27"/>
      <c r="V964" s="12"/>
      <c r="W964" s="12"/>
      <c r="X964" s="12"/>
      <c r="Y964" s="12"/>
      <c r="Z964" s="31"/>
      <c r="AA964" s="12"/>
      <c r="AB964" s="12"/>
      <c r="AC964" s="12"/>
      <c r="AD964" s="12"/>
      <c r="AE964" s="12"/>
      <c r="AF964" s="12"/>
      <c r="AG964" s="12"/>
      <c r="AH964" s="12"/>
    </row>
    <row r="965" spans="1:34" ht="12.75">
      <c r="A965" s="12"/>
      <c r="B965" s="12"/>
      <c r="C965" s="12"/>
      <c r="D965" s="12"/>
      <c r="E965" s="12"/>
      <c r="F965" s="12"/>
      <c r="G965" s="12"/>
      <c r="H965" s="12"/>
      <c r="I965" s="12"/>
      <c r="J965" s="12"/>
      <c r="K965" s="12"/>
      <c r="L965" s="12"/>
      <c r="M965" s="12"/>
      <c r="N965" s="12"/>
      <c r="O965" s="12"/>
      <c r="P965" s="12"/>
      <c r="Q965" s="12"/>
      <c r="R965" s="27"/>
      <c r="S965" s="27"/>
      <c r="T965" s="27"/>
      <c r="U965" s="27"/>
      <c r="V965" s="12"/>
      <c r="W965" s="12"/>
      <c r="X965" s="12"/>
      <c r="Y965" s="12"/>
      <c r="Z965" s="31"/>
      <c r="AA965" s="12"/>
      <c r="AB965" s="12"/>
      <c r="AC965" s="12"/>
      <c r="AD965" s="12"/>
      <c r="AE965" s="12"/>
      <c r="AF965" s="12"/>
      <c r="AG965" s="12"/>
      <c r="AH965" s="12"/>
    </row>
    <row r="966" spans="1:34" ht="12.75">
      <c r="A966" s="12"/>
      <c r="B966" s="12"/>
      <c r="C966" s="12"/>
      <c r="D966" s="12"/>
      <c r="E966" s="12"/>
      <c r="F966" s="12"/>
      <c r="G966" s="12"/>
      <c r="H966" s="12"/>
      <c r="I966" s="12"/>
      <c r="J966" s="12"/>
      <c r="K966" s="12"/>
      <c r="L966" s="12"/>
      <c r="M966" s="12"/>
      <c r="N966" s="12"/>
      <c r="O966" s="12"/>
      <c r="P966" s="12"/>
      <c r="Q966" s="12"/>
      <c r="R966" s="27"/>
      <c r="S966" s="27"/>
      <c r="T966" s="27"/>
      <c r="U966" s="27"/>
      <c r="V966" s="12"/>
      <c r="W966" s="12"/>
      <c r="X966" s="12"/>
      <c r="Y966" s="12"/>
      <c r="Z966" s="31"/>
      <c r="AA966" s="12"/>
      <c r="AB966" s="12"/>
      <c r="AC966" s="12"/>
      <c r="AD966" s="12"/>
      <c r="AE966" s="12"/>
      <c r="AF966" s="12"/>
      <c r="AG966" s="12"/>
      <c r="AH966" s="12"/>
    </row>
    <row r="967" spans="1:34" ht="12.75">
      <c r="A967" s="12"/>
      <c r="B967" s="12"/>
      <c r="C967" s="12"/>
      <c r="D967" s="12"/>
      <c r="E967" s="12"/>
      <c r="F967" s="12"/>
      <c r="G967" s="12"/>
      <c r="H967" s="12"/>
      <c r="I967" s="12"/>
      <c r="J967" s="12"/>
      <c r="K967" s="12"/>
      <c r="L967" s="12"/>
      <c r="M967" s="12"/>
      <c r="N967" s="12"/>
      <c r="O967" s="12"/>
      <c r="P967" s="12"/>
      <c r="Q967" s="12"/>
      <c r="R967" s="27"/>
      <c r="S967" s="27"/>
      <c r="T967" s="27"/>
      <c r="U967" s="27"/>
      <c r="V967" s="12"/>
      <c r="W967" s="12"/>
      <c r="X967" s="12"/>
      <c r="Y967" s="12"/>
      <c r="Z967" s="31"/>
      <c r="AA967" s="12"/>
      <c r="AB967" s="12"/>
      <c r="AC967" s="12"/>
      <c r="AD967" s="12"/>
      <c r="AE967" s="12"/>
      <c r="AF967" s="12"/>
      <c r="AG967" s="12"/>
      <c r="AH967" s="12"/>
    </row>
    <row r="968" spans="1:34" ht="12.75">
      <c r="A968" s="12"/>
      <c r="B968" s="12"/>
      <c r="C968" s="12"/>
      <c r="D968" s="12"/>
      <c r="E968" s="12"/>
      <c r="F968" s="12"/>
      <c r="G968" s="12"/>
      <c r="H968" s="12"/>
      <c r="I968" s="12"/>
      <c r="J968" s="12"/>
      <c r="K968" s="12"/>
      <c r="L968" s="12"/>
      <c r="M968" s="12"/>
      <c r="N968" s="12"/>
      <c r="O968" s="12"/>
      <c r="P968" s="12"/>
      <c r="Q968" s="12"/>
      <c r="R968" s="27"/>
      <c r="S968" s="27"/>
      <c r="T968" s="27"/>
      <c r="U968" s="27"/>
      <c r="V968" s="12"/>
      <c r="W968" s="12"/>
      <c r="X968" s="12"/>
      <c r="Y968" s="12"/>
      <c r="Z968" s="31"/>
      <c r="AA968" s="12"/>
      <c r="AB968" s="12"/>
      <c r="AC968" s="12"/>
      <c r="AD968" s="12"/>
      <c r="AE968" s="12"/>
      <c r="AF968" s="12"/>
      <c r="AG968" s="12"/>
      <c r="AH968" s="12"/>
    </row>
    <row r="969" spans="1:34" ht="12.75">
      <c r="A969" s="12"/>
      <c r="B969" s="12"/>
      <c r="C969" s="12"/>
      <c r="D969" s="12"/>
      <c r="E969" s="12"/>
      <c r="F969" s="12"/>
      <c r="G969" s="12"/>
      <c r="H969" s="12"/>
      <c r="I969" s="12"/>
      <c r="J969" s="12"/>
      <c r="K969" s="12"/>
      <c r="L969" s="12"/>
      <c r="M969" s="12"/>
      <c r="N969" s="12"/>
      <c r="O969" s="12"/>
      <c r="P969" s="12"/>
      <c r="Q969" s="12"/>
      <c r="R969" s="27"/>
      <c r="S969" s="27"/>
      <c r="T969" s="27"/>
      <c r="U969" s="27"/>
      <c r="V969" s="12"/>
      <c r="W969" s="12"/>
      <c r="X969" s="12"/>
      <c r="Y969" s="12"/>
      <c r="Z969" s="31"/>
      <c r="AA969" s="12"/>
      <c r="AB969" s="12"/>
      <c r="AC969" s="12"/>
      <c r="AD969" s="12"/>
      <c r="AE969" s="12"/>
      <c r="AF969" s="12"/>
      <c r="AG969" s="12"/>
      <c r="AH969" s="12"/>
    </row>
    <row r="970" spans="1:34" ht="12.75">
      <c r="A970" s="12"/>
      <c r="B970" s="12"/>
      <c r="C970" s="12"/>
      <c r="D970" s="12"/>
      <c r="E970" s="12"/>
      <c r="F970" s="12"/>
      <c r="G970" s="12"/>
      <c r="H970" s="12"/>
      <c r="I970" s="12"/>
      <c r="J970" s="12"/>
      <c r="K970" s="12"/>
      <c r="L970" s="12"/>
      <c r="M970" s="12"/>
      <c r="N970" s="12"/>
      <c r="O970" s="12"/>
      <c r="P970" s="12"/>
      <c r="Q970" s="12"/>
      <c r="R970" s="27"/>
      <c r="S970" s="27"/>
      <c r="T970" s="27"/>
      <c r="U970" s="27"/>
      <c r="V970" s="12"/>
      <c r="W970" s="12"/>
      <c r="X970" s="12"/>
      <c r="Y970" s="12"/>
      <c r="Z970" s="31"/>
      <c r="AA970" s="12"/>
      <c r="AB970" s="12"/>
      <c r="AC970" s="12"/>
      <c r="AD970" s="12"/>
      <c r="AE970" s="12"/>
      <c r="AF970" s="12"/>
      <c r="AG970" s="12"/>
      <c r="AH970" s="12"/>
    </row>
    <row r="971" spans="1:34" ht="12.75">
      <c r="A971" s="12"/>
      <c r="B971" s="12"/>
      <c r="C971" s="12"/>
      <c r="D971" s="12"/>
      <c r="E971" s="12"/>
      <c r="F971" s="12"/>
      <c r="G971" s="12"/>
      <c r="H971" s="12"/>
      <c r="I971" s="12"/>
      <c r="J971" s="12"/>
      <c r="K971" s="12"/>
      <c r="L971" s="12"/>
      <c r="M971" s="12"/>
      <c r="N971" s="12"/>
      <c r="O971" s="12"/>
      <c r="P971" s="12"/>
      <c r="Q971" s="12"/>
      <c r="R971" s="27"/>
      <c r="S971" s="27"/>
      <c r="T971" s="27"/>
      <c r="U971" s="27"/>
      <c r="V971" s="12"/>
      <c r="W971" s="12"/>
      <c r="X971" s="12"/>
      <c r="Y971" s="12"/>
      <c r="Z971" s="31"/>
      <c r="AA971" s="12"/>
      <c r="AB971" s="12"/>
      <c r="AC971" s="12"/>
      <c r="AD971" s="12"/>
      <c r="AE971" s="12"/>
      <c r="AF971" s="12"/>
      <c r="AG971" s="12"/>
      <c r="AH971" s="12"/>
    </row>
    <row r="972" spans="1:34" ht="12.75">
      <c r="A972" s="12"/>
      <c r="B972" s="12"/>
      <c r="C972" s="12"/>
      <c r="D972" s="12"/>
      <c r="E972" s="12"/>
      <c r="F972" s="12"/>
      <c r="G972" s="12"/>
      <c r="H972" s="12"/>
      <c r="I972" s="12"/>
      <c r="J972" s="12"/>
      <c r="K972" s="12"/>
      <c r="L972" s="12"/>
      <c r="M972" s="12"/>
      <c r="N972" s="12"/>
      <c r="O972" s="12"/>
      <c r="P972" s="12"/>
      <c r="Q972" s="12"/>
      <c r="R972" s="27"/>
      <c r="S972" s="27"/>
      <c r="T972" s="27"/>
      <c r="U972" s="27"/>
      <c r="V972" s="12"/>
      <c r="W972" s="12"/>
      <c r="X972" s="12"/>
      <c r="Y972" s="12"/>
      <c r="Z972" s="31"/>
      <c r="AA972" s="12"/>
      <c r="AB972" s="12"/>
      <c r="AC972" s="12"/>
      <c r="AD972" s="12"/>
      <c r="AE972" s="12"/>
      <c r="AF972" s="12"/>
      <c r="AG972" s="12"/>
      <c r="AH972" s="12"/>
    </row>
    <row r="973" spans="1:34" ht="12.75">
      <c r="A973" s="12"/>
      <c r="B973" s="12"/>
      <c r="C973" s="12"/>
      <c r="D973" s="12"/>
      <c r="E973" s="12"/>
      <c r="F973" s="12"/>
      <c r="G973" s="12"/>
      <c r="H973" s="12"/>
      <c r="I973" s="12"/>
      <c r="J973" s="12"/>
      <c r="K973" s="12"/>
      <c r="L973" s="12"/>
      <c r="M973" s="12"/>
      <c r="N973" s="12"/>
      <c r="O973" s="12"/>
      <c r="P973" s="12"/>
      <c r="Q973" s="12"/>
      <c r="R973" s="27"/>
      <c r="S973" s="27"/>
      <c r="T973" s="27"/>
      <c r="U973" s="27"/>
      <c r="V973" s="12"/>
      <c r="W973" s="12"/>
      <c r="X973" s="12"/>
      <c r="Y973" s="12"/>
      <c r="Z973" s="31"/>
      <c r="AA973" s="12"/>
      <c r="AB973" s="12"/>
      <c r="AC973" s="12"/>
      <c r="AD973" s="12"/>
      <c r="AE973" s="12"/>
      <c r="AF973" s="12"/>
      <c r="AG973" s="12"/>
      <c r="AH973" s="12"/>
    </row>
    <row r="974" spans="1:34" ht="12.75">
      <c r="A974" s="12"/>
      <c r="B974" s="12"/>
      <c r="C974" s="12"/>
      <c r="D974" s="12"/>
      <c r="E974" s="12"/>
      <c r="F974" s="12"/>
      <c r="G974" s="12"/>
      <c r="H974" s="12"/>
      <c r="I974" s="12"/>
      <c r="J974" s="12"/>
      <c r="K974" s="12"/>
      <c r="L974" s="12"/>
      <c r="M974" s="12"/>
      <c r="N974" s="12"/>
      <c r="O974" s="12"/>
      <c r="P974" s="12"/>
      <c r="Q974" s="12"/>
      <c r="R974" s="27"/>
      <c r="S974" s="27"/>
      <c r="T974" s="27"/>
      <c r="U974" s="27"/>
      <c r="V974" s="12"/>
      <c r="W974" s="12"/>
      <c r="X974" s="12"/>
      <c r="Y974" s="12"/>
      <c r="Z974" s="31"/>
      <c r="AA974" s="12"/>
      <c r="AB974" s="12"/>
      <c r="AC974" s="12"/>
      <c r="AD974" s="12"/>
      <c r="AE974" s="12"/>
      <c r="AF974" s="12"/>
      <c r="AG974" s="12"/>
      <c r="AH974" s="12"/>
    </row>
    <row r="975" spans="1:34" ht="12.75">
      <c r="A975" s="12"/>
      <c r="B975" s="12"/>
      <c r="C975" s="12"/>
      <c r="D975" s="12"/>
      <c r="E975" s="12"/>
      <c r="F975" s="12"/>
      <c r="G975" s="12"/>
      <c r="H975" s="12"/>
      <c r="I975" s="12"/>
      <c r="J975" s="12"/>
      <c r="K975" s="12"/>
      <c r="L975" s="12"/>
      <c r="M975" s="12"/>
      <c r="N975" s="12"/>
      <c r="O975" s="12"/>
      <c r="P975" s="12"/>
      <c r="Q975" s="12"/>
      <c r="R975" s="27"/>
      <c r="S975" s="27"/>
      <c r="T975" s="27"/>
      <c r="U975" s="27"/>
      <c r="V975" s="12"/>
      <c r="W975" s="12"/>
      <c r="X975" s="12"/>
      <c r="Y975" s="12"/>
      <c r="Z975" s="31"/>
      <c r="AA975" s="12"/>
      <c r="AB975" s="12"/>
      <c r="AC975" s="12"/>
      <c r="AD975" s="12"/>
      <c r="AE975" s="12"/>
      <c r="AF975" s="12"/>
      <c r="AG975" s="12"/>
      <c r="AH975" s="12"/>
    </row>
    <row r="976" spans="1:34" ht="12.75">
      <c r="A976" s="12"/>
      <c r="B976" s="12"/>
      <c r="C976" s="12"/>
      <c r="D976" s="12"/>
      <c r="E976" s="12"/>
      <c r="F976" s="12"/>
      <c r="G976" s="12"/>
      <c r="H976" s="12"/>
      <c r="I976" s="12"/>
      <c r="J976" s="12"/>
      <c r="K976" s="12"/>
      <c r="L976" s="12"/>
      <c r="M976" s="12"/>
      <c r="N976" s="12"/>
      <c r="O976" s="12"/>
      <c r="P976" s="12"/>
      <c r="Q976" s="12"/>
      <c r="R976" s="27"/>
      <c r="S976" s="27"/>
      <c r="T976" s="27"/>
      <c r="U976" s="27"/>
      <c r="V976" s="12"/>
      <c r="W976" s="12"/>
      <c r="X976" s="12"/>
      <c r="Y976" s="12"/>
      <c r="Z976" s="31"/>
      <c r="AA976" s="12"/>
      <c r="AB976" s="12"/>
      <c r="AC976" s="12"/>
      <c r="AD976" s="12"/>
      <c r="AE976" s="12"/>
      <c r="AF976" s="12"/>
      <c r="AG976" s="12"/>
      <c r="AH976" s="12"/>
    </row>
    <row r="977" spans="1:34" ht="12.75">
      <c r="A977" s="12"/>
      <c r="B977" s="12"/>
      <c r="C977" s="12"/>
      <c r="D977" s="12"/>
      <c r="E977" s="12"/>
      <c r="F977" s="12"/>
      <c r="G977" s="12"/>
      <c r="H977" s="12"/>
      <c r="I977" s="12"/>
      <c r="J977" s="12"/>
      <c r="K977" s="12"/>
      <c r="L977" s="12"/>
      <c r="M977" s="12"/>
      <c r="N977" s="12"/>
      <c r="O977" s="12"/>
      <c r="P977" s="12"/>
      <c r="Q977" s="12"/>
      <c r="R977" s="27"/>
      <c r="S977" s="27"/>
      <c r="T977" s="27"/>
      <c r="U977" s="27"/>
      <c r="V977" s="12"/>
      <c r="W977" s="12"/>
      <c r="X977" s="12"/>
      <c r="Y977" s="12"/>
      <c r="Z977" s="31"/>
      <c r="AA977" s="12"/>
      <c r="AB977" s="12"/>
      <c r="AC977" s="12"/>
      <c r="AD977" s="12"/>
      <c r="AE977" s="12"/>
      <c r="AF977" s="12"/>
      <c r="AG977" s="12"/>
      <c r="AH977" s="12"/>
    </row>
    <row r="978" spans="1:34" ht="12.75">
      <c r="A978" s="12"/>
      <c r="B978" s="12"/>
      <c r="C978" s="12"/>
      <c r="D978" s="12"/>
      <c r="E978" s="12"/>
      <c r="F978" s="12"/>
      <c r="G978" s="12"/>
      <c r="H978" s="12"/>
      <c r="I978" s="12"/>
      <c r="J978" s="12"/>
      <c r="K978" s="12"/>
      <c r="L978" s="12"/>
      <c r="M978" s="12"/>
      <c r="N978" s="12"/>
      <c r="O978" s="12"/>
      <c r="P978" s="12"/>
      <c r="Q978" s="12"/>
      <c r="R978" s="27"/>
      <c r="S978" s="27"/>
      <c r="T978" s="27"/>
      <c r="U978" s="27"/>
      <c r="V978" s="12"/>
      <c r="W978" s="12"/>
      <c r="X978" s="12"/>
      <c r="Y978" s="12"/>
      <c r="Z978" s="31"/>
      <c r="AA978" s="12"/>
      <c r="AB978" s="12"/>
      <c r="AC978" s="12"/>
      <c r="AD978" s="12"/>
      <c r="AE978" s="12"/>
      <c r="AF978" s="12"/>
      <c r="AG978" s="12"/>
      <c r="AH978" s="12"/>
    </row>
    <row r="979" spans="1:34" ht="12.75">
      <c r="A979" s="12"/>
      <c r="B979" s="12"/>
      <c r="C979" s="12"/>
      <c r="D979" s="12"/>
      <c r="E979" s="12"/>
      <c r="F979" s="12"/>
      <c r="G979" s="12"/>
      <c r="H979" s="12"/>
      <c r="I979" s="12"/>
      <c r="J979" s="12"/>
      <c r="K979" s="12"/>
      <c r="L979" s="12"/>
      <c r="M979" s="12"/>
      <c r="N979" s="12"/>
      <c r="O979" s="12"/>
      <c r="P979" s="12"/>
      <c r="Q979" s="12"/>
      <c r="R979" s="27"/>
      <c r="S979" s="27"/>
      <c r="T979" s="27"/>
      <c r="U979" s="27"/>
      <c r="V979" s="12"/>
      <c r="W979" s="12"/>
      <c r="X979" s="12"/>
      <c r="Y979" s="12"/>
      <c r="Z979" s="31"/>
      <c r="AA979" s="12"/>
      <c r="AB979" s="12"/>
      <c r="AC979" s="12"/>
      <c r="AD979" s="12"/>
      <c r="AE979" s="12"/>
      <c r="AF979" s="12"/>
      <c r="AG979" s="12"/>
      <c r="AH979" s="12"/>
    </row>
    <row r="980" spans="1:34" ht="12.75">
      <c r="A980" s="12"/>
      <c r="B980" s="12"/>
      <c r="C980" s="12"/>
      <c r="D980" s="12"/>
      <c r="E980" s="12"/>
      <c r="F980" s="12"/>
      <c r="G980" s="12"/>
      <c r="H980" s="12"/>
      <c r="I980" s="12"/>
      <c r="J980" s="12"/>
      <c r="K980" s="12"/>
      <c r="L980" s="12"/>
      <c r="M980" s="12"/>
      <c r="N980" s="12"/>
      <c r="O980" s="12"/>
      <c r="P980" s="12"/>
      <c r="Q980" s="12"/>
      <c r="R980" s="27"/>
      <c r="S980" s="27"/>
      <c r="T980" s="27"/>
      <c r="U980" s="27"/>
      <c r="V980" s="12"/>
      <c r="W980" s="12"/>
      <c r="X980" s="12"/>
      <c r="Y980" s="12"/>
      <c r="Z980" s="31"/>
      <c r="AA980" s="12"/>
      <c r="AB980" s="12"/>
      <c r="AC980" s="12"/>
      <c r="AD980" s="12"/>
      <c r="AE980" s="12"/>
      <c r="AF980" s="12"/>
      <c r="AG980" s="12"/>
      <c r="AH980" s="12"/>
    </row>
    <row r="981" spans="1:34" ht="12.75">
      <c r="A981" s="12"/>
      <c r="B981" s="12"/>
      <c r="C981" s="12"/>
      <c r="D981" s="12"/>
      <c r="E981" s="12"/>
      <c r="F981" s="12"/>
      <c r="G981" s="12"/>
      <c r="H981" s="12"/>
      <c r="I981" s="12"/>
      <c r="J981" s="12"/>
      <c r="K981" s="12"/>
      <c r="L981" s="12"/>
      <c r="M981" s="12"/>
      <c r="N981" s="12"/>
      <c r="O981" s="12"/>
      <c r="P981" s="12"/>
      <c r="Q981" s="12"/>
      <c r="R981" s="27"/>
      <c r="S981" s="27"/>
      <c r="T981" s="27"/>
      <c r="U981" s="27"/>
      <c r="V981" s="12"/>
      <c r="W981" s="12"/>
      <c r="X981" s="12"/>
      <c r="Y981" s="12"/>
      <c r="Z981" s="31"/>
      <c r="AA981" s="12"/>
      <c r="AB981" s="12"/>
      <c r="AC981" s="12"/>
      <c r="AD981" s="12"/>
      <c r="AE981" s="12"/>
      <c r="AF981" s="12"/>
      <c r="AG981" s="12"/>
      <c r="AH981" s="12"/>
    </row>
    <row r="982" spans="1:34" ht="12.75">
      <c r="A982" s="12"/>
      <c r="B982" s="12"/>
      <c r="C982" s="12"/>
      <c r="D982" s="12"/>
      <c r="E982" s="12"/>
      <c r="F982" s="12"/>
      <c r="G982" s="12"/>
      <c r="H982" s="12"/>
      <c r="I982" s="12"/>
      <c r="J982" s="12"/>
      <c r="K982" s="12"/>
      <c r="L982" s="12"/>
      <c r="M982" s="12"/>
      <c r="N982" s="12"/>
      <c r="O982" s="12"/>
      <c r="P982" s="12"/>
      <c r="Q982" s="12"/>
      <c r="R982" s="27"/>
      <c r="S982" s="27"/>
      <c r="T982" s="27"/>
      <c r="U982" s="27"/>
      <c r="V982" s="12"/>
      <c r="W982" s="12"/>
      <c r="X982" s="12"/>
      <c r="Y982" s="12"/>
      <c r="Z982" s="31"/>
      <c r="AA982" s="12"/>
      <c r="AB982" s="12"/>
      <c r="AC982" s="12"/>
      <c r="AD982" s="12"/>
      <c r="AE982" s="12"/>
      <c r="AF982" s="12"/>
      <c r="AG982" s="12"/>
      <c r="AH982" s="12"/>
    </row>
    <row r="983" spans="1:34" ht="12.75">
      <c r="A983" s="12"/>
      <c r="B983" s="12"/>
      <c r="C983" s="12"/>
      <c r="D983" s="12"/>
      <c r="E983" s="12"/>
      <c r="F983" s="12"/>
      <c r="G983" s="12"/>
      <c r="H983" s="12"/>
      <c r="I983" s="12"/>
      <c r="J983" s="12"/>
      <c r="K983" s="12"/>
      <c r="L983" s="12"/>
      <c r="M983" s="12"/>
      <c r="N983" s="12"/>
      <c r="O983" s="12"/>
      <c r="P983" s="12"/>
      <c r="Q983" s="12"/>
      <c r="R983" s="27"/>
      <c r="S983" s="27"/>
      <c r="T983" s="27"/>
      <c r="U983" s="27"/>
      <c r="V983" s="12"/>
      <c r="W983" s="12"/>
      <c r="X983" s="12"/>
      <c r="Y983" s="12"/>
      <c r="Z983" s="31"/>
      <c r="AA983" s="12"/>
      <c r="AB983" s="12"/>
      <c r="AC983" s="12"/>
      <c r="AD983" s="12"/>
      <c r="AE983" s="12"/>
      <c r="AF983" s="12"/>
      <c r="AG983" s="12"/>
      <c r="AH983" s="12"/>
    </row>
    <row r="984" spans="1:34" ht="12.75">
      <c r="A984" s="12"/>
      <c r="B984" s="12"/>
      <c r="C984" s="12"/>
      <c r="D984" s="12"/>
      <c r="E984" s="12"/>
      <c r="F984" s="12"/>
      <c r="G984" s="12"/>
      <c r="H984" s="12"/>
      <c r="I984" s="12"/>
      <c r="J984" s="12"/>
      <c r="K984" s="12"/>
      <c r="L984" s="12"/>
      <c r="M984" s="12"/>
      <c r="N984" s="12"/>
      <c r="O984" s="12"/>
      <c r="P984" s="12"/>
      <c r="Q984" s="12"/>
      <c r="R984" s="27"/>
      <c r="S984" s="27"/>
      <c r="T984" s="27"/>
      <c r="U984" s="27"/>
      <c r="V984" s="12"/>
      <c r="W984" s="12"/>
      <c r="X984" s="12"/>
      <c r="Y984" s="12"/>
      <c r="Z984" s="31"/>
      <c r="AA984" s="12"/>
      <c r="AB984" s="12"/>
      <c r="AC984" s="12"/>
      <c r="AD984" s="12"/>
      <c r="AE984" s="12"/>
      <c r="AF984" s="12"/>
      <c r="AG984" s="12"/>
      <c r="AH984" s="12"/>
    </row>
    <row r="985" spans="1:34" ht="12.75">
      <c r="A985" s="12"/>
      <c r="B985" s="12"/>
      <c r="C985" s="12"/>
      <c r="D985" s="12"/>
      <c r="E985" s="12"/>
      <c r="F985" s="12"/>
      <c r="G985" s="12"/>
      <c r="H985" s="12"/>
      <c r="I985" s="12"/>
      <c r="J985" s="12"/>
      <c r="K985" s="12"/>
      <c r="L985" s="12"/>
      <c r="M985" s="12"/>
      <c r="N985" s="12"/>
      <c r="O985" s="12"/>
      <c r="P985" s="12"/>
      <c r="Q985" s="12"/>
      <c r="R985" s="27"/>
      <c r="S985" s="27"/>
      <c r="T985" s="27"/>
      <c r="U985" s="27"/>
      <c r="V985" s="12"/>
      <c r="W985" s="12"/>
      <c r="X985" s="12"/>
      <c r="Y985" s="12"/>
      <c r="Z985" s="31"/>
      <c r="AA985" s="12"/>
      <c r="AB985" s="12"/>
      <c r="AC985" s="12"/>
      <c r="AD985" s="12"/>
      <c r="AE985" s="12"/>
      <c r="AF985" s="12"/>
      <c r="AG985" s="12"/>
      <c r="AH985" s="12"/>
    </row>
    <row r="986" spans="1:34" ht="12.75">
      <c r="A986" s="12"/>
      <c r="B986" s="12"/>
      <c r="C986" s="12"/>
      <c r="D986" s="12"/>
      <c r="E986" s="12"/>
      <c r="F986" s="12"/>
      <c r="G986" s="12"/>
      <c r="H986" s="12"/>
      <c r="I986" s="12"/>
      <c r="J986" s="12"/>
      <c r="K986" s="12"/>
      <c r="L986" s="12"/>
      <c r="M986" s="12"/>
      <c r="N986" s="12"/>
      <c r="O986" s="12"/>
      <c r="P986" s="12"/>
      <c r="Q986" s="12"/>
      <c r="R986" s="27"/>
      <c r="S986" s="27"/>
      <c r="T986" s="27"/>
      <c r="U986" s="27"/>
      <c r="V986" s="12"/>
      <c r="W986" s="12"/>
      <c r="X986" s="12"/>
      <c r="Y986" s="12"/>
      <c r="Z986" s="31"/>
      <c r="AA986" s="12"/>
      <c r="AB986" s="12"/>
      <c r="AC986" s="12"/>
      <c r="AD986" s="12"/>
      <c r="AE986" s="12"/>
      <c r="AF986" s="12"/>
      <c r="AG986" s="12"/>
      <c r="AH986" s="12"/>
    </row>
    <row r="987" spans="1:34" ht="12.75">
      <c r="A987" s="12"/>
      <c r="B987" s="12"/>
      <c r="C987" s="12"/>
      <c r="D987" s="12"/>
      <c r="E987" s="12"/>
      <c r="F987" s="12"/>
      <c r="G987" s="12"/>
      <c r="H987" s="12"/>
      <c r="I987" s="12"/>
      <c r="J987" s="12"/>
      <c r="K987" s="12"/>
      <c r="L987" s="12"/>
      <c r="M987" s="12"/>
      <c r="N987" s="12"/>
      <c r="O987" s="12"/>
      <c r="P987" s="12"/>
      <c r="Q987" s="12"/>
      <c r="R987" s="27"/>
      <c r="S987" s="27"/>
      <c r="T987" s="27"/>
      <c r="U987" s="27"/>
      <c r="V987" s="12"/>
      <c r="W987" s="12"/>
      <c r="X987" s="12"/>
      <c r="Y987" s="12"/>
      <c r="Z987" s="31"/>
      <c r="AA987" s="12"/>
      <c r="AB987" s="12"/>
      <c r="AC987" s="12"/>
      <c r="AD987" s="12"/>
      <c r="AE987" s="12"/>
      <c r="AF987" s="12"/>
      <c r="AG987" s="12"/>
      <c r="AH987" s="12"/>
    </row>
    <row r="988" spans="1:34" ht="12.75">
      <c r="A988" s="12"/>
      <c r="B988" s="12"/>
      <c r="C988" s="12"/>
      <c r="D988" s="12"/>
      <c r="E988" s="12"/>
      <c r="F988" s="12"/>
      <c r="G988" s="12"/>
      <c r="H988" s="12"/>
      <c r="I988" s="12"/>
      <c r="J988" s="12"/>
      <c r="K988" s="12"/>
      <c r="L988" s="12"/>
      <c r="M988" s="12"/>
      <c r="N988" s="12"/>
      <c r="O988" s="12"/>
      <c r="P988" s="12"/>
      <c r="Q988" s="12"/>
      <c r="R988" s="27"/>
      <c r="S988" s="27"/>
      <c r="T988" s="27"/>
      <c r="U988" s="27"/>
      <c r="V988" s="12"/>
      <c r="W988" s="12"/>
      <c r="X988" s="12"/>
      <c r="Y988" s="12"/>
      <c r="Z988" s="31"/>
      <c r="AA988" s="12"/>
      <c r="AB988" s="12"/>
      <c r="AC988" s="12"/>
      <c r="AD988" s="12"/>
      <c r="AE988" s="12"/>
      <c r="AF988" s="12"/>
      <c r="AG988" s="12"/>
      <c r="AH988" s="12"/>
    </row>
    <row r="989" spans="1:34" ht="12.75">
      <c r="A989" s="12"/>
      <c r="B989" s="12"/>
      <c r="C989" s="12"/>
      <c r="D989" s="12"/>
      <c r="E989" s="12"/>
      <c r="F989" s="12"/>
      <c r="G989" s="12"/>
      <c r="H989" s="12"/>
      <c r="I989" s="12"/>
      <c r="J989" s="12"/>
      <c r="K989" s="12"/>
      <c r="L989" s="12"/>
      <c r="M989" s="12"/>
      <c r="N989" s="12"/>
      <c r="O989" s="12"/>
      <c r="P989" s="12"/>
      <c r="Q989" s="12"/>
      <c r="R989" s="27"/>
      <c r="S989" s="27"/>
      <c r="T989" s="27"/>
      <c r="U989" s="27"/>
      <c r="V989" s="12"/>
      <c r="W989" s="12"/>
      <c r="X989" s="12"/>
      <c r="Y989" s="12"/>
      <c r="Z989" s="31"/>
      <c r="AA989" s="12"/>
      <c r="AB989" s="12"/>
      <c r="AC989" s="12"/>
      <c r="AD989" s="12"/>
      <c r="AE989" s="12"/>
      <c r="AF989" s="12"/>
      <c r="AG989" s="12"/>
      <c r="AH989" s="12"/>
    </row>
    <row r="990" spans="1:34" ht="12.75">
      <c r="A990" s="12"/>
      <c r="B990" s="12"/>
      <c r="C990" s="12"/>
      <c r="D990" s="12"/>
      <c r="E990" s="12"/>
      <c r="F990" s="12"/>
      <c r="G990" s="12"/>
      <c r="H990" s="12"/>
      <c r="I990" s="12"/>
      <c r="J990" s="12"/>
      <c r="K990" s="12"/>
      <c r="L990" s="12"/>
      <c r="M990" s="12"/>
      <c r="N990" s="12"/>
      <c r="O990" s="12"/>
      <c r="P990" s="12"/>
      <c r="Q990" s="12"/>
      <c r="R990" s="27"/>
      <c r="S990" s="27"/>
      <c r="T990" s="27"/>
      <c r="U990" s="27"/>
      <c r="V990" s="12"/>
      <c r="W990" s="12"/>
      <c r="X990" s="12"/>
      <c r="Y990" s="12"/>
      <c r="Z990" s="31"/>
      <c r="AA990" s="12"/>
      <c r="AB990" s="12"/>
      <c r="AC990" s="12"/>
      <c r="AD990" s="12"/>
      <c r="AE990" s="12"/>
      <c r="AF990" s="12"/>
      <c r="AG990" s="12"/>
      <c r="AH990" s="12"/>
    </row>
    <row r="991" spans="1:34" ht="12.75">
      <c r="A991" s="12"/>
      <c r="B991" s="12"/>
      <c r="C991" s="12"/>
      <c r="D991" s="12"/>
      <c r="E991" s="12"/>
      <c r="F991" s="12"/>
      <c r="G991" s="12"/>
      <c r="H991" s="12"/>
      <c r="I991" s="12"/>
      <c r="J991" s="12"/>
      <c r="K991" s="12"/>
      <c r="L991" s="12"/>
      <c r="M991" s="12"/>
      <c r="N991" s="12"/>
      <c r="O991" s="12"/>
      <c r="P991" s="12"/>
      <c r="Q991" s="12"/>
      <c r="R991" s="27"/>
      <c r="S991" s="27"/>
      <c r="T991" s="27"/>
      <c r="U991" s="27"/>
      <c r="V991" s="12"/>
      <c r="W991" s="12"/>
      <c r="X991" s="12"/>
      <c r="Y991" s="12"/>
      <c r="Z991" s="31"/>
      <c r="AA991" s="12"/>
      <c r="AB991" s="12"/>
      <c r="AC991" s="12"/>
      <c r="AD991" s="12"/>
      <c r="AE991" s="12"/>
      <c r="AF991" s="12"/>
      <c r="AG991" s="12"/>
      <c r="AH991" s="12"/>
    </row>
    <row r="992" spans="1:34" ht="12.75">
      <c r="A992" s="12"/>
      <c r="B992" s="12"/>
      <c r="C992" s="12"/>
      <c r="D992" s="12"/>
      <c r="E992" s="12"/>
      <c r="F992" s="12"/>
      <c r="G992" s="12"/>
      <c r="H992" s="12"/>
      <c r="I992" s="12"/>
      <c r="J992" s="12"/>
      <c r="K992" s="12"/>
      <c r="L992" s="12"/>
      <c r="M992" s="12"/>
      <c r="N992" s="12"/>
      <c r="O992" s="12"/>
      <c r="P992" s="12"/>
      <c r="Q992" s="12"/>
      <c r="R992" s="27"/>
      <c r="S992" s="27"/>
      <c r="T992" s="27"/>
      <c r="U992" s="27"/>
      <c r="V992" s="12"/>
      <c r="W992" s="12"/>
      <c r="X992" s="12"/>
      <c r="Y992" s="12"/>
      <c r="Z992" s="31"/>
      <c r="AA992" s="12"/>
      <c r="AB992" s="12"/>
      <c r="AC992" s="12"/>
      <c r="AD992" s="12"/>
      <c r="AE992" s="12"/>
      <c r="AF992" s="12"/>
      <c r="AG992" s="12"/>
      <c r="AH992" s="12"/>
    </row>
    <row r="993" spans="1:34" ht="12.75">
      <c r="A993" s="12"/>
      <c r="B993" s="12"/>
      <c r="C993" s="12"/>
      <c r="D993" s="12"/>
      <c r="E993" s="12"/>
      <c r="F993" s="12"/>
      <c r="G993" s="12"/>
      <c r="H993" s="12"/>
      <c r="I993" s="12"/>
      <c r="J993" s="12"/>
      <c r="K993" s="12"/>
      <c r="L993" s="12"/>
      <c r="M993" s="12"/>
      <c r="N993" s="12"/>
      <c r="O993" s="12"/>
      <c r="P993" s="12"/>
      <c r="Q993" s="12"/>
      <c r="R993" s="27"/>
      <c r="S993" s="27"/>
      <c r="T993" s="27"/>
      <c r="U993" s="27"/>
      <c r="V993" s="12"/>
      <c r="W993" s="12"/>
      <c r="X993" s="12"/>
      <c r="Y993" s="12"/>
      <c r="Z993" s="31"/>
      <c r="AA993" s="12"/>
      <c r="AB993" s="12"/>
      <c r="AC993" s="12"/>
      <c r="AD993" s="12"/>
      <c r="AE993" s="12"/>
      <c r="AF993" s="12"/>
      <c r="AG993" s="12"/>
      <c r="AH993" s="12"/>
    </row>
    <row r="994" spans="1:34" ht="12.75">
      <c r="A994" s="12"/>
      <c r="B994" s="12"/>
      <c r="C994" s="12"/>
      <c r="D994" s="12"/>
      <c r="E994" s="12"/>
      <c r="F994" s="12"/>
      <c r="G994" s="12"/>
      <c r="H994" s="12"/>
      <c r="I994" s="12"/>
      <c r="J994" s="12"/>
      <c r="K994" s="12"/>
      <c r="L994" s="12"/>
      <c r="M994" s="12"/>
      <c r="N994" s="12"/>
      <c r="O994" s="12"/>
      <c r="P994" s="12"/>
      <c r="Q994" s="12"/>
      <c r="R994" s="27"/>
      <c r="S994" s="27"/>
      <c r="T994" s="27"/>
      <c r="U994" s="27"/>
      <c r="V994" s="12"/>
      <c r="W994" s="12"/>
      <c r="X994" s="12"/>
      <c r="Y994" s="12"/>
      <c r="Z994" s="31"/>
      <c r="AA994" s="12"/>
      <c r="AB994" s="12"/>
      <c r="AC994" s="12"/>
      <c r="AD994" s="12"/>
      <c r="AE994" s="12"/>
      <c r="AF994" s="12"/>
      <c r="AG994" s="12"/>
      <c r="AH994" s="12"/>
    </row>
    <row r="995" spans="1:34" ht="12.75">
      <c r="A995" s="12"/>
      <c r="B995" s="12"/>
      <c r="C995" s="12"/>
      <c r="D995" s="12"/>
      <c r="E995" s="12"/>
      <c r="F995" s="12"/>
      <c r="G995" s="12"/>
      <c r="H995" s="12"/>
      <c r="I995" s="12"/>
      <c r="J995" s="12"/>
      <c r="K995" s="12"/>
      <c r="L995" s="12"/>
      <c r="M995" s="12"/>
      <c r="N995" s="12"/>
      <c r="O995" s="12"/>
      <c r="P995" s="12"/>
      <c r="Q995" s="12"/>
      <c r="R995" s="27"/>
      <c r="S995" s="27"/>
      <c r="T995" s="27"/>
      <c r="U995" s="27"/>
      <c r="V995" s="12"/>
      <c r="W995" s="12"/>
      <c r="X995" s="12"/>
      <c r="Y995" s="12"/>
      <c r="Z995" s="31"/>
      <c r="AA995" s="12"/>
      <c r="AB995" s="12"/>
      <c r="AC995" s="12"/>
      <c r="AD995" s="12"/>
      <c r="AE995" s="12"/>
      <c r="AF995" s="12"/>
      <c r="AG995" s="12"/>
      <c r="AH995" s="12"/>
    </row>
    <row r="996" spans="1:34" ht="12.75">
      <c r="A996" s="12"/>
      <c r="B996" s="12"/>
      <c r="C996" s="12"/>
      <c r="D996" s="12"/>
      <c r="E996" s="12"/>
      <c r="F996" s="12"/>
      <c r="G996" s="12"/>
      <c r="H996" s="12"/>
      <c r="I996" s="12"/>
      <c r="J996" s="12"/>
      <c r="K996" s="12"/>
      <c r="L996" s="12"/>
      <c r="M996" s="12"/>
      <c r="N996" s="12"/>
      <c r="O996" s="12"/>
      <c r="P996" s="12"/>
      <c r="Q996" s="12"/>
      <c r="R996" s="27"/>
      <c r="S996" s="27"/>
      <c r="T996" s="27"/>
      <c r="U996" s="27"/>
      <c r="V996" s="12"/>
      <c r="W996" s="12"/>
      <c r="X996" s="12"/>
      <c r="Y996" s="12"/>
      <c r="Z996" s="31"/>
      <c r="AA996" s="12"/>
      <c r="AB996" s="12"/>
      <c r="AC996" s="12"/>
      <c r="AD996" s="12"/>
      <c r="AE996" s="12"/>
      <c r="AF996" s="12"/>
      <c r="AG996" s="12"/>
      <c r="AH996" s="12"/>
    </row>
    <row r="997" spans="1:34" ht="12.75">
      <c r="A997" s="12"/>
      <c r="B997" s="12"/>
      <c r="C997" s="12"/>
      <c r="D997" s="12"/>
      <c r="E997" s="12"/>
      <c r="F997" s="12"/>
      <c r="G997" s="12"/>
      <c r="H997" s="12"/>
      <c r="I997" s="12"/>
      <c r="J997" s="12"/>
      <c r="K997" s="12"/>
      <c r="L997" s="12"/>
      <c r="M997" s="12"/>
      <c r="N997" s="12"/>
      <c r="O997" s="12"/>
      <c r="P997" s="12"/>
      <c r="Q997" s="12"/>
      <c r="R997" s="27"/>
      <c r="S997" s="27"/>
      <c r="T997" s="27"/>
      <c r="U997" s="27"/>
      <c r="V997" s="12"/>
      <c r="W997" s="12"/>
      <c r="X997" s="12"/>
      <c r="Y997" s="12"/>
      <c r="Z997" s="31"/>
      <c r="AA997" s="12"/>
      <c r="AB997" s="12"/>
      <c r="AC997" s="12"/>
      <c r="AD997" s="12"/>
      <c r="AE997" s="12"/>
      <c r="AF997" s="12"/>
      <c r="AG997" s="12"/>
      <c r="AH997" s="12"/>
    </row>
    <row r="998" spans="1:34" ht="12.75">
      <c r="A998" s="12"/>
      <c r="B998" s="12"/>
      <c r="C998" s="12"/>
      <c r="D998" s="12"/>
      <c r="E998" s="12"/>
      <c r="F998" s="12"/>
      <c r="G998" s="12"/>
      <c r="H998" s="12"/>
      <c r="I998" s="12"/>
      <c r="J998" s="12"/>
      <c r="K998" s="12"/>
      <c r="L998" s="12"/>
      <c r="M998" s="12"/>
      <c r="N998" s="12"/>
      <c r="O998" s="12"/>
      <c r="P998" s="12"/>
      <c r="Q998" s="12"/>
      <c r="R998" s="27"/>
      <c r="S998" s="27"/>
      <c r="T998" s="27"/>
      <c r="U998" s="27"/>
      <c r="V998" s="12"/>
      <c r="W998" s="12"/>
      <c r="X998" s="12"/>
      <c r="Y998" s="12"/>
      <c r="Z998" s="31"/>
      <c r="AA998" s="12"/>
      <c r="AB998" s="12"/>
      <c r="AC998" s="12"/>
      <c r="AD998" s="12"/>
      <c r="AE998" s="12"/>
      <c r="AF998" s="12"/>
      <c r="AG998" s="12"/>
      <c r="AH998" s="12"/>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AG1606"/>
  <sheetViews>
    <sheetView workbookViewId="0"/>
  </sheetViews>
  <sheetFormatPr defaultColWidth="14.42578125" defaultRowHeight="15.75" customHeight="1"/>
  <cols>
    <col min="1" max="1" width="46.42578125" customWidth="1"/>
    <col min="4" max="26" width="14.42578125" hidden="1"/>
  </cols>
  <sheetData>
    <row r="1" spans="1:33">
      <c r="A1" s="32" t="s">
        <v>158</v>
      </c>
      <c r="B1" s="32" t="s">
        <v>159</v>
      </c>
      <c r="C1" s="32" t="s">
        <v>160</v>
      </c>
      <c r="D1" s="32" t="s">
        <v>161</v>
      </c>
      <c r="E1" s="32" t="s">
        <v>162</v>
      </c>
      <c r="F1" s="32" t="s">
        <v>163</v>
      </c>
      <c r="G1" s="32" t="s">
        <v>164</v>
      </c>
      <c r="H1" s="32" t="s">
        <v>165</v>
      </c>
      <c r="I1" s="32" t="s">
        <v>166</v>
      </c>
      <c r="J1" s="32" t="s">
        <v>167</v>
      </c>
      <c r="K1" s="32" t="s">
        <v>168</v>
      </c>
      <c r="L1" s="32" t="s">
        <v>169</v>
      </c>
      <c r="M1" s="32" t="s">
        <v>170</v>
      </c>
      <c r="N1" s="32" t="s">
        <v>171</v>
      </c>
      <c r="O1" s="32" t="s">
        <v>172</v>
      </c>
      <c r="P1" s="32" t="s">
        <v>173</v>
      </c>
      <c r="Q1" s="32" t="s">
        <v>174</v>
      </c>
      <c r="R1" s="32" t="s">
        <v>175</v>
      </c>
      <c r="S1" s="32" t="s">
        <v>176</v>
      </c>
      <c r="T1" s="32" t="s">
        <v>177</v>
      </c>
      <c r="U1" s="32" t="s">
        <v>178</v>
      </c>
      <c r="V1" s="32" t="s">
        <v>179</v>
      </c>
      <c r="W1" s="32" t="s">
        <v>180</v>
      </c>
      <c r="X1" s="32" t="s">
        <v>181</v>
      </c>
      <c r="Y1" s="32" t="s">
        <v>182</v>
      </c>
      <c r="Z1" s="32" t="s">
        <v>183</v>
      </c>
      <c r="AA1" s="32" t="s">
        <v>184</v>
      </c>
      <c r="AB1" s="32" t="s">
        <v>185</v>
      </c>
      <c r="AC1" s="32" t="s">
        <v>186</v>
      </c>
      <c r="AD1" s="32" t="s">
        <v>187</v>
      </c>
      <c r="AE1" s="32" t="s">
        <v>188</v>
      </c>
      <c r="AF1" s="32" t="s">
        <v>189</v>
      </c>
      <c r="AG1" s="32" t="s">
        <v>190</v>
      </c>
    </row>
    <row r="2" spans="1:33">
      <c r="A2" s="32" t="s">
        <v>191</v>
      </c>
      <c r="B2" s="32" t="s">
        <v>32</v>
      </c>
      <c r="C2" s="32" t="s">
        <v>192</v>
      </c>
      <c r="D2" s="32" t="s">
        <v>193</v>
      </c>
      <c r="E2" s="32" t="s">
        <v>194</v>
      </c>
      <c r="F2" s="32" t="s">
        <v>195</v>
      </c>
      <c r="G2" s="32" t="s">
        <v>196</v>
      </c>
      <c r="H2" s="32" t="s">
        <v>197</v>
      </c>
      <c r="I2" s="32" t="s">
        <v>198</v>
      </c>
      <c r="J2" s="32" t="s">
        <v>199</v>
      </c>
      <c r="K2" s="32">
        <v>2.1494949999999999</v>
      </c>
      <c r="L2" s="33">
        <v>1410</v>
      </c>
      <c r="M2" s="32">
        <v>210</v>
      </c>
      <c r="N2" s="32">
        <v>242</v>
      </c>
      <c r="O2" s="32">
        <v>230</v>
      </c>
      <c r="P2" s="32">
        <v>416</v>
      </c>
      <c r="Q2" s="32">
        <v>312</v>
      </c>
      <c r="R2" s="32">
        <v>2</v>
      </c>
      <c r="S2" s="32">
        <v>9.1628100000000003</v>
      </c>
      <c r="T2" s="32">
        <v>5.3887400000000003</v>
      </c>
      <c r="U2" s="32">
        <v>0.79312555799999995</v>
      </c>
      <c r="V2" s="32">
        <v>8</v>
      </c>
      <c r="W2" s="32">
        <v>0.84516599999999997</v>
      </c>
      <c r="X2" s="32">
        <v>0.187338</v>
      </c>
      <c r="Y2" s="32">
        <v>0.8</v>
      </c>
      <c r="Z2" s="32">
        <v>0.3</v>
      </c>
      <c r="AA2" s="32">
        <v>26.2</v>
      </c>
      <c r="AB2" s="32">
        <v>680</v>
      </c>
      <c r="AC2" s="32">
        <v>19</v>
      </c>
      <c r="AD2" s="32">
        <v>34</v>
      </c>
      <c r="AE2" s="32" t="s">
        <v>200</v>
      </c>
      <c r="AF2" s="32">
        <v>0</v>
      </c>
      <c r="AG2" s="32">
        <v>6</v>
      </c>
    </row>
    <row r="3" spans="1:33">
      <c r="A3" s="32" t="s">
        <v>201</v>
      </c>
      <c r="B3" s="32" t="s">
        <v>32</v>
      </c>
      <c r="C3" s="32" t="s">
        <v>202</v>
      </c>
      <c r="D3" s="32" t="s">
        <v>203</v>
      </c>
      <c r="E3" s="32" t="s">
        <v>204</v>
      </c>
      <c r="F3" s="32" t="s">
        <v>205</v>
      </c>
      <c r="G3" s="32" t="s">
        <v>196</v>
      </c>
      <c r="H3" s="32" t="s">
        <v>197</v>
      </c>
      <c r="I3" s="32" t="s">
        <v>198</v>
      </c>
      <c r="J3" s="32" t="s">
        <v>199</v>
      </c>
      <c r="K3" s="32">
        <v>2.2696969999999999</v>
      </c>
      <c r="L3" s="33">
        <v>1338</v>
      </c>
      <c r="M3" s="32">
        <v>292</v>
      </c>
      <c r="N3" s="32">
        <v>215</v>
      </c>
      <c r="O3" s="32">
        <v>266</v>
      </c>
      <c r="P3" s="32">
        <v>343</v>
      </c>
      <c r="Q3" s="32">
        <v>222</v>
      </c>
      <c r="R3" s="32">
        <v>2</v>
      </c>
      <c r="S3" s="32">
        <v>10.084899999999999</v>
      </c>
      <c r="T3" s="32">
        <v>5.7682500000000001</v>
      </c>
      <c r="U3" s="32">
        <v>0.77088544999999997</v>
      </c>
      <c r="V3" s="32">
        <v>7</v>
      </c>
      <c r="W3" s="32">
        <v>0.85174799999999995</v>
      </c>
      <c r="X3" s="32">
        <v>0.20460800000000001</v>
      </c>
      <c r="Y3" s="32">
        <v>0.8</v>
      </c>
      <c r="Z3" s="32">
        <v>0.39399499999999998</v>
      </c>
      <c r="AA3" s="32">
        <v>27.7</v>
      </c>
      <c r="AB3" s="32">
        <v>549</v>
      </c>
      <c r="AC3" s="32">
        <v>9</v>
      </c>
      <c r="AD3" s="32">
        <v>50</v>
      </c>
      <c r="AE3" s="32">
        <v>5</v>
      </c>
      <c r="AF3" s="32">
        <v>0</v>
      </c>
      <c r="AG3" s="32">
        <v>7</v>
      </c>
    </row>
    <row r="4" spans="1:33">
      <c r="A4" s="32" t="s">
        <v>206</v>
      </c>
      <c r="B4" s="32" t="s">
        <v>32</v>
      </c>
      <c r="C4" s="32" t="s">
        <v>207</v>
      </c>
      <c r="D4" s="32" t="s">
        <v>208</v>
      </c>
      <c r="E4" s="32" t="s">
        <v>194</v>
      </c>
      <c r="F4" s="32" t="s">
        <v>195</v>
      </c>
      <c r="G4" s="32" t="s">
        <v>196</v>
      </c>
      <c r="H4" s="32" t="s">
        <v>197</v>
      </c>
      <c r="I4" s="32" t="s">
        <v>198</v>
      </c>
      <c r="J4" s="32" t="s">
        <v>199</v>
      </c>
      <c r="K4" s="32">
        <v>2.1033870000000001</v>
      </c>
      <c r="L4" s="33">
        <v>1673</v>
      </c>
      <c r="M4" s="32">
        <v>337</v>
      </c>
      <c r="N4" s="32">
        <v>271</v>
      </c>
      <c r="O4" s="32">
        <v>312</v>
      </c>
      <c r="P4" s="32">
        <v>418</v>
      </c>
      <c r="Q4" s="32">
        <v>335</v>
      </c>
      <c r="R4" s="32">
        <v>2</v>
      </c>
      <c r="S4" s="32">
        <v>8.8304899999999993</v>
      </c>
      <c r="T4" s="32">
        <v>0</v>
      </c>
      <c r="U4" s="32">
        <v>0.92531972699999998</v>
      </c>
      <c r="V4" s="32">
        <v>6</v>
      </c>
      <c r="W4" s="32">
        <v>0.84675400000000001</v>
      </c>
      <c r="X4" s="32">
        <v>0.13930300000000001</v>
      </c>
      <c r="Y4" s="32">
        <v>0.80758300000000005</v>
      </c>
      <c r="Z4" s="32">
        <v>0.3</v>
      </c>
      <c r="AA4" s="32">
        <v>31.3</v>
      </c>
      <c r="AB4" s="32">
        <v>701</v>
      </c>
      <c r="AC4" s="32">
        <v>10</v>
      </c>
      <c r="AD4" s="32">
        <v>23</v>
      </c>
      <c r="AE4" s="32">
        <v>0</v>
      </c>
      <c r="AF4" s="32">
        <v>0</v>
      </c>
      <c r="AG4" s="32" t="s">
        <v>200</v>
      </c>
    </row>
    <row r="5" spans="1:33">
      <c r="A5" s="32" t="s">
        <v>209</v>
      </c>
      <c r="B5" s="32" t="s">
        <v>32</v>
      </c>
      <c r="C5" s="32" t="s">
        <v>210</v>
      </c>
      <c r="D5" s="32" t="s">
        <v>211</v>
      </c>
      <c r="E5" s="32" t="s">
        <v>212</v>
      </c>
      <c r="F5" s="32" t="s">
        <v>213</v>
      </c>
      <c r="G5" s="32" t="s">
        <v>196</v>
      </c>
      <c r="H5" s="32" t="s">
        <v>197</v>
      </c>
      <c r="I5" s="32" t="s">
        <v>198</v>
      </c>
      <c r="J5" s="32" t="s">
        <v>199</v>
      </c>
      <c r="K5" s="32">
        <v>2.0196070000000002</v>
      </c>
      <c r="L5" s="33">
        <v>1549</v>
      </c>
      <c r="M5" s="32">
        <v>311</v>
      </c>
      <c r="N5" s="32">
        <v>228</v>
      </c>
      <c r="O5" s="32">
        <v>337</v>
      </c>
      <c r="P5" s="32">
        <v>421</v>
      </c>
      <c r="Q5" s="32">
        <v>252</v>
      </c>
      <c r="R5" s="32" t="s">
        <v>214</v>
      </c>
      <c r="S5" s="32">
        <v>7.1360099999999997</v>
      </c>
      <c r="T5" s="32">
        <v>0</v>
      </c>
      <c r="U5" s="32">
        <v>1.022770035</v>
      </c>
      <c r="V5" s="32">
        <v>5</v>
      </c>
      <c r="W5" s="32">
        <v>0.82860199999999995</v>
      </c>
      <c r="X5" s="32">
        <v>0.11988699999999999</v>
      </c>
      <c r="Y5" s="32">
        <v>0.80609200000000003</v>
      </c>
      <c r="Z5" s="32">
        <v>0.25371700000000003</v>
      </c>
      <c r="AA5" s="32">
        <v>37.6</v>
      </c>
      <c r="AB5" s="32">
        <v>727</v>
      </c>
      <c r="AC5" s="32">
        <v>16</v>
      </c>
      <c r="AD5" s="32">
        <v>39</v>
      </c>
      <c r="AE5" s="32">
        <v>0</v>
      </c>
      <c r="AF5" s="32">
        <v>0</v>
      </c>
      <c r="AG5" s="32" t="s">
        <v>200</v>
      </c>
    </row>
    <row r="6" spans="1:33">
      <c r="A6" s="32" t="s">
        <v>215</v>
      </c>
      <c r="B6" s="32" t="s">
        <v>32</v>
      </c>
      <c r="C6" s="32" t="s">
        <v>216</v>
      </c>
      <c r="D6" s="32" t="s">
        <v>217</v>
      </c>
      <c r="E6" s="32" t="s">
        <v>218</v>
      </c>
      <c r="F6" s="32" t="s">
        <v>219</v>
      </c>
      <c r="G6" s="32" t="s">
        <v>196</v>
      </c>
      <c r="H6" s="32" t="s">
        <v>197</v>
      </c>
      <c r="I6" s="32" t="s">
        <v>198</v>
      </c>
      <c r="J6" s="32" t="s">
        <v>199</v>
      </c>
      <c r="K6" s="32">
        <v>2.0852219999999999</v>
      </c>
      <c r="L6" s="33">
        <v>1642</v>
      </c>
      <c r="M6" s="32">
        <v>343</v>
      </c>
      <c r="N6" s="32">
        <v>239</v>
      </c>
      <c r="O6" s="32">
        <v>423</v>
      </c>
      <c r="P6" s="32">
        <v>434</v>
      </c>
      <c r="Q6" s="32">
        <v>203</v>
      </c>
      <c r="R6" s="32">
        <v>2</v>
      </c>
      <c r="S6" s="32">
        <v>10.895099999999999</v>
      </c>
      <c r="T6" s="32">
        <v>6.1930300000000003</v>
      </c>
      <c r="U6" s="32">
        <v>1.019911789</v>
      </c>
      <c r="V6" s="32">
        <v>4</v>
      </c>
      <c r="W6" s="32">
        <v>0.808867</v>
      </c>
      <c r="X6" s="32">
        <v>5.6128999999999998E-2</v>
      </c>
      <c r="Y6" s="32">
        <v>0.8</v>
      </c>
      <c r="Z6" s="32">
        <v>0.41797400000000001</v>
      </c>
      <c r="AA6" s="32">
        <v>30.2</v>
      </c>
      <c r="AB6" s="32">
        <v>635</v>
      </c>
      <c r="AC6" s="32">
        <v>16</v>
      </c>
      <c r="AD6" s="32">
        <v>48</v>
      </c>
      <c r="AE6" s="32">
        <v>0</v>
      </c>
      <c r="AF6" s="32" t="s">
        <v>200</v>
      </c>
      <c r="AG6" s="32">
        <v>8</v>
      </c>
    </row>
    <row r="7" spans="1:33">
      <c r="A7" s="32" t="s">
        <v>220</v>
      </c>
      <c r="B7" s="32" t="s">
        <v>32</v>
      </c>
      <c r="C7" s="32" t="s">
        <v>221</v>
      </c>
      <c r="D7" s="32" t="s">
        <v>222</v>
      </c>
      <c r="E7" s="32" t="s">
        <v>223</v>
      </c>
      <c r="F7" s="32" t="s">
        <v>224</v>
      </c>
      <c r="G7" s="32" t="s">
        <v>196</v>
      </c>
      <c r="H7" s="32" t="s">
        <v>197</v>
      </c>
      <c r="I7" s="32" t="s">
        <v>198</v>
      </c>
      <c r="J7" s="32" t="s">
        <v>199</v>
      </c>
      <c r="K7" s="32">
        <v>2.1980249999999999</v>
      </c>
      <c r="L7" s="33">
        <v>1841</v>
      </c>
      <c r="M7" s="32">
        <v>433</v>
      </c>
      <c r="N7" s="32">
        <v>344</v>
      </c>
      <c r="O7" s="32">
        <v>385</v>
      </c>
      <c r="P7" s="32">
        <v>460</v>
      </c>
      <c r="Q7" s="32">
        <v>219</v>
      </c>
      <c r="R7" s="32" t="s">
        <v>225</v>
      </c>
      <c r="S7" s="32">
        <v>5.6682800000000002</v>
      </c>
      <c r="T7" s="32">
        <v>0</v>
      </c>
      <c r="U7" s="32">
        <v>1.1218380779999999</v>
      </c>
      <c r="V7" s="32">
        <v>2</v>
      </c>
      <c r="W7" s="32">
        <v>0.82441699999999996</v>
      </c>
      <c r="X7" s="32">
        <v>0.20966000000000001</v>
      </c>
      <c r="Y7" s="32">
        <v>0.8</v>
      </c>
      <c r="Z7" s="32">
        <v>0.33974599999999999</v>
      </c>
      <c r="AA7" s="32">
        <v>38.5</v>
      </c>
      <c r="AB7" s="32">
        <v>826</v>
      </c>
      <c r="AC7" s="32">
        <v>19</v>
      </c>
      <c r="AD7" s="32">
        <v>44</v>
      </c>
      <c r="AE7" s="32" t="s">
        <v>200</v>
      </c>
      <c r="AF7" s="32">
        <v>0</v>
      </c>
      <c r="AG7" s="32" t="s">
        <v>200</v>
      </c>
    </row>
    <row r="8" spans="1:33">
      <c r="A8" s="32" t="s">
        <v>226</v>
      </c>
      <c r="B8" s="32" t="s">
        <v>32</v>
      </c>
      <c r="C8" s="32" t="s">
        <v>227</v>
      </c>
      <c r="D8" s="32" t="s">
        <v>228</v>
      </c>
      <c r="E8" s="32" t="s">
        <v>223</v>
      </c>
      <c r="F8" s="32" t="s">
        <v>224</v>
      </c>
      <c r="G8" s="32" t="s">
        <v>196</v>
      </c>
      <c r="H8" s="32" t="s">
        <v>197</v>
      </c>
      <c r="I8" s="32" t="s">
        <v>198</v>
      </c>
      <c r="J8" s="32" t="s">
        <v>199</v>
      </c>
      <c r="K8" s="32">
        <v>2.0113210000000001</v>
      </c>
      <c r="L8" s="33">
        <v>2056</v>
      </c>
      <c r="M8" s="32">
        <v>556</v>
      </c>
      <c r="N8" s="32">
        <v>407</v>
      </c>
      <c r="O8" s="32">
        <v>462</v>
      </c>
      <c r="P8" s="32">
        <v>463</v>
      </c>
      <c r="Q8" s="32">
        <v>168</v>
      </c>
      <c r="R8" s="32" t="s">
        <v>214</v>
      </c>
      <c r="S8" s="32">
        <v>4.4194599999999999</v>
      </c>
      <c r="T8" s="32">
        <v>0</v>
      </c>
      <c r="U8" s="32">
        <v>1.4865733379999999</v>
      </c>
      <c r="V8" s="32">
        <v>1</v>
      </c>
      <c r="W8" s="32">
        <v>0.8</v>
      </c>
      <c r="X8" s="32">
        <v>9.1824000000000003E-2</v>
      </c>
      <c r="Y8" s="32">
        <v>0.8</v>
      </c>
      <c r="Z8" s="32">
        <v>0.31970700000000002</v>
      </c>
      <c r="AA8" s="32">
        <v>36.200000000000003</v>
      </c>
      <c r="AB8" s="32">
        <v>622</v>
      </c>
      <c r="AC8" s="32">
        <v>8</v>
      </c>
      <c r="AD8" s="32">
        <v>50</v>
      </c>
      <c r="AE8" s="32" t="s">
        <v>200</v>
      </c>
      <c r="AF8" s="32" t="s">
        <v>200</v>
      </c>
      <c r="AG8" s="32" t="s">
        <v>200</v>
      </c>
    </row>
    <row r="9" spans="1:33">
      <c r="A9" s="32" t="s">
        <v>229</v>
      </c>
      <c r="B9" s="32" t="s">
        <v>32</v>
      </c>
      <c r="C9" s="32" t="s">
        <v>230</v>
      </c>
      <c r="D9" s="32" t="s">
        <v>231</v>
      </c>
      <c r="E9" s="32" t="s">
        <v>232</v>
      </c>
      <c r="F9" s="32" t="s">
        <v>233</v>
      </c>
      <c r="G9" s="32" t="s">
        <v>196</v>
      </c>
      <c r="H9" s="32" t="s">
        <v>197</v>
      </c>
      <c r="I9" s="32" t="s">
        <v>198</v>
      </c>
      <c r="J9" s="32" t="s">
        <v>199</v>
      </c>
      <c r="K9" s="32">
        <v>2.1790319999999999</v>
      </c>
      <c r="L9" s="33">
        <v>1764</v>
      </c>
      <c r="M9" s="32">
        <v>413</v>
      </c>
      <c r="N9" s="32">
        <v>309</v>
      </c>
      <c r="O9" s="32">
        <v>354</v>
      </c>
      <c r="P9" s="32">
        <v>423</v>
      </c>
      <c r="Q9" s="32">
        <v>265</v>
      </c>
      <c r="R9" s="32">
        <v>2</v>
      </c>
      <c r="S9" s="32">
        <v>8.8016400000000008</v>
      </c>
      <c r="T9" s="32">
        <v>0</v>
      </c>
      <c r="U9" s="32">
        <v>1.0088447229999999</v>
      </c>
      <c r="V9" s="32">
        <v>4</v>
      </c>
      <c r="W9" s="32">
        <v>0.86370999999999998</v>
      </c>
      <c r="X9" s="32">
        <v>0.170096</v>
      </c>
      <c r="Y9" s="32">
        <v>0.82588399999999995</v>
      </c>
      <c r="Z9" s="32">
        <v>0.32676300000000003</v>
      </c>
      <c r="AA9" s="32">
        <v>51.9</v>
      </c>
      <c r="AB9" s="32">
        <v>603</v>
      </c>
      <c r="AC9" s="32">
        <v>19</v>
      </c>
      <c r="AD9" s="32">
        <v>32</v>
      </c>
      <c r="AE9" s="32">
        <v>0</v>
      </c>
      <c r="AF9" s="32" t="s">
        <v>200</v>
      </c>
      <c r="AG9" s="32" t="s">
        <v>200</v>
      </c>
    </row>
    <row r="10" spans="1:33">
      <c r="A10" s="32" t="s">
        <v>234</v>
      </c>
      <c r="B10" s="32" t="s">
        <v>32</v>
      </c>
      <c r="C10" s="32" t="s">
        <v>235</v>
      </c>
      <c r="D10" s="32" t="s">
        <v>236</v>
      </c>
      <c r="E10" s="32" t="s">
        <v>237</v>
      </c>
      <c r="F10" s="32" t="s">
        <v>238</v>
      </c>
      <c r="G10" s="32" t="s">
        <v>196</v>
      </c>
      <c r="H10" s="32" t="s">
        <v>197</v>
      </c>
      <c r="I10" s="32" t="s">
        <v>198</v>
      </c>
      <c r="J10" s="32" t="s">
        <v>199</v>
      </c>
      <c r="K10" s="32">
        <v>2.2127159999999999</v>
      </c>
      <c r="L10" s="33">
        <v>1819</v>
      </c>
      <c r="M10" s="32">
        <v>384</v>
      </c>
      <c r="N10" s="32">
        <v>393</v>
      </c>
      <c r="O10" s="32">
        <v>390</v>
      </c>
      <c r="P10" s="32">
        <v>472</v>
      </c>
      <c r="Q10" s="32">
        <v>180</v>
      </c>
      <c r="R10" s="32">
        <v>2</v>
      </c>
      <c r="S10" s="32">
        <v>11.3222</v>
      </c>
      <c r="T10" s="32">
        <v>0</v>
      </c>
      <c r="U10" s="32">
        <v>1.377705757</v>
      </c>
      <c r="V10" s="32">
        <v>2</v>
      </c>
      <c r="W10" s="32">
        <v>0.87160499999999996</v>
      </c>
      <c r="X10" s="32">
        <v>0.15318599999999999</v>
      </c>
      <c r="Y10" s="32">
        <v>0.89253400000000005</v>
      </c>
      <c r="Z10" s="32">
        <v>0.30970500000000001</v>
      </c>
      <c r="AA10" s="32">
        <v>57.1</v>
      </c>
      <c r="AB10" s="32">
        <v>453</v>
      </c>
      <c r="AC10" s="32">
        <v>17</v>
      </c>
      <c r="AD10" s="32">
        <v>34</v>
      </c>
      <c r="AE10" s="32" t="s">
        <v>200</v>
      </c>
      <c r="AF10" s="32" t="s">
        <v>200</v>
      </c>
      <c r="AG10" s="32">
        <v>8</v>
      </c>
    </row>
    <row r="11" spans="1:33">
      <c r="A11" s="32" t="s">
        <v>239</v>
      </c>
      <c r="B11" s="32" t="s">
        <v>32</v>
      </c>
      <c r="C11" s="32" t="s">
        <v>240</v>
      </c>
      <c r="D11" s="32" t="s">
        <v>241</v>
      </c>
      <c r="E11" s="32" t="s">
        <v>242</v>
      </c>
      <c r="F11" s="32" t="s">
        <v>243</v>
      </c>
      <c r="G11" s="32" t="s">
        <v>196</v>
      </c>
      <c r="H11" s="32" t="s">
        <v>197</v>
      </c>
      <c r="I11" s="32" t="s">
        <v>198</v>
      </c>
      <c r="J11" s="32" t="s">
        <v>199</v>
      </c>
      <c r="K11" s="32">
        <v>2.1736</v>
      </c>
      <c r="L11" s="33">
        <v>1652</v>
      </c>
      <c r="M11" s="32">
        <v>349</v>
      </c>
      <c r="N11" s="32">
        <v>301</v>
      </c>
      <c r="O11" s="32">
        <v>378</v>
      </c>
      <c r="P11" s="32">
        <v>391</v>
      </c>
      <c r="Q11" s="32">
        <v>233</v>
      </c>
      <c r="R11" s="32">
        <v>2</v>
      </c>
      <c r="S11" s="32">
        <v>8.5313800000000004</v>
      </c>
      <c r="T11" s="32">
        <v>4.1134300000000001</v>
      </c>
      <c r="U11" s="32">
        <v>0.98943436900000004</v>
      </c>
      <c r="V11" s="32">
        <v>4</v>
      </c>
      <c r="W11" s="32">
        <v>0.88826700000000003</v>
      </c>
      <c r="X11" s="32">
        <v>0.13897799999999999</v>
      </c>
      <c r="Y11" s="32">
        <v>0.86608099999999999</v>
      </c>
      <c r="Z11" s="32">
        <v>0.29986499999999999</v>
      </c>
      <c r="AA11" s="32">
        <v>49.3</v>
      </c>
      <c r="AB11" s="32">
        <v>624</v>
      </c>
      <c r="AC11" s="32">
        <v>22</v>
      </c>
      <c r="AD11" s="32">
        <v>49</v>
      </c>
      <c r="AE11" s="32">
        <v>0</v>
      </c>
      <c r="AF11" s="32">
        <v>0</v>
      </c>
      <c r="AG11" s="32" t="s">
        <v>200</v>
      </c>
    </row>
    <row r="12" spans="1:33">
      <c r="A12" s="32" t="s">
        <v>244</v>
      </c>
      <c r="B12" s="32" t="s">
        <v>32</v>
      </c>
      <c r="C12" s="32" t="s">
        <v>245</v>
      </c>
      <c r="D12" s="32" t="s">
        <v>246</v>
      </c>
      <c r="E12" s="32" t="s">
        <v>242</v>
      </c>
      <c r="F12" s="32" t="s">
        <v>243</v>
      </c>
      <c r="G12" s="32" t="s">
        <v>196</v>
      </c>
      <c r="H12" s="32" t="s">
        <v>197</v>
      </c>
      <c r="I12" s="32" t="s">
        <v>198</v>
      </c>
      <c r="J12" s="32" t="s">
        <v>199</v>
      </c>
      <c r="K12" s="32">
        <v>2.3251119999999998</v>
      </c>
      <c r="L12" s="33">
        <v>1607</v>
      </c>
      <c r="M12" s="32">
        <v>324</v>
      </c>
      <c r="N12" s="32">
        <v>324</v>
      </c>
      <c r="O12" s="32">
        <v>320</v>
      </c>
      <c r="P12" s="32">
        <v>414</v>
      </c>
      <c r="Q12" s="32">
        <v>225</v>
      </c>
      <c r="R12" s="32">
        <v>2</v>
      </c>
      <c r="S12" s="32">
        <v>12.7486</v>
      </c>
      <c r="T12" s="32">
        <v>0</v>
      </c>
      <c r="U12" s="32">
        <v>0.95515237600000003</v>
      </c>
      <c r="V12" s="32">
        <v>4</v>
      </c>
      <c r="W12" s="32">
        <v>0.91494799999999998</v>
      </c>
      <c r="X12" s="32">
        <v>0.242814</v>
      </c>
      <c r="Y12" s="32">
        <v>0.80073700000000003</v>
      </c>
      <c r="Z12" s="32">
        <v>0.39299600000000001</v>
      </c>
      <c r="AA12" s="32">
        <v>47.9</v>
      </c>
      <c r="AB12" s="32">
        <v>560</v>
      </c>
      <c r="AC12" s="32">
        <v>23</v>
      </c>
      <c r="AD12" s="32">
        <v>40</v>
      </c>
      <c r="AE12" s="32">
        <v>0</v>
      </c>
      <c r="AF12" s="32">
        <v>0</v>
      </c>
      <c r="AG12" s="32" t="s">
        <v>200</v>
      </c>
    </row>
    <row r="13" spans="1:33">
      <c r="A13" s="32" t="s">
        <v>247</v>
      </c>
      <c r="B13" s="32" t="s">
        <v>32</v>
      </c>
      <c r="C13" s="32" t="s">
        <v>248</v>
      </c>
      <c r="D13" s="32" t="s">
        <v>249</v>
      </c>
      <c r="E13" s="32" t="s">
        <v>204</v>
      </c>
      <c r="F13" s="32" t="s">
        <v>205</v>
      </c>
      <c r="G13" s="32" t="s">
        <v>196</v>
      </c>
      <c r="H13" s="32" t="s">
        <v>197</v>
      </c>
      <c r="I13" s="32" t="s">
        <v>198</v>
      </c>
      <c r="J13" s="32" t="s">
        <v>199</v>
      </c>
      <c r="K13" s="32">
        <v>2.093537</v>
      </c>
      <c r="L13" s="33">
        <v>1588</v>
      </c>
      <c r="M13" s="32">
        <v>355</v>
      </c>
      <c r="N13" s="32">
        <v>309</v>
      </c>
      <c r="O13" s="32">
        <v>297</v>
      </c>
      <c r="P13" s="32">
        <v>432</v>
      </c>
      <c r="Q13" s="32">
        <v>195</v>
      </c>
      <c r="R13" s="32" t="s">
        <v>225</v>
      </c>
      <c r="S13" s="32">
        <v>8.13706</v>
      </c>
      <c r="T13" s="32">
        <v>0</v>
      </c>
      <c r="U13" s="32">
        <v>1.0256724930000001</v>
      </c>
      <c r="V13" s="32">
        <v>4</v>
      </c>
      <c r="W13" s="32">
        <v>0.84931999999999996</v>
      </c>
      <c r="X13" s="32">
        <v>0.114729</v>
      </c>
      <c r="Y13" s="32">
        <v>0.8</v>
      </c>
      <c r="Z13" s="32">
        <v>0.34700599999999998</v>
      </c>
      <c r="AA13" s="32">
        <v>40.200000000000003</v>
      </c>
      <c r="AB13" s="32">
        <v>656</v>
      </c>
      <c r="AC13" s="32">
        <v>21</v>
      </c>
      <c r="AD13" s="32">
        <v>59</v>
      </c>
      <c r="AE13" s="32" t="s">
        <v>200</v>
      </c>
      <c r="AF13" s="32" t="s">
        <v>200</v>
      </c>
      <c r="AG13" s="32">
        <v>5</v>
      </c>
    </row>
    <row r="14" spans="1:33">
      <c r="A14" s="32" t="s">
        <v>250</v>
      </c>
      <c r="B14" s="32" t="s">
        <v>32</v>
      </c>
      <c r="C14" s="32" t="s">
        <v>251</v>
      </c>
      <c r="D14" s="32" t="s">
        <v>252</v>
      </c>
      <c r="E14" s="32" t="s">
        <v>232</v>
      </c>
      <c r="F14" s="32" t="s">
        <v>233</v>
      </c>
      <c r="G14" s="32" t="s">
        <v>196</v>
      </c>
      <c r="H14" s="32" t="s">
        <v>197</v>
      </c>
      <c r="I14" s="32" t="s">
        <v>198</v>
      </c>
      <c r="J14" s="32" t="s">
        <v>199</v>
      </c>
      <c r="K14" s="32">
        <v>2.222906</v>
      </c>
      <c r="L14" s="33">
        <v>1664</v>
      </c>
      <c r="M14" s="32">
        <v>353</v>
      </c>
      <c r="N14" s="32">
        <v>287</v>
      </c>
      <c r="O14" s="32">
        <v>361</v>
      </c>
      <c r="P14" s="32">
        <v>435</v>
      </c>
      <c r="Q14" s="32">
        <v>228</v>
      </c>
      <c r="R14" s="32" t="s">
        <v>225</v>
      </c>
      <c r="S14" s="32">
        <v>7.0585300000000002</v>
      </c>
      <c r="T14" s="32">
        <v>0</v>
      </c>
      <c r="U14" s="32">
        <v>0.99007371799999999</v>
      </c>
      <c r="V14" s="32">
        <v>3</v>
      </c>
      <c r="W14" s="32">
        <v>0.90034199999999998</v>
      </c>
      <c r="X14" s="32">
        <v>0.24712000000000001</v>
      </c>
      <c r="Y14" s="32">
        <v>0.8</v>
      </c>
      <c r="Z14" s="32">
        <v>0.3</v>
      </c>
      <c r="AA14" s="32">
        <v>48.5</v>
      </c>
      <c r="AB14" s="32">
        <v>553</v>
      </c>
      <c r="AC14" s="32">
        <v>7</v>
      </c>
      <c r="AD14" s="32">
        <v>33</v>
      </c>
      <c r="AE14" s="32">
        <v>0</v>
      </c>
      <c r="AF14" s="32" t="s">
        <v>200</v>
      </c>
      <c r="AG14" s="32" t="s">
        <v>200</v>
      </c>
    </row>
    <row r="15" spans="1:33">
      <c r="A15" s="32" t="s">
        <v>253</v>
      </c>
      <c r="B15" s="32" t="s">
        <v>32</v>
      </c>
      <c r="C15" s="32" t="s">
        <v>254</v>
      </c>
      <c r="D15" s="32" t="s">
        <v>255</v>
      </c>
      <c r="E15" s="32" t="s">
        <v>204</v>
      </c>
      <c r="F15" s="32" t="s">
        <v>205</v>
      </c>
      <c r="G15" s="32" t="s">
        <v>196</v>
      </c>
      <c r="H15" s="32" t="s">
        <v>197</v>
      </c>
      <c r="I15" s="32" t="s">
        <v>198</v>
      </c>
      <c r="J15" s="32" t="s">
        <v>199</v>
      </c>
      <c r="K15" s="32">
        <v>2.279318</v>
      </c>
      <c r="L15" s="33">
        <v>1375</v>
      </c>
      <c r="M15" s="32">
        <v>342</v>
      </c>
      <c r="N15" s="32">
        <v>269</v>
      </c>
      <c r="O15" s="32">
        <v>267</v>
      </c>
      <c r="P15" s="32">
        <v>327</v>
      </c>
      <c r="Q15" s="32">
        <v>170</v>
      </c>
      <c r="R15" s="32" t="s">
        <v>225</v>
      </c>
      <c r="S15" s="32">
        <v>8.0345099999999992</v>
      </c>
      <c r="T15" s="32">
        <v>2.5522999999999998</v>
      </c>
      <c r="U15" s="32">
        <v>0.93280606899999996</v>
      </c>
      <c r="V15" s="32">
        <v>4</v>
      </c>
      <c r="W15" s="32">
        <v>0.834009</v>
      </c>
      <c r="X15" s="32">
        <v>0.13592199999999999</v>
      </c>
      <c r="Y15" s="32">
        <v>0.8</v>
      </c>
      <c r="Z15" s="32">
        <v>0.50997899999999996</v>
      </c>
      <c r="AA15" s="32">
        <v>38.700000000000003</v>
      </c>
      <c r="AB15" s="32">
        <v>596</v>
      </c>
      <c r="AC15" s="32">
        <v>12</v>
      </c>
      <c r="AD15" s="32">
        <v>67</v>
      </c>
      <c r="AE15" s="32">
        <v>6</v>
      </c>
      <c r="AF15" s="32">
        <v>6</v>
      </c>
      <c r="AG15" s="32">
        <v>6</v>
      </c>
    </row>
    <row r="16" spans="1:33">
      <c r="A16" s="32" t="s">
        <v>256</v>
      </c>
      <c r="B16" s="32" t="s">
        <v>32</v>
      </c>
      <c r="C16" s="32" t="s">
        <v>257</v>
      </c>
      <c r="D16" s="32" t="s">
        <v>258</v>
      </c>
      <c r="E16" s="32" t="s">
        <v>242</v>
      </c>
      <c r="F16" s="32" t="s">
        <v>243</v>
      </c>
      <c r="G16" s="32" t="s">
        <v>196</v>
      </c>
      <c r="H16" s="32" t="s">
        <v>197</v>
      </c>
      <c r="I16" s="32" t="s">
        <v>198</v>
      </c>
      <c r="J16" s="32" t="s">
        <v>199</v>
      </c>
      <c r="K16" s="32">
        <v>2.2284730000000001</v>
      </c>
      <c r="L16" s="33">
        <v>1474</v>
      </c>
      <c r="M16" s="32">
        <v>298</v>
      </c>
      <c r="N16" s="32">
        <v>248</v>
      </c>
      <c r="O16" s="32">
        <v>325</v>
      </c>
      <c r="P16" s="32">
        <v>345</v>
      </c>
      <c r="Q16" s="32">
        <v>258</v>
      </c>
      <c r="R16" s="32" t="s">
        <v>225</v>
      </c>
      <c r="S16" s="32">
        <v>9.1749399999999994</v>
      </c>
      <c r="T16" s="32">
        <v>0</v>
      </c>
      <c r="U16" s="32">
        <v>0.97633636599999996</v>
      </c>
      <c r="V16" s="32">
        <v>4</v>
      </c>
      <c r="W16" s="32">
        <v>0.89759900000000004</v>
      </c>
      <c r="X16" s="32">
        <v>0.19591800000000001</v>
      </c>
      <c r="Y16" s="32">
        <v>0.8</v>
      </c>
      <c r="Z16" s="32">
        <v>0.31836700000000001</v>
      </c>
      <c r="AA16" s="32">
        <v>36.9</v>
      </c>
      <c r="AB16" s="32">
        <v>610</v>
      </c>
      <c r="AC16" s="32">
        <v>26</v>
      </c>
      <c r="AD16" s="32">
        <v>50</v>
      </c>
      <c r="AE16" s="32">
        <v>0</v>
      </c>
      <c r="AF16" s="32">
        <v>0</v>
      </c>
      <c r="AG16" s="32">
        <v>6</v>
      </c>
    </row>
    <row r="17" spans="1:33">
      <c r="A17" s="32" t="s">
        <v>259</v>
      </c>
      <c r="B17" s="32" t="s">
        <v>32</v>
      </c>
      <c r="C17" s="32" t="s">
        <v>260</v>
      </c>
      <c r="D17" s="32" t="s">
        <v>261</v>
      </c>
      <c r="E17" s="32" t="s">
        <v>204</v>
      </c>
      <c r="F17" s="32" t="s">
        <v>205</v>
      </c>
      <c r="G17" s="32" t="s">
        <v>196</v>
      </c>
      <c r="H17" s="32" t="s">
        <v>197</v>
      </c>
      <c r="I17" s="32" t="s">
        <v>198</v>
      </c>
      <c r="J17" s="32" t="s">
        <v>199</v>
      </c>
      <c r="K17" s="32">
        <v>2.5760670000000001</v>
      </c>
      <c r="L17" s="33">
        <v>1824</v>
      </c>
      <c r="M17" s="32">
        <v>477</v>
      </c>
      <c r="N17" s="32">
        <v>290</v>
      </c>
      <c r="O17" s="32">
        <v>431</v>
      </c>
      <c r="P17" s="32">
        <v>425</v>
      </c>
      <c r="Q17" s="32">
        <v>201</v>
      </c>
      <c r="R17" s="32">
        <v>2</v>
      </c>
      <c r="S17" s="32">
        <v>18.752300000000002</v>
      </c>
      <c r="T17" s="32">
        <v>3.4238599999999999</v>
      </c>
      <c r="U17" s="32">
        <v>0.73166924200000005</v>
      </c>
      <c r="V17" s="32">
        <v>4</v>
      </c>
      <c r="W17" s="32">
        <v>0.85157700000000003</v>
      </c>
      <c r="X17" s="32">
        <v>0.205789</v>
      </c>
      <c r="Y17" s="32">
        <v>0.8</v>
      </c>
      <c r="Z17" s="32">
        <v>0.72230499999999997</v>
      </c>
      <c r="AA17" s="32">
        <v>32.799999999999997</v>
      </c>
      <c r="AB17" s="32">
        <v>812</v>
      </c>
      <c r="AC17" s="32">
        <v>24</v>
      </c>
      <c r="AD17" s="32">
        <v>92</v>
      </c>
      <c r="AE17" s="32" t="s">
        <v>200</v>
      </c>
      <c r="AF17" s="32">
        <v>0</v>
      </c>
      <c r="AG17" s="32" t="s">
        <v>200</v>
      </c>
    </row>
    <row r="18" spans="1:33">
      <c r="A18" s="32" t="s">
        <v>262</v>
      </c>
      <c r="B18" s="32" t="s">
        <v>32</v>
      </c>
      <c r="C18" s="32" t="s">
        <v>263</v>
      </c>
      <c r="D18" s="32" t="s">
        <v>264</v>
      </c>
      <c r="E18" s="32" t="s">
        <v>265</v>
      </c>
      <c r="F18" s="32" t="s">
        <v>266</v>
      </c>
      <c r="G18" s="32" t="s">
        <v>196</v>
      </c>
      <c r="H18" s="32" t="s">
        <v>197</v>
      </c>
      <c r="I18" s="32" t="s">
        <v>198</v>
      </c>
      <c r="J18" s="32" t="s">
        <v>199</v>
      </c>
      <c r="K18" s="32">
        <v>2.4260600000000001</v>
      </c>
      <c r="L18" s="33">
        <v>1967</v>
      </c>
      <c r="M18" s="32">
        <v>488</v>
      </c>
      <c r="N18" s="32">
        <v>381</v>
      </c>
      <c r="O18" s="32">
        <v>405</v>
      </c>
      <c r="P18" s="32">
        <v>485</v>
      </c>
      <c r="Q18" s="32">
        <v>208</v>
      </c>
      <c r="R18" s="32">
        <v>2</v>
      </c>
      <c r="S18" s="32">
        <v>16.067799999999998</v>
      </c>
      <c r="T18" s="32">
        <v>0</v>
      </c>
      <c r="U18" s="32">
        <v>1.0025482429999999</v>
      </c>
      <c r="V18" s="32">
        <v>2</v>
      </c>
      <c r="W18" s="32">
        <v>0.82044700000000004</v>
      </c>
      <c r="X18" s="32">
        <v>0.22065699999999999</v>
      </c>
      <c r="Y18" s="32">
        <v>0.8</v>
      </c>
      <c r="Z18" s="32">
        <v>0.57796099999999995</v>
      </c>
      <c r="AA18" s="32">
        <v>34.1</v>
      </c>
      <c r="AB18" s="32">
        <v>720</v>
      </c>
      <c r="AC18" s="32">
        <v>18</v>
      </c>
      <c r="AD18" s="32">
        <v>244</v>
      </c>
      <c r="AE18" s="32">
        <v>854</v>
      </c>
      <c r="AF18" s="32" t="s">
        <v>200</v>
      </c>
      <c r="AG18" s="32">
        <v>2992</v>
      </c>
    </row>
    <row r="19" spans="1:33">
      <c r="A19" s="32" t="s">
        <v>267</v>
      </c>
      <c r="B19" s="32" t="s">
        <v>32</v>
      </c>
      <c r="C19" s="32" t="s">
        <v>268</v>
      </c>
      <c r="D19" s="32" t="s">
        <v>269</v>
      </c>
      <c r="E19" s="32" t="s">
        <v>218</v>
      </c>
      <c r="F19" s="32" t="s">
        <v>219</v>
      </c>
      <c r="G19" s="32" t="s">
        <v>196</v>
      </c>
      <c r="H19" s="32" t="s">
        <v>197</v>
      </c>
      <c r="I19" s="32" t="s">
        <v>198</v>
      </c>
      <c r="J19" s="32" t="s">
        <v>199</v>
      </c>
      <c r="K19" s="32">
        <v>2.3256760000000001</v>
      </c>
      <c r="L19" s="33">
        <v>1993</v>
      </c>
      <c r="M19" s="32">
        <v>529</v>
      </c>
      <c r="N19" s="32">
        <v>398</v>
      </c>
      <c r="O19" s="32">
        <v>486</v>
      </c>
      <c r="P19" s="32">
        <v>457</v>
      </c>
      <c r="Q19" s="32">
        <v>123</v>
      </c>
      <c r="R19" s="32">
        <v>2</v>
      </c>
      <c r="S19" s="32">
        <v>14.3025</v>
      </c>
      <c r="T19" s="32">
        <v>2.5756600000000001</v>
      </c>
      <c r="U19" s="32">
        <v>1.117780274</v>
      </c>
      <c r="V19" s="32">
        <v>2</v>
      </c>
      <c r="W19" s="32">
        <v>0.83783799999999997</v>
      </c>
      <c r="X19" s="32">
        <v>0.12532599999999999</v>
      </c>
      <c r="Y19" s="32">
        <v>0.8</v>
      </c>
      <c r="Z19" s="32">
        <v>0.55231600000000003</v>
      </c>
      <c r="AA19" s="32">
        <v>48.2</v>
      </c>
      <c r="AB19" s="32">
        <v>602</v>
      </c>
      <c r="AC19" s="32">
        <v>15</v>
      </c>
      <c r="AD19" s="32">
        <v>35</v>
      </c>
      <c r="AE19" s="32" t="s">
        <v>200</v>
      </c>
      <c r="AF19" s="32">
        <v>0</v>
      </c>
      <c r="AG19" s="32" t="s">
        <v>200</v>
      </c>
    </row>
    <row r="20" spans="1:33">
      <c r="A20" s="32" t="s">
        <v>270</v>
      </c>
      <c r="B20" s="32" t="s">
        <v>32</v>
      </c>
      <c r="C20" s="32" t="s">
        <v>271</v>
      </c>
      <c r="D20" s="32" t="s">
        <v>272</v>
      </c>
      <c r="E20" s="32" t="s">
        <v>223</v>
      </c>
      <c r="F20" s="32" t="s">
        <v>224</v>
      </c>
      <c r="G20" s="32" t="s">
        <v>196</v>
      </c>
      <c r="H20" s="32" t="s">
        <v>197</v>
      </c>
      <c r="I20" s="32" t="s">
        <v>198</v>
      </c>
      <c r="J20" s="32" t="s">
        <v>199</v>
      </c>
      <c r="K20" s="32">
        <v>2.249784</v>
      </c>
      <c r="L20" s="33">
        <v>1889</v>
      </c>
      <c r="M20" s="32">
        <v>526</v>
      </c>
      <c r="N20" s="32">
        <v>307</v>
      </c>
      <c r="O20" s="32">
        <v>372</v>
      </c>
      <c r="P20" s="32">
        <v>452</v>
      </c>
      <c r="Q20" s="32">
        <v>232</v>
      </c>
      <c r="R20" s="32" t="s">
        <v>225</v>
      </c>
      <c r="S20" s="32">
        <v>6.55741</v>
      </c>
      <c r="T20" s="32">
        <v>0</v>
      </c>
      <c r="U20" s="32">
        <v>1.048530371</v>
      </c>
      <c r="V20" s="32">
        <v>3</v>
      </c>
      <c r="W20" s="32">
        <v>0.84015200000000001</v>
      </c>
      <c r="X20" s="32">
        <v>0.226219</v>
      </c>
      <c r="Y20" s="32">
        <v>0.8</v>
      </c>
      <c r="Z20" s="32">
        <v>0.39913799999999999</v>
      </c>
      <c r="AA20" s="32">
        <v>40.700000000000003</v>
      </c>
      <c r="AB20" s="32">
        <v>765</v>
      </c>
      <c r="AC20" s="32">
        <v>12</v>
      </c>
      <c r="AD20" s="32">
        <v>89</v>
      </c>
      <c r="AE20" s="32" t="s">
        <v>200</v>
      </c>
      <c r="AF20" s="32" t="s">
        <v>200</v>
      </c>
      <c r="AG20" s="32" t="s">
        <v>200</v>
      </c>
    </row>
    <row r="21" spans="1:33">
      <c r="A21" s="32" t="s">
        <v>273</v>
      </c>
      <c r="B21" s="32" t="s">
        <v>32</v>
      </c>
      <c r="C21" s="32" t="s">
        <v>274</v>
      </c>
      <c r="D21" s="32" t="s">
        <v>275</v>
      </c>
      <c r="E21" s="32" t="s">
        <v>204</v>
      </c>
      <c r="F21" s="32" t="s">
        <v>205</v>
      </c>
      <c r="G21" s="32" t="s">
        <v>196</v>
      </c>
      <c r="H21" s="32" t="s">
        <v>197</v>
      </c>
      <c r="I21" s="32" t="s">
        <v>198</v>
      </c>
      <c r="J21" s="32" t="s">
        <v>199</v>
      </c>
      <c r="K21" s="32">
        <v>2.101337</v>
      </c>
      <c r="L21" s="33">
        <v>1836</v>
      </c>
      <c r="M21" s="32">
        <v>348</v>
      </c>
      <c r="N21" s="32">
        <v>365</v>
      </c>
      <c r="O21" s="32">
        <v>417</v>
      </c>
      <c r="P21" s="32">
        <v>475</v>
      </c>
      <c r="Q21" s="32">
        <v>231</v>
      </c>
      <c r="R21" s="32">
        <v>2</v>
      </c>
      <c r="S21" s="32">
        <v>17.8291</v>
      </c>
      <c r="T21" s="32">
        <v>0</v>
      </c>
      <c r="U21" s="32">
        <v>1.0182116510000001</v>
      </c>
      <c r="V21" s="32">
        <v>4</v>
      </c>
      <c r="W21" s="32">
        <v>0.81190300000000004</v>
      </c>
      <c r="X21" s="32">
        <v>0.108524</v>
      </c>
      <c r="Y21" s="32">
        <v>0.8</v>
      </c>
      <c r="Z21" s="32">
        <v>0.37865300000000002</v>
      </c>
      <c r="AA21" s="32">
        <v>29.6</v>
      </c>
      <c r="AB21" s="32">
        <v>647</v>
      </c>
      <c r="AC21" s="32">
        <v>19</v>
      </c>
      <c r="AD21" s="32">
        <v>55</v>
      </c>
      <c r="AE21" s="32" t="s">
        <v>200</v>
      </c>
      <c r="AF21" s="32" t="s">
        <v>200</v>
      </c>
      <c r="AG21" s="32">
        <v>41</v>
      </c>
    </row>
    <row r="22" spans="1:33">
      <c r="A22" s="32" t="s">
        <v>276</v>
      </c>
      <c r="B22" s="32" t="s">
        <v>32</v>
      </c>
      <c r="C22" s="32" t="s">
        <v>277</v>
      </c>
      <c r="D22" s="32" t="s">
        <v>278</v>
      </c>
      <c r="E22" s="32" t="s">
        <v>279</v>
      </c>
      <c r="F22" s="32" t="s">
        <v>280</v>
      </c>
      <c r="G22" s="32" t="s">
        <v>196</v>
      </c>
      <c r="H22" s="32" t="s">
        <v>197</v>
      </c>
      <c r="I22" s="32" t="s">
        <v>198</v>
      </c>
      <c r="J22" s="32" t="s">
        <v>199</v>
      </c>
      <c r="K22" s="32">
        <v>2.1710880000000001</v>
      </c>
      <c r="L22" s="33">
        <v>1944</v>
      </c>
      <c r="M22" s="32">
        <v>526</v>
      </c>
      <c r="N22" s="32">
        <v>394</v>
      </c>
      <c r="O22" s="32">
        <v>398</v>
      </c>
      <c r="P22" s="32">
        <v>468</v>
      </c>
      <c r="Q22" s="32">
        <v>158</v>
      </c>
      <c r="R22" s="32" t="s">
        <v>225</v>
      </c>
      <c r="S22" s="32">
        <v>6.8694199999999999</v>
      </c>
      <c r="T22" s="32">
        <v>1.3985000000000001</v>
      </c>
      <c r="U22" s="32">
        <v>1.4234858079999999</v>
      </c>
      <c r="V22" s="32">
        <v>1</v>
      </c>
      <c r="W22" s="32">
        <v>0.80766800000000005</v>
      </c>
      <c r="X22" s="32">
        <v>0.26701000000000003</v>
      </c>
      <c r="Y22" s="32">
        <v>0.8</v>
      </c>
      <c r="Z22" s="32">
        <v>0.30549799999999999</v>
      </c>
      <c r="AA22" s="32">
        <v>40</v>
      </c>
      <c r="AB22" s="32">
        <v>648</v>
      </c>
      <c r="AC22" s="32">
        <v>18</v>
      </c>
      <c r="AD22" s="32">
        <v>42</v>
      </c>
      <c r="AE22" s="32" t="s">
        <v>200</v>
      </c>
      <c r="AF22" s="32" t="s">
        <v>200</v>
      </c>
      <c r="AG22" s="32" t="s">
        <v>200</v>
      </c>
    </row>
    <row r="23" spans="1:33">
      <c r="A23" s="32" t="s">
        <v>281</v>
      </c>
      <c r="B23" s="32" t="s">
        <v>32</v>
      </c>
      <c r="C23" s="32" t="s">
        <v>282</v>
      </c>
      <c r="D23" s="32" t="s">
        <v>283</v>
      </c>
      <c r="E23" s="32" t="s">
        <v>279</v>
      </c>
      <c r="F23" s="32" t="s">
        <v>280</v>
      </c>
      <c r="G23" s="32" t="s">
        <v>196</v>
      </c>
      <c r="H23" s="32" t="s">
        <v>197</v>
      </c>
      <c r="I23" s="32" t="s">
        <v>198</v>
      </c>
      <c r="J23" s="32" t="s">
        <v>199</v>
      </c>
      <c r="K23" s="32">
        <v>2.1601870000000001</v>
      </c>
      <c r="L23" s="33">
        <v>2030</v>
      </c>
      <c r="M23" s="32">
        <v>571</v>
      </c>
      <c r="N23" s="32">
        <v>361</v>
      </c>
      <c r="O23" s="32">
        <v>464</v>
      </c>
      <c r="P23" s="32">
        <v>450</v>
      </c>
      <c r="Q23" s="32">
        <v>184</v>
      </c>
      <c r="R23" s="32">
        <v>2</v>
      </c>
      <c r="S23" s="32">
        <v>8.1946200000000005</v>
      </c>
      <c r="T23" s="32">
        <v>2.6357400000000002</v>
      </c>
      <c r="U23" s="32">
        <v>1.14037331</v>
      </c>
      <c r="V23" s="32">
        <v>3</v>
      </c>
      <c r="W23" s="32">
        <v>0.81276300000000001</v>
      </c>
      <c r="X23" s="32">
        <v>0.239623</v>
      </c>
      <c r="Y23" s="32">
        <v>0.8</v>
      </c>
      <c r="Z23" s="32">
        <v>0.32032699999999997</v>
      </c>
      <c r="AA23" s="32">
        <v>40.5</v>
      </c>
      <c r="AB23" s="32">
        <v>654</v>
      </c>
      <c r="AC23" s="32">
        <v>15</v>
      </c>
      <c r="AD23" s="32">
        <v>39</v>
      </c>
      <c r="AE23" s="32">
        <v>0</v>
      </c>
      <c r="AF23" s="32">
        <v>0</v>
      </c>
      <c r="AG23" s="32" t="s">
        <v>200</v>
      </c>
    </row>
    <row r="24" spans="1:33">
      <c r="A24" s="32" t="s">
        <v>284</v>
      </c>
      <c r="B24" s="32" t="s">
        <v>32</v>
      </c>
      <c r="C24" s="32" t="s">
        <v>285</v>
      </c>
      <c r="D24" s="32" t="s">
        <v>286</v>
      </c>
      <c r="E24" s="32" t="s">
        <v>287</v>
      </c>
      <c r="F24" s="32" t="s">
        <v>288</v>
      </c>
      <c r="G24" s="32" t="s">
        <v>196</v>
      </c>
      <c r="H24" s="32" t="s">
        <v>197</v>
      </c>
      <c r="I24" s="32" t="s">
        <v>198</v>
      </c>
      <c r="J24" s="32" t="s">
        <v>199</v>
      </c>
      <c r="K24" s="32">
        <v>2.2357140000000002</v>
      </c>
      <c r="L24" s="33">
        <v>2123</v>
      </c>
      <c r="M24" s="32">
        <v>675</v>
      </c>
      <c r="N24" s="32">
        <v>398</v>
      </c>
      <c r="O24" s="32">
        <v>453</v>
      </c>
      <c r="P24" s="32">
        <v>435</v>
      </c>
      <c r="Q24" s="32">
        <v>162</v>
      </c>
      <c r="R24" s="32" t="s">
        <v>225</v>
      </c>
      <c r="S24" s="32">
        <v>8.3050999999999995</v>
      </c>
      <c r="T24" s="32">
        <v>0</v>
      </c>
      <c r="U24" s="32">
        <v>1.3622219739999999</v>
      </c>
      <c r="V24" s="32">
        <v>2</v>
      </c>
      <c r="W24" s="32">
        <v>0.81604399999999999</v>
      </c>
      <c r="X24" s="32">
        <v>0.28590300000000002</v>
      </c>
      <c r="Y24" s="32">
        <v>0.8</v>
      </c>
      <c r="Z24" s="32">
        <v>0.34221000000000001</v>
      </c>
      <c r="AA24" s="32">
        <v>47.1</v>
      </c>
      <c r="AB24" s="32">
        <v>606</v>
      </c>
      <c r="AC24" s="32">
        <v>15</v>
      </c>
      <c r="AD24" s="32">
        <v>35</v>
      </c>
      <c r="AE24" s="32" t="s">
        <v>200</v>
      </c>
      <c r="AF24" s="32" t="s">
        <v>200</v>
      </c>
      <c r="AG24" s="32" t="s">
        <v>200</v>
      </c>
    </row>
    <row r="25" spans="1:33">
      <c r="A25" s="32" t="s">
        <v>289</v>
      </c>
      <c r="B25" s="32" t="s">
        <v>32</v>
      </c>
      <c r="C25" s="32" t="s">
        <v>290</v>
      </c>
      <c r="D25" s="32" t="s">
        <v>291</v>
      </c>
      <c r="E25" s="32" t="s">
        <v>287</v>
      </c>
      <c r="F25" s="32" t="s">
        <v>288</v>
      </c>
      <c r="G25" s="32" t="s">
        <v>196</v>
      </c>
      <c r="H25" s="32" t="s">
        <v>197</v>
      </c>
      <c r="I25" s="32" t="s">
        <v>198</v>
      </c>
      <c r="J25" s="32" t="s">
        <v>199</v>
      </c>
      <c r="K25" s="32">
        <v>2.1678799999999998</v>
      </c>
      <c r="L25" s="33">
        <v>1754</v>
      </c>
      <c r="M25" s="32">
        <v>438</v>
      </c>
      <c r="N25" s="32">
        <v>326</v>
      </c>
      <c r="O25" s="32">
        <v>349</v>
      </c>
      <c r="P25" s="32">
        <v>467</v>
      </c>
      <c r="Q25" s="32">
        <v>174</v>
      </c>
      <c r="R25" s="32" t="s">
        <v>225</v>
      </c>
      <c r="S25" s="32">
        <v>7.9888500000000002</v>
      </c>
      <c r="T25" s="32">
        <v>0</v>
      </c>
      <c r="U25" s="32">
        <v>1.2091244619999999</v>
      </c>
      <c r="V25" s="32">
        <v>2</v>
      </c>
      <c r="W25" s="32">
        <v>0.81234200000000001</v>
      </c>
      <c r="X25" s="32">
        <v>0.180696</v>
      </c>
      <c r="Y25" s="32">
        <v>0.8</v>
      </c>
      <c r="Z25" s="32">
        <v>0.37468400000000002</v>
      </c>
      <c r="AA25" s="32">
        <v>33.9</v>
      </c>
      <c r="AB25" s="32">
        <v>669</v>
      </c>
      <c r="AC25" s="32">
        <v>18</v>
      </c>
      <c r="AD25" s="32">
        <v>46</v>
      </c>
      <c r="AE25" s="32" t="s">
        <v>200</v>
      </c>
      <c r="AF25" s="32">
        <v>0</v>
      </c>
      <c r="AG25" s="32" t="s">
        <v>200</v>
      </c>
    </row>
    <row r="26" spans="1:33">
      <c r="A26" s="32" t="s">
        <v>292</v>
      </c>
      <c r="B26" s="32" t="s">
        <v>32</v>
      </c>
      <c r="C26" s="32" t="s">
        <v>293</v>
      </c>
      <c r="D26" s="32" t="s">
        <v>294</v>
      </c>
      <c r="E26" s="32" t="s">
        <v>279</v>
      </c>
      <c r="F26" s="32" t="s">
        <v>280</v>
      </c>
      <c r="G26" s="32" t="s">
        <v>196</v>
      </c>
      <c r="H26" s="32" t="s">
        <v>197</v>
      </c>
      <c r="I26" s="32" t="s">
        <v>198</v>
      </c>
      <c r="J26" s="32" t="s">
        <v>199</v>
      </c>
      <c r="K26" s="32">
        <v>2.5541469999999999</v>
      </c>
      <c r="L26" s="33">
        <v>1781</v>
      </c>
      <c r="M26" s="32">
        <v>407</v>
      </c>
      <c r="N26" s="32">
        <v>349</v>
      </c>
      <c r="O26" s="32">
        <v>334</v>
      </c>
      <c r="P26" s="32">
        <v>426</v>
      </c>
      <c r="Q26" s="32">
        <v>265</v>
      </c>
      <c r="R26" s="32" t="s">
        <v>225</v>
      </c>
      <c r="S26" s="32">
        <v>7.6795</v>
      </c>
      <c r="T26" s="32">
        <v>0</v>
      </c>
      <c r="U26" s="32">
        <v>1.102935781</v>
      </c>
      <c r="V26" s="32">
        <v>2</v>
      </c>
      <c r="W26" s="32">
        <v>0.85805699999999996</v>
      </c>
      <c r="X26" s="32">
        <v>0.58235300000000001</v>
      </c>
      <c r="Y26" s="32">
        <v>0.8</v>
      </c>
      <c r="Z26" s="32">
        <v>0.32397199999999998</v>
      </c>
      <c r="AA26" s="32">
        <v>33.5</v>
      </c>
      <c r="AB26" s="32">
        <v>694</v>
      </c>
      <c r="AC26" s="32">
        <v>17</v>
      </c>
      <c r="AD26" s="32">
        <v>69</v>
      </c>
      <c r="AE26" s="32" t="s">
        <v>200</v>
      </c>
      <c r="AF26" s="32" t="s">
        <v>200</v>
      </c>
      <c r="AG26" s="32" t="s">
        <v>200</v>
      </c>
    </row>
    <row r="27" spans="1:33">
      <c r="A27" s="32" t="s">
        <v>295</v>
      </c>
      <c r="B27" s="32" t="s">
        <v>86</v>
      </c>
      <c r="C27" s="32" t="s">
        <v>296</v>
      </c>
      <c r="D27" s="32" t="s">
        <v>297</v>
      </c>
      <c r="E27" s="32" t="s">
        <v>298</v>
      </c>
      <c r="F27" s="32" t="s">
        <v>299</v>
      </c>
      <c r="G27" s="32" t="s">
        <v>300</v>
      </c>
      <c r="H27" s="32" t="s">
        <v>301</v>
      </c>
      <c r="I27" s="32" t="s">
        <v>198</v>
      </c>
      <c r="J27" s="32" t="s">
        <v>199</v>
      </c>
      <c r="K27" s="32">
        <v>2.6546639999999999</v>
      </c>
      <c r="L27" s="33">
        <v>2823</v>
      </c>
      <c r="M27" s="32">
        <v>641</v>
      </c>
      <c r="N27" s="32">
        <v>739</v>
      </c>
      <c r="O27" s="32">
        <v>830</v>
      </c>
      <c r="P27" s="32">
        <v>404</v>
      </c>
      <c r="Q27" s="32">
        <v>209</v>
      </c>
      <c r="R27" s="32" t="s">
        <v>302</v>
      </c>
      <c r="S27" s="32">
        <v>45.7074</v>
      </c>
      <c r="T27" s="32">
        <v>11.418200000000001</v>
      </c>
      <c r="U27" s="32">
        <v>1.0562853640000001</v>
      </c>
      <c r="V27" s="32">
        <v>3</v>
      </c>
      <c r="W27" s="32">
        <v>0.924512</v>
      </c>
      <c r="X27" s="32">
        <v>0.14513999999999999</v>
      </c>
      <c r="Y27" s="32">
        <v>0.7</v>
      </c>
      <c r="Z27" s="32">
        <v>0.90907099999999996</v>
      </c>
      <c r="AA27" s="32">
        <v>60.5</v>
      </c>
      <c r="AB27" s="32">
        <v>340</v>
      </c>
      <c r="AC27" s="32">
        <v>14</v>
      </c>
      <c r="AD27" s="32">
        <v>14</v>
      </c>
      <c r="AE27" s="32">
        <v>0</v>
      </c>
      <c r="AF27" s="32" t="s">
        <v>200</v>
      </c>
      <c r="AG27" s="32" t="s">
        <v>200</v>
      </c>
    </row>
    <row r="28" spans="1:33">
      <c r="A28" s="32" t="s">
        <v>303</v>
      </c>
      <c r="B28" s="32" t="s">
        <v>86</v>
      </c>
      <c r="C28" s="32" t="s">
        <v>304</v>
      </c>
      <c r="D28" s="32" t="s">
        <v>305</v>
      </c>
      <c r="E28" s="32" t="s">
        <v>298</v>
      </c>
      <c r="F28" s="32" t="s">
        <v>299</v>
      </c>
      <c r="G28" s="32" t="s">
        <v>300</v>
      </c>
      <c r="H28" s="32" t="s">
        <v>301</v>
      </c>
      <c r="I28" s="32" t="s">
        <v>198</v>
      </c>
      <c r="J28" s="32" t="s">
        <v>199</v>
      </c>
      <c r="K28" s="32">
        <v>2.8156249999999998</v>
      </c>
      <c r="L28" s="33">
        <v>2973</v>
      </c>
      <c r="M28" s="32">
        <v>423</v>
      </c>
      <c r="N28" s="33">
        <v>1133</v>
      </c>
      <c r="O28" s="32">
        <v>921</v>
      </c>
      <c r="P28" s="32">
        <v>378</v>
      </c>
      <c r="Q28" s="32">
        <v>118</v>
      </c>
      <c r="R28" s="32">
        <v>5</v>
      </c>
      <c r="S28" s="32">
        <v>41.749400000000001</v>
      </c>
      <c r="T28" s="32">
        <v>2.22445</v>
      </c>
      <c r="U28" s="32">
        <v>0.75168853000000002</v>
      </c>
      <c r="V28" s="32">
        <v>4</v>
      </c>
      <c r="W28" s="32">
        <v>0.91225999999999996</v>
      </c>
      <c r="X28" s="32">
        <v>0.24741299999999999</v>
      </c>
      <c r="Y28" s="32">
        <v>0.68716999999999995</v>
      </c>
      <c r="Z28" s="32">
        <v>0.96781899999999998</v>
      </c>
      <c r="AA28" s="32">
        <v>46.3</v>
      </c>
      <c r="AB28" s="32">
        <v>328</v>
      </c>
      <c r="AC28" s="32">
        <v>16</v>
      </c>
      <c r="AD28" s="32">
        <v>19</v>
      </c>
      <c r="AE28" s="32" t="s">
        <v>200</v>
      </c>
      <c r="AF28" s="32">
        <v>0</v>
      </c>
      <c r="AG28" s="32" t="s">
        <v>200</v>
      </c>
    </row>
    <row r="29" spans="1:33">
      <c r="A29" s="32" t="s">
        <v>306</v>
      </c>
      <c r="B29" s="32" t="s">
        <v>86</v>
      </c>
      <c r="C29" s="32" t="s">
        <v>307</v>
      </c>
      <c r="D29" s="32" t="s">
        <v>308</v>
      </c>
      <c r="E29" s="32" t="s">
        <v>298</v>
      </c>
      <c r="F29" s="32" t="s">
        <v>299</v>
      </c>
      <c r="G29" s="32" t="s">
        <v>300</v>
      </c>
      <c r="H29" s="32" t="s">
        <v>301</v>
      </c>
      <c r="I29" s="32" t="s">
        <v>198</v>
      </c>
      <c r="J29" s="32" t="s">
        <v>199</v>
      </c>
      <c r="K29" s="32">
        <v>2.684488</v>
      </c>
      <c r="L29" s="33">
        <v>2229</v>
      </c>
      <c r="M29" s="32">
        <v>621</v>
      </c>
      <c r="N29" s="32">
        <v>544</v>
      </c>
      <c r="O29" s="32">
        <v>625</v>
      </c>
      <c r="P29" s="32">
        <v>323</v>
      </c>
      <c r="Q29" s="32">
        <v>116</v>
      </c>
      <c r="R29" s="32">
        <v>3</v>
      </c>
      <c r="S29" s="32">
        <v>26.685600000000001</v>
      </c>
      <c r="T29" s="32">
        <v>5.9087100000000001</v>
      </c>
      <c r="U29" s="32">
        <v>1.014389641</v>
      </c>
      <c r="V29" s="32">
        <v>3</v>
      </c>
      <c r="W29" s="32">
        <v>0.91782200000000003</v>
      </c>
      <c r="X29" s="32">
        <v>0.139073</v>
      </c>
      <c r="Y29" s="32">
        <v>0.69299999999999995</v>
      </c>
      <c r="Z29" s="32">
        <v>0.94314399999999998</v>
      </c>
      <c r="AA29" s="32">
        <v>73.599999999999994</v>
      </c>
      <c r="AB29" s="32">
        <v>294</v>
      </c>
      <c r="AC29" s="32">
        <v>36</v>
      </c>
      <c r="AD29" s="32">
        <v>9</v>
      </c>
      <c r="AE29" s="32">
        <v>0</v>
      </c>
      <c r="AF29" s="32" t="s">
        <v>200</v>
      </c>
      <c r="AG29" s="32" t="s">
        <v>200</v>
      </c>
    </row>
    <row r="30" spans="1:33">
      <c r="A30" s="32" t="s">
        <v>309</v>
      </c>
      <c r="B30" s="32" t="s">
        <v>86</v>
      </c>
      <c r="C30" s="32" t="s">
        <v>310</v>
      </c>
      <c r="D30" s="32" t="s">
        <v>311</v>
      </c>
      <c r="E30" s="32" t="s">
        <v>298</v>
      </c>
      <c r="F30" s="32" t="s">
        <v>299</v>
      </c>
      <c r="G30" s="32" t="s">
        <v>300</v>
      </c>
      <c r="H30" s="32" t="s">
        <v>301</v>
      </c>
      <c r="I30" s="32" t="s">
        <v>198</v>
      </c>
      <c r="J30" s="32" t="s">
        <v>199</v>
      </c>
      <c r="K30" s="32">
        <v>2.6743299999999999</v>
      </c>
      <c r="L30" s="33">
        <v>2711</v>
      </c>
      <c r="M30" s="32">
        <v>667</v>
      </c>
      <c r="N30" s="32">
        <v>641</v>
      </c>
      <c r="O30" s="32">
        <v>762</v>
      </c>
      <c r="P30" s="32">
        <v>470</v>
      </c>
      <c r="Q30" s="32">
        <v>171</v>
      </c>
      <c r="R30" s="32">
        <v>3</v>
      </c>
      <c r="S30" s="32">
        <v>26.136399999999998</v>
      </c>
      <c r="T30" s="32">
        <v>6.9138900000000003</v>
      </c>
      <c r="U30" s="32">
        <v>1.2009488210000001</v>
      </c>
      <c r="V30" s="32">
        <v>2</v>
      </c>
      <c r="W30" s="32">
        <v>0.92432899999999996</v>
      </c>
      <c r="X30" s="32">
        <v>0.14252899999999999</v>
      </c>
      <c r="Y30" s="32">
        <v>0.61049600000000004</v>
      </c>
      <c r="Z30" s="32">
        <v>1</v>
      </c>
      <c r="AA30" s="32">
        <v>81.5</v>
      </c>
      <c r="AB30" s="32">
        <v>427</v>
      </c>
      <c r="AC30" s="32">
        <v>18</v>
      </c>
      <c r="AD30" s="32">
        <v>18</v>
      </c>
      <c r="AE30" s="32">
        <v>0</v>
      </c>
      <c r="AF30" s="32">
        <v>0</v>
      </c>
      <c r="AG30" s="32" t="s">
        <v>200</v>
      </c>
    </row>
    <row r="31" spans="1:33">
      <c r="A31" s="32" t="s">
        <v>312</v>
      </c>
      <c r="B31" s="32" t="s">
        <v>86</v>
      </c>
      <c r="C31" s="32" t="s">
        <v>313</v>
      </c>
      <c r="D31" s="32" t="s">
        <v>314</v>
      </c>
      <c r="E31" s="32" t="s">
        <v>315</v>
      </c>
      <c r="F31" s="32" t="s">
        <v>316</v>
      </c>
      <c r="G31" s="32" t="s">
        <v>300</v>
      </c>
      <c r="H31" s="32" t="s">
        <v>301</v>
      </c>
      <c r="I31" s="32" t="s">
        <v>198</v>
      </c>
      <c r="J31" s="32" t="s">
        <v>199</v>
      </c>
      <c r="K31" s="32">
        <v>2.854562</v>
      </c>
      <c r="L31" s="33">
        <v>1900</v>
      </c>
      <c r="M31" s="32">
        <v>329</v>
      </c>
      <c r="N31" s="32">
        <v>512</v>
      </c>
      <c r="O31" s="32">
        <v>550</v>
      </c>
      <c r="P31" s="32">
        <v>371</v>
      </c>
      <c r="Q31" s="32">
        <v>138</v>
      </c>
      <c r="R31" s="32" t="s">
        <v>302</v>
      </c>
      <c r="S31" s="32">
        <v>42.923499999999997</v>
      </c>
      <c r="T31" s="32">
        <v>1.86382</v>
      </c>
      <c r="U31" s="32">
        <v>0.61190477600000004</v>
      </c>
      <c r="V31" s="32">
        <v>5</v>
      </c>
      <c r="W31" s="32">
        <v>0.91240900000000003</v>
      </c>
      <c r="X31" s="32">
        <v>0.32783899999999999</v>
      </c>
      <c r="Y31" s="32">
        <v>0.68143399999999998</v>
      </c>
      <c r="Z31" s="32">
        <v>0.93376099999999995</v>
      </c>
      <c r="AA31" s="32">
        <v>30.8</v>
      </c>
      <c r="AB31" s="32">
        <v>334</v>
      </c>
      <c r="AC31" s="32">
        <v>11</v>
      </c>
      <c r="AD31" s="32">
        <v>19</v>
      </c>
      <c r="AE31" s="32">
        <v>0</v>
      </c>
      <c r="AF31" s="32" t="s">
        <v>200</v>
      </c>
      <c r="AG31" s="32" t="s">
        <v>200</v>
      </c>
    </row>
    <row r="32" spans="1:33">
      <c r="A32" s="32" t="s">
        <v>317</v>
      </c>
      <c r="B32" s="32" t="s">
        <v>86</v>
      </c>
      <c r="C32" s="32" t="s">
        <v>318</v>
      </c>
      <c r="D32" s="32" t="s">
        <v>319</v>
      </c>
      <c r="E32" s="32" t="s">
        <v>320</v>
      </c>
      <c r="F32" s="32" t="s">
        <v>321</v>
      </c>
      <c r="G32" s="32" t="s">
        <v>300</v>
      </c>
      <c r="H32" s="32" t="s">
        <v>301</v>
      </c>
      <c r="I32" s="32" t="s">
        <v>198</v>
      </c>
      <c r="J32" s="32" t="s">
        <v>199</v>
      </c>
      <c r="K32" s="32">
        <v>2.6460530000000002</v>
      </c>
      <c r="L32" s="33">
        <v>2653</v>
      </c>
      <c r="M32" s="32">
        <v>738</v>
      </c>
      <c r="N32" s="32">
        <v>567</v>
      </c>
      <c r="O32" s="32">
        <v>714</v>
      </c>
      <c r="P32" s="32">
        <v>448</v>
      </c>
      <c r="Q32" s="32">
        <v>186</v>
      </c>
      <c r="R32" s="32">
        <v>5</v>
      </c>
      <c r="S32" s="32">
        <v>26.684000000000001</v>
      </c>
      <c r="T32" s="32">
        <v>18.925799999999999</v>
      </c>
      <c r="U32" s="32">
        <v>1.0080802310000001</v>
      </c>
      <c r="V32" s="32">
        <v>3</v>
      </c>
      <c r="W32" s="32">
        <v>0.91868399999999995</v>
      </c>
      <c r="X32" s="32">
        <v>0.12052599999999999</v>
      </c>
      <c r="Y32" s="32">
        <v>0.6</v>
      </c>
      <c r="Z32" s="32">
        <v>1</v>
      </c>
      <c r="AA32" s="32">
        <v>63.8</v>
      </c>
      <c r="AB32" s="32">
        <v>365</v>
      </c>
      <c r="AC32" s="32">
        <v>10</v>
      </c>
      <c r="AD32" s="32">
        <v>6</v>
      </c>
      <c r="AE32" s="32">
        <v>0</v>
      </c>
      <c r="AF32" s="32" t="s">
        <v>200</v>
      </c>
      <c r="AG32" s="32" t="s">
        <v>200</v>
      </c>
    </row>
    <row r="33" spans="1:33">
      <c r="A33" s="32" t="s">
        <v>322</v>
      </c>
      <c r="B33" s="32" t="s">
        <v>86</v>
      </c>
      <c r="C33" s="32" t="s">
        <v>323</v>
      </c>
      <c r="D33" s="32" t="s">
        <v>324</v>
      </c>
      <c r="E33" s="32" t="s">
        <v>325</v>
      </c>
      <c r="F33" s="32" t="s">
        <v>326</v>
      </c>
      <c r="G33" s="32" t="s">
        <v>300</v>
      </c>
      <c r="H33" s="32" t="s">
        <v>301</v>
      </c>
      <c r="I33" s="32" t="s">
        <v>198</v>
      </c>
      <c r="J33" s="32" t="s">
        <v>199</v>
      </c>
      <c r="K33" s="32">
        <v>2.7319279999999999</v>
      </c>
      <c r="L33" s="33">
        <v>3496</v>
      </c>
      <c r="M33" s="32">
        <v>783</v>
      </c>
      <c r="N33" s="32">
        <v>788</v>
      </c>
      <c r="O33" s="33">
        <v>1244</v>
      </c>
      <c r="P33" s="32">
        <v>519</v>
      </c>
      <c r="Q33" s="32">
        <v>162</v>
      </c>
      <c r="R33" s="32">
        <v>4</v>
      </c>
      <c r="S33" s="32">
        <v>33.829599999999999</v>
      </c>
      <c r="T33" s="32">
        <v>2.1593399999999998</v>
      </c>
      <c r="U33" s="32">
        <v>1.0148660709999999</v>
      </c>
      <c r="V33" s="32">
        <v>2</v>
      </c>
      <c r="W33" s="32">
        <v>0.92750999999999995</v>
      </c>
      <c r="X33" s="32">
        <v>0.20769199999999999</v>
      </c>
      <c r="Y33" s="32">
        <v>0.6</v>
      </c>
      <c r="Z33" s="32">
        <v>1</v>
      </c>
      <c r="AA33" s="32">
        <v>61.2</v>
      </c>
      <c r="AB33" s="32">
        <v>466</v>
      </c>
      <c r="AC33" s="32">
        <v>18</v>
      </c>
      <c r="AD33" s="32">
        <v>15</v>
      </c>
      <c r="AE33" s="32">
        <v>0</v>
      </c>
      <c r="AF33" s="32">
        <v>0</v>
      </c>
      <c r="AG33" s="32" t="s">
        <v>200</v>
      </c>
    </row>
    <row r="34" spans="1:33">
      <c r="A34" s="32" t="s">
        <v>327</v>
      </c>
      <c r="B34" s="32" t="s">
        <v>34</v>
      </c>
      <c r="C34" s="32" t="s">
        <v>328</v>
      </c>
      <c r="D34" s="32" t="s">
        <v>329</v>
      </c>
      <c r="E34" s="32" t="s">
        <v>330</v>
      </c>
      <c r="F34" s="32" t="s">
        <v>331</v>
      </c>
      <c r="G34" s="32" t="s">
        <v>332</v>
      </c>
      <c r="H34" s="32" t="s">
        <v>333</v>
      </c>
      <c r="I34" s="32" t="s">
        <v>198</v>
      </c>
      <c r="J34" s="32" t="s">
        <v>199</v>
      </c>
      <c r="K34" s="32">
        <v>2.2889390000000001</v>
      </c>
      <c r="L34" s="33">
        <v>2067</v>
      </c>
      <c r="M34" s="32">
        <v>469</v>
      </c>
      <c r="N34" s="32">
        <v>388</v>
      </c>
      <c r="O34" s="32">
        <v>450</v>
      </c>
      <c r="P34" s="32">
        <v>486</v>
      </c>
      <c r="Q34" s="32">
        <v>274</v>
      </c>
      <c r="R34" s="32">
        <v>2</v>
      </c>
      <c r="S34" s="32">
        <v>17.3901</v>
      </c>
      <c r="T34" s="32">
        <v>2.5777600000000001</v>
      </c>
      <c r="U34" s="32">
        <v>0.81151337499999998</v>
      </c>
      <c r="V34" s="32">
        <v>7</v>
      </c>
      <c r="W34" s="32">
        <v>0.90368700000000002</v>
      </c>
      <c r="X34" s="32">
        <v>0.116129</v>
      </c>
      <c r="Y34" s="32">
        <v>0.76499399999999995</v>
      </c>
      <c r="Z34" s="32">
        <v>0.50347900000000001</v>
      </c>
      <c r="AA34" s="32">
        <v>29.7</v>
      </c>
      <c r="AB34" s="32">
        <v>562</v>
      </c>
      <c r="AC34" s="32">
        <v>19</v>
      </c>
      <c r="AD34" s="32">
        <v>13</v>
      </c>
      <c r="AE34" s="32">
        <v>0</v>
      </c>
      <c r="AF34" s="32">
        <v>0</v>
      </c>
      <c r="AG34" s="32" t="s">
        <v>200</v>
      </c>
    </row>
    <row r="35" spans="1:33">
      <c r="A35" s="32" t="s">
        <v>334</v>
      </c>
      <c r="B35" s="32" t="s">
        <v>34</v>
      </c>
      <c r="C35" s="32" t="s">
        <v>335</v>
      </c>
      <c r="D35" s="32" t="s">
        <v>336</v>
      </c>
      <c r="E35" s="32" t="s">
        <v>330</v>
      </c>
      <c r="F35" s="32" t="s">
        <v>331</v>
      </c>
      <c r="G35" s="32" t="s">
        <v>332</v>
      </c>
      <c r="H35" s="32" t="s">
        <v>333</v>
      </c>
      <c r="I35" s="32" t="s">
        <v>198</v>
      </c>
      <c r="J35" s="32" t="s">
        <v>199</v>
      </c>
      <c r="K35" s="32">
        <v>2.323985</v>
      </c>
      <c r="L35" s="33">
        <v>1909</v>
      </c>
      <c r="M35" s="32">
        <v>373</v>
      </c>
      <c r="N35" s="32">
        <v>331</v>
      </c>
      <c r="O35" s="32">
        <v>526</v>
      </c>
      <c r="P35" s="32">
        <v>393</v>
      </c>
      <c r="Q35" s="32">
        <v>286</v>
      </c>
      <c r="R35" s="32">
        <v>5</v>
      </c>
      <c r="S35" s="32">
        <v>26.8249</v>
      </c>
      <c r="T35" s="32">
        <v>15.1607</v>
      </c>
      <c r="U35" s="32">
        <v>0.66015689899999996</v>
      </c>
      <c r="V35" s="32">
        <v>10</v>
      </c>
      <c r="W35" s="32">
        <v>0.91549800000000003</v>
      </c>
      <c r="X35" s="32">
        <v>0.113139</v>
      </c>
      <c r="Y35" s="32">
        <v>0.73102199999999995</v>
      </c>
      <c r="Z35" s="32">
        <v>0.56190499999999999</v>
      </c>
      <c r="AA35" s="32">
        <v>24.4</v>
      </c>
      <c r="AB35" s="32">
        <v>372</v>
      </c>
      <c r="AC35" s="32">
        <v>20</v>
      </c>
      <c r="AD35" s="32">
        <v>11</v>
      </c>
      <c r="AE35" s="32">
        <v>0</v>
      </c>
      <c r="AF35" s="32">
        <v>0</v>
      </c>
      <c r="AG35" s="32">
        <v>0</v>
      </c>
    </row>
    <row r="36" spans="1:33">
      <c r="A36" s="32" t="s">
        <v>337</v>
      </c>
      <c r="B36" s="32" t="s">
        <v>34</v>
      </c>
      <c r="C36" s="32" t="s">
        <v>338</v>
      </c>
      <c r="D36" s="32" t="s">
        <v>339</v>
      </c>
      <c r="E36" s="32" t="s">
        <v>330</v>
      </c>
      <c r="F36" s="32" t="s">
        <v>331</v>
      </c>
      <c r="G36" s="32" t="s">
        <v>332</v>
      </c>
      <c r="H36" s="32" t="s">
        <v>333</v>
      </c>
      <c r="I36" s="32" t="s">
        <v>198</v>
      </c>
      <c r="J36" s="32" t="s">
        <v>199</v>
      </c>
      <c r="K36" s="32">
        <v>2.3235459999999999</v>
      </c>
      <c r="L36" s="33">
        <v>1886</v>
      </c>
      <c r="M36" s="32">
        <v>329</v>
      </c>
      <c r="N36" s="32">
        <v>391</v>
      </c>
      <c r="O36" s="32">
        <v>583</v>
      </c>
      <c r="P36" s="32">
        <v>387</v>
      </c>
      <c r="Q36" s="32">
        <v>196</v>
      </c>
      <c r="R36" s="32">
        <v>4</v>
      </c>
      <c r="S36" s="32">
        <v>22.023700000000002</v>
      </c>
      <c r="T36" s="32">
        <v>15.2949</v>
      </c>
      <c r="U36" s="32">
        <v>0.71072992599999996</v>
      </c>
      <c r="V36" s="32">
        <v>8</v>
      </c>
      <c r="W36" s="32">
        <v>0.91627899999999995</v>
      </c>
      <c r="X36" s="32">
        <v>0.173761</v>
      </c>
      <c r="Y36" s="32">
        <v>0.70467800000000003</v>
      </c>
      <c r="Z36" s="32">
        <v>0.52070000000000005</v>
      </c>
      <c r="AA36" s="32">
        <v>20.9</v>
      </c>
      <c r="AB36" s="32">
        <v>351</v>
      </c>
      <c r="AC36" s="32">
        <v>19</v>
      </c>
      <c r="AD36" s="32">
        <v>7</v>
      </c>
      <c r="AE36" s="32">
        <v>0</v>
      </c>
      <c r="AF36" s="32">
        <v>0</v>
      </c>
      <c r="AG36" s="32" t="s">
        <v>200</v>
      </c>
    </row>
    <row r="37" spans="1:33">
      <c r="A37" s="32" t="s">
        <v>340</v>
      </c>
      <c r="B37" s="32" t="s">
        <v>34</v>
      </c>
      <c r="C37" s="32" t="s">
        <v>341</v>
      </c>
      <c r="D37" s="32" t="s">
        <v>342</v>
      </c>
      <c r="E37" s="32" t="s">
        <v>343</v>
      </c>
      <c r="F37" s="32" t="s">
        <v>344</v>
      </c>
      <c r="G37" s="32" t="s">
        <v>332</v>
      </c>
      <c r="H37" s="32" t="s">
        <v>333</v>
      </c>
      <c r="I37" s="32" t="s">
        <v>198</v>
      </c>
      <c r="J37" s="32" t="s">
        <v>199</v>
      </c>
      <c r="K37" s="32">
        <v>2.3733330000000001</v>
      </c>
      <c r="L37" s="33">
        <v>2380</v>
      </c>
      <c r="M37" s="32">
        <v>533</v>
      </c>
      <c r="N37" s="32">
        <v>653</v>
      </c>
      <c r="O37" s="32">
        <v>463</v>
      </c>
      <c r="P37" s="32">
        <v>383</v>
      </c>
      <c r="Q37" s="32">
        <v>348</v>
      </c>
      <c r="R37" s="32">
        <v>3</v>
      </c>
      <c r="S37" s="32">
        <v>24.285499999999999</v>
      </c>
      <c r="T37" s="32">
        <v>4.6857300000000004</v>
      </c>
      <c r="U37" s="32">
        <v>0.63773065500000004</v>
      </c>
      <c r="V37" s="32">
        <v>10</v>
      </c>
      <c r="W37" s="32">
        <v>0.91171199999999997</v>
      </c>
      <c r="X37" s="32">
        <v>0.20505399999999999</v>
      </c>
      <c r="Y37" s="32">
        <v>0.7</v>
      </c>
      <c r="Z37" s="32">
        <v>0.56348900000000002</v>
      </c>
      <c r="AA37" s="32">
        <v>31.5</v>
      </c>
      <c r="AB37" s="32">
        <v>483</v>
      </c>
      <c r="AC37" s="32">
        <v>13</v>
      </c>
      <c r="AD37" s="32">
        <v>5</v>
      </c>
      <c r="AE37" s="32">
        <v>0</v>
      </c>
      <c r="AF37" s="32">
        <v>0</v>
      </c>
      <c r="AG37" s="32" t="s">
        <v>200</v>
      </c>
    </row>
    <row r="38" spans="1:33">
      <c r="A38" s="32" t="s">
        <v>345</v>
      </c>
      <c r="B38" s="32" t="s">
        <v>34</v>
      </c>
      <c r="C38" s="32" t="s">
        <v>346</v>
      </c>
      <c r="D38" s="32" t="s">
        <v>347</v>
      </c>
      <c r="E38" s="32" t="s">
        <v>343</v>
      </c>
      <c r="F38" s="32" t="s">
        <v>344</v>
      </c>
      <c r="G38" s="32" t="s">
        <v>332</v>
      </c>
      <c r="H38" s="32" t="s">
        <v>333</v>
      </c>
      <c r="I38" s="32" t="s">
        <v>198</v>
      </c>
      <c r="J38" s="32" t="s">
        <v>199</v>
      </c>
      <c r="K38" s="32">
        <v>2.4092500000000001</v>
      </c>
      <c r="L38" s="33">
        <v>1980</v>
      </c>
      <c r="M38" s="32">
        <v>530</v>
      </c>
      <c r="N38" s="32">
        <v>229</v>
      </c>
      <c r="O38" s="32">
        <v>425</v>
      </c>
      <c r="P38" s="32">
        <v>543</v>
      </c>
      <c r="Q38" s="32">
        <v>253</v>
      </c>
      <c r="R38" s="32">
        <v>5</v>
      </c>
      <c r="S38" s="32">
        <v>36.438800000000001</v>
      </c>
      <c r="T38" s="32">
        <v>7.1991899999999998</v>
      </c>
      <c r="U38" s="32">
        <v>0.625782265</v>
      </c>
      <c r="V38" s="32">
        <v>9</v>
      </c>
      <c r="W38" s="32">
        <v>0.904887</v>
      </c>
      <c r="X38" s="32">
        <v>9.9136000000000002E-2</v>
      </c>
      <c r="Y38" s="32">
        <v>0.70330999999999999</v>
      </c>
      <c r="Z38" s="32">
        <v>0.69876300000000002</v>
      </c>
      <c r="AA38" s="32">
        <v>24.2</v>
      </c>
      <c r="AB38" s="32">
        <v>416</v>
      </c>
      <c r="AC38" s="32">
        <v>12</v>
      </c>
      <c r="AD38" s="32">
        <v>5</v>
      </c>
      <c r="AE38" s="32">
        <v>0</v>
      </c>
      <c r="AF38" s="32">
        <v>0</v>
      </c>
      <c r="AG38" s="32" t="s">
        <v>200</v>
      </c>
    </row>
    <row r="39" spans="1:33">
      <c r="A39" s="32" t="s">
        <v>348</v>
      </c>
      <c r="B39" s="32" t="s">
        <v>34</v>
      </c>
      <c r="C39" s="32" t="s">
        <v>349</v>
      </c>
      <c r="D39" s="32" t="s">
        <v>350</v>
      </c>
      <c r="E39" s="32" t="s">
        <v>351</v>
      </c>
      <c r="F39" s="32" t="s">
        <v>352</v>
      </c>
      <c r="G39" s="32" t="s">
        <v>332</v>
      </c>
      <c r="H39" s="32" t="s">
        <v>333</v>
      </c>
      <c r="I39" s="32" t="s">
        <v>198</v>
      </c>
      <c r="J39" s="32" t="s">
        <v>199</v>
      </c>
      <c r="K39" s="32">
        <v>2.3181820000000002</v>
      </c>
      <c r="L39" s="33">
        <v>2051</v>
      </c>
      <c r="M39" s="32">
        <v>507</v>
      </c>
      <c r="N39" s="32">
        <v>420</v>
      </c>
      <c r="O39" s="32">
        <v>462</v>
      </c>
      <c r="P39" s="32">
        <v>486</v>
      </c>
      <c r="Q39" s="32">
        <v>176</v>
      </c>
      <c r="R39" s="32" t="s">
        <v>302</v>
      </c>
      <c r="S39" s="32">
        <v>35.982500000000002</v>
      </c>
      <c r="T39" s="32">
        <v>18.5124</v>
      </c>
      <c r="U39" s="32">
        <v>0.80002150400000005</v>
      </c>
      <c r="V39" s="32">
        <v>7</v>
      </c>
      <c r="W39" s="32">
        <v>0.91884699999999997</v>
      </c>
      <c r="X39" s="32">
        <v>8.6917999999999995E-2</v>
      </c>
      <c r="Y39" s="32">
        <v>0.7</v>
      </c>
      <c r="Z39" s="32">
        <v>0.61781699999999995</v>
      </c>
      <c r="AA39" s="32">
        <v>32.1</v>
      </c>
      <c r="AB39" s="32">
        <v>298</v>
      </c>
      <c r="AC39" s="32">
        <v>14</v>
      </c>
      <c r="AD39" s="32">
        <v>9</v>
      </c>
      <c r="AE39" s="32" t="s">
        <v>200</v>
      </c>
      <c r="AF39" s="32">
        <v>0</v>
      </c>
      <c r="AG39" s="32" t="s">
        <v>200</v>
      </c>
    </row>
    <row r="40" spans="1:33">
      <c r="A40" s="32" t="s">
        <v>353</v>
      </c>
      <c r="B40" s="32" t="s">
        <v>34</v>
      </c>
      <c r="C40" s="32" t="s">
        <v>354</v>
      </c>
      <c r="D40" s="32" t="s">
        <v>355</v>
      </c>
      <c r="E40" s="32" t="s">
        <v>351</v>
      </c>
      <c r="F40" s="32" t="s">
        <v>352</v>
      </c>
      <c r="G40" s="32" t="s">
        <v>332</v>
      </c>
      <c r="H40" s="32" t="s">
        <v>333</v>
      </c>
      <c r="I40" s="32" t="s">
        <v>198</v>
      </c>
      <c r="J40" s="32" t="s">
        <v>199</v>
      </c>
      <c r="K40" s="32">
        <v>2.4424939999999999</v>
      </c>
      <c r="L40" s="33">
        <v>1880</v>
      </c>
      <c r="M40" s="32">
        <v>320</v>
      </c>
      <c r="N40" s="32">
        <v>405</v>
      </c>
      <c r="O40" s="32">
        <v>672</v>
      </c>
      <c r="P40" s="32">
        <v>280</v>
      </c>
      <c r="Q40" s="32">
        <v>203</v>
      </c>
      <c r="R40" s="32" t="s">
        <v>302</v>
      </c>
      <c r="S40" s="32">
        <v>41.0137</v>
      </c>
      <c r="T40" s="32">
        <v>23.855599999999999</v>
      </c>
      <c r="U40" s="32">
        <v>0.67346136700000003</v>
      </c>
      <c r="V40" s="32">
        <v>8</v>
      </c>
      <c r="W40" s="32">
        <v>0.93140900000000004</v>
      </c>
      <c r="X40" s="32">
        <v>0.19353300000000001</v>
      </c>
      <c r="Y40" s="32">
        <v>0.7</v>
      </c>
      <c r="Z40" s="32">
        <v>0.62765000000000004</v>
      </c>
      <c r="AA40" s="32">
        <v>35.9</v>
      </c>
      <c r="AB40" s="32">
        <v>307</v>
      </c>
      <c r="AC40" s="32">
        <v>7</v>
      </c>
      <c r="AD40" s="32">
        <v>16</v>
      </c>
      <c r="AE40" s="32" t="s">
        <v>200</v>
      </c>
      <c r="AF40" s="32">
        <v>0</v>
      </c>
      <c r="AG40" s="32">
        <v>0</v>
      </c>
    </row>
    <row r="41" spans="1:33">
      <c r="A41" s="32" t="s">
        <v>356</v>
      </c>
      <c r="B41" s="32" t="s">
        <v>34</v>
      </c>
      <c r="C41" s="32" t="s">
        <v>357</v>
      </c>
      <c r="D41" s="32" t="s">
        <v>358</v>
      </c>
      <c r="E41" s="32" t="s">
        <v>343</v>
      </c>
      <c r="F41" s="32" t="s">
        <v>344</v>
      </c>
      <c r="G41" s="32" t="s">
        <v>332</v>
      </c>
      <c r="H41" s="32" t="s">
        <v>333</v>
      </c>
      <c r="I41" s="32" t="s">
        <v>198</v>
      </c>
      <c r="J41" s="32" t="s">
        <v>199</v>
      </c>
      <c r="K41" s="32">
        <v>2.154687</v>
      </c>
      <c r="L41" s="33">
        <v>1858</v>
      </c>
      <c r="M41" s="32">
        <v>470</v>
      </c>
      <c r="N41" s="32">
        <v>222</v>
      </c>
      <c r="O41" s="32">
        <v>353</v>
      </c>
      <c r="P41" s="32">
        <v>526</v>
      </c>
      <c r="Q41" s="32">
        <v>287</v>
      </c>
      <c r="R41" s="32">
        <v>2</v>
      </c>
      <c r="S41" s="32">
        <v>15.623699999999999</v>
      </c>
      <c r="T41" s="32">
        <v>0</v>
      </c>
      <c r="U41" s="32">
        <v>0.73416853100000001</v>
      </c>
      <c r="V41" s="32">
        <v>10</v>
      </c>
      <c r="W41" s="32">
        <v>0.90582399999999996</v>
      </c>
      <c r="X41" s="32">
        <v>5.0575000000000002E-2</v>
      </c>
      <c r="Y41" s="32">
        <v>0.71820799999999996</v>
      </c>
      <c r="Z41" s="32">
        <v>0.48538999999999999</v>
      </c>
      <c r="AA41" s="32">
        <v>20.100000000000001</v>
      </c>
      <c r="AB41" s="32">
        <v>601</v>
      </c>
      <c r="AC41" s="32">
        <v>20</v>
      </c>
      <c r="AD41" s="32">
        <v>8</v>
      </c>
      <c r="AE41" s="32">
        <v>0</v>
      </c>
      <c r="AF41" s="32">
        <v>0</v>
      </c>
      <c r="AG41" s="32" t="s">
        <v>200</v>
      </c>
    </row>
    <row r="42" spans="1:33">
      <c r="A42" s="32" t="s">
        <v>359</v>
      </c>
      <c r="B42" s="32" t="s">
        <v>34</v>
      </c>
      <c r="C42" s="32" t="s">
        <v>360</v>
      </c>
      <c r="D42" s="32" t="s">
        <v>361</v>
      </c>
      <c r="E42" s="32" t="s">
        <v>362</v>
      </c>
      <c r="F42" s="32" t="s">
        <v>363</v>
      </c>
      <c r="G42" s="32" t="s">
        <v>332</v>
      </c>
      <c r="H42" s="32" t="s">
        <v>333</v>
      </c>
      <c r="I42" s="32" t="s">
        <v>198</v>
      </c>
      <c r="J42" s="32" t="s">
        <v>199</v>
      </c>
      <c r="K42" s="32">
        <v>2.5341740000000001</v>
      </c>
      <c r="L42" s="33">
        <v>2256</v>
      </c>
      <c r="M42" s="32">
        <v>449</v>
      </c>
      <c r="N42" s="32">
        <v>481</v>
      </c>
      <c r="O42" s="32">
        <v>685</v>
      </c>
      <c r="P42" s="32">
        <v>407</v>
      </c>
      <c r="Q42" s="32">
        <v>234</v>
      </c>
      <c r="R42" s="32" t="s">
        <v>302</v>
      </c>
      <c r="S42" s="32">
        <v>47.990400000000001</v>
      </c>
      <c r="T42" s="32">
        <v>26.390499999999999</v>
      </c>
      <c r="U42" s="32">
        <v>0.758336432</v>
      </c>
      <c r="V42" s="32">
        <v>6</v>
      </c>
      <c r="W42" s="32">
        <v>0.92829099999999998</v>
      </c>
      <c r="X42" s="32">
        <v>0.166574</v>
      </c>
      <c r="Y42" s="32">
        <v>0.7</v>
      </c>
      <c r="Z42" s="32">
        <v>0.74099700000000002</v>
      </c>
      <c r="AA42" s="32">
        <v>38.799999999999997</v>
      </c>
      <c r="AB42" s="32">
        <v>318</v>
      </c>
      <c r="AC42" s="32">
        <v>16</v>
      </c>
      <c r="AD42" s="32">
        <v>18</v>
      </c>
      <c r="AE42" s="32">
        <v>0</v>
      </c>
      <c r="AF42" s="32" t="s">
        <v>200</v>
      </c>
      <c r="AG42" s="32" t="s">
        <v>200</v>
      </c>
    </row>
    <row r="43" spans="1:33">
      <c r="A43" s="32" t="s">
        <v>364</v>
      </c>
      <c r="B43" s="32" t="s">
        <v>34</v>
      </c>
      <c r="C43" s="32" t="s">
        <v>365</v>
      </c>
      <c r="D43" s="32" t="s">
        <v>366</v>
      </c>
      <c r="E43" s="32" t="s">
        <v>362</v>
      </c>
      <c r="F43" s="32" t="s">
        <v>363</v>
      </c>
      <c r="G43" s="32" t="s">
        <v>332</v>
      </c>
      <c r="H43" s="32" t="s">
        <v>333</v>
      </c>
      <c r="I43" s="32" t="s">
        <v>198</v>
      </c>
      <c r="J43" s="32" t="s">
        <v>199</v>
      </c>
      <c r="K43" s="32">
        <v>2.7430590000000001</v>
      </c>
      <c r="L43" s="33">
        <v>2103</v>
      </c>
      <c r="M43" s="32">
        <v>466</v>
      </c>
      <c r="N43" s="32">
        <v>386</v>
      </c>
      <c r="O43" s="32">
        <v>532</v>
      </c>
      <c r="P43" s="32">
        <v>471</v>
      </c>
      <c r="Q43" s="32">
        <v>248</v>
      </c>
      <c r="R43" s="32" t="s">
        <v>302</v>
      </c>
      <c r="S43" s="32">
        <v>32.279899999999998</v>
      </c>
      <c r="T43" s="32">
        <v>22.4513</v>
      </c>
      <c r="U43" s="32">
        <v>0.74300182999999997</v>
      </c>
      <c r="V43" s="32">
        <v>4</v>
      </c>
      <c r="W43" s="32">
        <v>0.93682699999999997</v>
      </c>
      <c r="X43" s="32">
        <v>0.24213499999999999</v>
      </c>
      <c r="Y43" s="32">
        <v>0.7</v>
      </c>
      <c r="Z43" s="32">
        <v>0.84129200000000004</v>
      </c>
      <c r="AA43" s="32">
        <v>46.3</v>
      </c>
      <c r="AB43" s="32">
        <v>348</v>
      </c>
      <c r="AC43" s="32">
        <v>13</v>
      </c>
      <c r="AD43" s="32">
        <v>10</v>
      </c>
      <c r="AE43" s="32">
        <v>0</v>
      </c>
      <c r="AF43" s="32">
        <v>0</v>
      </c>
      <c r="AG43" s="32" t="s">
        <v>200</v>
      </c>
    </row>
    <row r="44" spans="1:33">
      <c r="A44" s="32" t="s">
        <v>367</v>
      </c>
      <c r="B44" s="32" t="s">
        <v>34</v>
      </c>
      <c r="C44" s="32" t="s">
        <v>368</v>
      </c>
      <c r="D44" s="32" t="s">
        <v>369</v>
      </c>
      <c r="E44" s="32" t="s">
        <v>362</v>
      </c>
      <c r="F44" s="32" t="s">
        <v>363</v>
      </c>
      <c r="G44" s="32" t="s">
        <v>332</v>
      </c>
      <c r="H44" s="32" t="s">
        <v>333</v>
      </c>
      <c r="I44" s="32" t="s">
        <v>198</v>
      </c>
      <c r="J44" s="32" t="s">
        <v>199</v>
      </c>
      <c r="K44" s="32">
        <v>2.6034600000000001</v>
      </c>
      <c r="L44" s="33">
        <v>2900</v>
      </c>
      <c r="M44" s="32">
        <v>587</v>
      </c>
      <c r="N44" s="32">
        <v>554</v>
      </c>
      <c r="O44" s="32">
        <v>825</v>
      </c>
      <c r="P44" s="32">
        <v>544</v>
      </c>
      <c r="Q44" s="32">
        <v>390</v>
      </c>
      <c r="R44" s="32" t="s">
        <v>302</v>
      </c>
      <c r="S44" s="32">
        <v>43.071300000000001</v>
      </c>
      <c r="T44" s="32">
        <v>15.757400000000001</v>
      </c>
      <c r="U44" s="32">
        <v>0.56612548699999998</v>
      </c>
      <c r="V44" s="32">
        <v>8</v>
      </c>
      <c r="W44" s="32">
        <v>0.934948</v>
      </c>
      <c r="X44" s="32">
        <v>0.19259299999999999</v>
      </c>
      <c r="Y44" s="32">
        <v>0.7</v>
      </c>
      <c r="Z44" s="32">
        <v>0.78786800000000001</v>
      </c>
      <c r="AA44" s="32">
        <v>48.3</v>
      </c>
      <c r="AB44" s="32">
        <v>485</v>
      </c>
      <c r="AC44" s="32">
        <v>8</v>
      </c>
      <c r="AD44" s="32">
        <v>8</v>
      </c>
      <c r="AE44" s="32">
        <v>0</v>
      </c>
      <c r="AF44" s="32" t="s">
        <v>200</v>
      </c>
      <c r="AG44" s="32" t="s">
        <v>200</v>
      </c>
    </row>
    <row r="45" spans="1:33">
      <c r="A45" s="32" t="s">
        <v>370</v>
      </c>
      <c r="B45" s="32" t="s">
        <v>34</v>
      </c>
      <c r="C45" s="32" t="s">
        <v>371</v>
      </c>
      <c r="D45" s="32" t="s">
        <v>372</v>
      </c>
      <c r="E45" s="32" t="s">
        <v>373</v>
      </c>
      <c r="F45" s="32" t="s">
        <v>374</v>
      </c>
      <c r="G45" s="32" t="s">
        <v>332</v>
      </c>
      <c r="H45" s="32" t="s">
        <v>333</v>
      </c>
      <c r="I45" s="32" t="s">
        <v>198</v>
      </c>
      <c r="J45" s="32" t="s">
        <v>199</v>
      </c>
      <c r="K45" s="32">
        <v>2.4693450000000001</v>
      </c>
      <c r="L45" s="33">
        <v>2449</v>
      </c>
      <c r="M45" s="32">
        <v>294</v>
      </c>
      <c r="N45" s="32">
        <v>558</v>
      </c>
      <c r="O45" s="32">
        <v>960</v>
      </c>
      <c r="P45" s="32">
        <v>396</v>
      </c>
      <c r="Q45" s="32">
        <v>241</v>
      </c>
      <c r="R45" s="32" t="s">
        <v>302</v>
      </c>
      <c r="S45" s="32">
        <v>33.015300000000003</v>
      </c>
      <c r="T45" s="32">
        <v>20.163499999999999</v>
      </c>
      <c r="U45" s="32">
        <v>0.59459812999999995</v>
      </c>
      <c r="V45" s="32">
        <v>9</v>
      </c>
      <c r="W45" s="32">
        <v>0.90951400000000004</v>
      </c>
      <c r="X45" s="32">
        <v>0.112605</v>
      </c>
      <c r="Y45" s="32">
        <v>0.79083300000000001</v>
      </c>
      <c r="Z45" s="32">
        <v>0.66278599999999999</v>
      </c>
      <c r="AA45" s="32">
        <v>25.5</v>
      </c>
      <c r="AB45" s="32">
        <v>387</v>
      </c>
      <c r="AC45" s="32">
        <v>17</v>
      </c>
      <c r="AD45" s="32">
        <v>26</v>
      </c>
      <c r="AE45" s="32" t="s">
        <v>200</v>
      </c>
      <c r="AF45" s="32" t="s">
        <v>200</v>
      </c>
      <c r="AG45" s="32">
        <v>0</v>
      </c>
    </row>
    <row r="46" spans="1:33">
      <c r="A46" s="32" t="s">
        <v>375</v>
      </c>
      <c r="B46" s="32" t="s">
        <v>34</v>
      </c>
      <c r="C46" s="32" t="s">
        <v>376</v>
      </c>
      <c r="D46" s="32" t="s">
        <v>377</v>
      </c>
      <c r="E46" s="32" t="s">
        <v>373</v>
      </c>
      <c r="F46" s="32" t="s">
        <v>374</v>
      </c>
      <c r="G46" s="32" t="s">
        <v>332</v>
      </c>
      <c r="H46" s="32" t="s">
        <v>333</v>
      </c>
      <c r="I46" s="32" t="s">
        <v>198</v>
      </c>
      <c r="J46" s="32" t="s">
        <v>199</v>
      </c>
      <c r="K46" s="32">
        <v>2.815925</v>
      </c>
      <c r="L46" s="33">
        <v>2478</v>
      </c>
      <c r="M46" s="32">
        <v>389</v>
      </c>
      <c r="N46" s="32">
        <v>569</v>
      </c>
      <c r="O46" s="32">
        <v>695</v>
      </c>
      <c r="P46" s="32">
        <v>501</v>
      </c>
      <c r="Q46" s="32">
        <v>324</v>
      </c>
      <c r="R46" s="32" t="s">
        <v>302</v>
      </c>
      <c r="S46" s="32">
        <v>42.364400000000003</v>
      </c>
      <c r="T46" s="32">
        <v>9.7950599999999994</v>
      </c>
      <c r="U46" s="32">
        <v>0.82589595500000001</v>
      </c>
      <c r="V46" s="32">
        <v>3</v>
      </c>
      <c r="W46" s="32">
        <v>0.91475399999999996</v>
      </c>
      <c r="X46" s="32">
        <v>0.43752999999999997</v>
      </c>
      <c r="Y46" s="32">
        <v>0.74186600000000003</v>
      </c>
      <c r="Z46" s="32">
        <v>0.69714299999999996</v>
      </c>
      <c r="AA46" s="32">
        <v>43.1</v>
      </c>
      <c r="AB46" s="32">
        <v>398</v>
      </c>
      <c r="AC46" s="32">
        <v>18</v>
      </c>
      <c r="AD46" s="32">
        <v>20</v>
      </c>
      <c r="AE46" s="32" t="s">
        <v>200</v>
      </c>
      <c r="AF46" s="32" t="s">
        <v>200</v>
      </c>
      <c r="AG46" s="32" t="s">
        <v>200</v>
      </c>
    </row>
    <row r="47" spans="1:33">
      <c r="A47" s="32" t="s">
        <v>378</v>
      </c>
      <c r="B47" s="32" t="s">
        <v>34</v>
      </c>
      <c r="C47" s="32" t="s">
        <v>379</v>
      </c>
      <c r="D47" s="32" t="s">
        <v>380</v>
      </c>
      <c r="E47" s="32" t="s">
        <v>381</v>
      </c>
      <c r="F47" s="32" t="s">
        <v>382</v>
      </c>
      <c r="G47" s="32" t="s">
        <v>383</v>
      </c>
      <c r="H47" s="32" t="s">
        <v>384</v>
      </c>
      <c r="I47" s="32" t="s">
        <v>198</v>
      </c>
      <c r="J47" s="32" t="s">
        <v>199</v>
      </c>
      <c r="K47" s="32">
        <v>2.4540449999999998</v>
      </c>
      <c r="L47" s="33">
        <v>2135</v>
      </c>
      <c r="M47" s="32">
        <v>588</v>
      </c>
      <c r="N47" s="32">
        <v>290</v>
      </c>
      <c r="O47" s="32">
        <v>397</v>
      </c>
      <c r="P47" s="32">
        <v>612</v>
      </c>
      <c r="Q47" s="32">
        <v>248</v>
      </c>
      <c r="R47" s="32">
        <v>4</v>
      </c>
      <c r="S47" s="32">
        <v>24.116900000000001</v>
      </c>
      <c r="T47" s="32">
        <v>8.1308000000000007</v>
      </c>
      <c r="U47" s="32">
        <v>0.73717579099999997</v>
      </c>
      <c r="V47" s="32">
        <v>6</v>
      </c>
      <c r="W47" s="32">
        <v>0.93123</v>
      </c>
      <c r="X47" s="32">
        <v>0.05</v>
      </c>
      <c r="Y47" s="32">
        <v>0.70016199999999995</v>
      </c>
      <c r="Z47" s="32">
        <v>0.77046499999999996</v>
      </c>
      <c r="AA47" s="32">
        <v>32.5</v>
      </c>
      <c r="AB47" s="32">
        <v>469</v>
      </c>
      <c r="AC47" s="32">
        <v>7</v>
      </c>
      <c r="AD47" s="32" t="s">
        <v>200</v>
      </c>
      <c r="AE47" s="32">
        <v>0</v>
      </c>
      <c r="AF47" s="32" t="s">
        <v>200</v>
      </c>
      <c r="AG47" s="32">
        <v>0</v>
      </c>
    </row>
    <row r="48" spans="1:33">
      <c r="A48" s="32" t="s">
        <v>385</v>
      </c>
      <c r="B48" s="32" t="s">
        <v>34</v>
      </c>
      <c r="C48" s="32" t="s">
        <v>386</v>
      </c>
      <c r="D48" s="32" t="s">
        <v>387</v>
      </c>
      <c r="E48" s="32" t="s">
        <v>388</v>
      </c>
      <c r="F48" s="32" t="s">
        <v>389</v>
      </c>
      <c r="G48" s="32" t="s">
        <v>383</v>
      </c>
      <c r="H48" s="32" t="s">
        <v>384</v>
      </c>
      <c r="I48" s="32" t="s">
        <v>198</v>
      </c>
      <c r="J48" s="32" t="s">
        <v>199</v>
      </c>
      <c r="K48" s="32">
        <v>2.4346019999999999</v>
      </c>
      <c r="L48" s="33">
        <v>2033</v>
      </c>
      <c r="M48" s="32">
        <v>425</v>
      </c>
      <c r="N48" s="32">
        <v>264</v>
      </c>
      <c r="O48" s="32">
        <v>472</v>
      </c>
      <c r="P48" s="32">
        <v>515</v>
      </c>
      <c r="Q48" s="32">
        <v>357</v>
      </c>
      <c r="R48" s="32">
        <v>3</v>
      </c>
      <c r="S48" s="32">
        <v>26.6736</v>
      </c>
      <c r="T48" s="32">
        <v>4.7848699999999997</v>
      </c>
      <c r="U48" s="32">
        <v>0.75555812899999997</v>
      </c>
      <c r="V48" s="32">
        <v>6</v>
      </c>
      <c r="W48" s="32">
        <v>0.92664400000000002</v>
      </c>
      <c r="X48" s="32">
        <v>3.8966000000000001E-2</v>
      </c>
      <c r="Y48" s="32">
        <v>0.7</v>
      </c>
      <c r="Z48" s="32">
        <v>0.76954999999999996</v>
      </c>
      <c r="AA48" s="32">
        <v>33.799999999999997</v>
      </c>
      <c r="AB48" s="32">
        <v>449</v>
      </c>
      <c r="AC48" s="32">
        <v>10</v>
      </c>
      <c r="AD48" s="32">
        <v>14</v>
      </c>
      <c r="AE48" s="32">
        <v>0</v>
      </c>
      <c r="AF48" s="32">
        <v>0</v>
      </c>
      <c r="AG48" s="32" t="s">
        <v>200</v>
      </c>
    </row>
    <row r="49" spans="1:33">
      <c r="A49" s="32" t="s">
        <v>390</v>
      </c>
      <c r="B49" s="32" t="s">
        <v>34</v>
      </c>
      <c r="C49" s="32" t="s">
        <v>391</v>
      </c>
      <c r="D49" s="32" t="s">
        <v>392</v>
      </c>
      <c r="E49" s="32" t="s">
        <v>388</v>
      </c>
      <c r="F49" s="32" t="s">
        <v>389</v>
      </c>
      <c r="G49" s="32" t="s">
        <v>383</v>
      </c>
      <c r="H49" s="32" t="s">
        <v>384</v>
      </c>
      <c r="I49" s="32" t="s">
        <v>198</v>
      </c>
      <c r="J49" s="32" t="s">
        <v>199</v>
      </c>
      <c r="K49" s="32">
        <v>2.5845880000000001</v>
      </c>
      <c r="L49" s="33">
        <v>2341</v>
      </c>
      <c r="M49" s="32">
        <v>575</v>
      </c>
      <c r="N49" s="32">
        <v>395</v>
      </c>
      <c r="O49" s="32">
        <v>569</v>
      </c>
      <c r="P49" s="32">
        <v>457</v>
      </c>
      <c r="Q49" s="32">
        <v>345</v>
      </c>
      <c r="R49" s="32">
        <v>5</v>
      </c>
      <c r="S49" s="32">
        <v>24.951599999999999</v>
      </c>
      <c r="T49" s="32">
        <v>14.2361</v>
      </c>
      <c r="U49" s="32">
        <v>0.54345148200000004</v>
      </c>
      <c r="V49" s="32">
        <v>9</v>
      </c>
      <c r="W49" s="32">
        <v>0.94028</v>
      </c>
      <c r="X49" s="32">
        <v>0.15079100000000001</v>
      </c>
      <c r="Y49" s="32">
        <v>0.7</v>
      </c>
      <c r="Z49" s="32">
        <v>0.8</v>
      </c>
      <c r="AA49" s="32">
        <v>44.6</v>
      </c>
      <c r="AB49" s="32">
        <v>410</v>
      </c>
      <c r="AC49" s="32">
        <v>6</v>
      </c>
      <c r="AD49" s="32">
        <v>10</v>
      </c>
      <c r="AE49" s="32" t="s">
        <v>200</v>
      </c>
      <c r="AF49" s="32">
        <v>6</v>
      </c>
      <c r="AG49" s="32" t="s">
        <v>200</v>
      </c>
    </row>
    <row r="50" spans="1:33">
      <c r="A50" s="32" t="s">
        <v>393</v>
      </c>
      <c r="B50" s="32" t="s">
        <v>34</v>
      </c>
      <c r="C50" s="32" t="s">
        <v>394</v>
      </c>
      <c r="D50" s="32" t="s">
        <v>395</v>
      </c>
      <c r="E50" s="32" t="s">
        <v>396</v>
      </c>
      <c r="F50" s="32" t="s">
        <v>397</v>
      </c>
      <c r="G50" s="32" t="s">
        <v>383</v>
      </c>
      <c r="H50" s="32" t="s">
        <v>384</v>
      </c>
      <c r="I50" s="32" t="s">
        <v>198</v>
      </c>
      <c r="J50" s="32" t="s">
        <v>199</v>
      </c>
      <c r="K50" s="32">
        <v>2.4983659999999999</v>
      </c>
      <c r="L50" s="33">
        <v>2788</v>
      </c>
      <c r="M50" s="32">
        <v>586</v>
      </c>
      <c r="N50" s="32">
        <v>400</v>
      </c>
      <c r="O50" s="32">
        <v>966</v>
      </c>
      <c r="P50" s="32">
        <v>478</v>
      </c>
      <c r="Q50" s="32">
        <v>358</v>
      </c>
      <c r="R50" s="32">
        <v>5</v>
      </c>
      <c r="S50" s="32">
        <v>26.682099999999998</v>
      </c>
      <c r="T50" s="32">
        <v>17.4726</v>
      </c>
      <c r="U50" s="32">
        <v>0.70400937500000005</v>
      </c>
      <c r="V50" s="32">
        <v>8</v>
      </c>
      <c r="W50" s="32">
        <v>0.99019599999999997</v>
      </c>
      <c r="X50" s="32">
        <v>0</v>
      </c>
      <c r="Y50" s="32">
        <v>0.7</v>
      </c>
      <c r="Z50" s="32">
        <v>0.80819700000000005</v>
      </c>
      <c r="AA50" s="32">
        <v>41.6</v>
      </c>
      <c r="AB50" s="32">
        <v>334</v>
      </c>
      <c r="AC50" s="32">
        <v>10</v>
      </c>
      <c r="AD50" s="32">
        <v>9</v>
      </c>
      <c r="AE50" s="32">
        <v>0</v>
      </c>
      <c r="AF50" s="32">
        <v>0</v>
      </c>
      <c r="AG50" s="32" t="s">
        <v>200</v>
      </c>
    </row>
    <row r="51" spans="1:33">
      <c r="A51" s="32" t="s">
        <v>398</v>
      </c>
      <c r="B51" s="32" t="s">
        <v>34</v>
      </c>
      <c r="C51" s="32" t="s">
        <v>399</v>
      </c>
      <c r="D51" s="32" t="s">
        <v>400</v>
      </c>
      <c r="E51" s="32" t="s">
        <v>388</v>
      </c>
      <c r="F51" s="32" t="s">
        <v>389</v>
      </c>
      <c r="G51" s="32" t="s">
        <v>383</v>
      </c>
      <c r="H51" s="32" t="s">
        <v>384</v>
      </c>
      <c r="I51" s="32" t="s">
        <v>198</v>
      </c>
      <c r="J51" s="32" t="s">
        <v>199</v>
      </c>
      <c r="K51" s="32">
        <v>2.5106299999999999</v>
      </c>
      <c r="L51" s="33">
        <v>2144</v>
      </c>
      <c r="M51" s="32">
        <v>364</v>
      </c>
      <c r="N51" s="32">
        <v>367</v>
      </c>
      <c r="O51" s="32">
        <v>619</v>
      </c>
      <c r="P51" s="32">
        <v>488</v>
      </c>
      <c r="Q51" s="32">
        <v>306</v>
      </c>
      <c r="R51" s="32">
        <v>3</v>
      </c>
      <c r="S51" s="32">
        <v>21.1494</v>
      </c>
      <c r="T51" s="32">
        <v>11.2577</v>
      </c>
      <c r="U51" s="32">
        <v>0.68567484700000003</v>
      </c>
      <c r="V51" s="32">
        <v>8</v>
      </c>
      <c r="W51" s="32">
        <v>0.96338599999999996</v>
      </c>
      <c r="X51" s="32">
        <v>7.2510000000000005E-2</v>
      </c>
      <c r="Y51" s="32">
        <v>0.7</v>
      </c>
      <c r="Z51" s="32">
        <v>0.75176500000000002</v>
      </c>
      <c r="AA51" s="32">
        <v>36.5</v>
      </c>
      <c r="AB51" s="32">
        <v>385</v>
      </c>
      <c r="AC51" s="32">
        <v>12</v>
      </c>
      <c r="AD51" s="32">
        <v>18</v>
      </c>
      <c r="AE51" s="32">
        <v>0</v>
      </c>
      <c r="AF51" s="32">
        <v>0</v>
      </c>
      <c r="AG51" s="32" t="s">
        <v>200</v>
      </c>
    </row>
    <row r="52" spans="1:33">
      <c r="A52" s="32" t="s">
        <v>401</v>
      </c>
      <c r="B52" s="32" t="s">
        <v>34</v>
      </c>
      <c r="C52" s="32" t="s">
        <v>402</v>
      </c>
      <c r="D52" s="32" t="s">
        <v>403</v>
      </c>
      <c r="E52" s="32" t="s">
        <v>396</v>
      </c>
      <c r="F52" s="32" t="s">
        <v>397</v>
      </c>
      <c r="G52" s="32" t="s">
        <v>383</v>
      </c>
      <c r="H52" s="32" t="s">
        <v>384</v>
      </c>
      <c r="I52" s="32" t="s">
        <v>198</v>
      </c>
      <c r="J52" s="32" t="s">
        <v>199</v>
      </c>
      <c r="K52" s="32">
        <v>2.7993640000000002</v>
      </c>
      <c r="L52" s="33">
        <v>1710</v>
      </c>
      <c r="M52" s="32">
        <v>312</v>
      </c>
      <c r="N52" s="32">
        <v>377</v>
      </c>
      <c r="O52" s="32">
        <v>411</v>
      </c>
      <c r="P52" s="32">
        <v>393</v>
      </c>
      <c r="Q52" s="32">
        <v>217</v>
      </c>
      <c r="R52" s="32">
        <v>4</v>
      </c>
      <c r="S52" s="32">
        <v>28.967099999999999</v>
      </c>
      <c r="T52" s="32">
        <v>4.61083</v>
      </c>
      <c r="U52" s="32">
        <v>0.88430175200000005</v>
      </c>
      <c r="V52" s="32">
        <v>3</v>
      </c>
      <c r="W52" s="32">
        <v>1</v>
      </c>
      <c r="X52" s="32">
        <v>0.24438799999999999</v>
      </c>
      <c r="Y52" s="32">
        <v>0.7</v>
      </c>
      <c r="Z52" s="32">
        <v>0.85324</v>
      </c>
      <c r="AA52" s="32">
        <v>56</v>
      </c>
      <c r="AB52" s="32">
        <v>285</v>
      </c>
      <c r="AC52" s="32">
        <v>12</v>
      </c>
      <c r="AD52" s="32">
        <v>16</v>
      </c>
      <c r="AE52" s="32">
        <v>0</v>
      </c>
      <c r="AF52" s="32" t="s">
        <v>200</v>
      </c>
      <c r="AG52" s="32" t="s">
        <v>200</v>
      </c>
    </row>
    <row r="53" spans="1:33">
      <c r="A53" s="32" t="s">
        <v>404</v>
      </c>
      <c r="B53" s="32" t="s">
        <v>34</v>
      </c>
      <c r="C53" s="32" t="s">
        <v>405</v>
      </c>
      <c r="D53" s="32" t="s">
        <v>406</v>
      </c>
      <c r="E53" s="32" t="s">
        <v>396</v>
      </c>
      <c r="F53" s="32" t="s">
        <v>397</v>
      </c>
      <c r="G53" s="32" t="s">
        <v>383</v>
      </c>
      <c r="H53" s="32" t="s">
        <v>384</v>
      </c>
      <c r="I53" s="32" t="s">
        <v>198</v>
      </c>
      <c r="J53" s="32" t="s">
        <v>199</v>
      </c>
      <c r="K53" s="32">
        <v>2.6367859999999999</v>
      </c>
      <c r="L53" s="33">
        <v>2245</v>
      </c>
      <c r="M53" s="32">
        <v>439</v>
      </c>
      <c r="N53" s="32">
        <v>318</v>
      </c>
      <c r="O53" s="32">
        <v>604</v>
      </c>
      <c r="P53" s="32">
        <v>524</v>
      </c>
      <c r="Q53" s="32">
        <v>360</v>
      </c>
      <c r="R53" s="32">
        <v>5</v>
      </c>
      <c r="S53" s="32">
        <v>27.121700000000001</v>
      </c>
      <c r="T53" s="32">
        <v>12.422700000000001</v>
      </c>
      <c r="U53" s="32">
        <v>0.60062371699999995</v>
      </c>
      <c r="V53" s="32">
        <v>8</v>
      </c>
      <c r="W53" s="32">
        <v>1</v>
      </c>
      <c r="X53" s="32">
        <v>9.7864999999999994E-2</v>
      </c>
      <c r="Y53" s="32">
        <v>0.7</v>
      </c>
      <c r="Z53" s="32">
        <v>0.84053599999999995</v>
      </c>
      <c r="AA53" s="32">
        <v>42.5</v>
      </c>
      <c r="AB53" s="32">
        <v>441</v>
      </c>
      <c r="AC53" s="32">
        <v>11</v>
      </c>
      <c r="AD53" s="32">
        <v>14</v>
      </c>
      <c r="AE53" s="32" t="s">
        <v>200</v>
      </c>
      <c r="AF53" s="32" t="s">
        <v>200</v>
      </c>
      <c r="AG53" s="32" t="s">
        <v>200</v>
      </c>
    </row>
    <row r="54" spans="1:33">
      <c r="A54" s="32" t="s">
        <v>407</v>
      </c>
      <c r="B54" s="32" t="s">
        <v>35</v>
      </c>
      <c r="C54" s="32" t="s">
        <v>408</v>
      </c>
      <c r="D54" s="32" t="s">
        <v>409</v>
      </c>
      <c r="E54" s="32" t="s">
        <v>410</v>
      </c>
      <c r="F54" s="32" t="s">
        <v>411</v>
      </c>
      <c r="G54" s="32" t="s">
        <v>412</v>
      </c>
      <c r="H54" s="32" t="s">
        <v>413</v>
      </c>
      <c r="I54" s="32" t="s">
        <v>198</v>
      </c>
      <c r="J54" s="32" t="s">
        <v>199</v>
      </c>
      <c r="K54" s="32">
        <v>2.3198970000000001</v>
      </c>
      <c r="L54" s="33">
        <v>1745</v>
      </c>
      <c r="M54" s="32">
        <v>315</v>
      </c>
      <c r="N54" s="32">
        <v>309</v>
      </c>
      <c r="O54" s="32">
        <v>378</v>
      </c>
      <c r="P54" s="32">
        <v>392</v>
      </c>
      <c r="Q54" s="32">
        <v>351</v>
      </c>
      <c r="R54" s="32">
        <v>3</v>
      </c>
      <c r="S54" s="32">
        <v>28.1128</v>
      </c>
      <c r="T54" s="32">
        <v>4.7415500000000002</v>
      </c>
      <c r="U54" s="32">
        <v>0.73238031999999997</v>
      </c>
      <c r="V54" s="32">
        <v>7</v>
      </c>
      <c r="W54" s="32">
        <v>0.906667</v>
      </c>
      <c r="X54" s="32">
        <v>0.13353999999999999</v>
      </c>
      <c r="Y54" s="32">
        <v>0.8</v>
      </c>
      <c r="Z54" s="32">
        <v>0.47907699999999998</v>
      </c>
      <c r="AA54" s="32">
        <v>36.6</v>
      </c>
      <c r="AB54" s="32">
        <v>638</v>
      </c>
      <c r="AC54" s="32">
        <v>18</v>
      </c>
      <c r="AD54" s="32">
        <v>21</v>
      </c>
      <c r="AE54" s="32">
        <v>0</v>
      </c>
      <c r="AF54" s="32">
        <v>0</v>
      </c>
      <c r="AG54" s="32" t="s">
        <v>200</v>
      </c>
    </row>
    <row r="55" spans="1:33">
      <c r="A55" s="32" t="s">
        <v>414</v>
      </c>
      <c r="B55" s="32" t="s">
        <v>35</v>
      </c>
      <c r="C55" s="32" t="s">
        <v>415</v>
      </c>
      <c r="D55" s="32" t="s">
        <v>416</v>
      </c>
      <c r="E55" s="32" t="s">
        <v>417</v>
      </c>
      <c r="F55" s="32" t="s">
        <v>418</v>
      </c>
      <c r="G55" s="32" t="s">
        <v>412</v>
      </c>
      <c r="H55" s="32" t="s">
        <v>413</v>
      </c>
      <c r="I55" s="32" t="s">
        <v>198</v>
      </c>
      <c r="J55" s="32" t="s">
        <v>199</v>
      </c>
      <c r="K55" s="32">
        <v>2.3015539999999999</v>
      </c>
      <c r="L55" s="33">
        <v>1682</v>
      </c>
      <c r="M55" s="32">
        <v>365</v>
      </c>
      <c r="N55" s="32">
        <v>309</v>
      </c>
      <c r="O55" s="32">
        <v>392</v>
      </c>
      <c r="P55" s="32">
        <v>407</v>
      </c>
      <c r="Q55" s="32">
        <v>209</v>
      </c>
      <c r="R55" s="32">
        <v>3</v>
      </c>
      <c r="S55" s="32">
        <v>17.6126</v>
      </c>
      <c r="T55" s="32">
        <v>3.1826300000000001</v>
      </c>
      <c r="U55" s="32">
        <v>1.0543815940000001</v>
      </c>
      <c r="V55" s="32">
        <v>3</v>
      </c>
      <c r="W55" s="32">
        <v>0.90285000000000004</v>
      </c>
      <c r="X55" s="32">
        <v>0.10335900000000001</v>
      </c>
      <c r="Y55" s="32">
        <v>0.8</v>
      </c>
      <c r="Z55" s="32">
        <v>0.49015500000000001</v>
      </c>
      <c r="AA55" s="32">
        <v>43.8</v>
      </c>
      <c r="AB55" s="32">
        <v>439</v>
      </c>
      <c r="AC55" s="32">
        <v>23</v>
      </c>
      <c r="AD55" s="32">
        <v>24</v>
      </c>
      <c r="AE55" s="32">
        <v>0</v>
      </c>
      <c r="AF55" s="32">
        <v>0</v>
      </c>
      <c r="AG55" s="32" t="s">
        <v>200</v>
      </c>
    </row>
    <row r="56" spans="1:33">
      <c r="A56" s="32" t="s">
        <v>419</v>
      </c>
      <c r="B56" s="32" t="s">
        <v>35</v>
      </c>
      <c r="C56" s="32" t="s">
        <v>420</v>
      </c>
      <c r="D56" s="32" t="s">
        <v>421</v>
      </c>
      <c r="E56" s="32" t="s">
        <v>422</v>
      </c>
      <c r="F56" s="32" t="s">
        <v>423</v>
      </c>
      <c r="G56" s="32" t="s">
        <v>412</v>
      </c>
      <c r="H56" s="32" t="s">
        <v>413</v>
      </c>
      <c r="I56" s="32" t="s">
        <v>198</v>
      </c>
      <c r="J56" s="32" t="s">
        <v>199</v>
      </c>
      <c r="K56" s="32">
        <v>2.3678949999999999</v>
      </c>
      <c r="L56" s="33">
        <v>1560</v>
      </c>
      <c r="M56" s="32">
        <v>298</v>
      </c>
      <c r="N56" s="32">
        <v>271</v>
      </c>
      <c r="O56" s="32">
        <v>344</v>
      </c>
      <c r="P56" s="32">
        <v>420</v>
      </c>
      <c r="Q56" s="32">
        <v>227</v>
      </c>
      <c r="R56" s="32">
        <v>3</v>
      </c>
      <c r="S56" s="32">
        <v>16.275099999999998</v>
      </c>
      <c r="T56" s="32">
        <v>5.8648499999999997</v>
      </c>
      <c r="U56" s="32">
        <v>0.98081342999999999</v>
      </c>
      <c r="V56" s="32">
        <v>3</v>
      </c>
      <c r="W56" s="32">
        <v>0.91342100000000004</v>
      </c>
      <c r="X56" s="32">
        <v>0.19470199999999999</v>
      </c>
      <c r="Y56" s="32">
        <v>0.8</v>
      </c>
      <c r="Z56" s="32">
        <v>0.46074300000000001</v>
      </c>
      <c r="AA56" s="32">
        <v>41.8</v>
      </c>
      <c r="AB56" s="32">
        <v>544</v>
      </c>
      <c r="AC56" s="32">
        <v>28</v>
      </c>
      <c r="AD56" s="32">
        <v>37</v>
      </c>
      <c r="AE56" s="32">
        <v>0</v>
      </c>
      <c r="AF56" s="32" t="s">
        <v>200</v>
      </c>
      <c r="AG56" s="32" t="s">
        <v>200</v>
      </c>
    </row>
    <row r="57" spans="1:33">
      <c r="A57" s="32" t="s">
        <v>424</v>
      </c>
      <c r="B57" s="32" t="s">
        <v>35</v>
      </c>
      <c r="C57" s="32" t="s">
        <v>425</v>
      </c>
      <c r="D57" s="32" t="s">
        <v>426</v>
      </c>
      <c r="E57" s="32" t="s">
        <v>417</v>
      </c>
      <c r="F57" s="32" t="s">
        <v>418</v>
      </c>
      <c r="G57" s="32" t="s">
        <v>412</v>
      </c>
      <c r="H57" s="32" t="s">
        <v>413</v>
      </c>
      <c r="I57" s="32" t="s">
        <v>198</v>
      </c>
      <c r="J57" s="32" t="s">
        <v>199</v>
      </c>
      <c r="K57" s="32">
        <v>2.3705769999999999</v>
      </c>
      <c r="L57" s="33">
        <v>1600</v>
      </c>
      <c r="M57" s="32">
        <v>246</v>
      </c>
      <c r="N57" s="32">
        <v>306</v>
      </c>
      <c r="O57" s="32">
        <v>414</v>
      </c>
      <c r="P57" s="32">
        <v>393</v>
      </c>
      <c r="Q57" s="32">
        <v>241</v>
      </c>
      <c r="R57" s="32">
        <v>3</v>
      </c>
      <c r="S57" s="32">
        <v>16.069400000000002</v>
      </c>
      <c r="T57" s="32">
        <v>2.6537500000000001</v>
      </c>
      <c r="U57" s="32">
        <v>0.71188375599999998</v>
      </c>
      <c r="V57" s="32">
        <v>7</v>
      </c>
      <c r="W57" s="32">
        <v>0.90765399999999996</v>
      </c>
      <c r="X57" s="32">
        <v>0.181009</v>
      </c>
      <c r="Y57" s="32">
        <v>0.78298299999999998</v>
      </c>
      <c r="Z57" s="32">
        <v>0.50299700000000003</v>
      </c>
      <c r="AA57" s="32">
        <v>33.200000000000003</v>
      </c>
      <c r="AB57" s="32">
        <v>477</v>
      </c>
      <c r="AC57" s="32">
        <v>22</v>
      </c>
      <c r="AD57" s="32">
        <v>30</v>
      </c>
      <c r="AE57" s="32" t="s">
        <v>200</v>
      </c>
      <c r="AF57" s="32">
        <v>0</v>
      </c>
      <c r="AG57" s="32" t="s">
        <v>200</v>
      </c>
    </row>
    <row r="58" spans="1:33">
      <c r="A58" s="32" t="s">
        <v>427</v>
      </c>
      <c r="B58" s="32" t="s">
        <v>35</v>
      </c>
      <c r="C58" s="32" t="s">
        <v>428</v>
      </c>
      <c r="D58" s="32" t="s">
        <v>429</v>
      </c>
      <c r="E58" s="32" t="s">
        <v>430</v>
      </c>
      <c r="F58" s="32" t="s">
        <v>431</v>
      </c>
      <c r="G58" s="32" t="s">
        <v>412</v>
      </c>
      <c r="H58" s="32" t="s">
        <v>413</v>
      </c>
      <c r="I58" s="32" t="s">
        <v>198</v>
      </c>
      <c r="J58" s="32" t="s">
        <v>199</v>
      </c>
      <c r="K58" s="32">
        <v>2.3268659999999999</v>
      </c>
      <c r="L58" s="33">
        <v>1716</v>
      </c>
      <c r="M58" s="32">
        <v>436</v>
      </c>
      <c r="N58" s="32">
        <v>275</v>
      </c>
      <c r="O58" s="32">
        <v>391</v>
      </c>
      <c r="P58" s="32">
        <v>334</v>
      </c>
      <c r="Q58" s="32">
        <v>280</v>
      </c>
      <c r="R58" s="32">
        <v>3</v>
      </c>
      <c r="S58" s="32">
        <v>27.607199999999999</v>
      </c>
      <c r="T58" s="32">
        <v>3.4837099999999999</v>
      </c>
      <c r="U58" s="32">
        <v>0.73850701299999999</v>
      </c>
      <c r="V58" s="32">
        <v>6</v>
      </c>
      <c r="W58" s="32">
        <v>0.90646800000000005</v>
      </c>
      <c r="X58" s="32">
        <v>0.128053</v>
      </c>
      <c r="Y58" s="32">
        <v>0.8</v>
      </c>
      <c r="Z58" s="32">
        <v>0.5</v>
      </c>
      <c r="AA58" s="32">
        <v>31.7</v>
      </c>
      <c r="AB58" s="32">
        <v>497</v>
      </c>
      <c r="AC58" s="32">
        <v>16</v>
      </c>
      <c r="AD58" s="32">
        <v>19</v>
      </c>
      <c r="AE58" s="32">
        <v>0</v>
      </c>
      <c r="AF58" s="32" t="s">
        <v>200</v>
      </c>
      <c r="AG58" s="32" t="s">
        <v>200</v>
      </c>
    </row>
    <row r="59" spans="1:33">
      <c r="A59" s="32" t="s">
        <v>432</v>
      </c>
      <c r="B59" s="32" t="s">
        <v>35</v>
      </c>
      <c r="C59" s="32" t="s">
        <v>433</v>
      </c>
      <c r="D59" s="32" t="s">
        <v>434</v>
      </c>
      <c r="E59" s="32" t="s">
        <v>430</v>
      </c>
      <c r="F59" s="32" t="s">
        <v>431</v>
      </c>
      <c r="G59" s="32" t="s">
        <v>412</v>
      </c>
      <c r="H59" s="32" t="s">
        <v>413</v>
      </c>
      <c r="I59" s="32" t="s">
        <v>198</v>
      </c>
      <c r="J59" s="32" t="s">
        <v>199</v>
      </c>
      <c r="K59" s="32">
        <v>2.5408930000000001</v>
      </c>
      <c r="L59" s="33">
        <v>2080</v>
      </c>
      <c r="M59" s="32">
        <v>622</v>
      </c>
      <c r="N59" s="32">
        <v>415</v>
      </c>
      <c r="O59" s="32">
        <v>528</v>
      </c>
      <c r="P59" s="32">
        <v>330</v>
      </c>
      <c r="Q59" s="32">
        <v>185</v>
      </c>
      <c r="R59" s="32">
        <v>4</v>
      </c>
      <c r="S59" s="32">
        <v>29.646599999999999</v>
      </c>
      <c r="T59" s="32">
        <v>10.9031</v>
      </c>
      <c r="U59" s="32">
        <v>0.67745957700000003</v>
      </c>
      <c r="V59" s="32">
        <v>5</v>
      </c>
      <c r="W59" s="32">
        <v>0.914107</v>
      </c>
      <c r="X59" s="32">
        <v>0.23417299999999999</v>
      </c>
      <c r="Y59" s="32">
        <v>0.8</v>
      </c>
      <c r="Z59" s="32">
        <v>0.60513300000000003</v>
      </c>
      <c r="AA59" s="32">
        <v>31.4</v>
      </c>
      <c r="AB59" s="32">
        <v>557</v>
      </c>
      <c r="AC59" s="32">
        <v>12</v>
      </c>
      <c r="AD59" s="32">
        <v>33</v>
      </c>
      <c r="AE59" s="32">
        <v>0</v>
      </c>
      <c r="AF59" s="32">
        <v>0</v>
      </c>
      <c r="AG59" s="32">
        <v>0</v>
      </c>
    </row>
    <row r="60" spans="1:33">
      <c r="A60" s="32" t="s">
        <v>435</v>
      </c>
      <c r="B60" s="32" t="s">
        <v>35</v>
      </c>
      <c r="C60" s="32" t="s">
        <v>436</v>
      </c>
      <c r="D60" s="32" t="s">
        <v>437</v>
      </c>
      <c r="E60" s="32" t="s">
        <v>430</v>
      </c>
      <c r="F60" s="32" t="s">
        <v>431</v>
      </c>
      <c r="G60" s="32" t="s">
        <v>412</v>
      </c>
      <c r="H60" s="32" t="s">
        <v>413</v>
      </c>
      <c r="I60" s="32" t="s">
        <v>198</v>
      </c>
      <c r="J60" s="32" t="s">
        <v>199</v>
      </c>
      <c r="K60" s="32">
        <v>2.2931180000000002</v>
      </c>
      <c r="L60" s="33">
        <v>2188</v>
      </c>
      <c r="M60" s="32">
        <v>488</v>
      </c>
      <c r="N60" s="32">
        <v>409</v>
      </c>
      <c r="O60" s="32">
        <v>544</v>
      </c>
      <c r="P60" s="32">
        <v>397</v>
      </c>
      <c r="Q60" s="32">
        <v>350</v>
      </c>
      <c r="R60" s="32">
        <v>3</v>
      </c>
      <c r="S60" s="32">
        <v>18.4633</v>
      </c>
      <c r="T60" s="32">
        <v>8.4854199999999995</v>
      </c>
      <c r="U60" s="32">
        <v>0.79422728799999998</v>
      </c>
      <c r="V60" s="32">
        <v>6</v>
      </c>
      <c r="W60" s="32">
        <v>0.90301100000000001</v>
      </c>
      <c r="X60" s="32">
        <v>8.1033999999999995E-2</v>
      </c>
      <c r="Y60" s="32">
        <v>0.8</v>
      </c>
      <c r="Z60" s="32">
        <v>0.50565199999999999</v>
      </c>
      <c r="AA60" s="32">
        <v>26.8</v>
      </c>
      <c r="AB60" s="32">
        <v>459</v>
      </c>
      <c r="AC60" s="32">
        <v>13</v>
      </c>
      <c r="AD60" s="32">
        <v>31</v>
      </c>
      <c r="AE60" s="32">
        <v>6</v>
      </c>
      <c r="AF60" s="32">
        <v>0</v>
      </c>
      <c r="AG60" s="32" t="s">
        <v>200</v>
      </c>
    </row>
    <row r="61" spans="1:33">
      <c r="A61" s="32" t="s">
        <v>438</v>
      </c>
      <c r="B61" s="32" t="s">
        <v>35</v>
      </c>
      <c r="C61" s="32" t="s">
        <v>439</v>
      </c>
      <c r="D61" s="32" t="s">
        <v>440</v>
      </c>
      <c r="E61" s="32" t="s">
        <v>441</v>
      </c>
      <c r="F61" s="32" t="s">
        <v>442</v>
      </c>
      <c r="G61" s="32" t="s">
        <v>412</v>
      </c>
      <c r="H61" s="32" t="s">
        <v>413</v>
      </c>
      <c r="I61" s="32" t="s">
        <v>198</v>
      </c>
      <c r="J61" s="32" t="s">
        <v>199</v>
      </c>
      <c r="K61" s="32">
        <v>2.893713</v>
      </c>
      <c r="L61" s="33">
        <v>1340</v>
      </c>
      <c r="M61" s="32">
        <v>384</v>
      </c>
      <c r="N61" s="32">
        <v>235</v>
      </c>
      <c r="O61" s="32">
        <v>289</v>
      </c>
      <c r="P61" s="32">
        <v>321</v>
      </c>
      <c r="Q61" s="32">
        <v>111</v>
      </c>
      <c r="R61" s="32">
        <v>3</v>
      </c>
      <c r="S61" s="32">
        <v>26.616900000000001</v>
      </c>
      <c r="T61" s="32">
        <v>0</v>
      </c>
      <c r="U61" s="32">
        <v>0.92574600200000001</v>
      </c>
      <c r="V61" s="32">
        <v>1</v>
      </c>
      <c r="W61" s="32">
        <v>0.92749400000000004</v>
      </c>
      <c r="X61" s="32">
        <v>0.42678899999999997</v>
      </c>
      <c r="Y61" s="32">
        <v>0.8</v>
      </c>
      <c r="Z61" s="32">
        <v>0.75537900000000002</v>
      </c>
      <c r="AA61" s="32">
        <v>55.6</v>
      </c>
      <c r="AB61" s="32">
        <v>318</v>
      </c>
      <c r="AC61" s="32">
        <v>11</v>
      </c>
      <c r="AD61" s="32">
        <v>46</v>
      </c>
      <c r="AE61" s="32">
        <v>17</v>
      </c>
      <c r="AF61" s="32">
        <v>8</v>
      </c>
      <c r="AG61" s="32">
        <v>9</v>
      </c>
    </row>
    <row r="62" spans="1:33">
      <c r="A62" s="32" t="s">
        <v>443</v>
      </c>
      <c r="B62" s="32" t="s">
        <v>35</v>
      </c>
      <c r="C62" s="32" t="s">
        <v>444</v>
      </c>
      <c r="D62" s="32" t="s">
        <v>445</v>
      </c>
      <c r="E62" s="32" t="s">
        <v>422</v>
      </c>
      <c r="F62" s="32" t="s">
        <v>423</v>
      </c>
      <c r="G62" s="32" t="s">
        <v>412</v>
      </c>
      <c r="H62" s="32" t="s">
        <v>413</v>
      </c>
      <c r="I62" s="32" t="s">
        <v>198</v>
      </c>
      <c r="J62" s="32" t="s">
        <v>199</v>
      </c>
      <c r="K62" s="32">
        <v>2.3782380000000001</v>
      </c>
      <c r="L62" s="33">
        <v>1989</v>
      </c>
      <c r="M62" s="32">
        <v>449</v>
      </c>
      <c r="N62" s="32">
        <v>358</v>
      </c>
      <c r="O62" s="32">
        <v>490</v>
      </c>
      <c r="P62" s="32">
        <v>483</v>
      </c>
      <c r="Q62" s="32">
        <v>209</v>
      </c>
      <c r="R62" s="32">
        <v>2</v>
      </c>
      <c r="S62" s="32">
        <v>11.433999999999999</v>
      </c>
      <c r="T62" s="32">
        <v>4.4694500000000001</v>
      </c>
      <c r="U62" s="32">
        <v>0.96802557700000003</v>
      </c>
      <c r="V62" s="32">
        <v>3</v>
      </c>
      <c r="W62" s="32">
        <v>0.90466299999999999</v>
      </c>
      <c r="X62" s="32">
        <v>0.15229000000000001</v>
      </c>
      <c r="Y62" s="32">
        <v>0.8</v>
      </c>
      <c r="Z62" s="32">
        <v>0.51443399999999995</v>
      </c>
      <c r="AA62" s="32">
        <v>52.2</v>
      </c>
      <c r="AB62" s="32">
        <v>561</v>
      </c>
      <c r="AC62" s="32">
        <v>33</v>
      </c>
      <c r="AD62" s="32">
        <v>50</v>
      </c>
      <c r="AE62" s="32" t="s">
        <v>200</v>
      </c>
      <c r="AF62" s="32">
        <v>0</v>
      </c>
      <c r="AG62" s="32" t="s">
        <v>200</v>
      </c>
    </row>
    <row r="63" spans="1:33">
      <c r="A63" s="32" t="s">
        <v>446</v>
      </c>
      <c r="B63" s="32" t="s">
        <v>36</v>
      </c>
      <c r="C63" s="32" t="s">
        <v>447</v>
      </c>
      <c r="D63" s="32" t="s">
        <v>448</v>
      </c>
      <c r="E63" s="32" t="s">
        <v>449</v>
      </c>
      <c r="F63" s="32" t="s">
        <v>450</v>
      </c>
      <c r="G63" s="32" t="s">
        <v>412</v>
      </c>
      <c r="H63" s="32" t="s">
        <v>413</v>
      </c>
      <c r="I63" s="32" t="s">
        <v>198</v>
      </c>
      <c r="J63" s="32" t="s">
        <v>199</v>
      </c>
      <c r="K63" s="32">
        <v>2.5775459999999999</v>
      </c>
      <c r="L63" s="33">
        <v>2286</v>
      </c>
      <c r="M63" s="32">
        <v>384</v>
      </c>
      <c r="N63" s="32">
        <v>544</v>
      </c>
      <c r="O63" s="32">
        <v>617</v>
      </c>
      <c r="P63" s="32">
        <v>460</v>
      </c>
      <c r="Q63" s="32">
        <v>281</v>
      </c>
      <c r="R63" s="32">
        <v>2</v>
      </c>
      <c r="S63" s="32">
        <v>10.0997</v>
      </c>
      <c r="T63" s="32">
        <v>4.7840800000000003</v>
      </c>
      <c r="U63" s="32">
        <v>0.66583141999999995</v>
      </c>
      <c r="V63" s="32">
        <v>6</v>
      </c>
      <c r="W63" s="32">
        <v>0.91840500000000003</v>
      </c>
      <c r="X63" s="32">
        <v>0.391876</v>
      </c>
      <c r="Y63" s="32">
        <v>0.8</v>
      </c>
      <c r="Z63" s="32">
        <v>0.46895700000000001</v>
      </c>
      <c r="AA63" s="32">
        <v>33.200000000000003</v>
      </c>
      <c r="AB63" s="32">
        <v>527</v>
      </c>
      <c r="AC63" s="32">
        <v>27</v>
      </c>
      <c r="AD63" s="32">
        <v>63</v>
      </c>
      <c r="AE63" s="32" t="s">
        <v>200</v>
      </c>
      <c r="AF63" s="32" t="s">
        <v>200</v>
      </c>
      <c r="AG63" s="32" t="s">
        <v>200</v>
      </c>
    </row>
    <row r="64" spans="1:33">
      <c r="A64" s="32" t="s">
        <v>451</v>
      </c>
      <c r="B64" s="32" t="s">
        <v>36</v>
      </c>
      <c r="C64" s="32" t="s">
        <v>452</v>
      </c>
      <c r="D64" s="32" t="s">
        <v>453</v>
      </c>
      <c r="E64" s="32" t="s">
        <v>454</v>
      </c>
      <c r="F64" s="32" t="s">
        <v>455</v>
      </c>
      <c r="G64" s="32" t="s">
        <v>412</v>
      </c>
      <c r="H64" s="32" t="s">
        <v>413</v>
      </c>
      <c r="I64" s="32" t="s">
        <v>198</v>
      </c>
      <c r="J64" s="32" t="s">
        <v>199</v>
      </c>
      <c r="K64" s="32">
        <v>2.089874</v>
      </c>
      <c r="L64" s="33">
        <v>1399</v>
      </c>
      <c r="M64" s="32">
        <v>347</v>
      </c>
      <c r="N64" s="32">
        <v>221</v>
      </c>
      <c r="O64" s="32">
        <v>200</v>
      </c>
      <c r="P64" s="32">
        <v>387</v>
      </c>
      <c r="Q64" s="32">
        <v>244</v>
      </c>
      <c r="R64" s="32" t="s">
        <v>225</v>
      </c>
      <c r="S64" s="32">
        <v>4.9078600000000003</v>
      </c>
      <c r="T64" s="32">
        <v>2.4198200000000001</v>
      </c>
      <c r="U64" s="32">
        <v>0.73475217699999995</v>
      </c>
      <c r="V64" s="32">
        <v>9</v>
      </c>
      <c r="W64" s="32">
        <v>0.9</v>
      </c>
      <c r="X64" s="32">
        <v>2.343E-3</v>
      </c>
      <c r="Y64" s="32">
        <v>0.77583299999999999</v>
      </c>
      <c r="Z64" s="32">
        <v>0.41309400000000002</v>
      </c>
      <c r="AA64" s="32">
        <v>12.8</v>
      </c>
      <c r="AB64" s="32">
        <v>701</v>
      </c>
      <c r="AC64" s="32">
        <v>19</v>
      </c>
      <c r="AD64" s="32">
        <v>8</v>
      </c>
      <c r="AE64" s="32">
        <v>0</v>
      </c>
      <c r="AF64" s="32" t="s">
        <v>200</v>
      </c>
      <c r="AG64" s="32">
        <v>0</v>
      </c>
    </row>
    <row r="65" spans="1:33">
      <c r="A65" s="32" t="s">
        <v>456</v>
      </c>
      <c r="B65" s="32" t="s">
        <v>36</v>
      </c>
      <c r="C65" s="32" t="s">
        <v>457</v>
      </c>
      <c r="D65" s="32" t="s">
        <v>458</v>
      </c>
      <c r="E65" s="32" t="s">
        <v>459</v>
      </c>
      <c r="F65" s="32" t="s">
        <v>460</v>
      </c>
      <c r="G65" s="32" t="s">
        <v>461</v>
      </c>
      <c r="H65" s="32" t="s">
        <v>462</v>
      </c>
      <c r="I65" s="32" t="s">
        <v>198</v>
      </c>
      <c r="J65" s="32" t="s">
        <v>199</v>
      </c>
      <c r="K65" s="32">
        <v>2.2858200000000002</v>
      </c>
      <c r="L65" s="33">
        <v>1647</v>
      </c>
      <c r="M65" s="32">
        <v>279</v>
      </c>
      <c r="N65" s="32">
        <v>264</v>
      </c>
      <c r="O65" s="32">
        <v>397</v>
      </c>
      <c r="P65" s="32">
        <v>387</v>
      </c>
      <c r="Q65" s="32">
        <v>320</v>
      </c>
      <c r="R65" s="32">
        <v>2</v>
      </c>
      <c r="S65" s="32">
        <v>14.756</v>
      </c>
      <c r="T65" s="32">
        <v>4.0569300000000004</v>
      </c>
      <c r="U65" s="32">
        <v>0.68742405799999995</v>
      </c>
      <c r="V65" s="32">
        <v>8</v>
      </c>
      <c r="W65" s="32">
        <v>0.90634899999999996</v>
      </c>
      <c r="X65" s="32">
        <v>0.189195</v>
      </c>
      <c r="Y65" s="32">
        <v>0.78551800000000005</v>
      </c>
      <c r="Z65" s="32">
        <v>0.40569</v>
      </c>
      <c r="AA65" s="32">
        <v>24.4</v>
      </c>
      <c r="AB65" s="32">
        <v>769</v>
      </c>
      <c r="AC65" s="32">
        <v>38</v>
      </c>
      <c r="AD65" s="32">
        <v>26</v>
      </c>
      <c r="AE65" s="32" t="s">
        <v>200</v>
      </c>
      <c r="AF65" s="32">
        <v>0</v>
      </c>
      <c r="AG65" s="32" t="s">
        <v>200</v>
      </c>
    </row>
    <row r="66" spans="1:33">
      <c r="A66" s="32" t="s">
        <v>463</v>
      </c>
      <c r="B66" s="32" t="s">
        <v>36</v>
      </c>
      <c r="C66" s="32" t="s">
        <v>464</v>
      </c>
      <c r="D66" s="32" t="s">
        <v>465</v>
      </c>
      <c r="E66" s="32" t="s">
        <v>449</v>
      </c>
      <c r="F66" s="32" t="s">
        <v>450</v>
      </c>
      <c r="G66" s="32" t="s">
        <v>412</v>
      </c>
      <c r="H66" s="32" t="s">
        <v>413</v>
      </c>
      <c r="I66" s="32" t="s">
        <v>198</v>
      </c>
      <c r="J66" s="32" t="s">
        <v>199</v>
      </c>
      <c r="K66" s="32">
        <v>2.280287</v>
      </c>
      <c r="L66" s="33">
        <v>1669</v>
      </c>
      <c r="M66" s="32">
        <v>381</v>
      </c>
      <c r="N66" s="32">
        <v>206</v>
      </c>
      <c r="O66" s="32">
        <v>362</v>
      </c>
      <c r="P66" s="32">
        <v>416</v>
      </c>
      <c r="Q66" s="32">
        <v>304</v>
      </c>
      <c r="R66" s="32" t="s">
        <v>225</v>
      </c>
      <c r="S66" s="32">
        <v>8.3649799999999992</v>
      </c>
      <c r="T66" s="32">
        <v>2.4624999999999999</v>
      </c>
      <c r="U66" s="32">
        <v>0.66603405900000001</v>
      </c>
      <c r="V66" s="32">
        <v>9</v>
      </c>
      <c r="W66" s="32">
        <v>0.90545500000000001</v>
      </c>
      <c r="X66" s="32">
        <v>0.19922999999999999</v>
      </c>
      <c r="Y66" s="32">
        <v>0.8</v>
      </c>
      <c r="Z66" s="32">
        <v>0.383714</v>
      </c>
      <c r="AA66" s="32">
        <v>22.1</v>
      </c>
      <c r="AB66" s="32">
        <v>645</v>
      </c>
      <c r="AC66" s="32">
        <v>14</v>
      </c>
      <c r="AD66" s="32">
        <v>15</v>
      </c>
      <c r="AE66" s="32">
        <v>0</v>
      </c>
      <c r="AF66" s="32">
        <v>0</v>
      </c>
      <c r="AG66" s="32" t="s">
        <v>200</v>
      </c>
    </row>
    <row r="67" spans="1:33">
      <c r="A67" s="32" t="s">
        <v>466</v>
      </c>
      <c r="B67" s="32" t="s">
        <v>36</v>
      </c>
      <c r="C67" s="32" t="s">
        <v>467</v>
      </c>
      <c r="D67" s="32" t="s">
        <v>468</v>
      </c>
      <c r="E67" s="32" t="s">
        <v>454</v>
      </c>
      <c r="F67" s="32" t="s">
        <v>455</v>
      </c>
      <c r="G67" s="32" t="s">
        <v>412</v>
      </c>
      <c r="H67" s="32" t="s">
        <v>413</v>
      </c>
      <c r="I67" s="32" t="s">
        <v>198</v>
      </c>
      <c r="J67" s="32" t="s">
        <v>199</v>
      </c>
      <c r="K67" s="32">
        <v>2.0657740000000002</v>
      </c>
      <c r="L67" s="33">
        <v>1657</v>
      </c>
      <c r="M67" s="32">
        <v>369</v>
      </c>
      <c r="N67" s="32">
        <v>270</v>
      </c>
      <c r="O67" s="32">
        <v>287</v>
      </c>
      <c r="P67" s="32">
        <v>413</v>
      </c>
      <c r="Q67" s="32">
        <v>318</v>
      </c>
      <c r="R67" s="32" t="s">
        <v>225</v>
      </c>
      <c r="S67" s="32">
        <v>5.6874000000000002</v>
      </c>
      <c r="T67" s="32">
        <v>2.4660199999999999</v>
      </c>
      <c r="U67" s="32">
        <v>0.75713174800000005</v>
      </c>
      <c r="V67" s="32">
        <v>9</v>
      </c>
      <c r="W67" s="32">
        <v>0.90247999999999995</v>
      </c>
      <c r="X67" s="32">
        <v>5.4204000000000002E-2</v>
      </c>
      <c r="Y67" s="32">
        <v>0.798817</v>
      </c>
      <c r="Z67" s="32">
        <v>0.31360900000000003</v>
      </c>
      <c r="AA67" s="32">
        <v>17.399999999999999</v>
      </c>
      <c r="AB67" s="32">
        <v>700</v>
      </c>
      <c r="AC67" s="32">
        <v>12</v>
      </c>
      <c r="AD67" s="32">
        <v>23</v>
      </c>
      <c r="AE67" s="32">
        <v>0</v>
      </c>
      <c r="AF67" s="32">
        <v>0</v>
      </c>
      <c r="AG67" s="32" t="s">
        <v>200</v>
      </c>
    </row>
    <row r="68" spans="1:33">
      <c r="A68" s="32" t="s">
        <v>469</v>
      </c>
      <c r="B68" s="32" t="s">
        <v>36</v>
      </c>
      <c r="C68" s="32" t="s">
        <v>470</v>
      </c>
      <c r="D68" s="32" t="s">
        <v>471</v>
      </c>
      <c r="E68" s="32" t="s">
        <v>454</v>
      </c>
      <c r="F68" s="32" t="s">
        <v>455</v>
      </c>
      <c r="G68" s="32" t="s">
        <v>412</v>
      </c>
      <c r="H68" s="32" t="s">
        <v>413</v>
      </c>
      <c r="I68" s="32" t="s">
        <v>198</v>
      </c>
      <c r="J68" s="32" t="s">
        <v>199</v>
      </c>
      <c r="K68" s="32">
        <v>2.3439260000000002</v>
      </c>
      <c r="L68" s="33">
        <v>1700</v>
      </c>
      <c r="M68" s="32">
        <v>348</v>
      </c>
      <c r="N68" s="32">
        <v>259</v>
      </c>
      <c r="O68" s="32">
        <v>363</v>
      </c>
      <c r="P68" s="32">
        <v>412</v>
      </c>
      <c r="Q68" s="32">
        <v>318</v>
      </c>
      <c r="R68" s="32">
        <v>3</v>
      </c>
      <c r="S68" s="32">
        <v>20.319800000000001</v>
      </c>
      <c r="T68" s="32">
        <v>2.50915</v>
      </c>
      <c r="U68" s="32">
        <v>0.63933846900000002</v>
      </c>
      <c r="V68" s="32">
        <v>9</v>
      </c>
      <c r="W68" s="32">
        <v>0.90642599999999995</v>
      </c>
      <c r="X68" s="32">
        <v>0.197015</v>
      </c>
      <c r="Y68" s="32">
        <v>0.8</v>
      </c>
      <c r="Z68" s="32">
        <v>0.441301</v>
      </c>
      <c r="AA68" s="32">
        <v>22.5</v>
      </c>
      <c r="AB68" s="32">
        <v>649</v>
      </c>
      <c r="AC68" s="32" t="s">
        <v>200</v>
      </c>
      <c r="AD68" s="32">
        <v>13</v>
      </c>
      <c r="AE68" s="32" t="s">
        <v>200</v>
      </c>
      <c r="AF68" s="32" t="s">
        <v>200</v>
      </c>
      <c r="AG68" s="32" t="s">
        <v>200</v>
      </c>
    </row>
    <row r="69" spans="1:33">
      <c r="A69" s="32" t="s">
        <v>472</v>
      </c>
      <c r="B69" s="32" t="s">
        <v>36</v>
      </c>
      <c r="C69" s="32" t="s">
        <v>473</v>
      </c>
      <c r="D69" s="32" t="s">
        <v>474</v>
      </c>
      <c r="E69" s="32" t="s">
        <v>454</v>
      </c>
      <c r="F69" s="32" t="s">
        <v>455</v>
      </c>
      <c r="G69" s="32" t="s">
        <v>412</v>
      </c>
      <c r="H69" s="32" t="s">
        <v>413</v>
      </c>
      <c r="I69" s="32" t="s">
        <v>198</v>
      </c>
      <c r="J69" s="32" t="s">
        <v>199</v>
      </c>
      <c r="K69" s="32">
        <v>2.1857660000000001</v>
      </c>
      <c r="L69" s="33">
        <v>1620</v>
      </c>
      <c r="M69" s="32">
        <v>416</v>
      </c>
      <c r="N69" s="32">
        <v>220</v>
      </c>
      <c r="O69" s="32">
        <v>341</v>
      </c>
      <c r="P69" s="32">
        <v>394</v>
      </c>
      <c r="Q69" s="32">
        <v>249</v>
      </c>
      <c r="R69" s="32" t="s">
        <v>225</v>
      </c>
      <c r="S69" s="32">
        <v>5.7403899999999997</v>
      </c>
      <c r="T69" s="32">
        <v>2.1108199999999999</v>
      </c>
      <c r="U69" s="32">
        <v>0.72647180600000005</v>
      </c>
      <c r="V69" s="32">
        <v>9</v>
      </c>
      <c r="W69" s="32">
        <v>0.90551899999999996</v>
      </c>
      <c r="X69" s="32">
        <v>0.15260899999999999</v>
      </c>
      <c r="Y69" s="32">
        <v>0.8</v>
      </c>
      <c r="Z69" s="32">
        <v>0.33333299999999999</v>
      </c>
      <c r="AA69" s="32">
        <v>21.3</v>
      </c>
      <c r="AB69" s="32">
        <v>602</v>
      </c>
      <c r="AC69" s="32">
        <v>15</v>
      </c>
      <c r="AD69" s="32">
        <v>9</v>
      </c>
      <c r="AE69" s="32">
        <v>0</v>
      </c>
      <c r="AF69" s="32">
        <v>0</v>
      </c>
      <c r="AG69" s="32" t="s">
        <v>200</v>
      </c>
    </row>
    <row r="70" spans="1:33">
      <c r="A70" s="32" t="s">
        <v>475</v>
      </c>
      <c r="B70" s="32" t="s">
        <v>37</v>
      </c>
      <c r="C70" s="32" t="s">
        <v>476</v>
      </c>
      <c r="D70" s="32" t="s">
        <v>477</v>
      </c>
      <c r="E70" s="32" t="s">
        <v>478</v>
      </c>
      <c r="F70" s="32" t="s">
        <v>479</v>
      </c>
      <c r="G70" s="32" t="s">
        <v>461</v>
      </c>
      <c r="H70" s="32" t="s">
        <v>462</v>
      </c>
      <c r="I70" s="32" t="s">
        <v>198</v>
      </c>
      <c r="J70" s="32" t="s">
        <v>199</v>
      </c>
      <c r="K70" s="32">
        <v>2.1456029999999999</v>
      </c>
      <c r="L70" s="33">
        <v>1508</v>
      </c>
      <c r="M70" s="32">
        <v>263</v>
      </c>
      <c r="N70" s="32">
        <v>310</v>
      </c>
      <c r="O70" s="32">
        <v>564</v>
      </c>
      <c r="P70" s="32">
        <v>246</v>
      </c>
      <c r="Q70" s="32">
        <v>125</v>
      </c>
      <c r="R70" s="32">
        <v>3</v>
      </c>
      <c r="S70" s="32">
        <v>17.606400000000001</v>
      </c>
      <c r="T70" s="32">
        <v>11.4795</v>
      </c>
      <c r="U70" s="32">
        <v>0.88880251799999999</v>
      </c>
      <c r="V70" s="32">
        <v>6</v>
      </c>
      <c r="W70" s="32">
        <v>0.90618900000000002</v>
      </c>
      <c r="X70" s="32">
        <v>0.12815499999999999</v>
      </c>
      <c r="Y70" s="32">
        <v>0.7</v>
      </c>
      <c r="Z70" s="32">
        <v>0.41779899999999998</v>
      </c>
      <c r="AA70" s="32">
        <v>19.2</v>
      </c>
      <c r="AB70" s="32">
        <v>360</v>
      </c>
      <c r="AC70" s="32">
        <v>29</v>
      </c>
      <c r="AD70" s="32">
        <v>13</v>
      </c>
      <c r="AE70" s="32" t="s">
        <v>200</v>
      </c>
      <c r="AF70" s="32">
        <v>0</v>
      </c>
      <c r="AG70" s="32" t="s">
        <v>200</v>
      </c>
    </row>
    <row r="71" spans="1:33">
      <c r="A71" s="32" t="s">
        <v>480</v>
      </c>
      <c r="B71" s="32" t="s">
        <v>37</v>
      </c>
      <c r="C71" s="32" t="s">
        <v>481</v>
      </c>
      <c r="D71" s="32" t="s">
        <v>482</v>
      </c>
      <c r="E71" s="32" t="s">
        <v>478</v>
      </c>
      <c r="F71" s="32" t="s">
        <v>479</v>
      </c>
      <c r="G71" s="32" t="s">
        <v>461</v>
      </c>
      <c r="H71" s="32" t="s">
        <v>462</v>
      </c>
      <c r="I71" s="32" t="s">
        <v>198</v>
      </c>
      <c r="J71" s="32" t="s">
        <v>199</v>
      </c>
      <c r="K71" s="32">
        <v>2.1675360000000001</v>
      </c>
      <c r="L71" s="33">
        <v>1530</v>
      </c>
      <c r="M71" s="32">
        <v>249</v>
      </c>
      <c r="N71" s="32">
        <v>286</v>
      </c>
      <c r="O71" s="32">
        <v>493</v>
      </c>
      <c r="P71" s="32">
        <v>353</v>
      </c>
      <c r="Q71" s="32">
        <v>149</v>
      </c>
      <c r="R71" s="32">
        <v>3</v>
      </c>
      <c r="S71" s="32">
        <v>20.946999999999999</v>
      </c>
      <c r="T71" s="32">
        <v>2.8975399999999998</v>
      </c>
      <c r="U71" s="32">
        <v>0.85851175700000004</v>
      </c>
      <c r="V71" s="32">
        <v>6</v>
      </c>
      <c r="W71" s="32">
        <v>0.90492799999999995</v>
      </c>
      <c r="X71" s="32">
        <v>6.1988000000000001E-2</v>
      </c>
      <c r="Y71" s="32">
        <v>0.7</v>
      </c>
      <c r="Z71" s="32">
        <v>0.50232600000000005</v>
      </c>
      <c r="AA71" s="32">
        <v>18.7</v>
      </c>
      <c r="AB71" s="32">
        <v>380</v>
      </c>
      <c r="AC71" s="32">
        <v>20</v>
      </c>
      <c r="AD71" s="32">
        <v>9</v>
      </c>
      <c r="AE71" s="32">
        <v>0</v>
      </c>
      <c r="AF71" s="32">
        <v>0</v>
      </c>
      <c r="AG71" s="32" t="s">
        <v>200</v>
      </c>
    </row>
    <row r="72" spans="1:33">
      <c r="A72" s="32" t="s">
        <v>483</v>
      </c>
      <c r="B72" s="32" t="s">
        <v>37</v>
      </c>
      <c r="C72" s="32" t="s">
        <v>484</v>
      </c>
      <c r="D72" s="32" t="s">
        <v>485</v>
      </c>
      <c r="E72" s="32" t="s">
        <v>478</v>
      </c>
      <c r="F72" s="32" t="s">
        <v>479</v>
      </c>
      <c r="G72" s="32" t="s">
        <v>461</v>
      </c>
      <c r="H72" s="32" t="s">
        <v>462</v>
      </c>
      <c r="I72" s="32" t="s">
        <v>198</v>
      </c>
      <c r="J72" s="32" t="s">
        <v>199</v>
      </c>
      <c r="K72" s="32">
        <v>2.1124510000000001</v>
      </c>
      <c r="L72" s="33">
        <v>1529</v>
      </c>
      <c r="M72" s="32">
        <v>303</v>
      </c>
      <c r="N72" s="32">
        <v>235</v>
      </c>
      <c r="O72" s="32">
        <v>381</v>
      </c>
      <c r="P72" s="32">
        <v>346</v>
      </c>
      <c r="Q72" s="32">
        <v>264</v>
      </c>
      <c r="R72" s="32">
        <v>4</v>
      </c>
      <c r="S72" s="32">
        <v>22.930399999999999</v>
      </c>
      <c r="T72" s="32">
        <v>10.8607</v>
      </c>
      <c r="U72" s="32">
        <v>0.82006407000000003</v>
      </c>
      <c r="V72" s="32">
        <v>7</v>
      </c>
      <c r="W72" s="32">
        <v>0.904864</v>
      </c>
      <c r="X72" s="32">
        <v>8.2677E-2</v>
      </c>
      <c r="Y72" s="32">
        <v>0.7</v>
      </c>
      <c r="Z72" s="32">
        <v>0.423483</v>
      </c>
      <c r="AA72" s="32">
        <v>16.100000000000001</v>
      </c>
      <c r="AB72" s="32">
        <v>458</v>
      </c>
      <c r="AC72" s="32">
        <v>18</v>
      </c>
      <c r="AD72" s="32">
        <v>16</v>
      </c>
      <c r="AE72" s="32">
        <v>0</v>
      </c>
      <c r="AF72" s="32">
        <v>0</v>
      </c>
      <c r="AG72" s="32">
        <v>0</v>
      </c>
    </row>
    <row r="73" spans="1:33">
      <c r="A73" s="32" t="s">
        <v>486</v>
      </c>
      <c r="B73" s="32" t="s">
        <v>37</v>
      </c>
      <c r="C73" s="32" t="s">
        <v>487</v>
      </c>
      <c r="D73" s="32" t="s">
        <v>488</v>
      </c>
      <c r="E73" s="32" t="s">
        <v>478</v>
      </c>
      <c r="F73" s="32" t="s">
        <v>479</v>
      </c>
      <c r="G73" s="32" t="s">
        <v>461</v>
      </c>
      <c r="H73" s="32" t="s">
        <v>462</v>
      </c>
      <c r="I73" s="32" t="s">
        <v>198</v>
      </c>
      <c r="J73" s="32" t="s">
        <v>199</v>
      </c>
      <c r="K73" s="32">
        <v>2.218391</v>
      </c>
      <c r="L73" s="33">
        <v>1536</v>
      </c>
      <c r="M73" s="32">
        <v>254</v>
      </c>
      <c r="N73" s="32">
        <v>309</v>
      </c>
      <c r="O73" s="32">
        <v>336</v>
      </c>
      <c r="P73" s="32">
        <v>396</v>
      </c>
      <c r="Q73" s="32">
        <v>241</v>
      </c>
      <c r="R73" s="32">
        <v>4</v>
      </c>
      <c r="S73" s="32">
        <v>26.746400000000001</v>
      </c>
      <c r="T73" s="32">
        <v>9.2097300000000004</v>
      </c>
      <c r="U73" s="32">
        <v>0.78589959200000004</v>
      </c>
      <c r="V73" s="32">
        <v>7</v>
      </c>
      <c r="W73" s="32">
        <v>0.90675300000000003</v>
      </c>
      <c r="X73" s="32">
        <v>7.2911000000000004E-2</v>
      </c>
      <c r="Y73" s="32">
        <v>0.70804599999999995</v>
      </c>
      <c r="Z73" s="32">
        <v>0.52399399999999996</v>
      </c>
      <c r="AA73" s="32">
        <v>14.6</v>
      </c>
      <c r="AB73" s="32">
        <v>511</v>
      </c>
      <c r="AC73" s="32">
        <v>29</v>
      </c>
      <c r="AD73" s="32">
        <v>18</v>
      </c>
      <c r="AE73" s="32">
        <v>0</v>
      </c>
      <c r="AF73" s="32" t="s">
        <v>200</v>
      </c>
      <c r="AG73" s="32" t="s">
        <v>200</v>
      </c>
    </row>
    <row r="74" spans="1:33">
      <c r="A74" s="32" t="s">
        <v>489</v>
      </c>
      <c r="B74" s="32" t="s">
        <v>37</v>
      </c>
      <c r="C74" s="32" t="s">
        <v>490</v>
      </c>
      <c r="D74" s="32" t="s">
        <v>491</v>
      </c>
      <c r="E74" s="32" t="s">
        <v>459</v>
      </c>
      <c r="F74" s="32" t="s">
        <v>460</v>
      </c>
      <c r="G74" s="32" t="s">
        <v>461</v>
      </c>
      <c r="H74" s="32" t="s">
        <v>462</v>
      </c>
      <c r="I74" s="32" t="s">
        <v>198</v>
      </c>
      <c r="J74" s="32" t="s">
        <v>199</v>
      </c>
      <c r="K74" s="32">
        <v>2.070897</v>
      </c>
      <c r="L74" s="33">
        <v>1569</v>
      </c>
      <c r="M74" s="32">
        <v>245</v>
      </c>
      <c r="N74" s="32">
        <v>252</v>
      </c>
      <c r="O74" s="32">
        <v>470</v>
      </c>
      <c r="P74" s="32">
        <v>394</v>
      </c>
      <c r="Q74" s="32">
        <v>208</v>
      </c>
      <c r="R74" s="32">
        <v>3</v>
      </c>
      <c r="S74" s="32">
        <v>22.59</v>
      </c>
      <c r="T74" s="32">
        <v>0</v>
      </c>
      <c r="U74" s="32">
        <v>0.97679928400000005</v>
      </c>
      <c r="V74" s="32">
        <v>5</v>
      </c>
      <c r="W74" s="32">
        <v>0.90321499999999999</v>
      </c>
      <c r="X74" s="32">
        <v>9.6283999999999995E-2</v>
      </c>
      <c r="Y74" s="32">
        <v>0.70377299999999998</v>
      </c>
      <c r="Z74" s="32">
        <v>0.36672300000000002</v>
      </c>
      <c r="AA74" s="32">
        <v>23</v>
      </c>
      <c r="AB74" s="32">
        <v>510</v>
      </c>
      <c r="AC74" s="32">
        <v>22</v>
      </c>
      <c r="AD74" s="32">
        <v>31</v>
      </c>
      <c r="AE74" s="32" t="s">
        <v>200</v>
      </c>
      <c r="AF74" s="32">
        <v>0</v>
      </c>
      <c r="AG74" s="32" t="s">
        <v>200</v>
      </c>
    </row>
    <row r="75" spans="1:33">
      <c r="A75" s="32" t="s">
        <v>492</v>
      </c>
      <c r="B75" s="32" t="s">
        <v>37</v>
      </c>
      <c r="C75" s="32" t="s">
        <v>493</v>
      </c>
      <c r="D75" s="32" t="s">
        <v>494</v>
      </c>
      <c r="E75" s="32" t="s">
        <v>495</v>
      </c>
      <c r="F75" s="32" t="s">
        <v>496</v>
      </c>
      <c r="G75" s="32" t="s">
        <v>497</v>
      </c>
      <c r="H75" s="32" t="s">
        <v>498</v>
      </c>
      <c r="I75" s="32" t="s">
        <v>198</v>
      </c>
      <c r="J75" s="32" t="s">
        <v>199</v>
      </c>
      <c r="K75" s="32">
        <v>2.8668529999999999</v>
      </c>
      <c r="L75" s="33">
        <v>3608</v>
      </c>
      <c r="M75" s="32">
        <v>484</v>
      </c>
      <c r="N75" s="33">
        <v>1230</v>
      </c>
      <c r="O75" s="33">
        <v>1146</v>
      </c>
      <c r="P75" s="32">
        <v>554</v>
      </c>
      <c r="Q75" s="32">
        <v>194</v>
      </c>
      <c r="R75" s="32" t="s">
        <v>302</v>
      </c>
      <c r="S75" s="32">
        <v>45.4589</v>
      </c>
      <c r="T75" s="32">
        <v>13.449400000000001</v>
      </c>
      <c r="U75" s="32">
        <v>0.75426987899999998</v>
      </c>
      <c r="V75" s="32">
        <v>4</v>
      </c>
      <c r="W75" s="32">
        <v>0.92327700000000001</v>
      </c>
      <c r="X75" s="32">
        <v>0.30737999999999999</v>
      </c>
      <c r="Y75" s="32">
        <v>0.7</v>
      </c>
      <c r="Z75" s="32">
        <v>0.93461499999999997</v>
      </c>
      <c r="AA75" s="32">
        <v>34.200000000000003</v>
      </c>
      <c r="AB75" s="32">
        <v>339</v>
      </c>
      <c r="AC75" s="32">
        <v>40</v>
      </c>
      <c r="AD75" s="32">
        <v>18</v>
      </c>
      <c r="AE75" s="32">
        <v>0</v>
      </c>
      <c r="AF75" s="32">
        <v>0</v>
      </c>
      <c r="AG75" s="32">
        <v>6</v>
      </c>
    </row>
    <row r="76" spans="1:33">
      <c r="A76" s="32" t="s">
        <v>499</v>
      </c>
      <c r="B76" s="32" t="s">
        <v>37</v>
      </c>
      <c r="C76" s="32" t="s">
        <v>500</v>
      </c>
      <c r="D76" s="32" t="s">
        <v>501</v>
      </c>
      <c r="E76" s="32" t="s">
        <v>502</v>
      </c>
      <c r="F76" s="32" t="s">
        <v>503</v>
      </c>
      <c r="G76" s="32" t="s">
        <v>497</v>
      </c>
      <c r="H76" s="32" t="s">
        <v>498</v>
      </c>
      <c r="I76" s="32" t="s">
        <v>198</v>
      </c>
      <c r="J76" s="32" t="s">
        <v>199</v>
      </c>
      <c r="K76" s="32">
        <v>2.5514290000000002</v>
      </c>
      <c r="L76" s="33">
        <v>1594</v>
      </c>
      <c r="M76" s="32">
        <v>304</v>
      </c>
      <c r="N76" s="32">
        <v>396</v>
      </c>
      <c r="O76" s="32">
        <v>374</v>
      </c>
      <c r="P76" s="32">
        <v>382</v>
      </c>
      <c r="Q76" s="32">
        <v>138</v>
      </c>
      <c r="R76" s="32">
        <v>5</v>
      </c>
      <c r="S76" s="32">
        <v>38.963299999999997</v>
      </c>
      <c r="T76" s="32">
        <v>14.341799999999999</v>
      </c>
      <c r="U76" s="32">
        <v>0.76305081799999996</v>
      </c>
      <c r="V76" s="32">
        <v>6</v>
      </c>
      <c r="W76" s="32">
        <v>0.91220800000000002</v>
      </c>
      <c r="X76" s="32">
        <v>0.236458</v>
      </c>
      <c r="Y76" s="32">
        <v>0.75497400000000003</v>
      </c>
      <c r="Z76" s="32">
        <v>0.65729199999999999</v>
      </c>
      <c r="AA76" s="32">
        <v>20.8</v>
      </c>
      <c r="AB76" s="32">
        <v>380</v>
      </c>
      <c r="AC76" s="32">
        <v>19</v>
      </c>
      <c r="AD76" s="32">
        <v>13</v>
      </c>
      <c r="AE76" s="32">
        <v>0</v>
      </c>
      <c r="AF76" s="32">
        <v>0</v>
      </c>
      <c r="AG76" s="32">
        <v>0</v>
      </c>
    </row>
    <row r="77" spans="1:33">
      <c r="A77" s="32" t="s">
        <v>504</v>
      </c>
      <c r="B77" s="32" t="s">
        <v>37</v>
      </c>
      <c r="C77" s="32" t="s">
        <v>505</v>
      </c>
      <c r="D77" s="32" t="s">
        <v>506</v>
      </c>
      <c r="E77" s="32" t="s">
        <v>495</v>
      </c>
      <c r="F77" s="32" t="s">
        <v>496</v>
      </c>
      <c r="G77" s="32" t="s">
        <v>497</v>
      </c>
      <c r="H77" s="32" t="s">
        <v>498</v>
      </c>
      <c r="I77" s="32" t="s">
        <v>198</v>
      </c>
      <c r="J77" s="32" t="s">
        <v>199</v>
      </c>
      <c r="K77" s="32">
        <v>2.971104</v>
      </c>
      <c r="L77" s="33">
        <v>1708</v>
      </c>
      <c r="M77" s="32">
        <v>194</v>
      </c>
      <c r="N77" s="32">
        <v>648</v>
      </c>
      <c r="O77" s="32">
        <v>376</v>
      </c>
      <c r="P77" s="32">
        <v>304</v>
      </c>
      <c r="Q77" s="32">
        <v>186</v>
      </c>
      <c r="R77" s="32" t="s">
        <v>302</v>
      </c>
      <c r="S77" s="32">
        <v>37.1477</v>
      </c>
      <c r="T77" s="32">
        <v>19.7164</v>
      </c>
      <c r="U77" s="32">
        <v>0.80847234199999995</v>
      </c>
      <c r="V77" s="32">
        <v>3</v>
      </c>
      <c r="W77" s="32">
        <v>0.93831200000000003</v>
      </c>
      <c r="X77" s="32">
        <v>0.38344400000000001</v>
      </c>
      <c r="Y77" s="32">
        <v>0.7</v>
      </c>
      <c r="Z77" s="32">
        <v>0.96864700000000004</v>
      </c>
      <c r="AA77" s="32">
        <v>31</v>
      </c>
      <c r="AB77" s="32">
        <v>175</v>
      </c>
      <c r="AC77" s="32">
        <v>11</v>
      </c>
      <c r="AD77" s="32">
        <v>14</v>
      </c>
      <c r="AE77" s="32">
        <v>0</v>
      </c>
      <c r="AF77" s="32" t="s">
        <v>200</v>
      </c>
      <c r="AG77" s="32" t="s">
        <v>200</v>
      </c>
    </row>
    <row r="78" spans="1:33">
      <c r="A78" s="32" t="s">
        <v>507</v>
      </c>
      <c r="B78" s="32" t="s">
        <v>37</v>
      </c>
      <c r="C78" s="32" t="s">
        <v>508</v>
      </c>
      <c r="D78" s="32" t="s">
        <v>509</v>
      </c>
      <c r="E78" s="32" t="s">
        <v>510</v>
      </c>
      <c r="F78" s="32" t="s">
        <v>511</v>
      </c>
      <c r="G78" s="32" t="s">
        <v>497</v>
      </c>
      <c r="H78" s="32" t="s">
        <v>498</v>
      </c>
      <c r="I78" s="32" t="s">
        <v>198</v>
      </c>
      <c r="J78" s="32" t="s">
        <v>199</v>
      </c>
      <c r="K78" s="32">
        <v>2.6343649999999998</v>
      </c>
      <c r="L78" s="33">
        <v>1746</v>
      </c>
      <c r="M78" s="32">
        <v>249</v>
      </c>
      <c r="N78" s="32">
        <v>463</v>
      </c>
      <c r="O78" s="32">
        <v>499</v>
      </c>
      <c r="P78" s="32">
        <v>341</v>
      </c>
      <c r="Q78" s="32">
        <v>194</v>
      </c>
      <c r="R78" s="32" t="s">
        <v>302</v>
      </c>
      <c r="S78" s="32">
        <v>48.555199999999999</v>
      </c>
      <c r="T78" s="32">
        <v>15.1379</v>
      </c>
      <c r="U78" s="32">
        <v>0.87106552400000004</v>
      </c>
      <c r="V78" s="32">
        <v>3</v>
      </c>
      <c r="W78" s="32">
        <v>0.91921799999999998</v>
      </c>
      <c r="X78" s="32">
        <v>0.237925</v>
      </c>
      <c r="Y78" s="32">
        <v>0.79691100000000004</v>
      </c>
      <c r="Z78" s="32">
        <v>0.67483800000000005</v>
      </c>
      <c r="AA78" s="32">
        <v>30.6</v>
      </c>
      <c r="AB78" s="32">
        <v>300</v>
      </c>
      <c r="AC78" s="32">
        <v>29</v>
      </c>
      <c r="AD78" s="32">
        <v>26</v>
      </c>
      <c r="AE78" s="32">
        <v>0</v>
      </c>
      <c r="AF78" s="32" t="s">
        <v>200</v>
      </c>
      <c r="AG78" s="32" t="s">
        <v>200</v>
      </c>
    </row>
    <row r="79" spans="1:33">
      <c r="A79" s="32" t="s">
        <v>512</v>
      </c>
      <c r="B79" s="32" t="s">
        <v>37</v>
      </c>
      <c r="C79" s="32" t="s">
        <v>513</v>
      </c>
      <c r="D79" s="32" t="s">
        <v>514</v>
      </c>
      <c r="E79" s="32" t="s">
        <v>502</v>
      </c>
      <c r="F79" s="32" t="s">
        <v>503</v>
      </c>
      <c r="G79" s="32" t="s">
        <v>497</v>
      </c>
      <c r="H79" s="32" t="s">
        <v>498</v>
      </c>
      <c r="I79" s="32" t="s">
        <v>198</v>
      </c>
      <c r="J79" s="32" t="s">
        <v>199</v>
      </c>
      <c r="K79" s="32">
        <v>2.6885089999999998</v>
      </c>
      <c r="L79" s="33">
        <v>1909</v>
      </c>
      <c r="M79" s="32">
        <v>266</v>
      </c>
      <c r="N79" s="32">
        <v>597</v>
      </c>
      <c r="O79" s="32">
        <v>503</v>
      </c>
      <c r="P79" s="32">
        <v>374</v>
      </c>
      <c r="Q79" s="32">
        <v>169</v>
      </c>
      <c r="R79" s="32" t="s">
        <v>302</v>
      </c>
      <c r="S79" s="32">
        <v>41.827300000000001</v>
      </c>
      <c r="T79" s="32">
        <v>26.403099999999998</v>
      </c>
      <c r="U79" s="32">
        <v>0.84741800199999995</v>
      </c>
      <c r="V79" s="32">
        <v>3</v>
      </c>
      <c r="W79" s="32">
        <v>0.91583800000000004</v>
      </c>
      <c r="X79" s="32">
        <v>0.17539399999999999</v>
      </c>
      <c r="Y79" s="32">
        <v>0.8</v>
      </c>
      <c r="Z79" s="32">
        <v>0.8</v>
      </c>
      <c r="AA79" s="32">
        <v>32.1</v>
      </c>
      <c r="AB79" s="32">
        <v>274</v>
      </c>
      <c r="AC79" s="32">
        <v>27</v>
      </c>
      <c r="AD79" s="32">
        <v>17</v>
      </c>
      <c r="AE79" s="32" t="s">
        <v>200</v>
      </c>
      <c r="AF79" s="32">
        <v>0</v>
      </c>
      <c r="AG79" s="32" t="s">
        <v>200</v>
      </c>
    </row>
    <row r="80" spans="1:33">
      <c r="A80" s="32" t="s">
        <v>515</v>
      </c>
      <c r="B80" s="32" t="s">
        <v>37</v>
      </c>
      <c r="C80" s="32" t="s">
        <v>516</v>
      </c>
      <c r="D80" s="32" t="s">
        <v>517</v>
      </c>
      <c r="E80" s="32" t="s">
        <v>510</v>
      </c>
      <c r="F80" s="32" t="s">
        <v>511</v>
      </c>
      <c r="G80" s="32" t="s">
        <v>497</v>
      </c>
      <c r="H80" s="32" t="s">
        <v>498</v>
      </c>
      <c r="I80" s="32" t="s">
        <v>198</v>
      </c>
      <c r="J80" s="32" t="s">
        <v>199</v>
      </c>
      <c r="K80" s="32">
        <v>2.74777</v>
      </c>
      <c r="L80" s="33">
        <v>2382</v>
      </c>
      <c r="M80" s="32">
        <v>434</v>
      </c>
      <c r="N80" s="32">
        <v>580</v>
      </c>
      <c r="O80" s="32">
        <v>692</v>
      </c>
      <c r="P80" s="32">
        <v>476</v>
      </c>
      <c r="Q80" s="32">
        <v>200</v>
      </c>
      <c r="R80" s="32" t="s">
        <v>302</v>
      </c>
      <c r="S80" s="32">
        <v>38.897100000000002</v>
      </c>
      <c r="T80" s="32">
        <v>11.4086</v>
      </c>
      <c r="U80" s="32">
        <v>0.86373239099999999</v>
      </c>
      <c r="V80" s="32">
        <v>3</v>
      </c>
      <c r="W80" s="32">
        <v>0.91301100000000002</v>
      </c>
      <c r="X80" s="32">
        <v>0.242007</v>
      </c>
      <c r="Y80" s="32">
        <v>0.79776100000000005</v>
      </c>
      <c r="Z80" s="32">
        <v>0.79889100000000002</v>
      </c>
      <c r="AA80" s="32">
        <v>30.5</v>
      </c>
      <c r="AB80" s="32">
        <v>379</v>
      </c>
      <c r="AC80" s="32">
        <v>30</v>
      </c>
      <c r="AD80" s="32">
        <v>36</v>
      </c>
      <c r="AE80" s="32">
        <v>0</v>
      </c>
      <c r="AF80" s="32">
        <v>0</v>
      </c>
      <c r="AG80" s="32" t="s">
        <v>200</v>
      </c>
    </row>
    <row r="81" spans="1:33">
      <c r="A81" s="32" t="s">
        <v>518</v>
      </c>
      <c r="B81" s="32" t="s">
        <v>37</v>
      </c>
      <c r="C81" s="32" t="s">
        <v>519</v>
      </c>
      <c r="D81" s="32" t="s">
        <v>520</v>
      </c>
      <c r="E81" s="32" t="s">
        <v>521</v>
      </c>
      <c r="F81" s="32" t="s">
        <v>522</v>
      </c>
      <c r="G81" s="32" t="s">
        <v>497</v>
      </c>
      <c r="H81" s="32" t="s">
        <v>498</v>
      </c>
      <c r="I81" s="32" t="s">
        <v>198</v>
      </c>
      <c r="J81" s="32" t="s">
        <v>199</v>
      </c>
      <c r="K81" s="32">
        <v>2.417986</v>
      </c>
      <c r="L81" s="33">
        <v>2049</v>
      </c>
      <c r="M81" s="32">
        <v>424</v>
      </c>
      <c r="N81" s="32">
        <v>426</v>
      </c>
      <c r="O81" s="32">
        <v>505</v>
      </c>
      <c r="P81" s="32">
        <v>452</v>
      </c>
      <c r="Q81" s="32">
        <v>242</v>
      </c>
      <c r="R81" s="32">
        <v>4</v>
      </c>
      <c r="S81" s="32">
        <v>23.155999999999999</v>
      </c>
      <c r="T81" s="32">
        <v>10.076700000000001</v>
      </c>
      <c r="U81" s="32">
        <v>0.84932626600000005</v>
      </c>
      <c r="V81" s="32">
        <v>5</v>
      </c>
      <c r="W81" s="32">
        <v>0.90863300000000002</v>
      </c>
      <c r="X81" s="32">
        <v>9.7362000000000004E-2</v>
      </c>
      <c r="Y81" s="32">
        <v>0.70676300000000003</v>
      </c>
      <c r="Z81" s="32">
        <v>0.70676300000000003</v>
      </c>
      <c r="AA81" s="32">
        <v>23.5</v>
      </c>
      <c r="AB81" s="32">
        <v>404</v>
      </c>
      <c r="AC81" s="32">
        <v>22</v>
      </c>
      <c r="AD81" s="32">
        <v>36</v>
      </c>
      <c r="AE81" s="32">
        <v>0</v>
      </c>
      <c r="AF81" s="32">
        <v>0</v>
      </c>
      <c r="AG81" s="32" t="s">
        <v>200</v>
      </c>
    </row>
    <row r="82" spans="1:33">
      <c r="A82" s="32" t="s">
        <v>523</v>
      </c>
      <c r="B82" s="32" t="s">
        <v>37</v>
      </c>
      <c r="C82" s="32" t="s">
        <v>524</v>
      </c>
      <c r="D82" s="32" t="s">
        <v>525</v>
      </c>
      <c r="E82" s="32" t="s">
        <v>526</v>
      </c>
      <c r="F82" s="32" t="s">
        <v>527</v>
      </c>
      <c r="G82" s="32" t="s">
        <v>497</v>
      </c>
      <c r="H82" s="32" t="s">
        <v>498</v>
      </c>
      <c r="I82" s="32" t="s">
        <v>198</v>
      </c>
      <c r="J82" s="32" t="s">
        <v>199</v>
      </c>
      <c r="K82" s="32">
        <v>2.6519400000000002</v>
      </c>
      <c r="L82" s="33">
        <v>1663</v>
      </c>
      <c r="M82" s="32">
        <v>273</v>
      </c>
      <c r="N82" s="32">
        <v>483</v>
      </c>
      <c r="O82" s="32">
        <v>469</v>
      </c>
      <c r="P82" s="32">
        <v>304</v>
      </c>
      <c r="Q82" s="32">
        <v>134</v>
      </c>
      <c r="R82" s="32">
        <v>5</v>
      </c>
      <c r="S82" s="32">
        <v>34.321100000000001</v>
      </c>
      <c r="T82" s="32">
        <v>13.538600000000001</v>
      </c>
      <c r="U82" s="32">
        <v>1.0119068120000001</v>
      </c>
      <c r="V82" s="32">
        <v>2</v>
      </c>
      <c r="W82" s="32">
        <v>0.91731300000000005</v>
      </c>
      <c r="X82" s="32">
        <v>0.198187</v>
      </c>
      <c r="Y82" s="32">
        <v>0.7</v>
      </c>
      <c r="Z82" s="32">
        <v>0.81970100000000001</v>
      </c>
      <c r="AA82" s="32">
        <v>37.299999999999997</v>
      </c>
      <c r="AB82" s="32">
        <v>274</v>
      </c>
      <c r="AC82" s="32">
        <v>25</v>
      </c>
      <c r="AD82" s="32">
        <v>20</v>
      </c>
      <c r="AE82" s="32">
        <v>0</v>
      </c>
      <c r="AF82" s="32" t="s">
        <v>200</v>
      </c>
      <c r="AG82" s="32" t="s">
        <v>200</v>
      </c>
    </row>
    <row r="83" spans="1:33">
      <c r="A83" s="32" t="s">
        <v>528</v>
      </c>
      <c r="B83" s="32" t="s">
        <v>37</v>
      </c>
      <c r="C83" s="32" t="s">
        <v>529</v>
      </c>
      <c r="D83" s="32" t="s">
        <v>530</v>
      </c>
      <c r="E83" s="32" t="s">
        <v>531</v>
      </c>
      <c r="F83" s="32" t="s">
        <v>532</v>
      </c>
      <c r="G83" s="32" t="s">
        <v>497</v>
      </c>
      <c r="H83" s="32" t="s">
        <v>498</v>
      </c>
      <c r="I83" s="32" t="s">
        <v>198</v>
      </c>
      <c r="J83" s="32" t="s">
        <v>199</v>
      </c>
      <c r="K83" s="32">
        <v>2.5945260000000001</v>
      </c>
      <c r="L83" s="33">
        <v>1707</v>
      </c>
      <c r="M83" s="32">
        <v>288</v>
      </c>
      <c r="N83" s="32">
        <v>482</v>
      </c>
      <c r="O83" s="32">
        <v>425</v>
      </c>
      <c r="P83" s="32">
        <v>384</v>
      </c>
      <c r="Q83" s="32">
        <v>128</v>
      </c>
      <c r="R83" s="32">
        <v>4</v>
      </c>
      <c r="S83" s="32">
        <v>30.481999999999999</v>
      </c>
      <c r="T83" s="32">
        <v>11.258100000000001</v>
      </c>
      <c r="U83" s="32">
        <v>0.95343847900000001</v>
      </c>
      <c r="V83" s="32">
        <v>3</v>
      </c>
      <c r="W83" s="32">
        <v>0.90766400000000003</v>
      </c>
      <c r="X83" s="32">
        <v>0.13897100000000001</v>
      </c>
      <c r="Y83" s="32">
        <v>0.76678800000000003</v>
      </c>
      <c r="Z83" s="32">
        <v>0.8</v>
      </c>
      <c r="AA83" s="32">
        <v>36.700000000000003</v>
      </c>
      <c r="AB83" s="32">
        <v>277</v>
      </c>
      <c r="AC83" s="32">
        <v>36</v>
      </c>
      <c r="AD83" s="32">
        <v>12</v>
      </c>
      <c r="AE83" s="32">
        <v>0</v>
      </c>
      <c r="AF83" s="32">
        <v>0</v>
      </c>
      <c r="AG83" s="32">
        <v>0</v>
      </c>
    </row>
    <row r="84" spans="1:33">
      <c r="A84" s="32" t="s">
        <v>533</v>
      </c>
      <c r="B84" s="32" t="s">
        <v>37</v>
      </c>
      <c r="C84" s="32" t="s">
        <v>534</v>
      </c>
      <c r="D84" s="32" t="s">
        <v>535</v>
      </c>
      <c r="E84" s="32" t="s">
        <v>531</v>
      </c>
      <c r="F84" s="32" t="s">
        <v>532</v>
      </c>
      <c r="G84" s="32" t="s">
        <v>497</v>
      </c>
      <c r="H84" s="32" t="s">
        <v>498</v>
      </c>
      <c r="I84" s="32" t="s">
        <v>198</v>
      </c>
      <c r="J84" s="32" t="s">
        <v>199</v>
      </c>
      <c r="K84" s="32">
        <v>2.525954</v>
      </c>
      <c r="L84" s="33">
        <v>1692</v>
      </c>
      <c r="M84" s="32">
        <v>352</v>
      </c>
      <c r="N84" s="32">
        <v>350</v>
      </c>
      <c r="O84" s="32">
        <v>436</v>
      </c>
      <c r="P84" s="32">
        <v>392</v>
      </c>
      <c r="Q84" s="32">
        <v>162</v>
      </c>
      <c r="R84" s="32">
        <v>3</v>
      </c>
      <c r="S84" s="32">
        <v>19.920200000000001</v>
      </c>
      <c r="T84" s="32">
        <v>9.3346400000000003</v>
      </c>
      <c r="U84" s="32">
        <v>1.031818865</v>
      </c>
      <c r="V84" s="32">
        <v>2</v>
      </c>
      <c r="W84" s="32">
        <v>0.91259500000000005</v>
      </c>
      <c r="X84" s="32">
        <v>0.1</v>
      </c>
      <c r="Y84" s="32">
        <v>0.71274099999999996</v>
      </c>
      <c r="Z84" s="32">
        <v>0.8</v>
      </c>
      <c r="AA84" s="32">
        <v>39.4</v>
      </c>
      <c r="AB84" s="32">
        <v>250</v>
      </c>
      <c r="AC84" s="32">
        <v>152</v>
      </c>
      <c r="AD84" s="32">
        <v>26</v>
      </c>
      <c r="AE84" s="32">
        <v>0</v>
      </c>
      <c r="AF84" s="32">
        <v>0</v>
      </c>
      <c r="AG84" s="32" t="s">
        <v>200</v>
      </c>
    </row>
    <row r="85" spans="1:33">
      <c r="A85" s="32" t="s">
        <v>536</v>
      </c>
      <c r="B85" s="32" t="s">
        <v>38</v>
      </c>
      <c r="C85" s="32" t="s">
        <v>537</v>
      </c>
      <c r="D85" s="32" t="s">
        <v>538</v>
      </c>
      <c r="E85" s="32" t="s">
        <v>539</v>
      </c>
      <c r="F85" s="32" t="s">
        <v>540</v>
      </c>
      <c r="G85" s="32" t="s">
        <v>412</v>
      </c>
      <c r="H85" s="32" t="s">
        <v>413</v>
      </c>
      <c r="I85" s="32" t="s">
        <v>198</v>
      </c>
      <c r="J85" s="32" t="s">
        <v>199</v>
      </c>
      <c r="K85" s="32">
        <v>2.401135</v>
      </c>
      <c r="L85" s="33">
        <v>2202</v>
      </c>
      <c r="M85" s="32">
        <v>440</v>
      </c>
      <c r="N85" s="32">
        <v>394</v>
      </c>
      <c r="O85" s="32">
        <v>645</v>
      </c>
      <c r="P85" s="32">
        <v>538</v>
      </c>
      <c r="Q85" s="32">
        <v>185</v>
      </c>
      <c r="R85" s="32">
        <v>2</v>
      </c>
      <c r="S85" s="32">
        <v>21.188700000000001</v>
      </c>
      <c r="T85" s="32">
        <v>0</v>
      </c>
      <c r="U85" s="32">
        <v>0.70641108399999997</v>
      </c>
      <c r="V85" s="32">
        <v>7</v>
      </c>
      <c r="W85" s="32">
        <v>0.89148700000000003</v>
      </c>
      <c r="X85" s="32">
        <v>0.21582599999999999</v>
      </c>
      <c r="Y85" s="32">
        <v>0.8</v>
      </c>
      <c r="Z85" s="32">
        <v>0.48612100000000003</v>
      </c>
      <c r="AA85" s="32">
        <v>38.299999999999997</v>
      </c>
      <c r="AB85" s="32">
        <v>765</v>
      </c>
      <c r="AC85" s="32">
        <v>28</v>
      </c>
      <c r="AD85" s="32">
        <v>61</v>
      </c>
      <c r="AE85" s="32">
        <v>0</v>
      </c>
      <c r="AF85" s="32">
        <v>0</v>
      </c>
      <c r="AG85" s="32" t="s">
        <v>200</v>
      </c>
    </row>
    <row r="86" spans="1:33">
      <c r="A86" s="32" t="s">
        <v>541</v>
      </c>
      <c r="B86" s="32" t="s">
        <v>38</v>
      </c>
      <c r="C86" s="32" t="s">
        <v>542</v>
      </c>
      <c r="D86" s="32" t="s">
        <v>543</v>
      </c>
      <c r="E86" s="32" t="s">
        <v>544</v>
      </c>
      <c r="F86" s="32" t="s">
        <v>545</v>
      </c>
      <c r="G86" s="32" t="s">
        <v>412</v>
      </c>
      <c r="H86" s="32" t="s">
        <v>413</v>
      </c>
      <c r="I86" s="32" t="s">
        <v>198</v>
      </c>
      <c r="J86" s="32" t="s">
        <v>199</v>
      </c>
      <c r="K86" s="32">
        <v>2.4106190000000001</v>
      </c>
      <c r="L86" s="33">
        <v>1703</v>
      </c>
      <c r="M86" s="32">
        <v>319</v>
      </c>
      <c r="N86" s="32">
        <v>312</v>
      </c>
      <c r="O86" s="32">
        <v>479</v>
      </c>
      <c r="P86" s="32">
        <v>437</v>
      </c>
      <c r="Q86" s="32">
        <v>156</v>
      </c>
      <c r="R86" s="32" t="s">
        <v>225</v>
      </c>
      <c r="S86" s="32">
        <v>8.2262500000000003</v>
      </c>
      <c r="T86" s="32">
        <v>0</v>
      </c>
      <c r="U86" s="32">
        <v>1.002648639</v>
      </c>
      <c r="V86" s="32">
        <v>3</v>
      </c>
      <c r="W86" s="32">
        <v>0.90708</v>
      </c>
      <c r="X86" s="32">
        <v>0.24903</v>
      </c>
      <c r="Y86" s="32">
        <v>0.8</v>
      </c>
      <c r="Z86" s="32">
        <v>0.452212</v>
      </c>
      <c r="AA86" s="32">
        <v>36.799999999999997</v>
      </c>
      <c r="AB86" s="32">
        <v>488</v>
      </c>
      <c r="AC86" s="32">
        <v>24</v>
      </c>
      <c r="AD86" s="32">
        <v>58</v>
      </c>
      <c r="AE86" s="32">
        <v>5</v>
      </c>
      <c r="AF86" s="32">
        <v>0</v>
      </c>
      <c r="AG86" s="32">
        <v>0</v>
      </c>
    </row>
    <row r="87" spans="1:33">
      <c r="A87" s="32" t="s">
        <v>546</v>
      </c>
      <c r="B87" s="32" t="s">
        <v>38</v>
      </c>
      <c r="C87" s="32" t="s">
        <v>547</v>
      </c>
      <c r="D87" s="32" t="s">
        <v>548</v>
      </c>
      <c r="E87" s="32" t="s">
        <v>544</v>
      </c>
      <c r="F87" s="32" t="s">
        <v>545</v>
      </c>
      <c r="G87" s="32" t="s">
        <v>412</v>
      </c>
      <c r="H87" s="32" t="s">
        <v>413</v>
      </c>
      <c r="I87" s="32" t="s">
        <v>198</v>
      </c>
      <c r="J87" s="32" t="s">
        <v>199</v>
      </c>
      <c r="K87" s="32">
        <v>2.2753809999999999</v>
      </c>
      <c r="L87" s="33">
        <v>1845</v>
      </c>
      <c r="M87" s="32">
        <v>421</v>
      </c>
      <c r="N87" s="32">
        <v>332</v>
      </c>
      <c r="O87" s="32">
        <v>476</v>
      </c>
      <c r="P87" s="32">
        <v>431</v>
      </c>
      <c r="Q87" s="32">
        <v>185</v>
      </c>
      <c r="R87" s="32">
        <v>2</v>
      </c>
      <c r="S87" s="32">
        <v>13.273199999999999</v>
      </c>
      <c r="T87" s="32">
        <v>0</v>
      </c>
      <c r="U87" s="32">
        <v>1.02143337</v>
      </c>
      <c r="V87" s="32">
        <v>4</v>
      </c>
      <c r="W87" s="32">
        <v>0.89404399999999995</v>
      </c>
      <c r="X87" s="32">
        <v>0.17205599999999999</v>
      </c>
      <c r="Y87" s="32">
        <v>0.8</v>
      </c>
      <c r="Z87" s="32">
        <v>0.41146700000000003</v>
      </c>
      <c r="AA87" s="32">
        <v>38.6</v>
      </c>
      <c r="AB87" s="32">
        <v>607</v>
      </c>
      <c r="AC87" s="32">
        <v>40</v>
      </c>
      <c r="AD87" s="32">
        <v>54</v>
      </c>
      <c r="AE87" s="32">
        <v>11</v>
      </c>
      <c r="AF87" s="32" t="s">
        <v>200</v>
      </c>
      <c r="AG87" s="32">
        <v>5</v>
      </c>
    </row>
    <row r="88" spans="1:33">
      <c r="A88" s="32" t="s">
        <v>549</v>
      </c>
      <c r="B88" s="32" t="s">
        <v>38</v>
      </c>
      <c r="C88" s="32" t="s">
        <v>550</v>
      </c>
      <c r="D88" s="32" t="s">
        <v>551</v>
      </c>
      <c r="E88" s="32" t="s">
        <v>544</v>
      </c>
      <c r="F88" s="32" t="s">
        <v>545</v>
      </c>
      <c r="G88" s="32" t="s">
        <v>412</v>
      </c>
      <c r="H88" s="32" t="s">
        <v>413</v>
      </c>
      <c r="I88" s="32" t="s">
        <v>198</v>
      </c>
      <c r="J88" s="32" t="s">
        <v>199</v>
      </c>
      <c r="K88" s="32">
        <v>2.2537750000000001</v>
      </c>
      <c r="L88" s="33">
        <v>1897</v>
      </c>
      <c r="M88" s="32">
        <v>371</v>
      </c>
      <c r="N88" s="32">
        <v>296</v>
      </c>
      <c r="O88" s="32">
        <v>475</v>
      </c>
      <c r="P88" s="32">
        <v>526</v>
      </c>
      <c r="Q88" s="32">
        <v>229</v>
      </c>
      <c r="R88" s="32">
        <v>2</v>
      </c>
      <c r="S88" s="32">
        <v>14.2826</v>
      </c>
      <c r="T88" s="32">
        <v>5.0400600000000004</v>
      </c>
      <c r="U88" s="32">
        <v>0.80761054399999999</v>
      </c>
      <c r="V88" s="32">
        <v>7</v>
      </c>
      <c r="W88" s="32">
        <v>0.89613299999999996</v>
      </c>
      <c r="X88" s="32">
        <v>7.8831999999999999E-2</v>
      </c>
      <c r="Y88" s="32">
        <v>0.8</v>
      </c>
      <c r="Z88" s="32">
        <v>0.47087899999999999</v>
      </c>
      <c r="AA88" s="32">
        <v>46.8</v>
      </c>
      <c r="AB88" s="32">
        <v>662</v>
      </c>
      <c r="AC88" s="32">
        <v>15</v>
      </c>
      <c r="AD88" s="32">
        <v>38</v>
      </c>
      <c r="AE88" s="32">
        <v>0</v>
      </c>
      <c r="AF88" s="32" t="s">
        <v>200</v>
      </c>
      <c r="AG88" s="32" t="s">
        <v>200</v>
      </c>
    </row>
    <row r="89" spans="1:33">
      <c r="A89" s="32" t="s">
        <v>552</v>
      </c>
      <c r="B89" s="32" t="s">
        <v>38</v>
      </c>
      <c r="C89" s="32" t="s">
        <v>553</v>
      </c>
      <c r="D89" s="32" t="s">
        <v>554</v>
      </c>
      <c r="E89" s="32" t="s">
        <v>555</v>
      </c>
      <c r="F89" s="32" t="s">
        <v>556</v>
      </c>
      <c r="G89" s="32" t="s">
        <v>412</v>
      </c>
      <c r="H89" s="32" t="s">
        <v>413</v>
      </c>
      <c r="I89" s="32" t="s">
        <v>198</v>
      </c>
      <c r="J89" s="32" t="s">
        <v>199</v>
      </c>
      <c r="K89" s="32">
        <v>2.421646</v>
      </c>
      <c r="L89" s="33">
        <v>1703</v>
      </c>
      <c r="M89" s="32">
        <v>301</v>
      </c>
      <c r="N89" s="32">
        <v>310</v>
      </c>
      <c r="O89" s="32">
        <v>353</v>
      </c>
      <c r="P89" s="32">
        <v>400</v>
      </c>
      <c r="Q89" s="32">
        <v>339</v>
      </c>
      <c r="R89" s="32" t="s">
        <v>225</v>
      </c>
      <c r="S89" s="32">
        <v>5.5321699999999998</v>
      </c>
      <c r="T89" s="32">
        <v>2.2001200000000001</v>
      </c>
      <c r="U89" s="32">
        <v>0.96345186000000005</v>
      </c>
      <c r="V89" s="32">
        <v>3</v>
      </c>
      <c r="W89" s="32">
        <v>0.91692099999999999</v>
      </c>
      <c r="X89" s="32">
        <v>0.34786600000000001</v>
      </c>
      <c r="Y89" s="32">
        <v>0.8</v>
      </c>
      <c r="Z89" s="32">
        <v>0.38137399999999999</v>
      </c>
      <c r="AA89" s="32">
        <v>36.799999999999997</v>
      </c>
      <c r="AB89" s="32">
        <v>511</v>
      </c>
      <c r="AC89" s="32">
        <v>18</v>
      </c>
      <c r="AD89" s="32">
        <v>37</v>
      </c>
      <c r="AE89" s="32">
        <v>0</v>
      </c>
      <c r="AF89" s="32" t="s">
        <v>200</v>
      </c>
      <c r="AG89" s="32" t="s">
        <v>200</v>
      </c>
    </row>
    <row r="90" spans="1:33">
      <c r="A90" s="32" t="s">
        <v>557</v>
      </c>
      <c r="B90" s="32" t="s">
        <v>38</v>
      </c>
      <c r="C90" s="32" t="s">
        <v>558</v>
      </c>
      <c r="D90" s="32" t="s">
        <v>559</v>
      </c>
      <c r="E90" s="32" t="s">
        <v>560</v>
      </c>
      <c r="F90" s="32" t="s">
        <v>561</v>
      </c>
      <c r="G90" s="32" t="s">
        <v>412</v>
      </c>
      <c r="H90" s="32" t="s">
        <v>413</v>
      </c>
      <c r="I90" s="32" t="s">
        <v>198</v>
      </c>
      <c r="J90" s="32" t="s">
        <v>199</v>
      </c>
      <c r="K90" s="32">
        <v>2.0711710000000001</v>
      </c>
      <c r="L90" s="33">
        <v>1780</v>
      </c>
      <c r="M90" s="32">
        <v>335</v>
      </c>
      <c r="N90" s="32">
        <v>279</v>
      </c>
      <c r="O90" s="32">
        <v>578</v>
      </c>
      <c r="P90" s="32">
        <v>451</v>
      </c>
      <c r="Q90" s="32">
        <v>137</v>
      </c>
      <c r="R90" s="32" t="s">
        <v>225</v>
      </c>
      <c r="S90" s="32">
        <v>4.3090200000000003</v>
      </c>
      <c r="T90" s="32">
        <v>2.3021099999999999</v>
      </c>
      <c r="U90" s="32">
        <v>0.79336304400000002</v>
      </c>
      <c r="V90" s="32">
        <v>9</v>
      </c>
      <c r="W90" s="32">
        <v>0.9</v>
      </c>
      <c r="X90" s="32">
        <v>1.0023000000000001E-2</v>
      </c>
      <c r="Y90" s="32">
        <v>0.8</v>
      </c>
      <c r="Z90" s="32">
        <v>0.36357499999999998</v>
      </c>
      <c r="AA90" s="32">
        <v>23.4</v>
      </c>
      <c r="AB90" s="32">
        <v>557</v>
      </c>
      <c r="AC90" s="32">
        <v>22</v>
      </c>
      <c r="AD90" s="32">
        <v>21</v>
      </c>
      <c r="AE90" s="32" t="s">
        <v>200</v>
      </c>
      <c r="AF90" s="32" t="s">
        <v>200</v>
      </c>
      <c r="AG90" s="32">
        <v>0</v>
      </c>
    </row>
    <row r="91" spans="1:33">
      <c r="A91" s="32" t="s">
        <v>562</v>
      </c>
      <c r="B91" s="32" t="s">
        <v>38</v>
      </c>
      <c r="C91" s="32" t="s">
        <v>563</v>
      </c>
      <c r="D91" s="32" t="s">
        <v>564</v>
      </c>
      <c r="E91" s="32" t="s">
        <v>555</v>
      </c>
      <c r="F91" s="32" t="s">
        <v>556</v>
      </c>
      <c r="G91" s="32" t="s">
        <v>412</v>
      </c>
      <c r="H91" s="32" t="s">
        <v>413</v>
      </c>
      <c r="I91" s="32" t="s">
        <v>198</v>
      </c>
      <c r="J91" s="32" t="s">
        <v>199</v>
      </c>
      <c r="K91" s="32">
        <v>2.3201839999999998</v>
      </c>
      <c r="L91" s="33">
        <v>1762</v>
      </c>
      <c r="M91" s="32">
        <v>410</v>
      </c>
      <c r="N91" s="32">
        <v>320</v>
      </c>
      <c r="O91" s="32">
        <v>409</v>
      </c>
      <c r="P91" s="32">
        <v>413</v>
      </c>
      <c r="Q91" s="32">
        <v>210</v>
      </c>
      <c r="R91" s="32" t="s">
        <v>214</v>
      </c>
      <c r="S91" s="32">
        <v>6.3629699999999998</v>
      </c>
      <c r="T91" s="32">
        <v>0</v>
      </c>
      <c r="U91" s="32">
        <v>1.0724450619999999</v>
      </c>
      <c r="V91" s="32">
        <v>3</v>
      </c>
      <c r="W91" s="32">
        <v>0.906999</v>
      </c>
      <c r="X91" s="32">
        <v>0.30895400000000001</v>
      </c>
      <c r="Y91" s="32">
        <v>0.8</v>
      </c>
      <c r="Z91" s="32">
        <v>0.32592599999999999</v>
      </c>
      <c r="AA91" s="32">
        <v>43.1</v>
      </c>
      <c r="AB91" s="32">
        <v>517</v>
      </c>
      <c r="AC91" s="32">
        <v>19</v>
      </c>
      <c r="AD91" s="32">
        <v>45</v>
      </c>
      <c r="AE91" s="32">
        <v>0</v>
      </c>
      <c r="AF91" s="32">
        <v>0</v>
      </c>
      <c r="AG91" s="32" t="s">
        <v>200</v>
      </c>
    </row>
    <row r="92" spans="1:33">
      <c r="A92" s="32" t="s">
        <v>565</v>
      </c>
      <c r="B92" s="32" t="s">
        <v>38</v>
      </c>
      <c r="C92" s="32" t="s">
        <v>566</v>
      </c>
      <c r="D92" s="32" t="s">
        <v>567</v>
      </c>
      <c r="E92" s="32" t="s">
        <v>568</v>
      </c>
      <c r="F92" s="32" t="s">
        <v>569</v>
      </c>
      <c r="G92" s="32" t="s">
        <v>412</v>
      </c>
      <c r="H92" s="32" t="s">
        <v>413</v>
      </c>
      <c r="I92" s="32" t="s">
        <v>198</v>
      </c>
      <c r="J92" s="32" t="s">
        <v>199</v>
      </c>
      <c r="K92" s="32">
        <v>2.2734079999999999</v>
      </c>
      <c r="L92" s="33">
        <v>1979</v>
      </c>
      <c r="M92" s="32">
        <v>371</v>
      </c>
      <c r="N92" s="32">
        <v>319</v>
      </c>
      <c r="O92" s="32">
        <v>595</v>
      </c>
      <c r="P92" s="32">
        <v>460</v>
      </c>
      <c r="Q92" s="32">
        <v>234</v>
      </c>
      <c r="R92" s="32">
        <v>2</v>
      </c>
      <c r="S92" s="32">
        <v>20.800799999999999</v>
      </c>
      <c r="T92" s="32">
        <v>3.4485600000000001</v>
      </c>
      <c r="U92" s="32">
        <v>0.75277128999999998</v>
      </c>
      <c r="V92" s="32">
        <v>7</v>
      </c>
      <c r="W92" s="32">
        <v>0.90361999999999998</v>
      </c>
      <c r="X92" s="32">
        <v>0.18254400000000001</v>
      </c>
      <c r="Y92" s="32">
        <v>0.8</v>
      </c>
      <c r="Z92" s="32">
        <v>0.37967600000000001</v>
      </c>
      <c r="AA92" s="32">
        <v>36.200000000000003</v>
      </c>
      <c r="AB92" s="32">
        <v>582</v>
      </c>
      <c r="AC92" s="32">
        <v>22</v>
      </c>
      <c r="AD92" s="32">
        <v>41</v>
      </c>
      <c r="AE92" s="32">
        <v>7</v>
      </c>
      <c r="AF92" s="32">
        <v>0</v>
      </c>
      <c r="AG92" s="32" t="s">
        <v>200</v>
      </c>
    </row>
    <row r="93" spans="1:33">
      <c r="A93" s="32" t="s">
        <v>570</v>
      </c>
      <c r="B93" s="32" t="s">
        <v>38</v>
      </c>
      <c r="C93" s="32" t="s">
        <v>571</v>
      </c>
      <c r="D93" s="32" t="s">
        <v>572</v>
      </c>
      <c r="E93" s="32" t="s">
        <v>573</v>
      </c>
      <c r="F93" s="32" t="s">
        <v>574</v>
      </c>
      <c r="G93" s="32" t="s">
        <v>412</v>
      </c>
      <c r="H93" s="32" t="s">
        <v>413</v>
      </c>
      <c r="I93" s="32" t="s">
        <v>198</v>
      </c>
      <c r="J93" s="32" t="s">
        <v>199</v>
      </c>
      <c r="K93" s="32">
        <v>2.5175519999999998</v>
      </c>
      <c r="L93" s="33">
        <v>1972</v>
      </c>
      <c r="M93" s="32">
        <v>393</v>
      </c>
      <c r="N93" s="32">
        <v>398</v>
      </c>
      <c r="O93" s="32">
        <v>430</v>
      </c>
      <c r="P93" s="32">
        <v>462</v>
      </c>
      <c r="Q93" s="32">
        <v>289</v>
      </c>
      <c r="R93" s="32">
        <v>2</v>
      </c>
      <c r="S93" s="32">
        <v>12.2234</v>
      </c>
      <c r="T93" s="32">
        <v>1.7630300000000001</v>
      </c>
      <c r="U93" s="32">
        <v>0.68641718900000004</v>
      </c>
      <c r="V93" s="32">
        <v>6</v>
      </c>
      <c r="W93" s="32">
        <v>0.90958399999999995</v>
      </c>
      <c r="X93" s="32">
        <v>0.37836599999999998</v>
      </c>
      <c r="Y93" s="32">
        <v>0.8</v>
      </c>
      <c r="Z93" s="32">
        <v>0.40127200000000002</v>
      </c>
      <c r="AA93" s="32">
        <v>43.7</v>
      </c>
      <c r="AB93" s="32">
        <v>666</v>
      </c>
      <c r="AC93" s="32">
        <v>38</v>
      </c>
      <c r="AD93" s="32">
        <v>21</v>
      </c>
      <c r="AE93" s="32">
        <v>0</v>
      </c>
      <c r="AF93" s="32">
        <v>0</v>
      </c>
      <c r="AG93" s="32" t="s">
        <v>200</v>
      </c>
    </row>
    <row r="94" spans="1:33">
      <c r="A94" s="32" t="s">
        <v>463</v>
      </c>
      <c r="B94" s="32" t="s">
        <v>38</v>
      </c>
      <c r="C94" s="32" t="s">
        <v>464</v>
      </c>
      <c r="D94" s="32" t="s">
        <v>465</v>
      </c>
      <c r="E94" s="32" t="s">
        <v>449</v>
      </c>
      <c r="F94" s="32" t="s">
        <v>450</v>
      </c>
      <c r="G94" s="32" t="s">
        <v>412</v>
      </c>
      <c r="H94" s="32" t="s">
        <v>413</v>
      </c>
      <c r="I94" s="32" t="s">
        <v>198</v>
      </c>
      <c r="J94" s="32" t="s">
        <v>199</v>
      </c>
      <c r="K94" s="32">
        <v>2.280287</v>
      </c>
      <c r="L94" s="33">
        <v>1669</v>
      </c>
      <c r="M94" s="32">
        <v>381</v>
      </c>
      <c r="N94" s="32">
        <v>206</v>
      </c>
      <c r="O94" s="32">
        <v>362</v>
      </c>
      <c r="P94" s="32">
        <v>416</v>
      </c>
      <c r="Q94" s="32">
        <v>304</v>
      </c>
      <c r="R94" s="32" t="s">
        <v>225</v>
      </c>
      <c r="S94" s="32">
        <v>8.3649799999999992</v>
      </c>
      <c r="T94" s="32">
        <v>2.4624999999999999</v>
      </c>
      <c r="U94" s="32">
        <v>0.66603405900000001</v>
      </c>
      <c r="V94" s="32">
        <v>9</v>
      </c>
      <c r="W94" s="32">
        <v>0.90545500000000001</v>
      </c>
      <c r="X94" s="32">
        <v>0.19922999999999999</v>
      </c>
      <c r="Y94" s="32">
        <v>0.8</v>
      </c>
      <c r="Z94" s="32">
        <v>0.383714</v>
      </c>
      <c r="AA94" s="32">
        <v>22.1</v>
      </c>
      <c r="AB94" s="32">
        <v>645</v>
      </c>
      <c r="AC94" s="32">
        <v>14</v>
      </c>
      <c r="AD94" s="32">
        <v>15</v>
      </c>
      <c r="AE94" s="32">
        <v>0</v>
      </c>
      <c r="AF94" s="32">
        <v>0</v>
      </c>
      <c r="AG94" s="32" t="s">
        <v>200</v>
      </c>
    </row>
    <row r="95" spans="1:33">
      <c r="A95" s="32" t="s">
        <v>472</v>
      </c>
      <c r="B95" s="32" t="s">
        <v>38</v>
      </c>
      <c r="C95" s="32" t="s">
        <v>473</v>
      </c>
      <c r="D95" s="32" t="s">
        <v>474</v>
      </c>
      <c r="E95" s="32" t="s">
        <v>454</v>
      </c>
      <c r="F95" s="32" t="s">
        <v>455</v>
      </c>
      <c r="G95" s="32" t="s">
        <v>412</v>
      </c>
      <c r="H95" s="32" t="s">
        <v>413</v>
      </c>
      <c r="I95" s="32" t="s">
        <v>198</v>
      </c>
      <c r="J95" s="32" t="s">
        <v>199</v>
      </c>
      <c r="K95" s="32">
        <v>2.1857660000000001</v>
      </c>
      <c r="L95" s="33">
        <v>1620</v>
      </c>
      <c r="M95" s="32">
        <v>416</v>
      </c>
      <c r="N95" s="32">
        <v>220</v>
      </c>
      <c r="O95" s="32">
        <v>341</v>
      </c>
      <c r="P95" s="32">
        <v>394</v>
      </c>
      <c r="Q95" s="32">
        <v>249</v>
      </c>
      <c r="R95" s="32" t="s">
        <v>225</v>
      </c>
      <c r="S95" s="32">
        <v>5.7403899999999997</v>
      </c>
      <c r="T95" s="32">
        <v>2.1108199999999999</v>
      </c>
      <c r="U95" s="32">
        <v>0.72647180600000005</v>
      </c>
      <c r="V95" s="32">
        <v>9</v>
      </c>
      <c r="W95" s="32">
        <v>0.90551899999999996</v>
      </c>
      <c r="X95" s="32">
        <v>0.15260899999999999</v>
      </c>
      <c r="Y95" s="32">
        <v>0.8</v>
      </c>
      <c r="Z95" s="32">
        <v>0.33333299999999999</v>
      </c>
      <c r="AA95" s="32">
        <v>21.3</v>
      </c>
      <c r="AB95" s="32">
        <v>602</v>
      </c>
      <c r="AC95" s="32">
        <v>15</v>
      </c>
      <c r="AD95" s="32">
        <v>9</v>
      </c>
      <c r="AE95" s="32">
        <v>0</v>
      </c>
      <c r="AF95" s="32">
        <v>0</v>
      </c>
      <c r="AG95" s="32" t="s">
        <v>200</v>
      </c>
    </row>
    <row r="96" spans="1:33">
      <c r="A96" s="32" t="s">
        <v>446</v>
      </c>
      <c r="B96" s="32" t="s">
        <v>38</v>
      </c>
      <c r="C96" s="32" t="s">
        <v>447</v>
      </c>
      <c r="D96" s="32" t="s">
        <v>448</v>
      </c>
      <c r="E96" s="32" t="s">
        <v>449</v>
      </c>
      <c r="F96" s="32" t="s">
        <v>450</v>
      </c>
      <c r="G96" s="32" t="s">
        <v>412</v>
      </c>
      <c r="H96" s="32" t="s">
        <v>413</v>
      </c>
      <c r="I96" s="32" t="s">
        <v>198</v>
      </c>
      <c r="J96" s="32" t="s">
        <v>199</v>
      </c>
      <c r="K96" s="32">
        <v>2.5775459999999999</v>
      </c>
      <c r="L96" s="33">
        <v>2286</v>
      </c>
      <c r="M96" s="32">
        <v>384</v>
      </c>
      <c r="N96" s="32">
        <v>544</v>
      </c>
      <c r="O96" s="32">
        <v>617</v>
      </c>
      <c r="P96" s="32">
        <v>460</v>
      </c>
      <c r="Q96" s="32">
        <v>281</v>
      </c>
      <c r="R96" s="32">
        <v>2</v>
      </c>
      <c r="S96" s="32">
        <v>10.0997</v>
      </c>
      <c r="T96" s="32">
        <v>4.7840800000000003</v>
      </c>
      <c r="U96" s="32">
        <v>0.66583141999999995</v>
      </c>
      <c r="V96" s="32">
        <v>6</v>
      </c>
      <c r="W96" s="32">
        <v>0.91840500000000003</v>
      </c>
      <c r="X96" s="32">
        <v>0.391876</v>
      </c>
      <c r="Y96" s="32">
        <v>0.8</v>
      </c>
      <c r="Z96" s="32">
        <v>0.46895700000000001</v>
      </c>
      <c r="AA96" s="32">
        <v>33.200000000000003</v>
      </c>
      <c r="AB96" s="32">
        <v>527</v>
      </c>
      <c r="AC96" s="32">
        <v>27</v>
      </c>
      <c r="AD96" s="32">
        <v>63</v>
      </c>
      <c r="AE96" s="32" t="s">
        <v>200</v>
      </c>
      <c r="AF96" s="32" t="s">
        <v>200</v>
      </c>
      <c r="AG96" s="32" t="s">
        <v>200</v>
      </c>
    </row>
    <row r="97" spans="1:33">
      <c r="A97" s="32" t="s">
        <v>575</v>
      </c>
      <c r="B97" s="32" t="s">
        <v>38</v>
      </c>
      <c r="C97" s="32" t="s">
        <v>576</v>
      </c>
      <c r="D97" s="32" t="s">
        <v>577</v>
      </c>
      <c r="E97" s="32" t="s">
        <v>555</v>
      </c>
      <c r="F97" s="32" t="s">
        <v>556</v>
      </c>
      <c r="G97" s="32" t="s">
        <v>412</v>
      </c>
      <c r="H97" s="32" t="s">
        <v>413</v>
      </c>
      <c r="I97" s="32" t="s">
        <v>198</v>
      </c>
      <c r="J97" s="32" t="s">
        <v>199</v>
      </c>
      <c r="K97" s="32">
        <v>2.254683</v>
      </c>
      <c r="L97" s="33">
        <v>1604</v>
      </c>
      <c r="M97" s="32">
        <v>312</v>
      </c>
      <c r="N97" s="32">
        <v>274</v>
      </c>
      <c r="O97" s="32">
        <v>486</v>
      </c>
      <c r="P97" s="32">
        <v>350</v>
      </c>
      <c r="Q97" s="32">
        <v>182</v>
      </c>
      <c r="R97" s="32">
        <v>2</v>
      </c>
      <c r="S97" s="32">
        <v>12.095000000000001</v>
      </c>
      <c r="T97" s="32">
        <v>3.1923300000000001</v>
      </c>
      <c r="U97" s="32">
        <v>0.73258102300000005</v>
      </c>
      <c r="V97" s="32">
        <v>8</v>
      </c>
      <c r="W97" s="32">
        <v>0.90181299999999998</v>
      </c>
      <c r="X97" s="32">
        <v>0.15228</v>
      </c>
      <c r="Y97" s="32">
        <v>0.8</v>
      </c>
      <c r="Z97" s="32">
        <v>0.38610299999999997</v>
      </c>
      <c r="AA97" s="32">
        <v>43</v>
      </c>
      <c r="AB97" s="32">
        <v>464</v>
      </c>
      <c r="AC97" s="32">
        <v>21</v>
      </c>
      <c r="AD97" s="32">
        <v>35</v>
      </c>
      <c r="AE97" s="32">
        <v>0</v>
      </c>
      <c r="AF97" s="32" t="s">
        <v>200</v>
      </c>
      <c r="AG97" s="32" t="s">
        <v>200</v>
      </c>
    </row>
    <row r="98" spans="1:33">
      <c r="A98" s="32" t="s">
        <v>578</v>
      </c>
      <c r="B98" s="32" t="s">
        <v>38</v>
      </c>
      <c r="C98" s="32" t="s">
        <v>579</v>
      </c>
      <c r="D98" s="32" t="s">
        <v>580</v>
      </c>
      <c r="E98" s="32" t="s">
        <v>544</v>
      </c>
      <c r="F98" s="32" t="s">
        <v>545</v>
      </c>
      <c r="G98" s="32" t="s">
        <v>412</v>
      </c>
      <c r="H98" s="32" t="s">
        <v>413</v>
      </c>
      <c r="I98" s="32" t="s">
        <v>198</v>
      </c>
      <c r="J98" s="32" t="s">
        <v>199</v>
      </c>
      <c r="K98" s="32">
        <v>2.2626719999999998</v>
      </c>
      <c r="L98" s="33">
        <v>1741</v>
      </c>
      <c r="M98" s="32">
        <v>344</v>
      </c>
      <c r="N98" s="32">
        <v>353</v>
      </c>
      <c r="O98" s="32">
        <v>269</v>
      </c>
      <c r="P98" s="32">
        <v>537</v>
      </c>
      <c r="Q98" s="32">
        <v>238</v>
      </c>
      <c r="R98" s="32" t="s">
        <v>225</v>
      </c>
      <c r="S98" s="32">
        <v>10.986700000000001</v>
      </c>
      <c r="T98" s="32">
        <v>0</v>
      </c>
      <c r="U98" s="32">
        <v>1.1010177619999999</v>
      </c>
      <c r="V98" s="32">
        <v>3</v>
      </c>
      <c r="W98" s="32">
        <v>0.89426300000000003</v>
      </c>
      <c r="X98" s="32">
        <v>0.24090600000000001</v>
      </c>
      <c r="Y98" s="32">
        <v>0.8</v>
      </c>
      <c r="Z98" s="32">
        <v>0.31953900000000002</v>
      </c>
      <c r="AA98" s="32">
        <v>40.5</v>
      </c>
      <c r="AB98" s="32">
        <v>557</v>
      </c>
      <c r="AC98" s="32">
        <v>22</v>
      </c>
      <c r="AD98" s="32">
        <v>60</v>
      </c>
      <c r="AE98" s="32">
        <v>0</v>
      </c>
      <c r="AF98" s="32" t="s">
        <v>200</v>
      </c>
      <c r="AG98" s="32">
        <v>5</v>
      </c>
    </row>
    <row r="99" spans="1:33">
      <c r="A99" s="32" t="s">
        <v>581</v>
      </c>
      <c r="B99" s="32" t="s">
        <v>38</v>
      </c>
      <c r="C99" s="32" t="s">
        <v>582</v>
      </c>
      <c r="D99" s="32" t="s">
        <v>583</v>
      </c>
      <c r="E99" s="32" t="s">
        <v>555</v>
      </c>
      <c r="F99" s="32" t="s">
        <v>556</v>
      </c>
      <c r="G99" s="32" t="s">
        <v>412</v>
      </c>
      <c r="H99" s="32" t="s">
        <v>413</v>
      </c>
      <c r="I99" s="32" t="s">
        <v>198</v>
      </c>
      <c r="J99" s="32" t="s">
        <v>199</v>
      </c>
      <c r="K99" s="32">
        <v>2.4564720000000002</v>
      </c>
      <c r="L99" s="33">
        <v>2519</v>
      </c>
      <c r="M99" s="32">
        <v>564</v>
      </c>
      <c r="N99" s="32">
        <v>455</v>
      </c>
      <c r="O99" s="32">
        <v>686</v>
      </c>
      <c r="P99" s="32">
        <v>530</v>
      </c>
      <c r="Q99" s="32">
        <v>284</v>
      </c>
      <c r="R99" s="32">
        <v>2</v>
      </c>
      <c r="S99" s="32">
        <v>11.7524</v>
      </c>
      <c r="T99" s="32">
        <v>3.2684299999999999</v>
      </c>
      <c r="U99" s="32">
        <v>0.79721573300000004</v>
      </c>
      <c r="V99" s="32">
        <v>5</v>
      </c>
      <c r="W99" s="32">
        <v>0.905053</v>
      </c>
      <c r="X99" s="32">
        <v>0.28262399999999999</v>
      </c>
      <c r="Y99" s="32">
        <v>0.8</v>
      </c>
      <c r="Z99" s="32">
        <v>0.45310299999999998</v>
      </c>
      <c r="AA99" s="32">
        <v>48.6</v>
      </c>
      <c r="AB99" s="32">
        <v>732</v>
      </c>
      <c r="AC99" s="32">
        <v>27</v>
      </c>
      <c r="AD99" s="32">
        <v>47</v>
      </c>
      <c r="AE99" s="32">
        <v>0</v>
      </c>
      <c r="AF99" s="32">
        <v>0</v>
      </c>
      <c r="AG99" s="32" t="s">
        <v>200</v>
      </c>
    </row>
    <row r="100" spans="1:33">
      <c r="A100" s="32" t="s">
        <v>584</v>
      </c>
      <c r="B100" s="32" t="s">
        <v>38</v>
      </c>
      <c r="C100" s="32" t="s">
        <v>585</v>
      </c>
      <c r="D100" s="32" t="s">
        <v>586</v>
      </c>
      <c r="E100" s="32" t="s">
        <v>555</v>
      </c>
      <c r="F100" s="32" t="s">
        <v>556</v>
      </c>
      <c r="G100" s="32" t="s">
        <v>412</v>
      </c>
      <c r="H100" s="32" t="s">
        <v>413</v>
      </c>
      <c r="I100" s="32" t="s">
        <v>198</v>
      </c>
      <c r="J100" s="32" t="s">
        <v>199</v>
      </c>
      <c r="K100" s="32">
        <v>2.2428569999999999</v>
      </c>
      <c r="L100" s="33">
        <v>1587</v>
      </c>
      <c r="M100" s="32">
        <v>331</v>
      </c>
      <c r="N100" s="32">
        <v>241</v>
      </c>
      <c r="O100" s="32">
        <v>349</v>
      </c>
      <c r="P100" s="32">
        <v>437</v>
      </c>
      <c r="Q100" s="32">
        <v>229</v>
      </c>
      <c r="R100" s="32">
        <v>2</v>
      </c>
      <c r="S100" s="32">
        <v>10.784700000000001</v>
      </c>
      <c r="T100" s="32">
        <v>3.13096</v>
      </c>
      <c r="U100" s="32">
        <v>0.72130640000000001</v>
      </c>
      <c r="V100" s="32">
        <v>8</v>
      </c>
      <c r="W100" s="32">
        <v>0.90170600000000001</v>
      </c>
      <c r="X100" s="32">
        <v>7.4152999999999997E-2</v>
      </c>
      <c r="Y100" s="32">
        <v>0.8</v>
      </c>
      <c r="Z100" s="32">
        <v>0.45435199999999998</v>
      </c>
      <c r="AA100" s="32">
        <v>30.9</v>
      </c>
      <c r="AB100" s="32">
        <v>542</v>
      </c>
      <c r="AC100" s="32">
        <v>26</v>
      </c>
      <c r="AD100" s="32">
        <v>18</v>
      </c>
      <c r="AE100" s="32">
        <v>0</v>
      </c>
      <c r="AF100" s="32">
        <v>0</v>
      </c>
      <c r="AG100" s="32" t="s">
        <v>200</v>
      </c>
    </row>
    <row r="101" spans="1:33">
      <c r="A101" s="32" t="s">
        <v>587</v>
      </c>
      <c r="B101" s="32" t="s">
        <v>38</v>
      </c>
      <c r="C101" s="32" t="s">
        <v>588</v>
      </c>
      <c r="D101" s="32" t="s">
        <v>589</v>
      </c>
      <c r="E101" s="32" t="s">
        <v>590</v>
      </c>
      <c r="F101" s="32" t="s">
        <v>591</v>
      </c>
      <c r="G101" s="32" t="s">
        <v>196</v>
      </c>
      <c r="H101" s="32" t="s">
        <v>197</v>
      </c>
      <c r="I101" s="32" t="s">
        <v>198</v>
      </c>
      <c r="J101" s="32" t="s">
        <v>199</v>
      </c>
      <c r="K101" s="32">
        <v>2.233689</v>
      </c>
      <c r="L101" s="33">
        <v>2083</v>
      </c>
      <c r="M101" s="32">
        <v>371</v>
      </c>
      <c r="N101" s="32">
        <v>391</v>
      </c>
      <c r="O101" s="32">
        <v>580</v>
      </c>
      <c r="P101" s="32">
        <v>518</v>
      </c>
      <c r="Q101" s="32">
        <v>223</v>
      </c>
      <c r="R101" s="32">
        <v>5</v>
      </c>
      <c r="S101" s="32">
        <v>26.113700000000001</v>
      </c>
      <c r="T101" s="32">
        <v>18.0854</v>
      </c>
      <c r="U101" s="32">
        <v>0.72661630099999996</v>
      </c>
      <c r="V101" s="32">
        <v>8</v>
      </c>
      <c r="W101" s="32">
        <v>0.90767600000000004</v>
      </c>
      <c r="X101" s="32">
        <v>7.4789999999999995E-2</v>
      </c>
      <c r="Y101" s="32">
        <v>0.8</v>
      </c>
      <c r="Z101" s="32">
        <v>0.44925999999999999</v>
      </c>
      <c r="AA101" s="32">
        <v>33.700000000000003</v>
      </c>
      <c r="AB101" s="32">
        <v>492</v>
      </c>
      <c r="AC101" s="32">
        <v>14</v>
      </c>
      <c r="AD101" s="32">
        <v>29</v>
      </c>
      <c r="AE101" s="32">
        <v>0</v>
      </c>
      <c r="AF101" s="32">
        <v>0</v>
      </c>
      <c r="AG101" s="32" t="s">
        <v>200</v>
      </c>
    </row>
    <row r="102" spans="1:33">
      <c r="A102" s="32" t="s">
        <v>592</v>
      </c>
      <c r="B102" s="32" t="s">
        <v>38</v>
      </c>
      <c r="C102" s="32" t="s">
        <v>593</v>
      </c>
      <c r="D102" s="32" t="s">
        <v>594</v>
      </c>
      <c r="E102" s="32" t="s">
        <v>590</v>
      </c>
      <c r="F102" s="32" t="s">
        <v>591</v>
      </c>
      <c r="G102" s="32" t="s">
        <v>196</v>
      </c>
      <c r="H102" s="32" t="s">
        <v>197</v>
      </c>
      <c r="I102" s="32" t="s">
        <v>198</v>
      </c>
      <c r="J102" s="32" t="s">
        <v>199</v>
      </c>
      <c r="K102" s="32">
        <v>2.3020830000000001</v>
      </c>
      <c r="L102" s="33">
        <v>2013</v>
      </c>
      <c r="M102" s="32">
        <v>319</v>
      </c>
      <c r="N102" s="32">
        <v>471</v>
      </c>
      <c r="O102" s="32">
        <v>626</v>
      </c>
      <c r="P102" s="32">
        <v>435</v>
      </c>
      <c r="Q102" s="32">
        <v>162</v>
      </c>
      <c r="R102" s="32">
        <v>3</v>
      </c>
      <c r="S102" s="32">
        <v>17.878699999999998</v>
      </c>
      <c r="T102" s="32">
        <v>3.6925699999999999</v>
      </c>
      <c r="U102" s="32">
        <v>0.96001062400000003</v>
      </c>
      <c r="V102" s="32">
        <v>4</v>
      </c>
      <c r="W102" s="32">
        <v>0.90833299999999995</v>
      </c>
      <c r="X102" s="32">
        <v>0.131298</v>
      </c>
      <c r="Y102" s="32">
        <v>0.8</v>
      </c>
      <c r="Z102" s="32">
        <v>0.47005200000000003</v>
      </c>
      <c r="AA102" s="32">
        <v>35.200000000000003</v>
      </c>
      <c r="AB102" s="32">
        <v>396</v>
      </c>
      <c r="AC102" s="32">
        <v>30</v>
      </c>
      <c r="AD102" s="32">
        <v>37</v>
      </c>
      <c r="AE102" s="32">
        <v>0</v>
      </c>
      <c r="AF102" s="32">
        <v>0</v>
      </c>
      <c r="AG102" s="32">
        <v>0</v>
      </c>
    </row>
    <row r="103" spans="1:33">
      <c r="A103" s="32" t="s">
        <v>595</v>
      </c>
      <c r="B103" s="32" t="s">
        <v>38</v>
      </c>
      <c r="C103" s="32" t="s">
        <v>596</v>
      </c>
      <c r="D103" s="32" t="s">
        <v>597</v>
      </c>
      <c r="E103" s="32" t="s">
        <v>598</v>
      </c>
      <c r="F103" s="32" t="s">
        <v>599</v>
      </c>
      <c r="G103" s="32" t="s">
        <v>196</v>
      </c>
      <c r="H103" s="32" t="s">
        <v>197</v>
      </c>
      <c r="I103" s="32" t="s">
        <v>198</v>
      </c>
      <c r="J103" s="32" t="s">
        <v>199</v>
      </c>
      <c r="K103" s="32">
        <v>2.3316870000000001</v>
      </c>
      <c r="L103" s="33">
        <v>1905</v>
      </c>
      <c r="M103" s="32">
        <v>380</v>
      </c>
      <c r="N103" s="32">
        <v>287</v>
      </c>
      <c r="O103" s="32">
        <v>519</v>
      </c>
      <c r="P103" s="32">
        <v>451</v>
      </c>
      <c r="Q103" s="32">
        <v>268</v>
      </c>
      <c r="R103" s="32">
        <v>4</v>
      </c>
      <c r="S103" s="32">
        <v>22.656500000000001</v>
      </c>
      <c r="T103" s="32">
        <v>3.2543600000000001</v>
      </c>
      <c r="U103" s="32">
        <v>0.68400017199999996</v>
      </c>
      <c r="V103" s="32">
        <v>8</v>
      </c>
      <c r="W103" s="32">
        <v>0.90493800000000002</v>
      </c>
      <c r="X103" s="32">
        <v>0.14896300000000001</v>
      </c>
      <c r="Y103" s="32">
        <v>0.8</v>
      </c>
      <c r="Z103" s="32">
        <v>0.48164899999999999</v>
      </c>
      <c r="AA103" s="32">
        <v>35</v>
      </c>
      <c r="AB103" s="32">
        <v>548</v>
      </c>
      <c r="AC103" s="32">
        <v>22</v>
      </c>
      <c r="AD103" s="32">
        <v>48</v>
      </c>
      <c r="AE103" s="32">
        <v>0</v>
      </c>
      <c r="AF103" s="32" t="s">
        <v>200</v>
      </c>
      <c r="AG103" s="32">
        <v>0</v>
      </c>
    </row>
    <row r="104" spans="1:33">
      <c r="A104" s="32" t="s">
        <v>600</v>
      </c>
      <c r="B104" s="32" t="s">
        <v>38</v>
      </c>
      <c r="C104" s="32" t="s">
        <v>601</v>
      </c>
      <c r="D104" s="32" t="s">
        <v>602</v>
      </c>
      <c r="E104" s="32" t="s">
        <v>590</v>
      </c>
      <c r="F104" s="32" t="s">
        <v>591</v>
      </c>
      <c r="G104" s="32" t="s">
        <v>196</v>
      </c>
      <c r="H104" s="32" t="s">
        <v>197</v>
      </c>
      <c r="I104" s="32" t="s">
        <v>198</v>
      </c>
      <c r="J104" s="32" t="s">
        <v>199</v>
      </c>
      <c r="K104" s="32">
        <v>2.2959179999999999</v>
      </c>
      <c r="L104" s="33">
        <v>2137</v>
      </c>
      <c r="M104" s="32">
        <v>390</v>
      </c>
      <c r="N104" s="32">
        <v>409</v>
      </c>
      <c r="O104" s="32">
        <v>716</v>
      </c>
      <c r="P104" s="32">
        <v>441</v>
      </c>
      <c r="Q104" s="32">
        <v>181</v>
      </c>
      <c r="R104" s="32">
        <v>4</v>
      </c>
      <c r="S104" s="32">
        <v>24.7685</v>
      </c>
      <c r="T104" s="32">
        <v>3.82857</v>
      </c>
      <c r="U104" s="32">
        <v>0.80278447600000002</v>
      </c>
      <c r="V104" s="32">
        <v>5</v>
      </c>
      <c r="W104" s="32">
        <v>0.909833</v>
      </c>
      <c r="X104" s="32">
        <v>0.21052599999999999</v>
      </c>
      <c r="Y104" s="32">
        <v>0.8</v>
      </c>
      <c r="Z104" s="32">
        <v>0.40037400000000001</v>
      </c>
      <c r="AA104" s="32">
        <v>36.700000000000003</v>
      </c>
      <c r="AB104" s="32">
        <v>563</v>
      </c>
      <c r="AC104" s="32">
        <v>32</v>
      </c>
      <c r="AD104" s="32">
        <v>40</v>
      </c>
      <c r="AE104" s="32" t="s">
        <v>200</v>
      </c>
      <c r="AF104" s="32">
        <v>0</v>
      </c>
      <c r="AG104" s="32" t="s">
        <v>200</v>
      </c>
    </row>
    <row r="105" spans="1:33">
      <c r="A105" s="32" t="s">
        <v>603</v>
      </c>
      <c r="B105" s="32" t="s">
        <v>38</v>
      </c>
      <c r="C105" s="32" t="s">
        <v>604</v>
      </c>
      <c r="D105" s="32" t="s">
        <v>605</v>
      </c>
      <c r="E105" s="32" t="s">
        <v>606</v>
      </c>
      <c r="F105" s="32" t="s">
        <v>607</v>
      </c>
      <c r="G105" s="32" t="s">
        <v>196</v>
      </c>
      <c r="H105" s="32" t="s">
        <v>197</v>
      </c>
      <c r="I105" s="32" t="s">
        <v>198</v>
      </c>
      <c r="J105" s="32" t="s">
        <v>199</v>
      </c>
      <c r="K105" s="32">
        <v>2.3355640000000002</v>
      </c>
      <c r="L105" s="33">
        <v>1899</v>
      </c>
      <c r="M105" s="32">
        <v>333</v>
      </c>
      <c r="N105" s="32">
        <v>353</v>
      </c>
      <c r="O105" s="32">
        <v>503</v>
      </c>
      <c r="P105" s="32">
        <v>429</v>
      </c>
      <c r="Q105" s="32">
        <v>281</v>
      </c>
      <c r="R105" s="32">
        <v>3</v>
      </c>
      <c r="S105" s="32">
        <v>18.1675</v>
      </c>
      <c r="T105" s="32">
        <v>5.3175400000000002</v>
      </c>
      <c r="U105" s="32">
        <v>0.99626830600000005</v>
      </c>
      <c r="V105" s="32">
        <v>3</v>
      </c>
      <c r="W105" s="32">
        <v>0.91338399999999997</v>
      </c>
      <c r="X105" s="32">
        <v>0.17829500000000001</v>
      </c>
      <c r="Y105" s="32">
        <v>0.8</v>
      </c>
      <c r="Z105" s="32">
        <v>0.473524</v>
      </c>
      <c r="AA105" s="32">
        <v>42.6</v>
      </c>
      <c r="AB105" s="32">
        <v>510</v>
      </c>
      <c r="AC105" s="32">
        <v>21</v>
      </c>
      <c r="AD105" s="32">
        <v>51</v>
      </c>
      <c r="AE105" s="32">
        <v>0</v>
      </c>
      <c r="AF105" s="32" t="s">
        <v>200</v>
      </c>
      <c r="AG105" s="32">
        <v>5</v>
      </c>
    </row>
    <row r="106" spans="1:33">
      <c r="A106" s="32" t="s">
        <v>608</v>
      </c>
      <c r="B106" s="32" t="s">
        <v>38</v>
      </c>
      <c r="C106" s="32" t="s">
        <v>609</v>
      </c>
      <c r="D106" s="32" t="s">
        <v>610</v>
      </c>
      <c r="E106" s="32" t="s">
        <v>606</v>
      </c>
      <c r="F106" s="32" t="s">
        <v>607</v>
      </c>
      <c r="G106" s="32" t="s">
        <v>196</v>
      </c>
      <c r="H106" s="32" t="s">
        <v>197</v>
      </c>
      <c r="I106" s="32" t="s">
        <v>198</v>
      </c>
      <c r="J106" s="32" t="s">
        <v>199</v>
      </c>
      <c r="K106" s="32">
        <v>2.3425229999999999</v>
      </c>
      <c r="L106" s="33">
        <v>2337</v>
      </c>
      <c r="M106" s="32">
        <v>518</v>
      </c>
      <c r="N106" s="32">
        <v>478</v>
      </c>
      <c r="O106" s="32">
        <v>594</v>
      </c>
      <c r="P106" s="32">
        <v>511</v>
      </c>
      <c r="Q106" s="32">
        <v>236</v>
      </c>
      <c r="R106" s="32">
        <v>2</v>
      </c>
      <c r="S106" s="32">
        <v>15.1782</v>
      </c>
      <c r="T106" s="32">
        <v>2.5306600000000001</v>
      </c>
      <c r="U106" s="32">
        <v>0.94451895299999999</v>
      </c>
      <c r="V106" s="32">
        <v>4</v>
      </c>
      <c r="W106" s="32">
        <v>0.91203299999999998</v>
      </c>
      <c r="X106" s="32">
        <v>0.22927400000000001</v>
      </c>
      <c r="Y106" s="32">
        <v>0.8</v>
      </c>
      <c r="Z106" s="32">
        <v>0.42084300000000002</v>
      </c>
      <c r="AA106" s="32">
        <v>45.8</v>
      </c>
      <c r="AB106" s="32">
        <v>704</v>
      </c>
      <c r="AC106" s="32">
        <v>13</v>
      </c>
      <c r="AD106" s="32">
        <v>45</v>
      </c>
      <c r="AE106" s="32" t="s">
        <v>200</v>
      </c>
      <c r="AF106" s="32" t="s">
        <v>200</v>
      </c>
      <c r="AG106" s="32">
        <v>0</v>
      </c>
    </row>
    <row r="107" spans="1:33">
      <c r="A107" s="32" t="s">
        <v>611</v>
      </c>
      <c r="B107" s="32" t="s">
        <v>38</v>
      </c>
      <c r="C107" s="32" t="s">
        <v>612</v>
      </c>
      <c r="D107" s="32" t="s">
        <v>613</v>
      </c>
      <c r="E107" s="32" t="s">
        <v>242</v>
      </c>
      <c r="F107" s="32" t="s">
        <v>243</v>
      </c>
      <c r="G107" s="32" t="s">
        <v>196</v>
      </c>
      <c r="H107" s="32" t="s">
        <v>197</v>
      </c>
      <c r="I107" s="32" t="s">
        <v>198</v>
      </c>
      <c r="J107" s="32" t="s">
        <v>199</v>
      </c>
      <c r="K107" s="32">
        <v>2.4828800000000002</v>
      </c>
      <c r="L107" s="33">
        <v>1573</v>
      </c>
      <c r="M107" s="32">
        <v>233</v>
      </c>
      <c r="N107" s="32">
        <v>322</v>
      </c>
      <c r="O107" s="32">
        <v>343</v>
      </c>
      <c r="P107" s="32">
        <v>402</v>
      </c>
      <c r="Q107" s="32">
        <v>273</v>
      </c>
      <c r="R107" s="32">
        <v>2</v>
      </c>
      <c r="S107" s="32">
        <v>14.219099999999999</v>
      </c>
      <c r="T107" s="32">
        <v>0</v>
      </c>
      <c r="U107" s="32">
        <v>0.77448049699999999</v>
      </c>
      <c r="V107" s="32">
        <v>4</v>
      </c>
      <c r="W107" s="32">
        <v>0.91056000000000004</v>
      </c>
      <c r="X107" s="32">
        <v>0.33814100000000002</v>
      </c>
      <c r="Y107" s="32">
        <v>0.8</v>
      </c>
      <c r="Z107" s="32">
        <v>0.41440100000000002</v>
      </c>
      <c r="AA107" s="32">
        <v>44.4</v>
      </c>
      <c r="AB107" s="32">
        <v>659</v>
      </c>
      <c r="AC107" s="32">
        <v>26</v>
      </c>
      <c r="AD107" s="32">
        <v>51</v>
      </c>
      <c r="AE107" s="32" t="s">
        <v>200</v>
      </c>
      <c r="AF107" s="32" t="s">
        <v>200</v>
      </c>
      <c r="AG107" s="32" t="s">
        <v>200</v>
      </c>
    </row>
    <row r="108" spans="1:33">
      <c r="A108" s="32" t="s">
        <v>614</v>
      </c>
      <c r="B108" s="32" t="s">
        <v>38</v>
      </c>
      <c r="C108" s="32" t="s">
        <v>615</v>
      </c>
      <c r="D108" s="32" t="s">
        <v>616</v>
      </c>
      <c r="E108" s="32" t="s">
        <v>606</v>
      </c>
      <c r="F108" s="32" t="s">
        <v>607</v>
      </c>
      <c r="G108" s="32" t="s">
        <v>196</v>
      </c>
      <c r="H108" s="32" t="s">
        <v>197</v>
      </c>
      <c r="I108" s="32" t="s">
        <v>198</v>
      </c>
      <c r="J108" s="32" t="s">
        <v>199</v>
      </c>
      <c r="K108" s="32">
        <v>2.3340429999999999</v>
      </c>
      <c r="L108" s="33">
        <v>1596</v>
      </c>
      <c r="M108" s="32">
        <v>320</v>
      </c>
      <c r="N108" s="32">
        <v>332</v>
      </c>
      <c r="O108" s="32">
        <v>355</v>
      </c>
      <c r="P108" s="32">
        <v>363</v>
      </c>
      <c r="Q108" s="32">
        <v>226</v>
      </c>
      <c r="R108" s="32">
        <v>2</v>
      </c>
      <c r="S108" s="32">
        <v>13.664899999999999</v>
      </c>
      <c r="T108" s="32">
        <v>0</v>
      </c>
      <c r="U108" s="32">
        <v>0.85204642100000005</v>
      </c>
      <c r="V108" s="32">
        <v>5</v>
      </c>
      <c r="W108" s="32">
        <v>0.90471100000000004</v>
      </c>
      <c r="X108" s="32">
        <v>0.184475</v>
      </c>
      <c r="Y108" s="32">
        <v>0.8</v>
      </c>
      <c r="Z108" s="32">
        <v>0.42701099999999997</v>
      </c>
      <c r="AA108" s="32">
        <v>34.799999999999997</v>
      </c>
      <c r="AB108" s="32">
        <v>501</v>
      </c>
      <c r="AC108" s="32">
        <v>18</v>
      </c>
      <c r="AD108" s="32">
        <v>39</v>
      </c>
      <c r="AE108" s="32">
        <v>0</v>
      </c>
      <c r="AF108" s="32" t="s">
        <v>200</v>
      </c>
      <c r="AG108" s="32" t="s">
        <v>200</v>
      </c>
    </row>
    <row r="109" spans="1:33">
      <c r="A109" s="32" t="s">
        <v>617</v>
      </c>
      <c r="B109" s="32" t="s">
        <v>38</v>
      </c>
      <c r="C109" s="32" t="s">
        <v>618</v>
      </c>
      <c r="D109" s="32" t="s">
        <v>619</v>
      </c>
      <c r="E109" s="32" t="s">
        <v>590</v>
      </c>
      <c r="F109" s="32" t="s">
        <v>591</v>
      </c>
      <c r="G109" s="32" t="s">
        <v>196</v>
      </c>
      <c r="H109" s="32" t="s">
        <v>197</v>
      </c>
      <c r="I109" s="32" t="s">
        <v>198</v>
      </c>
      <c r="J109" s="32" t="s">
        <v>199</v>
      </c>
      <c r="K109" s="32">
        <v>2.4096549999999999</v>
      </c>
      <c r="L109" s="33">
        <v>2238</v>
      </c>
      <c r="M109" s="32">
        <v>421</v>
      </c>
      <c r="N109" s="32">
        <v>408</v>
      </c>
      <c r="O109" s="32">
        <v>617</v>
      </c>
      <c r="P109" s="32">
        <v>515</v>
      </c>
      <c r="Q109" s="32">
        <v>277</v>
      </c>
      <c r="R109" s="32">
        <v>3</v>
      </c>
      <c r="S109" s="32">
        <v>18.758500000000002</v>
      </c>
      <c r="T109" s="32">
        <v>3.3266900000000001</v>
      </c>
      <c r="U109" s="32">
        <v>0.90359951100000002</v>
      </c>
      <c r="V109" s="32">
        <v>4</v>
      </c>
      <c r="W109" s="32">
        <v>0.90689699999999995</v>
      </c>
      <c r="X109" s="32">
        <v>0.26812900000000001</v>
      </c>
      <c r="Y109" s="32">
        <v>0.8</v>
      </c>
      <c r="Z109" s="32">
        <v>0.42926300000000001</v>
      </c>
      <c r="AA109" s="32">
        <v>36.4</v>
      </c>
      <c r="AB109" s="32">
        <v>635</v>
      </c>
      <c r="AC109" s="32">
        <v>14</v>
      </c>
      <c r="AD109" s="32">
        <v>46</v>
      </c>
      <c r="AE109" s="32">
        <v>0</v>
      </c>
      <c r="AF109" s="32">
        <v>6</v>
      </c>
      <c r="AG109" s="32" t="s">
        <v>200</v>
      </c>
    </row>
    <row r="110" spans="1:33">
      <c r="A110" s="32" t="s">
        <v>620</v>
      </c>
      <c r="B110" s="32" t="s">
        <v>38</v>
      </c>
      <c r="C110" s="32" t="s">
        <v>621</v>
      </c>
      <c r="D110" s="32" t="s">
        <v>622</v>
      </c>
      <c r="E110" s="32" t="s">
        <v>590</v>
      </c>
      <c r="F110" s="32" t="s">
        <v>591</v>
      </c>
      <c r="G110" s="32" t="s">
        <v>196</v>
      </c>
      <c r="H110" s="32" t="s">
        <v>197</v>
      </c>
      <c r="I110" s="32" t="s">
        <v>198</v>
      </c>
      <c r="J110" s="32" t="s">
        <v>199</v>
      </c>
      <c r="K110" s="32">
        <v>2.246696</v>
      </c>
      <c r="L110" s="33">
        <v>1688</v>
      </c>
      <c r="M110" s="32">
        <v>253</v>
      </c>
      <c r="N110" s="32">
        <v>278</v>
      </c>
      <c r="O110" s="32">
        <v>424</v>
      </c>
      <c r="P110" s="32">
        <v>431</v>
      </c>
      <c r="Q110" s="32">
        <v>302</v>
      </c>
      <c r="R110" s="32">
        <v>2</v>
      </c>
      <c r="S110" s="32">
        <v>18.014500000000002</v>
      </c>
      <c r="T110" s="32">
        <v>2.1347399999999999</v>
      </c>
      <c r="U110" s="32">
        <v>0.83389840199999998</v>
      </c>
      <c r="V110" s="32">
        <v>6</v>
      </c>
      <c r="W110" s="32">
        <v>0.90299600000000002</v>
      </c>
      <c r="X110" s="32">
        <v>0.21010599999999999</v>
      </c>
      <c r="Y110" s="32">
        <v>0.8</v>
      </c>
      <c r="Z110" s="32">
        <v>0.32791500000000001</v>
      </c>
      <c r="AA110" s="32">
        <v>30.3</v>
      </c>
      <c r="AB110" s="32">
        <v>640</v>
      </c>
      <c r="AC110" s="32">
        <v>20</v>
      </c>
      <c r="AD110" s="32">
        <v>54</v>
      </c>
      <c r="AE110" s="32">
        <v>0</v>
      </c>
      <c r="AF110" s="32">
        <v>0</v>
      </c>
      <c r="AG110" s="32" t="s">
        <v>200</v>
      </c>
    </row>
    <row r="111" spans="1:33">
      <c r="A111" s="32" t="s">
        <v>623</v>
      </c>
      <c r="B111" s="32" t="s">
        <v>38</v>
      </c>
      <c r="C111" s="32" t="s">
        <v>624</v>
      </c>
      <c r="D111" s="32" t="s">
        <v>625</v>
      </c>
      <c r="E111" s="32" t="s">
        <v>598</v>
      </c>
      <c r="F111" s="32" t="s">
        <v>599</v>
      </c>
      <c r="G111" s="32" t="s">
        <v>196</v>
      </c>
      <c r="H111" s="32" t="s">
        <v>197</v>
      </c>
      <c r="I111" s="32" t="s">
        <v>198</v>
      </c>
      <c r="J111" s="32" t="s">
        <v>199</v>
      </c>
      <c r="K111" s="32">
        <v>2.6726070000000002</v>
      </c>
      <c r="L111" s="33">
        <v>1411</v>
      </c>
      <c r="M111" s="32">
        <v>313</v>
      </c>
      <c r="N111" s="32">
        <v>285</v>
      </c>
      <c r="O111" s="32">
        <v>350</v>
      </c>
      <c r="P111" s="32">
        <v>310</v>
      </c>
      <c r="Q111" s="32">
        <v>153</v>
      </c>
      <c r="R111" s="32">
        <v>4</v>
      </c>
      <c r="S111" s="32">
        <v>23.697800000000001</v>
      </c>
      <c r="T111" s="32">
        <v>3.4933000000000001</v>
      </c>
      <c r="U111" s="32">
        <v>0.91130501100000005</v>
      </c>
      <c r="V111" s="32">
        <v>2</v>
      </c>
      <c r="W111" s="32">
        <v>0.91105599999999998</v>
      </c>
      <c r="X111" s="32">
        <v>0.38693499999999997</v>
      </c>
      <c r="Y111" s="32">
        <v>0.8</v>
      </c>
      <c r="Z111" s="32">
        <v>0.563967</v>
      </c>
      <c r="AA111" s="32">
        <v>48.3</v>
      </c>
      <c r="AB111" s="32">
        <v>407</v>
      </c>
      <c r="AC111" s="32">
        <v>12</v>
      </c>
      <c r="AD111" s="32">
        <v>30</v>
      </c>
      <c r="AE111" s="32">
        <v>20</v>
      </c>
      <c r="AF111" s="32">
        <v>0</v>
      </c>
      <c r="AG111" s="32" t="s">
        <v>200</v>
      </c>
    </row>
    <row r="112" spans="1:33">
      <c r="A112" s="32" t="s">
        <v>626</v>
      </c>
      <c r="B112" s="32" t="s">
        <v>38</v>
      </c>
      <c r="C112" s="32" t="s">
        <v>627</v>
      </c>
      <c r="D112" s="32" t="s">
        <v>628</v>
      </c>
      <c r="E112" s="32" t="s">
        <v>598</v>
      </c>
      <c r="F112" s="32" t="s">
        <v>599</v>
      </c>
      <c r="G112" s="32" t="s">
        <v>196</v>
      </c>
      <c r="H112" s="32" t="s">
        <v>197</v>
      </c>
      <c r="I112" s="32" t="s">
        <v>198</v>
      </c>
      <c r="J112" s="32" t="s">
        <v>199</v>
      </c>
      <c r="K112" s="32">
        <v>2.533725</v>
      </c>
      <c r="L112" s="33">
        <v>1760</v>
      </c>
      <c r="M112" s="32">
        <v>393</v>
      </c>
      <c r="N112" s="32">
        <v>354</v>
      </c>
      <c r="O112" s="32">
        <v>447</v>
      </c>
      <c r="P112" s="32">
        <v>361</v>
      </c>
      <c r="Q112" s="32">
        <v>205</v>
      </c>
      <c r="R112" s="32">
        <v>4</v>
      </c>
      <c r="S112" s="32">
        <v>23.4465</v>
      </c>
      <c r="T112" s="32">
        <v>0</v>
      </c>
      <c r="U112" s="32">
        <v>0.71750804999999995</v>
      </c>
      <c r="V112" s="32">
        <v>5</v>
      </c>
      <c r="W112" s="32">
        <v>0.91359100000000004</v>
      </c>
      <c r="X112" s="32">
        <v>0.36199999999999999</v>
      </c>
      <c r="Y112" s="32">
        <v>0.8</v>
      </c>
      <c r="Z112" s="32">
        <v>0.46208100000000002</v>
      </c>
      <c r="AA112" s="32">
        <v>42.8</v>
      </c>
      <c r="AB112" s="32">
        <v>552</v>
      </c>
      <c r="AC112" s="32">
        <v>17</v>
      </c>
      <c r="AD112" s="32">
        <v>29</v>
      </c>
      <c r="AE112" s="32" t="s">
        <v>200</v>
      </c>
      <c r="AF112" s="32">
        <v>0</v>
      </c>
      <c r="AG112" s="32">
        <v>0</v>
      </c>
    </row>
    <row r="113" spans="1:33">
      <c r="A113" s="32" t="s">
        <v>629</v>
      </c>
      <c r="B113" s="32" t="s">
        <v>38</v>
      </c>
      <c r="C113" s="32" t="s">
        <v>630</v>
      </c>
      <c r="D113" s="32" t="s">
        <v>631</v>
      </c>
      <c r="E113" s="32" t="s">
        <v>632</v>
      </c>
      <c r="F113" s="32" t="s">
        <v>633</v>
      </c>
      <c r="G113" s="32" t="s">
        <v>196</v>
      </c>
      <c r="H113" s="32" t="s">
        <v>197</v>
      </c>
      <c r="I113" s="32" t="s">
        <v>198</v>
      </c>
      <c r="J113" s="32" t="s">
        <v>199</v>
      </c>
      <c r="K113" s="32">
        <v>2.1342479999999999</v>
      </c>
      <c r="L113" s="33">
        <v>1378</v>
      </c>
      <c r="M113" s="32">
        <v>225</v>
      </c>
      <c r="N113" s="32">
        <v>179</v>
      </c>
      <c r="O113" s="32">
        <v>273</v>
      </c>
      <c r="P113" s="32">
        <v>385</v>
      </c>
      <c r="Q113" s="32">
        <v>316</v>
      </c>
      <c r="R113" s="32">
        <v>3</v>
      </c>
      <c r="S113" s="32">
        <v>25.763000000000002</v>
      </c>
      <c r="T113" s="32">
        <v>1.8243199999999999</v>
      </c>
      <c r="U113" s="32">
        <v>0.79616525400000004</v>
      </c>
      <c r="V113" s="32">
        <v>6</v>
      </c>
      <c r="W113" s="32">
        <v>0.90221200000000001</v>
      </c>
      <c r="X113" s="32">
        <v>0.100088</v>
      </c>
      <c r="Y113" s="32">
        <v>0.8</v>
      </c>
      <c r="Z113" s="32">
        <v>0.33277400000000001</v>
      </c>
      <c r="AA113" s="32">
        <v>32.9</v>
      </c>
      <c r="AB113" s="32">
        <v>648</v>
      </c>
      <c r="AC113" s="32">
        <v>13</v>
      </c>
      <c r="AD113" s="32">
        <v>26</v>
      </c>
      <c r="AE113" s="32" t="s">
        <v>200</v>
      </c>
      <c r="AF113" s="32" t="s">
        <v>200</v>
      </c>
      <c r="AG113" s="32" t="s">
        <v>200</v>
      </c>
    </row>
    <row r="114" spans="1:33">
      <c r="A114" s="32" t="s">
        <v>634</v>
      </c>
      <c r="B114" s="32" t="s">
        <v>38</v>
      </c>
      <c r="C114" s="32" t="s">
        <v>635</v>
      </c>
      <c r="D114" s="32" t="s">
        <v>636</v>
      </c>
      <c r="E114" s="32" t="s">
        <v>606</v>
      </c>
      <c r="F114" s="32" t="s">
        <v>607</v>
      </c>
      <c r="G114" s="32" t="s">
        <v>196</v>
      </c>
      <c r="H114" s="32" t="s">
        <v>197</v>
      </c>
      <c r="I114" s="32" t="s">
        <v>198</v>
      </c>
      <c r="J114" s="32" t="s">
        <v>199</v>
      </c>
      <c r="K114" s="32">
        <v>2.2328589999999999</v>
      </c>
      <c r="L114" s="33">
        <v>1635</v>
      </c>
      <c r="M114" s="32">
        <v>326</v>
      </c>
      <c r="N114" s="32">
        <v>283</v>
      </c>
      <c r="O114" s="32">
        <v>366</v>
      </c>
      <c r="P114" s="32">
        <v>389</v>
      </c>
      <c r="Q114" s="32">
        <v>271</v>
      </c>
      <c r="R114" s="32">
        <v>2</v>
      </c>
      <c r="S114" s="32">
        <v>11.7408</v>
      </c>
      <c r="T114" s="32">
        <v>0</v>
      </c>
      <c r="U114" s="32">
        <v>0.86017451</v>
      </c>
      <c r="V114" s="32">
        <v>5</v>
      </c>
      <c r="W114" s="32">
        <v>0.90189600000000003</v>
      </c>
      <c r="X114" s="32">
        <v>0.10127</v>
      </c>
      <c r="Y114" s="32">
        <v>0.8</v>
      </c>
      <c r="Z114" s="32">
        <v>0.42369699999999999</v>
      </c>
      <c r="AA114" s="32">
        <v>41.5</v>
      </c>
      <c r="AB114" s="32">
        <v>660</v>
      </c>
      <c r="AC114" s="32">
        <v>16</v>
      </c>
      <c r="AD114" s="32">
        <v>48</v>
      </c>
      <c r="AE114" s="32">
        <v>0</v>
      </c>
      <c r="AF114" s="32" t="s">
        <v>200</v>
      </c>
      <c r="AG114" s="32">
        <v>14</v>
      </c>
    </row>
    <row r="115" spans="1:33">
      <c r="A115" s="32" t="s">
        <v>637</v>
      </c>
      <c r="B115" s="32" t="s">
        <v>38</v>
      </c>
      <c r="C115" s="32" t="s">
        <v>638</v>
      </c>
      <c r="D115" s="32" t="s">
        <v>639</v>
      </c>
      <c r="E115" s="32" t="s">
        <v>640</v>
      </c>
      <c r="F115" s="32" t="s">
        <v>641</v>
      </c>
      <c r="G115" s="32" t="s">
        <v>461</v>
      </c>
      <c r="H115" s="32" t="s">
        <v>462</v>
      </c>
      <c r="I115" s="32" t="s">
        <v>198</v>
      </c>
      <c r="J115" s="32" t="s">
        <v>199</v>
      </c>
      <c r="K115" s="32">
        <v>2.2123279999999999</v>
      </c>
      <c r="L115" s="33">
        <v>1758</v>
      </c>
      <c r="M115" s="32">
        <v>495</v>
      </c>
      <c r="N115" s="32">
        <v>232</v>
      </c>
      <c r="O115" s="32">
        <v>363</v>
      </c>
      <c r="P115" s="32">
        <v>448</v>
      </c>
      <c r="Q115" s="32">
        <v>220</v>
      </c>
      <c r="R115" s="32" t="s">
        <v>225</v>
      </c>
      <c r="S115" s="32">
        <v>19.897600000000001</v>
      </c>
      <c r="T115" s="32">
        <v>0</v>
      </c>
      <c r="U115" s="32">
        <v>0.89031011299999996</v>
      </c>
      <c r="V115" s="32">
        <v>6</v>
      </c>
      <c r="W115" s="32">
        <v>0.89332</v>
      </c>
      <c r="X115" s="32">
        <v>0.11137</v>
      </c>
      <c r="Y115" s="32">
        <v>0.8</v>
      </c>
      <c r="Z115" s="32">
        <v>0.414157</v>
      </c>
      <c r="AA115" s="32">
        <v>28.3</v>
      </c>
      <c r="AB115" s="32">
        <v>571</v>
      </c>
      <c r="AC115" s="32">
        <v>22</v>
      </c>
      <c r="AD115" s="32">
        <v>33</v>
      </c>
      <c r="AE115" s="32">
        <v>0</v>
      </c>
      <c r="AF115" s="32">
        <v>0</v>
      </c>
      <c r="AG115" s="32" t="s">
        <v>200</v>
      </c>
    </row>
    <row r="116" spans="1:33">
      <c r="A116" s="32" t="s">
        <v>642</v>
      </c>
      <c r="B116" s="32" t="s">
        <v>38</v>
      </c>
      <c r="C116" s="32" t="s">
        <v>643</v>
      </c>
      <c r="D116" s="32" t="s">
        <v>644</v>
      </c>
      <c r="E116" s="32" t="s">
        <v>640</v>
      </c>
      <c r="F116" s="32" t="s">
        <v>641</v>
      </c>
      <c r="G116" s="32" t="s">
        <v>461</v>
      </c>
      <c r="H116" s="32" t="s">
        <v>462</v>
      </c>
      <c r="I116" s="32" t="s">
        <v>198</v>
      </c>
      <c r="J116" s="32" t="s">
        <v>199</v>
      </c>
      <c r="K116" s="32">
        <v>2.3516189999999999</v>
      </c>
      <c r="L116" s="33">
        <v>2549</v>
      </c>
      <c r="M116" s="32">
        <v>530</v>
      </c>
      <c r="N116" s="32">
        <v>389</v>
      </c>
      <c r="O116" s="32">
        <v>687</v>
      </c>
      <c r="P116" s="32">
        <v>594</v>
      </c>
      <c r="Q116" s="32">
        <v>349</v>
      </c>
      <c r="R116" s="32">
        <v>3</v>
      </c>
      <c r="S116" s="32">
        <v>27.0547</v>
      </c>
      <c r="T116" s="32">
        <v>1.8864799999999999</v>
      </c>
      <c r="U116" s="32">
        <v>0.84009474100000003</v>
      </c>
      <c r="V116" s="32">
        <v>5</v>
      </c>
      <c r="W116" s="32">
        <v>0.90818299999999996</v>
      </c>
      <c r="X116" s="32">
        <v>0.20596200000000001</v>
      </c>
      <c r="Y116" s="32">
        <v>0.8</v>
      </c>
      <c r="Z116" s="32">
        <v>0.443102</v>
      </c>
      <c r="AA116" s="32">
        <v>35</v>
      </c>
      <c r="AB116" s="32">
        <v>890</v>
      </c>
      <c r="AC116" s="32">
        <v>49</v>
      </c>
      <c r="AD116" s="32">
        <v>106</v>
      </c>
      <c r="AE116" s="32" t="s">
        <v>200</v>
      </c>
      <c r="AF116" s="32" t="s">
        <v>200</v>
      </c>
      <c r="AG116" s="32" t="s">
        <v>200</v>
      </c>
    </row>
    <row r="117" spans="1:33">
      <c r="A117" s="32" t="s">
        <v>645</v>
      </c>
      <c r="B117" s="32" t="s">
        <v>38</v>
      </c>
      <c r="C117" s="32" t="s">
        <v>646</v>
      </c>
      <c r="D117" s="32" t="s">
        <v>647</v>
      </c>
      <c r="E117" s="32" t="s">
        <v>648</v>
      </c>
      <c r="F117" s="32" t="s">
        <v>649</v>
      </c>
      <c r="G117" s="32" t="s">
        <v>461</v>
      </c>
      <c r="H117" s="32" t="s">
        <v>462</v>
      </c>
      <c r="I117" s="32" t="s">
        <v>198</v>
      </c>
      <c r="J117" s="32" t="s">
        <v>199</v>
      </c>
      <c r="K117" s="32">
        <v>1.982478</v>
      </c>
      <c r="L117" s="33">
        <v>2503</v>
      </c>
      <c r="M117" s="32">
        <v>686</v>
      </c>
      <c r="N117" s="32">
        <v>388</v>
      </c>
      <c r="O117" s="32">
        <v>553</v>
      </c>
      <c r="P117" s="32">
        <v>672</v>
      </c>
      <c r="Q117" s="32">
        <v>204</v>
      </c>
      <c r="R117" s="32" t="s">
        <v>225</v>
      </c>
      <c r="S117" s="32">
        <v>6.8056000000000001</v>
      </c>
      <c r="T117" s="32">
        <v>0</v>
      </c>
      <c r="U117" s="32">
        <v>1.1200681320000001</v>
      </c>
      <c r="V117" s="32">
        <v>4</v>
      </c>
      <c r="W117" s="32">
        <v>0.87610600000000005</v>
      </c>
      <c r="X117" s="32">
        <v>2.8851000000000002E-2</v>
      </c>
      <c r="Y117" s="32">
        <v>0.79946499999999998</v>
      </c>
      <c r="Z117" s="32">
        <v>0.281389</v>
      </c>
      <c r="AA117" s="32">
        <v>32.9</v>
      </c>
      <c r="AB117" s="32">
        <v>855</v>
      </c>
      <c r="AC117" s="32">
        <v>42</v>
      </c>
      <c r="AD117" s="32">
        <v>44</v>
      </c>
      <c r="AE117" s="32" t="s">
        <v>200</v>
      </c>
      <c r="AF117" s="32" t="s">
        <v>200</v>
      </c>
      <c r="AG117" s="32" t="s">
        <v>200</v>
      </c>
    </row>
    <row r="118" spans="1:33">
      <c r="A118" s="32" t="s">
        <v>650</v>
      </c>
      <c r="B118" s="32" t="s">
        <v>88</v>
      </c>
      <c r="C118" s="32" t="s">
        <v>651</v>
      </c>
      <c r="D118" s="32" t="s">
        <v>652</v>
      </c>
      <c r="E118" s="32" t="s">
        <v>653</v>
      </c>
      <c r="F118" s="32" t="s">
        <v>654</v>
      </c>
      <c r="G118" s="32" t="s">
        <v>655</v>
      </c>
      <c r="H118" s="32" t="s">
        <v>656</v>
      </c>
      <c r="I118" s="32" t="s">
        <v>198</v>
      </c>
      <c r="J118" s="32" t="s">
        <v>199</v>
      </c>
      <c r="K118" s="32">
        <v>2.6742919999999999</v>
      </c>
      <c r="L118" s="33">
        <v>1802</v>
      </c>
      <c r="M118" s="32">
        <v>370</v>
      </c>
      <c r="N118" s="32">
        <v>358</v>
      </c>
      <c r="O118" s="32">
        <v>547</v>
      </c>
      <c r="P118" s="32">
        <v>373</v>
      </c>
      <c r="Q118" s="32">
        <v>154</v>
      </c>
      <c r="R118" s="32">
        <v>5</v>
      </c>
      <c r="S118" s="32">
        <v>40.066499999999998</v>
      </c>
      <c r="T118" s="32">
        <v>2.8621500000000002</v>
      </c>
      <c r="U118" s="32">
        <v>1.185670193</v>
      </c>
      <c r="V118" s="32">
        <v>1</v>
      </c>
      <c r="W118" s="32">
        <v>0.90871500000000005</v>
      </c>
      <c r="X118" s="32">
        <v>0.20735899999999999</v>
      </c>
      <c r="Y118" s="32">
        <v>0.70151200000000002</v>
      </c>
      <c r="Z118" s="32">
        <v>0.87333300000000003</v>
      </c>
      <c r="AA118" s="32">
        <v>50.3</v>
      </c>
      <c r="AB118" s="32">
        <v>216</v>
      </c>
      <c r="AC118" s="32">
        <v>12</v>
      </c>
      <c r="AD118" s="32">
        <v>13</v>
      </c>
      <c r="AE118" s="32">
        <v>0</v>
      </c>
      <c r="AF118" s="32">
        <v>0</v>
      </c>
      <c r="AG118" s="32">
        <v>0</v>
      </c>
    </row>
    <row r="119" spans="1:33">
      <c r="A119" s="32" t="s">
        <v>657</v>
      </c>
      <c r="B119" s="32" t="s">
        <v>88</v>
      </c>
      <c r="C119" s="32" t="s">
        <v>658</v>
      </c>
      <c r="D119" s="32" t="s">
        <v>659</v>
      </c>
      <c r="E119" s="32" t="s">
        <v>660</v>
      </c>
      <c r="F119" s="32" t="s">
        <v>661</v>
      </c>
      <c r="G119" s="32" t="s">
        <v>655</v>
      </c>
      <c r="H119" s="32" t="s">
        <v>656</v>
      </c>
      <c r="I119" s="32" t="s">
        <v>198</v>
      </c>
      <c r="J119" s="32" t="s">
        <v>199</v>
      </c>
      <c r="K119" s="32">
        <v>2.412185</v>
      </c>
      <c r="L119" s="33">
        <v>1439</v>
      </c>
      <c r="M119" s="32">
        <v>148</v>
      </c>
      <c r="N119" s="32">
        <v>353</v>
      </c>
      <c r="O119" s="32">
        <v>654</v>
      </c>
      <c r="P119" s="32">
        <v>214</v>
      </c>
      <c r="Q119" s="32">
        <v>70</v>
      </c>
      <c r="R119" s="32" t="s">
        <v>302</v>
      </c>
      <c r="S119" s="32">
        <v>39.780700000000003</v>
      </c>
      <c r="T119" s="32">
        <v>24.2014</v>
      </c>
      <c r="U119" s="32">
        <v>0.953888179</v>
      </c>
      <c r="V119" s="32">
        <v>3</v>
      </c>
      <c r="W119" s="32">
        <v>0.9</v>
      </c>
      <c r="X119" s="32">
        <v>4.0677999999999999E-2</v>
      </c>
      <c r="Y119" s="32">
        <v>0.7</v>
      </c>
      <c r="Z119" s="32">
        <v>0.76861900000000005</v>
      </c>
      <c r="AA119" s="32">
        <v>29.5</v>
      </c>
      <c r="AB119" s="32">
        <v>211</v>
      </c>
      <c r="AC119" s="32">
        <v>23</v>
      </c>
      <c r="AD119" s="32">
        <v>17</v>
      </c>
      <c r="AE119" s="32">
        <v>0</v>
      </c>
      <c r="AF119" s="32">
        <v>0</v>
      </c>
      <c r="AG119" s="32" t="s">
        <v>200</v>
      </c>
    </row>
    <row r="120" spans="1:33">
      <c r="A120" s="32" t="s">
        <v>662</v>
      </c>
      <c r="B120" s="32" t="s">
        <v>88</v>
      </c>
      <c r="C120" s="32" t="s">
        <v>663</v>
      </c>
      <c r="D120" s="32" t="s">
        <v>664</v>
      </c>
      <c r="E120" s="32" t="s">
        <v>660</v>
      </c>
      <c r="F120" s="32" t="s">
        <v>661</v>
      </c>
      <c r="G120" s="32" t="s">
        <v>655</v>
      </c>
      <c r="H120" s="32" t="s">
        <v>656</v>
      </c>
      <c r="I120" s="32" t="s">
        <v>198</v>
      </c>
      <c r="J120" s="32" t="s">
        <v>199</v>
      </c>
      <c r="K120" s="32">
        <v>2.4848919999999999</v>
      </c>
      <c r="L120" s="33">
        <v>1722</v>
      </c>
      <c r="M120" s="32">
        <v>309</v>
      </c>
      <c r="N120" s="32">
        <v>461</v>
      </c>
      <c r="O120" s="32">
        <v>540</v>
      </c>
      <c r="P120" s="32">
        <v>297</v>
      </c>
      <c r="Q120" s="32">
        <v>115</v>
      </c>
      <c r="R120" s="32" t="s">
        <v>302</v>
      </c>
      <c r="S120" s="32">
        <v>50.633000000000003</v>
      </c>
      <c r="T120" s="32">
        <v>5.1069899999999997</v>
      </c>
      <c r="U120" s="32">
        <v>1.0438743559999999</v>
      </c>
      <c r="V120" s="32">
        <v>2</v>
      </c>
      <c r="W120" s="32">
        <v>0.91222999999999999</v>
      </c>
      <c r="X120" s="32">
        <v>0.2</v>
      </c>
      <c r="Y120" s="32">
        <v>0.7</v>
      </c>
      <c r="Z120" s="32">
        <v>0.71054499999999998</v>
      </c>
      <c r="AA120" s="32">
        <v>43.3</v>
      </c>
      <c r="AB120" s="32">
        <v>250</v>
      </c>
      <c r="AC120" s="32">
        <v>21</v>
      </c>
      <c r="AD120" s="32">
        <v>14</v>
      </c>
      <c r="AE120" s="32">
        <v>0</v>
      </c>
      <c r="AF120" s="32">
        <v>0</v>
      </c>
      <c r="AG120" s="32" t="s">
        <v>200</v>
      </c>
    </row>
    <row r="121" spans="1:33">
      <c r="A121" s="32" t="s">
        <v>665</v>
      </c>
      <c r="B121" s="32" t="s">
        <v>88</v>
      </c>
      <c r="C121" s="32" t="s">
        <v>666</v>
      </c>
      <c r="D121" s="32" t="s">
        <v>667</v>
      </c>
      <c r="E121" s="32" t="s">
        <v>660</v>
      </c>
      <c r="F121" s="32" t="s">
        <v>661</v>
      </c>
      <c r="G121" s="32" t="s">
        <v>655</v>
      </c>
      <c r="H121" s="32" t="s">
        <v>656</v>
      </c>
      <c r="I121" s="32" t="s">
        <v>198</v>
      </c>
      <c r="J121" s="32" t="s">
        <v>199</v>
      </c>
      <c r="K121" s="32">
        <v>2.5415030000000001</v>
      </c>
      <c r="L121" s="33">
        <v>1907</v>
      </c>
      <c r="M121" s="32">
        <v>181</v>
      </c>
      <c r="N121" s="32">
        <v>576</v>
      </c>
      <c r="O121" s="32">
        <v>744</v>
      </c>
      <c r="P121" s="32">
        <v>304</v>
      </c>
      <c r="Q121" s="32">
        <v>102</v>
      </c>
      <c r="R121" s="32" t="s">
        <v>668</v>
      </c>
      <c r="S121" s="32">
        <v>61.465800000000002</v>
      </c>
      <c r="T121" s="32">
        <v>36.224400000000003</v>
      </c>
      <c r="U121" s="32">
        <v>0.72286073100000003</v>
      </c>
      <c r="V121" s="32">
        <v>5</v>
      </c>
      <c r="W121" s="32">
        <v>0.91960799999999998</v>
      </c>
      <c r="X121" s="32">
        <v>0.15973599999999999</v>
      </c>
      <c r="Y121" s="32">
        <v>0.7</v>
      </c>
      <c r="Z121" s="32">
        <v>0.77719899999999997</v>
      </c>
      <c r="AA121" s="32">
        <v>24.7</v>
      </c>
      <c r="AB121" s="32">
        <v>236</v>
      </c>
      <c r="AC121" s="32">
        <v>18</v>
      </c>
      <c r="AD121" s="32">
        <v>15</v>
      </c>
      <c r="AE121" s="32">
        <v>0</v>
      </c>
      <c r="AF121" s="32">
        <v>0</v>
      </c>
      <c r="AG121" s="32">
        <v>0</v>
      </c>
    </row>
    <row r="122" spans="1:33">
      <c r="A122" s="32" t="s">
        <v>669</v>
      </c>
      <c r="B122" s="32" t="s">
        <v>88</v>
      </c>
      <c r="C122" s="32" t="s">
        <v>670</v>
      </c>
      <c r="D122" s="32" t="s">
        <v>671</v>
      </c>
      <c r="E122" s="32" t="s">
        <v>653</v>
      </c>
      <c r="F122" s="32" t="s">
        <v>654</v>
      </c>
      <c r="G122" s="32" t="s">
        <v>655</v>
      </c>
      <c r="H122" s="32" t="s">
        <v>656</v>
      </c>
      <c r="I122" s="32" t="s">
        <v>198</v>
      </c>
      <c r="J122" s="32" t="s">
        <v>199</v>
      </c>
      <c r="K122" s="32">
        <v>2.9202949999999999</v>
      </c>
      <c r="L122" s="33">
        <v>1524</v>
      </c>
      <c r="M122" s="32">
        <v>448</v>
      </c>
      <c r="N122" s="32">
        <v>235</v>
      </c>
      <c r="O122" s="32">
        <v>394</v>
      </c>
      <c r="P122" s="32">
        <v>307</v>
      </c>
      <c r="Q122" s="32">
        <v>140</v>
      </c>
      <c r="R122" s="32">
        <v>3</v>
      </c>
      <c r="S122" s="32">
        <v>24.819400000000002</v>
      </c>
      <c r="T122" s="32">
        <v>0</v>
      </c>
      <c r="U122" s="32">
        <v>0.99512676600000005</v>
      </c>
      <c r="V122" s="32">
        <v>1</v>
      </c>
      <c r="W122" s="32">
        <v>0.91476000000000002</v>
      </c>
      <c r="X122" s="32">
        <v>0.35203000000000001</v>
      </c>
      <c r="Y122" s="32">
        <v>0.8</v>
      </c>
      <c r="Z122" s="32">
        <v>0.86444399999999999</v>
      </c>
      <c r="AA122" s="32">
        <v>56.9</v>
      </c>
      <c r="AB122" s="32">
        <v>249</v>
      </c>
      <c r="AC122" s="32">
        <v>20</v>
      </c>
      <c r="AD122" s="32">
        <v>8</v>
      </c>
      <c r="AE122" s="32">
        <v>0</v>
      </c>
      <c r="AF122" s="32">
        <v>0</v>
      </c>
      <c r="AG122" s="32" t="s">
        <v>200</v>
      </c>
    </row>
    <row r="123" spans="1:33">
      <c r="A123" s="32" t="s">
        <v>672</v>
      </c>
      <c r="B123" s="32" t="s">
        <v>88</v>
      </c>
      <c r="C123" s="32" t="s">
        <v>673</v>
      </c>
      <c r="D123" s="32" t="s">
        <v>674</v>
      </c>
      <c r="E123" s="32" t="s">
        <v>653</v>
      </c>
      <c r="F123" s="32" t="s">
        <v>654</v>
      </c>
      <c r="G123" s="32" t="s">
        <v>655</v>
      </c>
      <c r="H123" s="32" t="s">
        <v>656</v>
      </c>
      <c r="I123" s="32" t="s">
        <v>198</v>
      </c>
      <c r="J123" s="32" t="s">
        <v>199</v>
      </c>
      <c r="K123" s="32">
        <v>2.9166080000000001</v>
      </c>
      <c r="L123" s="33">
        <v>1702</v>
      </c>
      <c r="M123" s="32">
        <v>392</v>
      </c>
      <c r="N123" s="32">
        <v>312</v>
      </c>
      <c r="O123" s="32">
        <v>441</v>
      </c>
      <c r="P123" s="32">
        <v>375</v>
      </c>
      <c r="Q123" s="32">
        <v>182</v>
      </c>
      <c r="R123" s="32" t="s">
        <v>302</v>
      </c>
      <c r="S123" s="32">
        <v>35.018300000000004</v>
      </c>
      <c r="T123" s="32">
        <v>22.3537</v>
      </c>
      <c r="U123" s="32">
        <v>1.039520614</v>
      </c>
      <c r="V123" s="32">
        <v>1</v>
      </c>
      <c r="W123" s="32">
        <v>0.912721</v>
      </c>
      <c r="X123" s="32">
        <v>0.361566</v>
      </c>
      <c r="Y123" s="32">
        <v>0.76142900000000002</v>
      </c>
      <c r="Z123" s="32">
        <v>0.86549299999999996</v>
      </c>
      <c r="AA123" s="32">
        <v>58.7</v>
      </c>
      <c r="AB123" s="32">
        <v>258</v>
      </c>
      <c r="AC123" s="32">
        <v>24</v>
      </c>
      <c r="AD123" s="32">
        <v>14</v>
      </c>
      <c r="AE123" s="32" t="s">
        <v>200</v>
      </c>
      <c r="AF123" s="32">
        <v>0</v>
      </c>
      <c r="AG123" s="32">
        <v>5</v>
      </c>
    </row>
    <row r="124" spans="1:33">
      <c r="A124" s="32" t="s">
        <v>675</v>
      </c>
      <c r="B124" s="32" t="s">
        <v>88</v>
      </c>
      <c r="C124" s="32" t="s">
        <v>676</v>
      </c>
      <c r="D124" s="32" t="s">
        <v>677</v>
      </c>
      <c r="E124" s="32" t="s">
        <v>678</v>
      </c>
      <c r="F124" s="32" t="s">
        <v>679</v>
      </c>
      <c r="G124" s="32" t="s">
        <v>461</v>
      </c>
      <c r="H124" s="32" t="s">
        <v>462</v>
      </c>
      <c r="I124" s="32" t="s">
        <v>198</v>
      </c>
      <c r="J124" s="32" t="s">
        <v>199</v>
      </c>
      <c r="K124" s="32">
        <v>2.611462</v>
      </c>
      <c r="L124" s="33">
        <v>1844</v>
      </c>
      <c r="M124" s="32">
        <v>224</v>
      </c>
      <c r="N124" s="32">
        <v>468</v>
      </c>
      <c r="O124" s="32">
        <v>621</v>
      </c>
      <c r="P124" s="32">
        <v>396</v>
      </c>
      <c r="Q124" s="32">
        <v>135</v>
      </c>
      <c r="R124" s="32" t="s">
        <v>302</v>
      </c>
      <c r="S124" s="32">
        <v>63.570999999999998</v>
      </c>
      <c r="T124" s="32">
        <v>11.288500000000001</v>
      </c>
      <c r="U124" s="32">
        <v>0.97004912499999996</v>
      </c>
      <c r="V124" s="32">
        <v>2</v>
      </c>
      <c r="W124" s="32">
        <v>0.90779200000000004</v>
      </c>
      <c r="X124" s="32">
        <v>0.35394100000000001</v>
      </c>
      <c r="Y124" s="32">
        <v>0.7</v>
      </c>
      <c r="Z124" s="32">
        <v>0.65081699999999998</v>
      </c>
      <c r="AA124" s="32">
        <v>34.700000000000003</v>
      </c>
      <c r="AB124" s="32">
        <v>328</v>
      </c>
      <c r="AC124" s="32">
        <v>42</v>
      </c>
      <c r="AD124" s="32">
        <v>19</v>
      </c>
      <c r="AE124" s="32">
        <v>0</v>
      </c>
      <c r="AF124" s="32" t="s">
        <v>200</v>
      </c>
      <c r="AG124" s="32">
        <v>0</v>
      </c>
    </row>
    <row r="125" spans="1:33">
      <c r="A125" s="32" t="s">
        <v>680</v>
      </c>
      <c r="B125" s="32" t="s">
        <v>88</v>
      </c>
      <c r="C125" s="32" t="s">
        <v>681</v>
      </c>
      <c r="D125" s="32" t="s">
        <v>682</v>
      </c>
      <c r="E125" s="32" t="s">
        <v>683</v>
      </c>
      <c r="F125" s="32" t="s">
        <v>684</v>
      </c>
      <c r="G125" s="32" t="s">
        <v>461</v>
      </c>
      <c r="H125" s="32" t="s">
        <v>462</v>
      </c>
      <c r="I125" s="32" t="s">
        <v>198</v>
      </c>
      <c r="J125" s="32" t="s">
        <v>199</v>
      </c>
      <c r="K125" s="32">
        <v>2.5902829999999999</v>
      </c>
      <c r="L125" s="33">
        <v>1911</v>
      </c>
      <c r="M125" s="32">
        <v>321</v>
      </c>
      <c r="N125" s="32">
        <v>354</v>
      </c>
      <c r="O125" s="32">
        <v>471</v>
      </c>
      <c r="P125" s="32">
        <v>459</v>
      </c>
      <c r="Q125" s="32">
        <v>306</v>
      </c>
      <c r="R125" s="32">
        <v>4</v>
      </c>
      <c r="S125" s="32">
        <v>33.326000000000001</v>
      </c>
      <c r="T125" s="32">
        <v>4.7173800000000004</v>
      </c>
      <c r="U125" s="32">
        <v>1.0357283420000001</v>
      </c>
      <c r="V125" s="32">
        <v>3</v>
      </c>
      <c r="W125" s="32">
        <v>0.9083</v>
      </c>
      <c r="X125" s="32">
        <v>0.210121</v>
      </c>
      <c r="Y125" s="32">
        <v>0.76282799999999995</v>
      </c>
      <c r="Z125" s="32">
        <v>0.7</v>
      </c>
      <c r="AA125" s="32">
        <v>53.3</v>
      </c>
      <c r="AB125" s="32">
        <v>313</v>
      </c>
      <c r="AC125" s="32">
        <v>42</v>
      </c>
      <c r="AD125" s="32">
        <v>31</v>
      </c>
      <c r="AE125" s="32">
        <v>6</v>
      </c>
      <c r="AF125" s="32">
        <v>0</v>
      </c>
      <c r="AG125" s="32" t="s">
        <v>200</v>
      </c>
    </row>
    <row r="126" spans="1:33">
      <c r="A126" s="32" t="s">
        <v>685</v>
      </c>
      <c r="B126" s="32" t="s">
        <v>88</v>
      </c>
      <c r="C126" s="32" t="s">
        <v>686</v>
      </c>
      <c r="D126" s="32" t="s">
        <v>687</v>
      </c>
      <c r="E126" s="32" t="s">
        <v>688</v>
      </c>
      <c r="F126" s="32" t="s">
        <v>689</v>
      </c>
      <c r="G126" s="32" t="s">
        <v>461</v>
      </c>
      <c r="H126" s="32" t="s">
        <v>462</v>
      </c>
      <c r="I126" s="32" t="s">
        <v>198</v>
      </c>
      <c r="J126" s="32" t="s">
        <v>199</v>
      </c>
      <c r="K126" s="32">
        <v>2.5794389999999998</v>
      </c>
      <c r="L126" s="33">
        <v>1876</v>
      </c>
      <c r="M126" s="32">
        <v>427</v>
      </c>
      <c r="N126" s="32">
        <v>388</v>
      </c>
      <c r="O126" s="32">
        <v>451</v>
      </c>
      <c r="P126" s="32">
        <v>423</v>
      </c>
      <c r="Q126" s="32">
        <v>187</v>
      </c>
      <c r="R126" s="32">
        <v>5</v>
      </c>
      <c r="S126" s="32">
        <v>29.607800000000001</v>
      </c>
      <c r="T126" s="32">
        <v>14.478199999999999</v>
      </c>
      <c r="U126" s="32">
        <v>1.044344795</v>
      </c>
      <c r="V126" s="32">
        <v>2</v>
      </c>
      <c r="W126" s="32">
        <v>0.90373800000000004</v>
      </c>
      <c r="X126" s="32">
        <v>0.128806</v>
      </c>
      <c r="Y126" s="32">
        <v>0.77458800000000005</v>
      </c>
      <c r="Z126" s="32">
        <v>0.76934000000000002</v>
      </c>
      <c r="AA126" s="32">
        <v>53.9</v>
      </c>
      <c r="AB126" s="32">
        <v>376</v>
      </c>
      <c r="AC126" s="32">
        <v>18</v>
      </c>
      <c r="AD126" s="32">
        <v>28</v>
      </c>
      <c r="AE126" s="32">
        <v>0</v>
      </c>
      <c r="AF126" s="32" t="s">
        <v>200</v>
      </c>
      <c r="AG126" s="32">
        <v>0</v>
      </c>
    </row>
    <row r="127" spans="1:33">
      <c r="A127" s="32" t="s">
        <v>690</v>
      </c>
      <c r="B127" s="32" t="s">
        <v>88</v>
      </c>
      <c r="C127" s="32" t="s">
        <v>691</v>
      </c>
      <c r="D127" s="32" t="s">
        <v>692</v>
      </c>
      <c r="E127" s="32" t="s">
        <v>688</v>
      </c>
      <c r="F127" s="32" t="s">
        <v>689</v>
      </c>
      <c r="G127" s="32" t="s">
        <v>461</v>
      </c>
      <c r="H127" s="32" t="s">
        <v>462</v>
      </c>
      <c r="I127" s="32" t="s">
        <v>198</v>
      </c>
      <c r="J127" s="32" t="s">
        <v>199</v>
      </c>
      <c r="K127" s="32">
        <v>2.6526519999999998</v>
      </c>
      <c r="L127" s="33">
        <v>1858</v>
      </c>
      <c r="M127" s="32">
        <v>439</v>
      </c>
      <c r="N127" s="32">
        <v>344</v>
      </c>
      <c r="O127" s="32">
        <v>450</v>
      </c>
      <c r="P127" s="32">
        <v>481</v>
      </c>
      <c r="Q127" s="32">
        <v>144</v>
      </c>
      <c r="R127" s="32">
        <v>3</v>
      </c>
      <c r="S127" s="32">
        <v>18.911000000000001</v>
      </c>
      <c r="T127" s="32">
        <v>5.9750699999999997</v>
      </c>
      <c r="U127" s="32">
        <v>1.011647467</v>
      </c>
      <c r="V127" s="32">
        <v>2</v>
      </c>
      <c r="W127" s="32">
        <v>0.91098500000000004</v>
      </c>
      <c r="X127" s="32">
        <v>0.25931599999999999</v>
      </c>
      <c r="Y127" s="32">
        <v>0.79398500000000005</v>
      </c>
      <c r="Z127" s="32">
        <v>0.712121</v>
      </c>
      <c r="AA127" s="32">
        <v>53.7</v>
      </c>
      <c r="AB127" s="32">
        <v>291</v>
      </c>
      <c r="AC127" s="32">
        <v>17</v>
      </c>
      <c r="AD127" s="32">
        <v>29</v>
      </c>
      <c r="AE127" s="32">
        <v>0</v>
      </c>
      <c r="AF127" s="32">
        <v>0</v>
      </c>
      <c r="AG127" s="32" t="s">
        <v>200</v>
      </c>
    </row>
    <row r="128" spans="1:33">
      <c r="A128" s="32" t="s">
        <v>693</v>
      </c>
      <c r="B128" s="32" t="s">
        <v>88</v>
      </c>
      <c r="C128" s="32" t="s">
        <v>694</v>
      </c>
      <c r="D128" s="32" t="s">
        <v>695</v>
      </c>
      <c r="E128" s="32" t="s">
        <v>688</v>
      </c>
      <c r="F128" s="32" t="s">
        <v>689</v>
      </c>
      <c r="G128" s="32" t="s">
        <v>461</v>
      </c>
      <c r="H128" s="32" t="s">
        <v>462</v>
      </c>
      <c r="I128" s="32" t="s">
        <v>198</v>
      </c>
      <c r="J128" s="32" t="s">
        <v>199</v>
      </c>
      <c r="K128" s="32">
        <v>2.6415190000000002</v>
      </c>
      <c r="L128" s="33">
        <v>2686</v>
      </c>
      <c r="M128" s="32">
        <v>477</v>
      </c>
      <c r="N128" s="32">
        <v>775</v>
      </c>
      <c r="O128" s="32">
        <v>777</v>
      </c>
      <c r="P128" s="32">
        <v>495</v>
      </c>
      <c r="Q128" s="32">
        <v>162</v>
      </c>
      <c r="R128" s="32">
        <v>3</v>
      </c>
      <c r="S128" s="32">
        <v>21.6294</v>
      </c>
      <c r="T128" s="32">
        <v>3.79176</v>
      </c>
      <c r="U128" s="32">
        <v>0.94529863700000005</v>
      </c>
      <c r="V128" s="32">
        <v>3</v>
      </c>
      <c r="W128" s="32">
        <v>0.903393</v>
      </c>
      <c r="X128" s="32">
        <v>0.11341900000000001</v>
      </c>
      <c r="Y128" s="32">
        <v>0.8</v>
      </c>
      <c r="Z128" s="32">
        <v>0.81621200000000005</v>
      </c>
      <c r="AA128" s="32">
        <v>43.7</v>
      </c>
      <c r="AB128" s="32">
        <v>426</v>
      </c>
      <c r="AC128" s="32">
        <v>38</v>
      </c>
      <c r="AD128" s="32">
        <v>74</v>
      </c>
      <c r="AE128" s="32">
        <v>13</v>
      </c>
      <c r="AF128" s="32" t="s">
        <v>200</v>
      </c>
      <c r="AG128" s="32" t="s">
        <v>200</v>
      </c>
    </row>
    <row r="129" spans="1:33">
      <c r="A129" s="32" t="s">
        <v>696</v>
      </c>
      <c r="B129" s="32" t="s">
        <v>88</v>
      </c>
      <c r="C129" s="32" t="s">
        <v>697</v>
      </c>
      <c r="D129" s="32" t="s">
        <v>698</v>
      </c>
      <c r="E129" s="32" t="s">
        <v>699</v>
      </c>
      <c r="F129" s="32" t="s">
        <v>700</v>
      </c>
      <c r="G129" s="32" t="s">
        <v>461</v>
      </c>
      <c r="H129" s="32" t="s">
        <v>462</v>
      </c>
      <c r="I129" s="32" t="s">
        <v>198</v>
      </c>
      <c r="J129" s="32" t="s">
        <v>199</v>
      </c>
      <c r="K129" s="32">
        <v>2.4794040000000002</v>
      </c>
      <c r="L129" s="33">
        <v>1660</v>
      </c>
      <c r="M129" s="32">
        <v>211</v>
      </c>
      <c r="N129" s="32">
        <v>375</v>
      </c>
      <c r="O129" s="32">
        <v>599</v>
      </c>
      <c r="P129" s="32">
        <v>324</v>
      </c>
      <c r="Q129" s="32">
        <v>151</v>
      </c>
      <c r="R129" s="32" t="s">
        <v>668</v>
      </c>
      <c r="S129" s="32">
        <v>63.709699999999998</v>
      </c>
      <c r="T129" s="32">
        <v>27.729299999999999</v>
      </c>
      <c r="U129" s="32">
        <v>0.84520052300000004</v>
      </c>
      <c r="V129" s="32">
        <v>3</v>
      </c>
      <c r="W129" s="32">
        <v>0.90818900000000002</v>
      </c>
      <c r="X129" s="32">
        <v>0.222943</v>
      </c>
      <c r="Y129" s="32">
        <v>0.7</v>
      </c>
      <c r="Z129" s="32">
        <v>0.63124999999999998</v>
      </c>
      <c r="AA129" s="32">
        <v>25.3</v>
      </c>
      <c r="AB129" s="32">
        <v>273</v>
      </c>
      <c r="AC129" s="32">
        <v>19</v>
      </c>
      <c r="AD129" s="32">
        <v>22</v>
      </c>
      <c r="AE129" s="32" t="s">
        <v>200</v>
      </c>
      <c r="AF129" s="32">
        <v>0</v>
      </c>
      <c r="AG129" s="32">
        <v>0</v>
      </c>
    </row>
    <row r="130" spans="1:33">
      <c r="A130" s="32" t="s">
        <v>701</v>
      </c>
      <c r="B130" s="32" t="s">
        <v>88</v>
      </c>
      <c r="C130" s="32" t="s">
        <v>702</v>
      </c>
      <c r="D130" s="32" t="s">
        <v>703</v>
      </c>
      <c r="E130" s="32" t="s">
        <v>704</v>
      </c>
      <c r="F130" s="32" t="s">
        <v>705</v>
      </c>
      <c r="G130" s="32" t="s">
        <v>461</v>
      </c>
      <c r="H130" s="32" t="s">
        <v>462</v>
      </c>
      <c r="I130" s="32" t="s">
        <v>198</v>
      </c>
      <c r="J130" s="32" t="s">
        <v>199</v>
      </c>
      <c r="K130" s="32">
        <v>2.5982889999999998</v>
      </c>
      <c r="L130" s="33">
        <v>2127</v>
      </c>
      <c r="M130" s="32">
        <v>366</v>
      </c>
      <c r="N130" s="32">
        <v>575</v>
      </c>
      <c r="O130" s="32">
        <v>466</v>
      </c>
      <c r="P130" s="32">
        <v>443</v>
      </c>
      <c r="Q130" s="32">
        <v>277</v>
      </c>
      <c r="R130" s="32" t="s">
        <v>302</v>
      </c>
      <c r="S130" s="32">
        <v>45.510899999999999</v>
      </c>
      <c r="T130" s="32">
        <v>23.158999999999999</v>
      </c>
      <c r="U130" s="32">
        <v>1.003836162</v>
      </c>
      <c r="V130" s="32">
        <v>2</v>
      </c>
      <c r="W130" s="32">
        <v>0.91216699999999995</v>
      </c>
      <c r="X130" s="32">
        <v>0.26233299999999998</v>
      </c>
      <c r="Y130" s="32">
        <v>0.7</v>
      </c>
      <c r="Z130" s="32">
        <v>0.73396600000000001</v>
      </c>
      <c r="AA130" s="32">
        <v>53.3</v>
      </c>
      <c r="AB130" s="32">
        <v>285</v>
      </c>
      <c r="AC130" s="32">
        <v>30</v>
      </c>
      <c r="AD130" s="32">
        <v>54</v>
      </c>
      <c r="AE130" s="32">
        <v>13</v>
      </c>
      <c r="AF130" s="32" t="s">
        <v>200</v>
      </c>
      <c r="AG130" s="32" t="s">
        <v>200</v>
      </c>
    </row>
    <row r="131" spans="1:33">
      <c r="A131" s="32" t="s">
        <v>706</v>
      </c>
      <c r="B131" s="32" t="s">
        <v>88</v>
      </c>
      <c r="C131" s="32" t="s">
        <v>707</v>
      </c>
      <c r="D131" s="32" t="s">
        <v>708</v>
      </c>
      <c r="E131" s="32" t="s">
        <v>709</v>
      </c>
      <c r="F131" s="32" t="s">
        <v>710</v>
      </c>
      <c r="G131" s="32" t="s">
        <v>461</v>
      </c>
      <c r="H131" s="32" t="s">
        <v>462</v>
      </c>
      <c r="I131" s="32" t="s">
        <v>198</v>
      </c>
      <c r="J131" s="32" t="s">
        <v>199</v>
      </c>
      <c r="K131" s="32">
        <v>2.473938</v>
      </c>
      <c r="L131" s="33">
        <v>1792</v>
      </c>
      <c r="M131" s="32">
        <v>383</v>
      </c>
      <c r="N131" s="32">
        <v>344</v>
      </c>
      <c r="O131" s="32">
        <v>507</v>
      </c>
      <c r="P131" s="32">
        <v>394</v>
      </c>
      <c r="Q131" s="32">
        <v>164</v>
      </c>
      <c r="R131" s="32">
        <v>5</v>
      </c>
      <c r="S131" s="32">
        <v>39.879600000000003</v>
      </c>
      <c r="T131" s="32">
        <v>12.974500000000001</v>
      </c>
      <c r="U131" s="32">
        <v>1.164886157</v>
      </c>
      <c r="V131" s="32">
        <v>2</v>
      </c>
      <c r="W131" s="32">
        <v>0.90481599999999995</v>
      </c>
      <c r="X131" s="32">
        <v>0.15662000000000001</v>
      </c>
      <c r="Y131" s="32">
        <v>0.70591499999999996</v>
      </c>
      <c r="Z131" s="32">
        <v>0.7</v>
      </c>
      <c r="AA131" s="32">
        <v>50.3</v>
      </c>
      <c r="AB131" s="32">
        <v>325</v>
      </c>
      <c r="AC131" s="32">
        <v>18</v>
      </c>
      <c r="AD131" s="32">
        <v>17</v>
      </c>
      <c r="AE131" s="32">
        <v>0</v>
      </c>
      <c r="AF131" s="32">
        <v>0</v>
      </c>
      <c r="AG131" s="32">
        <v>0</v>
      </c>
    </row>
    <row r="132" spans="1:33">
      <c r="A132" s="32" t="s">
        <v>711</v>
      </c>
      <c r="B132" s="32" t="s">
        <v>88</v>
      </c>
      <c r="C132" s="32" t="s">
        <v>712</v>
      </c>
      <c r="D132" s="32" t="s">
        <v>713</v>
      </c>
      <c r="E132" s="32" t="s">
        <v>495</v>
      </c>
      <c r="F132" s="32" t="s">
        <v>496</v>
      </c>
      <c r="G132" s="32" t="s">
        <v>497</v>
      </c>
      <c r="H132" s="32" t="s">
        <v>498</v>
      </c>
      <c r="I132" s="32" t="s">
        <v>198</v>
      </c>
      <c r="J132" s="32" t="s">
        <v>199</v>
      </c>
      <c r="K132" s="32">
        <v>2.9019370000000002</v>
      </c>
      <c r="L132" s="33">
        <v>2254</v>
      </c>
      <c r="M132" s="32">
        <v>282</v>
      </c>
      <c r="N132" s="32">
        <v>858</v>
      </c>
      <c r="O132" s="32">
        <v>568</v>
      </c>
      <c r="P132" s="32">
        <v>367</v>
      </c>
      <c r="Q132" s="32">
        <v>179</v>
      </c>
      <c r="R132" s="32" t="s">
        <v>668</v>
      </c>
      <c r="S132" s="32">
        <v>49.989600000000003</v>
      </c>
      <c r="T132" s="32">
        <v>27.659300000000002</v>
      </c>
      <c r="U132" s="32">
        <v>0.79698863900000005</v>
      </c>
      <c r="V132" s="32">
        <v>3</v>
      </c>
      <c r="W132" s="32">
        <v>0.92082299999999995</v>
      </c>
      <c r="X132" s="32">
        <v>0.301205</v>
      </c>
      <c r="Y132" s="32">
        <v>0.7</v>
      </c>
      <c r="Z132" s="32">
        <v>0.98543700000000001</v>
      </c>
      <c r="AA132" s="32">
        <v>32.700000000000003</v>
      </c>
      <c r="AB132" s="32">
        <v>324</v>
      </c>
      <c r="AC132" s="32">
        <v>24</v>
      </c>
      <c r="AD132" s="32">
        <v>25</v>
      </c>
      <c r="AE132" s="32">
        <v>0</v>
      </c>
      <c r="AF132" s="32" t="s">
        <v>200</v>
      </c>
      <c r="AG132" s="32">
        <v>5</v>
      </c>
    </row>
    <row r="133" spans="1:33">
      <c r="A133" s="32" t="s">
        <v>492</v>
      </c>
      <c r="B133" s="32" t="s">
        <v>88</v>
      </c>
      <c r="C133" s="32" t="s">
        <v>493</v>
      </c>
      <c r="D133" s="32" t="s">
        <v>494</v>
      </c>
      <c r="E133" s="32" t="s">
        <v>495</v>
      </c>
      <c r="F133" s="32" t="s">
        <v>496</v>
      </c>
      <c r="G133" s="32" t="s">
        <v>497</v>
      </c>
      <c r="H133" s="32" t="s">
        <v>498</v>
      </c>
      <c r="I133" s="32" t="s">
        <v>198</v>
      </c>
      <c r="J133" s="32" t="s">
        <v>199</v>
      </c>
      <c r="K133" s="32">
        <v>2.8668529999999999</v>
      </c>
      <c r="L133" s="33">
        <v>3608</v>
      </c>
      <c r="M133" s="32">
        <v>484</v>
      </c>
      <c r="N133" s="33">
        <v>1230</v>
      </c>
      <c r="O133" s="33">
        <v>1146</v>
      </c>
      <c r="P133" s="32">
        <v>554</v>
      </c>
      <c r="Q133" s="32">
        <v>194</v>
      </c>
      <c r="R133" s="32" t="s">
        <v>302</v>
      </c>
      <c r="S133" s="32">
        <v>45.4589</v>
      </c>
      <c r="T133" s="32">
        <v>13.449400000000001</v>
      </c>
      <c r="U133" s="32">
        <v>0.75426987899999998</v>
      </c>
      <c r="V133" s="32">
        <v>4</v>
      </c>
      <c r="W133" s="32">
        <v>0.92327700000000001</v>
      </c>
      <c r="X133" s="32">
        <v>0.30737999999999999</v>
      </c>
      <c r="Y133" s="32">
        <v>0.7</v>
      </c>
      <c r="Z133" s="32">
        <v>0.93461499999999997</v>
      </c>
      <c r="AA133" s="32">
        <v>34.200000000000003</v>
      </c>
      <c r="AB133" s="32">
        <v>339</v>
      </c>
      <c r="AC133" s="32">
        <v>40</v>
      </c>
      <c r="AD133" s="32">
        <v>18</v>
      </c>
      <c r="AE133" s="32">
        <v>0</v>
      </c>
      <c r="AF133" s="32">
        <v>0</v>
      </c>
      <c r="AG133" s="32">
        <v>6</v>
      </c>
    </row>
    <row r="134" spans="1:33">
      <c r="A134" s="32" t="s">
        <v>714</v>
      </c>
      <c r="B134" s="32" t="s">
        <v>88</v>
      </c>
      <c r="C134" s="32" t="s">
        <v>715</v>
      </c>
      <c r="D134" s="32" t="s">
        <v>716</v>
      </c>
      <c r="E134" s="32" t="s">
        <v>717</v>
      </c>
      <c r="F134" s="32" t="s">
        <v>718</v>
      </c>
      <c r="G134" s="32" t="s">
        <v>497</v>
      </c>
      <c r="H134" s="32" t="s">
        <v>498</v>
      </c>
      <c r="I134" s="32" t="s">
        <v>198</v>
      </c>
      <c r="J134" s="32" t="s">
        <v>199</v>
      </c>
      <c r="K134" s="32">
        <v>2.9928400000000002</v>
      </c>
      <c r="L134" s="33">
        <v>1953</v>
      </c>
      <c r="M134" s="32">
        <v>312</v>
      </c>
      <c r="N134" s="32">
        <v>486</v>
      </c>
      <c r="O134" s="32">
        <v>503</v>
      </c>
      <c r="P134" s="32">
        <v>470</v>
      </c>
      <c r="Q134" s="32">
        <v>182</v>
      </c>
      <c r="R134" s="32" t="s">
        <v>668</v>
      </c>
      <c r="S134" s="32">
        <v>52.354399999999998</v>
      </c>
      <c r="T134" s="32">
        <v>23.0871</v>
      </c>
      <c r="U134" s="32">
        <v>1.0808927500000001</v>
      </c>
      <c r="V134" s="32">
        <v>1</v>
      </c>
      <c r="W134" s="32">
        <v>0.91790000000000005</v>
      </c>
      <c r="X134" s="32">
        <v>0.40428599999999998</v>
      </c>
      <c r="Y134" s="32">
        <v>0.7</v>
      </c>
      <c r="Z134" s="32">
        <v>0.94343699999999997</v>
      </c>
      <c r="AA134" s="32">
        <v>50.5</v>
      </c>
      <c r="AB134" s="32">
        <v>274</v>
      </c>
      <c r="AC134" s="32">
        <v>16</v>
      </c>
      <c r="AD134" s="32">
        <v>15</v>
      </c>
      <c r="AE134" s="32">
        <v>0</v>
      </c>
      <c r="AF134" s="32">
        <v>0</v>
      </c>
      <c r="AG134" s="32" t="s">
        <v>200</v>
      </c>
    </row>
    <row r="135" spans="1:33">
      <c r="A135" s="32" t="s">
        <v>719</v>
      </c>
      <c r="B135" s="32" t="s">
        <v>88</v>
      </c>
      <c r="C135" s="32" t="s">
        <v>720</v>
      </c>
      <c r="D135" s="32" t="s">
        <v>721</v>
      </c>
      <c r="E135" s="32" t="s">
        <v>717</v>
      </c>
      <c r="F135" s="32" t="s">
        <v>718</v>
      </c>
      <c r="G135" s="32" t="s">
        <v>497</v>
      </c>
      <c r="H135" s="32" t="s">
        <v>498</v>
      </c>
      <c r="I135" s="32" t="s">
        <v>198</v>
      </c>
      <c r="J135" s="32" t="s">
        <v>199</v>
      </c>
      <c r="K135" s="32">
        <v>2.7767379999999999</v>
      </c>
      <c r="L135" s="33">
        <v>2676</v>
      </c>
      <c r="M135" s="32">
        <v>616</v>
      </c>
      <c r="N135" s="32">
        <v>996</v>
      </c>
      <c r="O135" s="32">
        <v>549</v>
      </c>
      <c r="P135" s="32">
        <v>399</v>
      </c>
      <c r="Q135" s="32">
        <v>116</v>
      </c>
      <c r="R135" s="32" t="s">
        <v>668</v>
      </c>
      <c r="S135" s="32">
        <v>64.159000000000006</v>
      </c>
      <c r="T135" s="32">
        <v>46.577199999999998</v>
      </c>
      <c r="U135" s="32">
        <v>1.306936683</v>
      </c>
      <c r="V135" s="32">
        <v>2</v>
      </c>
      <c r="W135" s="32">
        <v>0.92433200000000004</v>
      </c>
      <c r="X135" s="32">
        <v>0.28064499999999998</v>
      </c>
      <c r="Y135" s="32">
        <v>0.7</v>
      </c>
      <c r="Z135" s="32">
        <v>0.86336900000000005</v>
      </c>
      <c r="AA135" s="32">
        <v>56.7</v>
      </c>
      <c r="AB135" s="32">
        <v>262</v>
      </c>
      <c r="AC135" s="32">
        <v>20</v>
      </c>
      <c r="AD135" s="32">
        <v>21</v>
      </c>
      <c r="AE135" s="32" t="s">
        <v>200</v>
      </c>
      <c r="AF135" s="32" t="s">
        <v>200</v>
      </c>
      <c r="AG135" s="32">
        <v>0</v>
      </c>
    </row>
    <row r="136" spans="1:33">
      <c r="A136" s="32" t="s">
        <v>722</v>
      </c>
      <c r="B136" s="32" t="s">
        <v>88</v>
      </c>
      <c r="C136" s="32" t="s">
        <v>723</v>
      </c>
      <c r="D136" s="32" t="s">
        <v>724</v>
      </c>
      <c r="E136" s="32" t="s">
        <v>531</v>
      </c>
      <c r="F136" s="32" t="s">
        <v>532</v>
      </c>
      <c r="G136" s="32" t="s">
        <v>497</v>
      </c>
      <c r="H136" s="32" t="s">
        <v>498</v>
      </c>
      <c r="I136" s="32" t="s">
        <v>198</v>
      </c>
      <c r="J136" s="32" t="s">
        <v>199</v>
      </c>
      <c r="K136" s="32">
        <v>2.5153620000000001</v>
      </c>
      <c r="L136" s="33">
        <v>2408</v>
      </c>
      <c r="M136" s="32">
        <v>284</v>
      </c>
      <c r="N136" s="32">
        <v>917</v>
      </c>
      <c r="O136" s="32">
        <v>603</v>
      </c>
      <c r="P136" s="32">
        <v>447</v>
      </c>
      <c r="Q136" s="32">
        <v>157</v>
      </c>
      <c r="R136" s="32" t="s">
        <v>668</v>
      </c>
      <c r="S136" s="32">
        <v>67.6755</v>
      </c>
      <c r="T136" s="32">
        <v>37.213799999999999</v>
      </c>
      <c r="U136" s="32">
        <v>1.0241572969999999</v>
      </c>
      <c r="V136" s="32">
        <v>2</v>
      </c>
      <c r="W136" s="32">
        <v>0.90572299999999994</v>
      </c>
      <c r="X136" s="32">
        <v>0.1003</v>
      </c>
      <c r="Y136" s="32">
        <v>0.7</v>
      </c>
      <c r="Z136" s="32">
        <v>0.8</v>
      </c>
      <c r="AA136" s="32">
        <v>40.6</v>
      </c>
      <c r="AB136" s="32">
        <v>293</v>
      </c>
      <c r="AC136" s="32">
        <v>25</v>
      </c>
      <c r="AD136" s="32">
        <v>18</v>
      </c>
      <c r="AE136" s="32">
        <v>0</v>
      </c>
      <c r="AF136" s="32">
        <v>0</v>
      </c>
      <c r="AG136" s="32">
        <v>0</v>
      </c>
    </row>
    <row r="137" spans="1:33">
      <c r="A137" s="32" t="s">
        <v>725</v>
      </c>
      <c r="B137" s="32" t="s">
        <v>88</v>
      </c>
      <c r="C137" s="32" t="s">
        <v>726</v>
      </c>
      <c r="D137" s="32" t="s">
        <v>727</v>
      </c>
      <c r="E137" s="32" t="s">
        <v>717</v>
      </c>
      <c r="F137" s="32" t="s">
        <v>718</v>
      </c>
      <c r="G137" s="32" t="s">
        <v>497</v>
      </c>
      <c r="H137" s="32" t="s">
        <v>498</v>
      </c>
      <c r="I137" s="32" t="s">
        <v>198</v>
      </c>
      <c r="J137" s="32" t="s">
        <v>199</v>
      </c>
      <c r="K137" s="32">
        <v>2.4675319999999998</v>
      </c>
      <c r="L137" s="33">
        <v>1647</v>
      </c>
      <c r="M137" s="32">
        <v>349</v>
      </c>
      <c r="N137" s="32">
        <v>316</v>
      </c>
      <c r="O137" s="32">
        <v>309</v>
      </c>
      <c r="P137" s="32">
        <v>343</v>
      </c>
      <c r="Q137" s="32">
        <v>330</v>
      </c>
      <c r="R137" s="32" t="s">
        <v>302</v>
      </c>
      <c r="S137" s="32">
        <v>40.3401</v>
      </c>
      <c r="T137" s="32">
        <v>2.5383100000000001</v>
      </c>
      <c r="U137" s="32">
        <v>1.2381905719999999</v>
      </c>
      <c r="V137" s="32">
        <v>1</v>
      </c>
      <c r="W137" s="32">
        <v>0.9</v>
      </c>
      <c r="X137" s="32">
        <v>1.7240000000000001E-3</v>
      </c>
      <c r="Y137" s="32">
        <v>0.7</v>
      </c>
      <c r="Z137" s="32">
        <v>0.86422399999999999</v>
      </c>
      <c r="AA137" s="32">
        <v>51.7</v>
      </c>
      <c r="AB137" s="32">
        <v>229</v>
      </c>
      <c r="AC137" s="32">
        <v>9</v>
      </c>
      <c r="AD137" s="32">
        <v>14</v>
      </c>
      <c r="AE137" s="32">
        <v>0</v>
      </c>
      <c r="AF137" s="32" t="s">
        <v>200</v>
      </c>
      <c r="AG137" s="32" t="s">
        <v>200</v>
      </c>
    </row>
    <row r="138" spans="1:33">
      <c r="A138" s="32" t="s">
        <v>728</v>
      </c>
      <c r="B138" s="32" t="s">
        <v>88</v>
      </c>
      <c r="C138" s="32" t="s">
        <v>729</v>
      </c>
      <c r="D138" s="32" t="s">
        <v>730</v>
      </c>
      <c r="E138" s="32" t="s">
        <v>717</v>
      </c>
      <c r="F138" s="32" t="s">
        <v>718</v>
      </c>
      <c r="G138" s="32" t="s">
        <v>497</v>
      </c>
      <c r="H138" s="32" t="s">
        <v>498</v>
      </c>
      <c r="I138" s="32" t="s">
        <v>198</v>
      </c>
      <c r="J138" s="32" t="s">
        <v>199</v>
      </c>
      <c r="K138" s="32">
        <v>2.568924</v>
      </c>
      <c r="L138" s="33">
        <v>2007</v>
      </c>
      <c r="M138" s="32">
        <v>514</v>
      </c>
      <c r="N138" s="32">
        <v>519</v>
      </c>
      <c r="O138" s="32">
        <v>461</v>
      </c>
      <c r="P138" s="32">
        <v>366</v>
      </c>
      <c r="Q138" s="32">
        <v>147</v>
      </c>
      <c r="R138" s="32">
        <v>4</v>
      </c>
      <c r="S138" s="32">
        <v>37.968899999999998</v>
      </c>
      <c r="T138" s="32">
        <v>3.0625900000000001</v>
      </c>
      <c r="U138" s="32">
        <v>1.0360029630000001</v>
      </c>
      <c r="V138" s="32">
        <v>2</v>
      </c>
      <c r="W138" s="32">
        <v>0.90756999999999999</v>
      </c>
      <c r="X138" s="32">
        <v>8.6055999999999994E-2</v>
      </c>
      <c r="Y138" s="32">
        <v>0.7</v>
      </c>
      <c r="Z138" s="32">
        <v>0.87894700000000003</v>
      </c>
      <c r="AA138" s="32">
        <v>50.2</v>
      </c>
      <c r="AB138" s="32">
        <v>274</v>
      </c>
      <c r="AC138" s="32">
        <v>15</v>
      </c>
      <c r="AD138" s="32">
        <v>20</v>
      </c>
      <c r="AE138" s="32">
        <v>0</v>
      </c>
      <c r="AF138" s="32">
        <v>0</v>
      </c>
      <c r="AG138" s="32" t="s">
        <v>200</v>
      </c>
    </row>
    <row r="139" spans="1:33">
      <c r="A139" s="32" t="s">
        <v>731</v>
      </c>
      <c r="B139" s="32" t="s">
        <v>88</v>
      </c>
      <c r="C139" s="32" t="s">
        <v>732</v>
      </c>
      <c r="D139" s="32" t="s">
        <v>733</v>
      </c>
      <c r="E139" s="32" t="s">
        <v>734</v>
      </c>
      <c r="F139" s="32" t="s">
        <v>735</v>
      </c>
      <c r="G139" s="32" t="s">
        <v>497</v>
      </c>
      <c r="H139" s="32" t="s">
        <v>498</v>
      </c>
      <c r="I139" s="32" t="s">
        <v>198</v>
      </c>
      <c r="J139" s="32" t="s">
        <v>199</v>
      </c>
      <c r="K139" s="32">
        <v>2.5788989999999998</v>
      </c>
      <c r="L139" s="33">
        <v>1917</v>
      </c>
      <c r="M139" s="32">
        <v>359</v>
      </c>
      <c r="N139" s="32">
        <v>581</v>
      </c>
      <c r="O139" s="32">
        <v>458</v>
      </c>
      <c r="P139" s="32">
        <v>350</v>
      </c>
      <c r="Q139" s="32">
        <v>169</v>
      </c>
      <c r="R139" s="32" t="s">
        <v>302</v>
      </c>
      <c r="S139" s="32">
        <v>49.6845</v>
      </c>
      <c r="T139" s="32">
        <v>32.508499999999998</v>
      </c>
      <c r="U139" s="32">
        <v>0.62412716700000004</v>
      </c>
      <c r="V139" s="32">
        <v>7</v>
      </c>
      <c r="W139" s="32">
        <v>0.917431</v>
      </c>
      <c r="X139" s="32">
        <v>0.16211200000000001</v>
      </c>
      <c r="Y139" s="32">
        <v>0.7</v>
      </c>
      <c r="Z139" s="32">
        <v>0.79721399999999998</v>
      </c>
      <c r="AA139" s="32">
        <v>24.5</v>
      </c>
      <c r="AB139" s="32">
        <v>283</v>
      </c>
      <c r="AC139" s="32">
        <v>29</v>
      </c>
      <c r="AD139" s="32">
        <v>20</v>
      </c>
      <c r="AE139" s="32">
        <v>0</v>
      </c>
      <c r="AF139" s="32" t="s">
        <v>200</v>
      </c>
      <c r="AG139" s="32">
        <v>0</v>
      </c>
    </row>
    <row r="140" spans="1:33">
      <c r="A140" s="32" t="s">
        <v>736</v>
      </c>
      <c r="B140" s="32" t="s">
        <v>88</v>
      </c>
      <c r="C140" s="32" t="s">
        <v>737</v>
      </c>
      <c r="D140" s="32" t="s">
        <v>738</v>
      </c>
      <c r="E140" s="32" t="s">
        <v>734</v>
      </c>
      <c r="F140" s="32" t="s">
        <v>735</v>
      </c>
      <c r="G140" s="32" t="s">
        <v>497</v>
      </c>
      <c r="H140" s="32" t="s">
        <v>498</v>
      </c>
      <c r="I140" s="32" t="s">
        <v>198</v>
      </c>
      <c r="J140" s="32" t="s">
        <v>199</v>
      </c>
      <c r="K140" s="32">
        <v>2.8710279999999999</v>
      </c>
      <c r="L140" s="33">
        <v>1644</v>
      </c>
      <c r="M140" s="32">
        <v>348</v>
      </c>
      <c r="N140" s="32">
        <v>370</v>
      </c>
      <c r="O140" s="32">
        <v>461</v>
      </c>
      <c r="P140" s="32">
        <v>331</v>
      </c>
      <c r="Q140" s="32">
        <v>134</v>
      </c>
      <c r="R140" s="32" t="s">
        <v>668</v>
      </c>
      <c r="S140" s="32">
        <v>69.031199999999998</v>
      </c>
      <c r="T140" s="32">
        <v>21.2819</v>
      </c>
      <c r="U140" s="32">
        <v>0.98489754399999996</v>
      </c>
      <c r="V140" s="32">
        <v>2</v>
      </c>
      <c r="W140" s="32">
        <v>0.91892499999999999</v>
      </c>
      <c r="X140" s="32">
        <v>0.39351900000000001</v>
      </c>
      <c r="Y140" s="32">
        <v>0.7</v>
      </c>
      <c r="Z140" s="32">
        <v>0.89697700000000002</v>
      </c>
      <c r="AA140" s="32">
        <v>46</v>
      </c>
      <c r="AB140" s="32">
        <v>286</v>
      </c>
      <c r="AC140" s="32">
        <v>11</v>
      </c>
      <c r="AD140" s="32">
        <v>10</v>
      </c>
      <c r="AE140" s="32">
        <v>0</v>
      </c>
      <c r="AF140" s="32" t="s">
        <v>200</v>
      </c>
      <c r="AG140" s="32">
        <v>9</v>
      </c>
    </row>
    <row r="141" spans="1:33">
      <c r="A141" s="32" t="s">
        <v>739</v>
      </c>
      <c r="B141" s="32" t="s">
        <v>88</v>
      </c>
      <c r="C141" s="32" t="s">
        <v>740</v>
      </c>
      <c r="D141" s="32" t="s">
        <v>741</v>
      </c>
      <c r="E141" s="32" t="s">
        <v>717</v>
      </c>
      <c r="F141" s="32" t="s">
        <v>718</v>
      </c>
      <c r="G141" s="32" t="s">
        <v>497</v>
      </c>
      <c r="H141" s="32" t="s">
        <v>498</v>
      </c>
      <c r="I141" s="32" t="s">
        <v>198</v>
      </c>
      <c r="J141" s="32" t="s">
        <v>199</v>
      </c>
      <c r="K141" s="32">
        <v>3.0159180000000001</v>
      </c>
      <c r="L141" s="33">
        <v>2096</v>
      </c>
      <c r="M141" s="32">
        <v>457</v>
      </c>
      <c r="N141" s="32">
        <v>495</v>
      </c>
      <c r="O141" s="32">
        <v>528</v>
      </c>
      <c r="P141" s="32">
        <v>433</v>
      </c>
      <c r="Q141" s="32">
        <v>183</v>
      </c>
      <c r="R141" s="32" t="s">
        <v>302</v>
      </c>
      <c r="S141" s="32">
        <v>46.613399999999999</v>
      </c>
      <c r="T141" s="32">
        <v>8.0489700000000006</v>
      </c>
      <c r="U141" s="32">
        <v>0.92304046799999995</v>
      </c>
      <c r="V141" s="32">
        <v>2</v>
      </c>
      <c r="W141" s="32">
        <v>0.92898000000000003</v>
      </c>
      <c r="X141" s="32">
        <v>0.38755200000000001</v>
      </c>
      <c r="Y141" s="32">
        <v>0.7</v>
      </c>
      <c r="Z141" s="32">
        <v>1</v>
      </c>
      <c r="AA141" s="32">
        <v>50.7</v>
      </c>
      <c r="AB141" s="32">
        <v>246</v>
      </c>
      <c r="AC141" s="32">
        <v>25</v>
      </c>
      <c r="AD141" s="32">
        <v>7</v>
      </c>
      <c r="AE141" s="32">
        <v>0</v>
      </c>
      <c r="AF141" s="32">
        <v>0</v>
      </c>
      <c r="AG141" s="32" t="s">
        <v>200</v>
      </c>
    </row>
    <row r="142" spans="1:33">
      <c r="A142" s="32" t="s">
        <v>742</v>
      </c>
      <c r="B142" s="32" t="s">
        <v>88</v>
      </c>
      <c r="C142" s="32" t="s">
        <v>743</v>
      </c>
      <c r="D142" s="32" t="s">
        <v>744</v>
      </c>
      <c r="E142" s="32" t="s">
        <v>745</v>
      </c>
      <c r="F142" s="32" t="s">
        <v>746</v>
      </c>
      <c r="G142" s="32" t="s">
        <v>497</v>
      </c>
      <c r="H142" s="32" t="s">
        <v>498</v>
      </c>
      <c r="I142" s="32" t="s">
        <v>198</v>
      </c>
      <c r="J142" s="32" t="s">
        <v>199</v>
      </c>
      <c r="K142" s="32">
        <v>2.9021089999999998</v>
      </c>
      <c r="L142" s="33">
        <v>2238</v>
      </c>
      <c r="M142" s="32">
        <v>201</v>
      </c>
      <c r="N142" s="32">
        <v>800</v>
      </c>
      <c r="O142" s="32">
        <v>717</v>
      </c>
      <c r="P142" s="32">
        <v>389</v>
      </c>
      <c r="Q142" s="32">
        <v>131</v>
      </c>
      <c r="R142" s="32" t="s">
        <v>302</v>
      </c>
      <c r="S142" s="32">
        <v>40.942999999999998</v>
      </c>
      <c r="T142" s="32">
        <v>17.037299999999998</v>
      </c>
      <c r="U142" s="32">
        <v>0.82167089100000001</v>
      </c>
      <c r="V142" s="32">
        <v>3</v>
      </c>
      <c r="W142" s="32">
        <v>0.93005300000000002</v>
      </c>
      <c r="X142" s="32">
        <v>0.289825</v>
      </c>
      <c r="Y142" s="32">
        <v>0.7</v>
      </c>
      <c r="Z142" s="32">
        <v>1</v>
      </c>
      <c r="AA142" s="32">
        <v>32.6</v>
      </c>
      <c r="AB142" s="32">
        <v>268</v>
      </c>
      <c r="AC142" s="32">
        <v>21</v>
      </c>
      <c r="AD142" s="32">
        <v>30</v>
      </c>
      <c r="AE142" s="32">
        <v>24</v>
      </c>
      <c r="AF142" s="32">
        <v>0</v>
      </c>
      <c r="AG142" s="32" t="s">
        <v>200</v>
      </c>
    </row>
    <row r="143" spans="1:33">
      <c r="A143" s="32" t="s">
        <v>747</v>
      </c>
      <c r="B143" s="32" t="s">
        <v>88</v>
      </c>
      <c r="C143" s="32" t="s">
        <v>748</v>
      </c>
      <c r="D143" s="32" t="s">
        <v>749</v>
      </c>
      <c r="E143" s="32" t="s">
        <v>653</v>
      </c>
      <c r="F143" s="32" t="s">
        <v>654</v>
      </c>
      <c r="G143" s="32" t="s">
        <v>655</v>
      </c>
      <c r="H143" s="32" t="s">
        <v>656</v>
      </c>
      <c r="I143" s="32" t="s">
        <v>198</v>
      </c>
      <c r="J143" s="32" t="s">
        <v>199</v>
      </c>
      <c r="K143" s="32">
        <v>2.7464629999999999</v>
      </c>
      <c r="L143" s="33">
        <v>3149</v>
      </c>
      <c r="M143" s="32">
        <v>647</v>
      </c>
      <c r="N143" s="32">
        <v>642</v>
      </c>
      <c r="O143" s="33">
        <v>1063</v>
      </c>
      <c r="P143" s="32">
        <v>542</v>
      </c>
      <c r="Q143" s="32">
        <v>255</v>
      </c>
      <c r="R143" s="32">
        <v>5</v>
      </c>
      <c r="S143" s="32">
        <v>30.164200000000001</v>
      </c>
      <c r="T143" s="32">
        <v>2.7490100000000002</v>
      </c>
      <c r="U143" s="32">
        <v>1.1593732859999999</v>
      </c>
      <c r="V143" s="32">
        <v>1</v>
      </c>
      <c r="W143" s="32">
        <v>0.91026399999999996</v>
      </c>
      <c r="X143" s="32">
        <v>0.20472199999999999</v>
      </c>
      <c r="Y143" s="32">
        <v>0.76838399999999996</v>
      </c>
      <c r="Z143" s="32">
        <v>0.86988799999999999</v>
      </c>
      <c r="AA143" s="32">
        <v>60</v>
      </c>
      <c r="AB143" s="32">
        <v>470</v>
      </c>
      <c r="AC143" s="32">
        <v>27</v>
      </c>
      <c r="AD143" s="32">
        <v>24</v>
      </c>
      <c r="AE143" s="32" t="s">
        <v>200</v>
      </c>
      <c r="AF143" s="32">
        <v>6</v>
      </c>
      <c r="AG143" s="32" t="s">
        <v>200</v>
      </c>
    </row>
    <row r="144" spans="1:33">
      <c r="A144" s="32" t="s">
        <v>750</v>
      </c>
      <c r="B144" s="32" t="s">
        <v>64</v>
      </c>
      <c r="C144" s="32" t="s">
        <v>751</v>
      </c>
      <c r="D144" s="32" t="s">
        <v>752</v>
      </c>
      <c r="E144" s="32" t="s">
        <v>753</v>
      </c>
      <c r="F144" s="32" t="s">
        <v>754</v>
      </c>
      <c r="G144" s="32" t="s">
        <v>332</v>
      </c>
      <c r="H144" s="32" t="s">
        <v>333</v>
      </c>
      <c r="I144" s="32" t="s">
        <v>198</v>
      </c>
      <c r="J144" s="32" t="s">
        <v>199</v>
      </c>
      <c r="K144" s="32">
        <v>2.8168169999999999</v>
      </c>
      <c r="L144" s="33">
        <v>1889</v>
      </c>
      <c r="M144" s="32">
        <v>184</v>
      </c>
      <c r="N144" s="32">
        <v>883</v>
      </c>
      <c r="O144" s="32">
        <v>390</v>
      </c>
      <c r="P144" s="32">
        <v>267</v>
      </c>
      <c r="Q144" s="32">
        <v>165</v>
      </c>
      <c r="R144" s="32">
        <v>4</v>
      </c>
      <c r="S144" s="32">
        <v>33.005699999999997</v>
      </c>
      <c r="T144" s="32">
        <v>10.5259</v>
      </c>
      <c r="U144" s="32">
        <v>0.53663249999999996</v>
      </c>
      <c r="V144" s="32">
        <v>7</v>
      </c>
      <c r="W144" s="32">
        <v>0.97207200000000005</v>
      </c>
      <c r="X144" s="32">
        <v>0.18292700000000001</v>
      </c>
      <c r="Y144" s="32">
        <v>0.72738100000000006</v>
      </c>
      <c r="Z144" s="32">
        <v>0.93373499999999998</v>
      </c>
      <c r="AA144" s="32">
        <v>25.7</v>
      </c>
      <c r="AB144" s="32">
        <v>213</v>
      </c>
      <c r="AC144" s="32">
        <v>25</v>
      </c>
      <c r="AD144" s="32">
        <v>13</v>
      </c>
      <c r="AE144" s="32">
        <v>0</v>
      </c>
      <c r="AF144" s="32">
        <v>0</v>
      </c>
      <c r="AG144" s="32">
        <v>10</v>
      </c>
    </row>
    <row r="145" spans="1:33">
      <c r="A145" s="32" t="s">
        <v>755</v>
      </c>
      <c r="B145" s="32" t="s">
        <v>64</v>
      </c>
      <c r="C145" s="32" t="s">
        <v>756</v>
      </c>
      <c r="D145" s="32" t="s">
        <v>757</v>
      </c>
      <c r="E145" s="32" t="s">
        <v>753</v>
      </c>
      <c r="F145" s="32" t="s">
        <v>754</v>
      </c>
      <c r="G145" s="32" t="s">
        <v>332</v>
      </c>
      <c r="H145" s="32" t="s">
        <v>333</v>
      </c>
      <c r="I145" s="32" t="s">
        <v>198</v>
      </c>
      <c r="J145" s="32" t="s">
        <v>199</v>
      </c>
      <c r="K145" s="32">
        <v>3.1639219999999999</v>
      </c>
      <c r="L145" s="33">
        <v>2079</v>
      </c>
      <c r="M145" s="32">
        <v>308</v>
      </c>
      <c r="N145" s="32">
        <v>706</v>
      </c>
      <c r="O145" s="32">
        <v>531</v>
      </c>
      <c r="P145" s="32">
        <v>351</v>
      </c>
      <c r="Q145" s="32">
        <v>183</v>
      </c>
      <c r="R145" s="32" t="s">
        <v>302</v>
      </c>
      <c r="S145" s="32">
        <v>39.845300000000002</v>
      </c>
      <c r="T145" s="32">
        <v>29.853300000000001</v>
      </c>
      <c r="U145" s="32">
        <v>0.72200119299999999</v>
      </c>
      <c r="V145" s="32">
        <v>3</v>
      </c>
      <c r="W145" s="32">
        <v>0.99490199999999995</v>
      </c>
      <c r="X145" s="32">
        <v>0.39683800000000002</v>
      </c>
      <c r="Y145" s="32">
        <v>0.78404700000000005</v>
      </c>
      <c r="Z145" s="32">
        <v>0.98223899999999997</v>
      </c>
      <c r="AA145" s="32">
        <v>40.700000000000003</v>
      </c>
      <c r="AB145" s="32">
        <v>210</v>
      </c>
      <c r="AC145" s="32">
        <v>23</v>
      </c>
      <c r="AD145" s="32">
        <v>19</v>
      </c>
      <c r="AE145" s="32">
        <v>0</v>
      </c>
      <c r="AF145" s="32">
        <v>0</v>
      </c>
      <c r="AG145" s="32" t="s">
        <v>200</v>
      </c>
    </row>
    <row r="146" spans="1:33">
      <c r="A146" s="32" t="s">
        <v>758</v>
      </c>
      <c r="B146" s="32" t="s">
        <v>64</v>
      </c>
      <c r="C146" s="32" t="s">
        <v>759</v>
      </c>
      <c r="D146" s="32" t="s">
        <v>760</v>
      </c>
      <c r="E146" s="32" t="s">
        <v>753</v>
      </c>
      <c r="F146" s="32" t="s">
        <v>754</v>
      </c>
      <c r="G146" s="32" t="s">
        <v>332</v>
      </c>
      <c r="H146" s="32" t="s">
        <v>333</v>
      </c>
      <c r="I146" s="32" t="s">
        <v>198</v>
      </c>
      <c r="J146" s="32" t="s">
        <v>199</v>
      </c>
      <c r="K146" s="32">
        <v>2.8531979999999999</v>
      </c>
      <c r="L146" s="33">
        <v>2466</v>
      </c>
      <c r="M146" s="32">
        <v>351</v>
      </c>
      <c r="N146" s="32">
        <v>762</v>
      </c>
      <c r="O146" s="32">
        <v>654</v>
      </c>
      <c r="P146" s="32">
        <v>433</v>
      </c>
      <c r="Q146" s="32">
        <v>266</v>
      </c>
      <c r="R146" s="32">
        <v>3</v>
      </c>
      <c r="S146" s="32">
        <v>23.2057</v>
      </c>
      <c r="T146" s="32">
        <v>9.1452899999999993</v>
      </c>
      <c r="U146" s="32">
        <v>0.67124958800000001</v>
      </c>
      <c r="V146" s="32">
        <v>4</v>
      </c>
      <c r="W146" s="32">
        <v>0.94418599999999997</v>
      </c>
      <c r="X146" s="32">
        <v>0.25806499999999999</v>
      </c>
      <c r="Y146" s="32">
        <v>0.7</v>
      </c>
      <c r="Z146" s="32">
        <v>0.95672500000000005</v>
      </c>
      <c r="AA146" s="32">
        <v>27.5</v>
      </c>
      <c r="AB146" s="32">
        <v>334</v>
      </c>
      <c r="AC146" s="32">
        <v>31</v>
      </c>
      <c r="AD146" s="32">
        <v>11</v>
      </c>
      <c r="AE146" s="32">
        <v>0</v>
      </c>
      <c r="AF146" s="32">
        <v>0</v>
      </c>
      <c r="AG146" s="32" t="s">
        <v>200</v>
      </c>
    </row>
    <row r="147" spans="1:33">
      <c r="A147" s="32" t="s">
        <v>761</v>
      </c>
      <c r="B147" s="32" t="s">
        <v>64</v>
      </c>
      <c r="C147" s="32" t="s">
        <v>762</v>
      </c>
      <c r="D147" s="32" t="s">
        <v>763</v>
      </c>
      <c r="E147" s="32" t="s">
        <v>764</v>
      </c>
      <c r="F147" s="32" t="s">
        <v>765</v>
      </c>
      <c r="G147" s="32" t="s">
        <v>332</v>
      </c>
      <c r="H147" s="32" t="s">
        <v>333</v>
      </c>
      <c r="I147" s="32" t="s">
        <v>198</v>
      </c>
      <c r="J147" s="32" t="s">
        <v>199</v>
      </c>
      <c r="K147" s="32">
        <v>2.717403</v>
      </c>
      <c r="L147" s="33">
        <v>1898</v>
      </c>
      <c r="M147" s="32">
        <v>320</v>
      </c>
      <c r="N147" s="32">
        <v>440</v>
      </c>
      <c r="O147" s="32">
        <v>429</v>
      </c>
      <c r="P147" s="32">
        <v>502</v>
      </c>
      <c r="Q147" s="32">
        <v>207</v>
      </c>
      <c r="R147" s="32">
        <v>5</v>
      </c>
      <c r="S147" s="32">
        <v>28.332999999999998</v>
      </c>
      <c r="T147" s="32">
        <v>12.4024</v>
      </c>
      <c r="U147" s="32">
        <v>0.87865896899999996</v>
      </c>
      <c r="V147" s="32">
        <v>3</v>
      </c>
      <c r="W147" s="32">
        <v>0.92155799999999999</v>
      </c>
      <c r="X147" s="32">
        <v>0.21706700000000001</v>
      </c>
      <c r="Y147" s="32">
        <v>0.7</v>
      </c>
      <c r="Z147" s="32">
        <v>0.88605299999999998</v>
      </c>
      <c r="AA147" s="32">
        <v>25.2</v>
      </c>
      <c r="AB147" s="32">
        <v>326</v>
      </c>
      <c r="AC147" s="32">
        <v>21</v>
      </c>
      <c r="AD147" s="32">
        <v>87</v>
      </c>
      <c r="AE147" s="32" t="s">
        <v>200</v>
      </c>
      <c r="AF147" s="32" t="s">
        <v>200</v>
      </c>
      <c r="AG147" s="32" t="s">
        <v>200</v>
      </c>
    </row>
    <row r="148" spans="1:33">
      <c r="A148" s="32" t="s">
        <v>766</v>
      </c>
      <c r="B148" s="32" t="s">
        <v>64</v>
      </c>
      <c r="C148" s="32" t="s">
        <v>767</v>
      </c>
      <c r="D148" s="32" t="s">
        <v>768</v>
      </c>
      <c r="E148" s="32" t="s">
        <v>764</v>
      </c>
      <c r="F148" s="32" t="s">
        <v>765</v>
      </c>
      <c r="G148" s="32" t="s">
        <v>332</v>
      </c>
      <c r="H148" s="32" t="s">
        <v>333</v>
      </c>
      <c r="I148" s="32" t="s">
        <v>198</v>
      </c>
      <c r="J148" s="32" t="s">
        <v>199</v>
      </c>
      <c r="K148" s="32">
        <v>2.778397</v>
      </c>
      <c r="L148" s="33">
        <v>2051</v>
      </c>
      <c r="M148" s="32">
        <v>258</v>
      </c>
      <c r="N148" s="32">
        <v>500</v>
      </c>
      <c r="O148" s="32">
        <v>795</v>
      </c>
      <c r="P148" s="32">
        <v>343</v>
      </c>
      <c r="Q148" s="32">
        <v>155</v>
      </c>
      <c r="R148" s="32">
        <v>4</v>
      </c>
      <c r="S148" s="32">
        <v>21.814900000000002</v>
      </c>
      <c r="T148" s="32">
        <v>11.6479</v>
      </c>
      <c r="U148" s="32">
        <v>0.665488894</v>
      </c>
      <c r="V148" s="32">
        <v>6</v>
      </c>
      <c r="W148" s="32">
        <v>0.92613199999999996</v>
      </c>
      <c r="X148" s="32">
        <v>0.30555599999999999</v>
      </c>
      <c r="Y148" s="32">
        <v>0.7</v>
      </c>
      <c r="Z148" s="32">
        <v>0.831959</v>
      </c>
      <c r="AA148" s="32">
        <v>40.700000000000003</v>
      </c>
      <c r="AB148" s="32">
        <v>214</v>
      </c>
      <c r="AC148" s="32">
        <v>18</v>
      </c>
      <c r="AD148" s="32">
        <v>18</v>
      </c>
      <c r="AE148" s="32" t="s">
        <v>200</v>
      </c>
      <c r="AF148" s="32">
        <v>0</v>
      </c>
      <c r="AG148" s="32" t="s">
        <v>200</v>
      </c>
    </row>
    <row r="149" spans="1:33">
      <c r="A149" s="32" t="s">
        <v>769</v>
      </c>
      <c r="B149" s="32" t="s">
        <v>64</v>
      </c>
      <c r="C149" s="32" t="s">
        <v>770</v>
      </c>
      <c r="D149" s="32" t="s">
        <v>771</v>
      </c>
      <c r="E149" s="32" t="s">
        <v>745</v>
      </c>
      <c r="F149" s="32" t="s">
        <v>746</v>
      </c>
      <c r="G149" s="32" t="s">
        <v>497</v>
      </c>
      <c r="H149" s="32" t="s">
        <v>498</v>
      </c>
      <c r="I149" s="32" t="s">
        <v>198</v>
      </c>
      <c r="J149" s="32" t="s">
        <v>199</v>
      </c>
      <c r="K149" s="32">
        <v>2.8601640000000002</v>
      </c>
      <c r="L149" s="33">
        <v>2209</v>
      </c>
      <c r="M149" s="32">
        <v>242</v>
      </c>
      <c r="N149" s="32">
        <v>767</v>
      </c>
      <c r="O149" s="32">
        <v>634</v>
      </c>
      <c r="P149" s="32">
        <v>392</v>
      </c>
      <c r="Q149" s="32">
        <v>174</v>
      </c>
      <c r="R149" s="32" t="s">
        <v>302</v>
      </c>
      <c r="S149" s="32">
        <v>37.1325</v>
      </c>
      <c r="T149" s="32">
        <v>19.274799999999999</v>
      </c>
      <c r="U149" s="32">
        <v>0.64193217400000002</v>
      </c>
      <c r="V149" s="32">
        <v>5</v>
      </c>
      <c r="W149" s="32">
        <v>0.918686</v>
      </c>
      <c r="X149" s="32">
        <v>0.239673</v>
      </c>
      <c r="Y149" s="32">
        <v>0.7</v>
      </c>
      <c r="Z149" s="32">
        <v>0.99674799999999997</v>
      </c>
      <c r="AA149" s="32">
        <v>24.4</v>
      </c>
      <c r="AB149" s="32">
        <v>320</v>
      </c>
      <c r="AC149" s="32">
        <v>29</v>
      </c>
      <c r="AD149" s="32">
        <v>11</v>
      </c>
      <c r="AE149" s="32">
        <v>0</v>
      </c>
      <c r="AF149" s="32">
        <v>0</v>
      </c>
      <c r="AG149" s="32">
        <v>7</v>
      </c>
    </row>
    <row r="150" spans="1:33">
      <c r="A150" s="32" t="s">
        <v>504</v>
      </c>
      <c r="B150" s="32" t="s">
        <v>64</v>
      </c>
      <c r="C150" s="32" t="s">
        <v>505</v>
      </c>
      <c r="D150" s="32" t="s">
        <v>506</v>
      </c>
      <c r="E150" s="32" t="s">
        <v>495</v>
      </c>
      <c r="F150" s="32" t="s">
        <v>496</v>
      </c>
      <c r="G150" s="32" t="s">
        <v>497</v>
      </c>
      <c r="H150" s="32" t="s">
        <v>498</v>
      </c>
      <c r="I150" s="32" t="s">
        <v>198</v>
      </c>
      <c r="J150" s="32" t="s">
        <v>199</v>
      </c>
      <c r="K150" s="32">
        <v>2.971104</v>
      </c>
      <c r="L150" s="33">
        <v>1708</v>
      </c>
      <c r="M150" s="32">
        <v>194</v>
      </c>
      <c r="N150" s="32">
        <v>648</v>
      </c>
      <c r="O150" s="32">
        <v>376</v>
      </c>
      <c r="P150" s="32">
        <v>304</v>
      </c>
      <c r="Q150" s="32">
        <v>186</v>
      </c>
      <c r="R150" s="32" t="s">
        <v>302</v>
      </c>
      <c r="S150" s="32">
        <v>37.1477</v>
      </c>
      <c r="T150" s="32">
        <v>19.7164</v>
      </c>
      <c r="U150" s="32">
        <v>0.80847234199999995</v>
      </c>
      <c r="V150" s="32">
        <v>3</v>
      </c>
      <c r="W150" s="32">
        <v>0.93831200000000003</v>
      </c>
      <c r="X150" s="32">
        <v>0.38344400000000001</v>
      </c>
      <c r="Y150" s="32">
        <v>0.7</v>
      </c>
      <c r="Z150" s="32">
        <v>0.96864700000000004</v>
      </c>
      <c r="AA150" s="32">
        <v>31</v>
      </c>
      <c r="AB150" s="32">
        <v>175</v>
      </c>
      <c r="AC150" s="32">
        <v>11</v>
      </c>
      <c r="AD150" s="32">
        <v>14</v>
      </c>
      <c r="AE150" s="32">
        <v>0</v>
      </c>
      <c r="AF150" s="32" t="s">
        <v>200</v>
      </c>
      <c r="AG150" s="32" t="s">
        <v>200</v>
      </c>
    </row>
    <row r="151" spans="1:33">
      <c r="A151" s="32" t="s">
        <v>772</v>
      </c>
      <c r="B151" s="32" t="s">
        <v>64</v>
      </c>
      <c r="C151" s="32" t="s">
        <v>773</v>
      </c>
      <c r="D151" s="32" t="s">
        <v>774</v>
      </c>
      <c r="E151" s="32" t="s">
        <v>526</v>
      </c>
      <c r="F151" s="32" t="s">
        <v>527</v>
      </c>
      <c r="G151" s="32" t="s">
        <v>497</v>
      </c>
      <c r="H151" s="32" t="s">
        <v>498</v>
      </c>
      <c r="I151" s="32" t="s">
        <v>198</v>
      </c>
      <c r="J151" s="32" t="s">
        <v>199</v>
      </c>
      <c r="K151" s="32">
        <v>2.7353540000000001</v>
      </c>
      <c r="L151" s="33">
        <v>1957</v>
      </c>
      <c r="M151" s="32">
        <v>338</v>
      </c>
      <c r="N151" s="32">
        <v>600</v>
      </c>
      <c r="O151" s="32">
        <v>488</v>
      </c>
      <c r="P151" s="32">
        <v>337</v>
      </c>
      <c r="Q151" s="32">
        <v>194</v>
      </c>
      <c r="R151" s="32">
        <v>5</v>
      </c>
      <c r="S151" s="32">
        <v>28.960699999999999</v>
      </c>
      <c r="T151" s="32">
        <v>13.701700000000001</v>
      </c>
      <c r="U151" s="32">
        <v>0.90518988600000005</v>
      </c>
      <c r="V151" s="32">
        <v>3</v>
      </c>
      <c r="W151" s="32">
        <v>0.92727300000000001</v>
      </c>
      <c r="X151" s="32">
        <v>0.238071</v>
      </c>
      <c r="Y151" s="32">
        <v>0.7</v>
      </c>
      <c r="Z151" s="32">
        <v>0.90405100000000005</v>
      </c>
      <c r="AA151" s="32">
        <v>30.9</v>
      </c>
      <c r="AB151" s="32">
        <v>295</v>
      </c>
      <c r="AC151" s="32">
        <v>30</v>
      </c>
      <c r="AD151" s="32">
        <v>16</v>
      </c>
      <c r="AE151" s="32">
        <v>0</v>
      </c>
      <c r="AF151" s="32" t="s">
        <v>200</v>
      </c>
      <c r="AG151" s="32">
        <v>7</v>
      </c>
    </row>
    <row r="152" spans="1:33">
      <c r="A152" s="32" t="s">
        <v>775</v>
      </c>
      <c r="B152" s="32" t="s">
        <v>64</v>
      </c>
      <c r="C152" s="32" t="s">
        <v>776</v>
      </c>
      <c r="D152" s="32" t="s">
        <v>777</v>
      </c>
      <c r="E152" s="32" t="s">
        <v>778</v>
      </c>
      <c r="F152" s="32" t="s">
        <v>779</v>
      </c>
      <c r="G152" s="32" t="s">
        <v>497</v>
      </c>
      <c r="H152" s="32" t="s">
        <v>498</v>
      </c>
      <c r="I152" s="32" t="s">
        <v>198</v>
      </c>
      <c r="J152" s="32" t="s">
        <v>199</v>
      </c>
      <c r="K152" s="32">
        <v>2.7199520000000001</v>
      </c>
      <c r="L152" s="33">
        <v>2524</v>
      </c>
      <c r="M152" s="32">
        <v>438</v>
      </c>
      <c r="N152" s="32">
        <v>857</v>
      </c>
      <c r="O152" s="32">
        <v>563</v>
      </c>
      <c r="P152" s="32">
        <v>451</v>
      </c>
      <c r="Q152" s="32">
        <v>215</v>
      </c>
      <c r="R152" s="32">
        <v>4</v>
      </c>
      <c r="S152" s="32">
        <v>22.526900000000001</v>
      </c>
      <c r="T152" s="32">
        <v>7.9254300000000004</v>
      </c>
      <c r="U152" s="32">
        <v>0.98518672799999996</v>
      </c>
      <c r="V152" s="32">
        <v>3</v>
      </c>
      <c r="W152" s="32">
        <v>0.92067299999999996</v>
      </c>
      <c r="X152" s="32">
        <v>0.147596</v>
      </c>
      <c r="Y152" s="32">
        <v>0.7</v>
      </c>
      <c r="Z152" s="32">
        <v>0.965534</v>
      </c>
      <c r="AA152" s="32">
        <v>43.6</v>
      </c>
      <c r="AB152" s="32">
        <v>320</v>
      </c>
      <c r="AC152" s="32">
        <v>26</v>
      </c>
      <c r="AD152" s="32">
        <v>17</v>
      </c>
      <c r="AE152" s="32">
        <v>0</v>
      </c>
      <c r="AF152" s="32" t="s">
        <v>200</v>
      </c>
      <c r="AG152" s="32" t="s">
        <v>200</v>
      </c>
    </row>
    <row r="153" spans="1:33">
      <c r="A153" s="32" t="s">
        <v>780</v>
      </c>
      <c r="B153" s="32" t="s">
        <v>64</v>
      </c>
      <c r="C153" s="32" t="s">
        <v>781</v>
      </c>
      <c r="D153" s="32" t="s">
        <v>782</v>
      </c>
      <c r="E153" s="32" t="s">
        <v>745</v>
      </c>
      <c r="F153" s="32" t="s">
        <v>746</v>
      </c>
      <c r="G153" s="32" t="s">
        <v>497</v>
      </c>
      <c r="H153" s="32" t="s">
        <v>498</v>
      </c>
      <c r="I153" s="32" t="s">
        <v>198</v>
      </c>
      <c r="J153" s="32" t="s">
        <v>199</v>
      </c>
      <c r="K153" s="32">
        <v>2.9994100000000001</v>
      </c>
      <c r="L153" s="33">
        <v>2267</v>
      </c>
      <c r="M153" s="32">
        <v>357</v>
      </c>
      <c r="N153" s="32">
        <v>655</v>
      </c>
      <c r="O153" s="32">
        <v>555</v>
      </c>
      <c r="P153" s="32">
        <v>476</v>
      </c>
      <c r="Q153" s="32">
        <v>224</v>
      </c>
      <c r="R153" s="32" t="s">
        <v>302</v>
      </c>
      <c r="S153" s="32">
        <v>33.923200000000001</v>
      </c>
      <c r="T153" s="32">
        <v>15.1798</v>
      </c>
      <c r="U153" s="32">
        <v>0.823025279</v>
      </c>
      <c r="V153" s="32">
        <v>2</v>
      </c>
      <c r="W153" s="32">
        <v>0.92595899999999998</v>
      </c>
      <c r="X153" s="32">
        <v>0.37976900000000002</v>
      </c>
      <c r="Y153" s="32">
        <v>0.7</v>
      </c>
      <c r="Z153" s="32">
        <v>1</v>
      </c>
      <c r="AA153" s="32">
        <v>34.5</v>
      </c>
      <c r="AB153" s="32">
        <v>307</v>
      </c>
      <c r="AC153" s="32">
        <v>19</v>
      </c>
      <c r="AD153" s="32">
        <v>21</v>
      </c>
      <c r="AE153" s="32">
        <v>0</v>
      </c>
      <c r="AF153" s="32">
        <v>0</v>
      </c>
      <c r="AG153" s="32">
        <v>0</v>
      </c>
    </row>
    <row r="154" spans="1:33">
      <c r="A154" s="32" t="s">
        <v>783</v>
      </c>
      <c r="B154" s="32" t="s">
        <v>64</v>
      </c>
      <c r="C154" s="32" t="s">
        <v>784</v>
      </c>
      <c r="D154" s="32" t="s">
        <v>785</v>
      </c>
      <c r="E154" s="32" t="s">
        <v>526</v>
      </c>
      <c r="F154" s="32" t="s">
        <v>527</v>
      </c>
      <c r="G154" s="32" t="s">
        <v>497</v>
      </c>
      <c r="H154" s="32" t="s">
        <v>498</v>
      </c>
      <c r="I154" s="32" t="s">
        <v>198</v>
      </c>
      <c r="J154" s="32" t="s">
        <v>199</v>
      </c>
      <c r="K154" s="32">
        <v>2.7489729999999999</v>
      </c>
      <c r="L154" s="33">
        <v>1745</v>
      </c>
      <c r="M154" s="32">
        <v>316</v>
      </c>
      <c r="N154" s="32">
        <v>447</v>
      </c>
      <c r="O154" s="32">
        <v>413</v>
      </c>
      <c r="P154" s="32">
        <v>397</v>
      </c>
      <c r="Q154" s="32">
        <v>172</v>
      </c>
      <c r="R154" s="32">
        <v>4</v>
      </c>
      <c r="S154" s="32">
        <v>25.147500000000001</v>
      </c>
      <c r="T154" s="32">
        <v>8.6426099999999995</v>
      </c>
      <c r="U154" s="32">
        <v>1.128395381</v>
      </c>
      <c r="V154" s="32">
        <v>1</v>
      </c>
      <c r="W154" s="32">
        <v>0.91678099999999996</v>
      </c>
      <c r="X154" s="32">
        <v>0.245139</v>
      </c>
      <c r="Y154" s="32">
        <v>0.7</v>
      </c>
      <c r="Z154" s="32">
        <v>0.864236</v>
      </c>
      <c r="AA154" s="32">
        <v>29.3</v>
      </c>
      <c r="AB154" s="32">
        <v>216</v>
      </c>
      <c r="AC154" s="32">
        <v>23</v>
      </c>
      <c r="AD154" s="32">
        <v>13</v>
      </c>
      <c r="AE154" s="32">
        <v>0</v>
      </c>
      <c r="AF154" s="32">
        <v>0</v>
      </c>
      <c r="AG154" s="32" t="s">
        <v>200</v>
      </c>
    </row>
    <row r="155" spans="1:33">
      <c r="A155" s="32" t="s">
        <v>523</v>
      </c>
      <c r="B155" s="32" t="s">
        <v>64</v>
      </c>
      <c r="C155" s="32" t="s">
        <v>524</v>
      </c>
      <c r="D155" s="32" t="s">
        <v>525</v>
      </c>
      <c r="E155" s="32" t="s">
        <v>526</v>
      </c>
      <c r="F155" s="32" t="s">
        <v>527</v>
      </c>
      <c r="G155" s="32" t="s">
        <v>497</v>
      </c>
      <c r="H155" s="32" t="s">
        <v>498</v>
      </c>
      <c r="I155" s="32" t="s">
        <v>198</v>
      </c>
      <c r="J155" s="32" t="s">
        <v>199</v>
      </c>
      <c r="K155" s="32">
        <v>2.6519400000000002</v>
      </c>
      <c r="L155" s="33">
        <v>1663</v>
      </c>
      <c r="M155" s="32">
        <v>273</v>
      </c>
      <c r="N155" s="32">
        <v>483</v>
      </c>
      <c r="O155" s="32">
        <v>469</v>
      </c>
      <c r="P155" s="32">
        <v>304</v>
      </c>
      <c r="Q155" s="32">
        <v>134</v>
      </c>
      <c r="R155" s="32">
        <v>5</v>
      </c>
      <c r="S155" s="32">
        <v>34.321100000000001</v>
      </c>
      <c r="T155" s="32">
        <v>13.538600000000001</v>
      </c>
      <c r="U155" s="32">
        <v>1.0119068120000001</v>
      </c>
      <c r="V155" s="32">
        <v>2</v>
      </c>
      <c r="W155" s="32">
        <v>0.91731300000000005</v>
      </c>
      <c r="X155" s="32">
        <v>0.198187</v>
      </c>
      <c r="Y155" s="32">
        <v>0.7</v>
      </c>
      <c r="Z155" s="32">
        <v>0.81970100000000001</v>
      </c>
      <c r="AA155" s="32">
        <v>37.299999999999997</v>
      </c>
      <c r="AB155" s="32">
        <v>274</v>
      </c>
      <c r="AC155" s="32">
        <v>25</v>
      </c>
      <c r="AD155" s="32">
        <v>20</v>
      </c>
      <c r="AE155" s="32">
        <v>0</v>
      </c>
      <c r="AF155" s="32" t="s">
        <v>200</v>
      </c>
      <c r="AG155" s="32" t="s">
        <v>200</v>
      </c>
    </row>
    <row r="156" spans="1:33">
      <c r="A156" s="32" t="s">
        <v>786</v>
      </c>
      <c r="B156" s="32" t="s">
        <v>64</v>
      </c>
      <c r="C156" s="32" t="s">
        <v>787</v>
      </c>
      <c r="D156" s="32" t="s">
        <v>788</v>
      </c>
      <c r="E156" s="32" t="s">
        <v>526</v>
      </c>
      <c r="F156" s="32" t="s">
        <v>527</v>
      </c>
      <c r="G156" s="32" t="s">
        <v>497</v>
      </c>
      <c r="H156" s="32" t="s">
        <v>498</v>
      </c>
      <c r="I156" s="32" t="s">
        <v>198</v>
      </c>
      <c r="J156" s="32" t="s">
        <v>199</v>
      </c>
      <c r="K156" s="32">
        <v>2.5328650000000001</v>
      </c>
      <c r="L156" s="33">
        <v>1454</v>
      </c>
      <c r="M156" s="32">
        <v>239</v>
      </c>
      <c r="N156" s="32">
        <v>449</v>
      </c>
      <c r="O156" s="32">
        <v>389</v>
      </c>
      <c r="P156" s="32">
        <v>260</v>
      </c>
      <c r="Q156" s="32">
        <v>117</v>
      </c>
      <c r="R156" s="32">
        <v>4</v>
      </c>
      <c r="S156" s="32">
        <v>35.450600000000001</v>
      </c>
      <c r="T156" s="32">
        <v>2.0123099999999998</v>
      </c>
      <c r="U156" s="32">
        <v>1.0254137990000001</v>
      </c>
      <c r="V156" s="32">
        <v>3</v>
      </c>
      <c r="W156" s="32">
        <v>0.90449400000000002</v>
      </c>
      <c r="X156" s="32">
        <v>0.117978</v>
      </c>
      <c r="Y156" s="32">
        <v>0.7</v>
      </c>
      <c r="Z156" s="32">
        <v>0.79014099999999998</v>
      </c>
      <c r="AA156" s="32">
        <v>36.6</v>
      </c>
      <c r="AB156" s="32">
        <v>187</v>
      </c>
      <c r="AC156" s="32">
        <v>29</v>
      </c>
      <c r="AD156" s="32">
        <v>11</v>
      </c>
      <c r="AE156" s="32">
        <v>0</v>
      </c>
      <c r="AF156" s="32">
        <v>0</v>
      </c>
      <c r="AG156" s="32" t="s">
        <v>200</v>
      </c>
    </row>
    <row r="157" spans="1:33">
      <c r="A157" s="32" t="s">
        <v>789</v>
      </c>
      <c r="B157" s="32" t="s">
        <v>41</v>
      </c>
      <c r="C157" s="32" t="s">
        <v>790</v>
      </c>
      <c r="D157" s="32" t="s">
        <v>791</v>
      </c>
      <c r="E157" s="32" t="s">
        <v>792</v>
      </c>
      <c r="F157" s="32" t="s">
        <v>793</v>
      </c>
      <c r="G157" s="32" t="s">
        <v>497</v>
      </c>
      <c r="H157" s="32" t="s">
        <v>498</v>
      </c>
      <c r="I157" s="32" t="s">
        <v>198</v>
      </c>
      <c r="J157" s="32" t="s">
        <v>199</v>
      </c>
      <c r="K157" s="32">
        <v>2.6681940000000002</v>
      </c>
      <c r="L157" s="33">
        <v>2057</v>
      </c>
      <c r="M157" s="32">
        <v>390</v>
      </c>
      <c r="N157" s="32">
        <v>452</v>
      </c>
      <c r="O157" s="32">
        <v>517</v>
      </c>
      <c r="P157" s="32">
        <v>455</v>
      </c>
      <c r="Q157" s="32">
        <v>243</v>
      </c>
      <c r="R157" s="32" t="s">
        <v>302</v>
      </c>
      <c r="S157" s="32">
        <v>36.525199999999998</v>
      </c>
      <c r="T157" s="32">
        <v>14.1478</v>
      </c>
      <c r="U157" s="32">
        <v>0.65316505999999996</v>
      </c>
      <c r="V157" s="32">
        <v>6</v>
      </c>
      <c r="W157" s="32">
        <v>0.92102399999999995</v>
      </c>
      <c r="X157" s="32">
        <v>5.4447000000000002E-2</v>
      </c>
      <c r="Y157" s="32">
        <v>0.7</v>
      </c>
      <c r="Z157" s="32">
        <v>0.997305</v>
      </c>
      <c r="AA157" s="32">
        <v>18.399999999999999</v>
      </c>
      <c r="AB157" s="32">
        <v>421</v>
      </c>
      <c r="AC157" s="32">
        <v>21</v>
      </c>
      <c r="AD157" s="32">
        <v>18</v>
      </c>
      <c r="AE157" s="32" t="s">
        <v>200</v>
      </c>
      <c r="AF157" s="32">
        <v>0</v>
      </c>
      <c r="AG157" s="32" t="s">
        <v>200</v>
      </c>
    </row>
    <row r="158" spans="1:33">
      <c r="A158" s="32" t="s">
        <v>794</v>
      </c>
      <c r="B158" s="32" t="s">
        <v>41</v>
      </c>
      <c r="C158" s="32" t="s">
        <v>795</v>
      </c>
      <c r="D158" s="32" t="s">
        <v>796</v>
      </c>
      <c r="E158" s="32" t="s">
        <v>792</v>
      </c>
      <c r="F158" s="32" t="s">
        <v>793</v>
      </c>
      <c r="G158" s="32" t="s">
        <v>497</v>
      </c>
      <c r="H158" s="32" t="s">
        <v>498</v>
      </c>
      <c r="I158" s="32" t="s">
        <v>198</v>
      </c>
      <c r="J158" s="32" t="s">
        <v>199</v>
      </c>
      <c r="K158" s="32">
        <v>2.73122</v>
      </c>
      <c r="L158" s="33">
        <v>2533</v>
      </c>
      <c r="M158" s="32">
        <v>467</v>
      </c>
      <c r="N158" s="32">
        <v>547</v>
      </c>
      <c r="O158" s="32">
        <v>811</v>
      </c>
      <c r="P158" s="32">
        <v>518</v>
      </c>
      <c r="Q158" s="32">
        <v>190</v>
      </c>
      <c r="R158" s="32" t="s">
        <v>302</v>
      </c>
      <c r="S158" s="32">
        <v>49.8125</v>
      </c>
      <c r="T158" s="32">
        <v>26.59</v>
      </c>
      <c r="U158" s="32">
        <v>0.63102987499999996</v>
      </c>
      <c r="V158" s="32">
        <v>6</v>
      </c>
      <c r="W158" s="32">
        <v>0.91822499999999996</v>
      </c>
      <c r="X158" s="32">
        <v>0.14154800000000001</v>
      </c>
      <c r="Y158" s="32">
        <v>0.7</v>
      </c>
      <c r="Z158" s="32">
        <v>0.960032</v>
      </c>
      <c r="AA158" s="32">
        <v>17</v>
      </c>
      <c r="AB158" s="32">
        <v>429</v>
      </c>
      <c r="AC158" s="32">
        <v>24</v>
      </c>
      <c r="AD158" s="32">
        <v>19</v>
      </c>
      <c r="AE158" s="32" t="s">
        <v>200</v>
      </c>
      <c r="AF158" s="32" t="s">
        <v>200</v>
      </c>
      <c r="AG158" s="32" t="s">
        <v>200</v>
      </c>
    </row>
    <row r="159" spans="1:33">
      <c r="A159" s="32" t="s">
        <v>780</v>
      </c>
      <c r="B159" s="32" t="s">
        <v>41</v>
      </c>
      <c r="C159" s="32" t="s">
        <v>781</v>
      </c>
      <c r="D159" s="32" t="s">
        <v>782</v>
      </c>
      <c r="E159" s="32" t="s">
        <v>745</v>
      </c>
      <c r="F159" s="32" t="s">
        <v>746</v>
      </c>
      <c r="G159" s="32" t="s">
        <v>497</v>
      </c>
      <c r="H159" s="32" t="s">
        <v>498</v>
      </c>
      <c r="I159" s="32" t="s">
        <v>198</v>
      </c>
      <c r="J159" s="32" t="s">
        <v>199</v>
      </c>
      <c r="K159" s="32">
        <v>2.9994100000000001</v>
      </c>
      <c r="L159" s="33">
        <v>2267</v>
      </c>
      <c r="M159" s="32">
        <v>357</v>
      </c>
      <c r="N159" s="32">
        <v>655</v>
      </c>
      <c r="O159" s="32">
        <v>555</v>
      </c>
      <c r="P159" s="32">
        <v>476</v>
      </c>
      <c r="Q159" s="32">
        <v>224</v>
      </c>
      <c r="R159" s="32" t="s">
        <v>302</v>
      </c>
      <c r="S159" s="32">
        <v>33.923200000000001</v>
      </c>
      <c r="T159" s="32">
        <v>15.1798</v>
      </c>
      <c r="U159" s="32">
        <v>0.823025279</v>
      </c>
      <c r="V159" s="32">
        <v>2</v>
      </c>
      <c r="W159" s="32">
        <v>0.92595899999999998</v>
      </c>
      <c r="X159" s="32">
        <v>0.37976900000000002</v>
      </c>
      <c r="Y159" s="32">
        <v>0.7</v>
      </c>
      <c r="Z159" s="32">
        <v>1</v>
      </c>
      <c r="AA159" s="32">
        <v>34.5</v>
      </c>
      <c r="AB159" s="32">
        <v>307</v>
      </c>
      <c r="AC159" s="32">
        <v>19</v>
      </c>
      <c r="AD159" s="32">
        <v>21</v>
      </c>
      <c r="AE159" s="32">
        <v>0</v>
      </c>
      <c r="AF159" s="32">
        <v>0</v>
      </c>
      <c r="AG159" s="32">
        <v>0</v>
      </c>
    </row>
    <row r="160" spans="1:33">
      <c r="A160" s="32" t="s">
        <v>797</v>
      </c>
      <c r="B160" s="32" t="s">
        <v>41</v>
      </c>
      <c r="C160" s="32" t="s">
        <v>798</v>
      </c>
      <c r="D160" s="32" t="s">
        <v>799</v>
      </c>
      <c r="E160" s="32" t="s">
        <v>800</v>
      </c>
      <c r="F160" s="32" t="s">
        <v>801</v>
      </c>
      <c r="G160" s="32" t="s">
        <v>497</v>
      </c>
      <c r="H160" s="32" t="s">
        <v>498</v>
      </c>
      <c r="I160" s="32" t="s">
        <v>198</v>
      </c>
      <c r="J160" s="32" t="s">
        <v>199</v>
      </c>
      <c r="K160" s="32">
        <v>2.740856</v>
      </c>
      <c r="L160" s="33">
        <v>1604</v>
      </c>
      <c r="M160" s="32">
        <v>311</v>
      </c>
      <c r="N160" s="32">
        <v>326</v>
      </c>
      <c r="O160" s="32">
        <v>364</v>
      </c>
      <c r="P160" s="32">
        <v>392</v>
      </c>
      <c r="Q160" s="32">
        <v>211</v>
      </c>
      <c r="R160" s="32" t="s">
        <v>302</v>
      </c>
      <c r="S160" s="32">
        <v>41.270899999999997</v>
      </c>
      <c r="T160" s="32">
        <v>23.646599999999999</v>
      </c>
      <c r="U160" s="32">
        <v>1.059433308</v>
      </c>
      <c r="V160" s="32">
        <v>2</v>
      </c>
      <c r="W160" s="32">
        <v>0.96459099999999998</v>
      </c>
      <c r="X160" s="32">
        <v>0.163359</v>
      </c>
      <c r="Y160" s="32">
        <v>0.7</v>
      </c>
      <c r="Z160" s="32">
        <v>0.93201599999999996</v>
      </c>
      <c r="AA160" s="32">
        <v>30</v>
      </c>
      <c r="AB160" s="32">
        <v>249</v>
      </c>
      <c r="AC160" s="32">
        <v>14</v>
      </c>
      <c r="AD160" s="32">
        <v>15</v>
      </c>
      <c r="AE160" s="32">
        <v>0</v>
      </c>
      <c r="AF160" s="32">
        <v>0</v>
      </c>
      <c r="AG160" s="32">
        <v>9</v>
      </c>
    </row>
    <row r="161" spans="1:33">
      <c r="A161" s="32" t="s">
        <v>802</v>
      </c>
      <c r="B161" s="32" t="s">
        <v>41</v>
      </c>
      <c r="C161" s="32" t="s">
        <v>803</v>
      </c>
      <c r="D161" s="32" t="s">
        <v>804</v>
      </c>
      <c r="E161" s="32" t="s">
        <v>800</v>
      </c>
      <c r="F161" s="32" t="s">
        <v>801</v>
      </c>
      <c r="G161" s="32" t="s">
        <v>497</v>
      </c>
      <c r="H161" s="32" t="s">
        <v>498</v>
      </c>
      <c r="I161" s="32" t="s">
        <v>198</v>
      </c>
      <c r="J161" s="32" t="s">
        <v>199</v>
      </c>
      <c r="K161" s="32">
        <v>2.9341979999999999</v>
      </c>
      <c r="L161" s="33">
        <v>2162</v>
      </c>
      <c r="M161" s="32">
        <v>348</v>
      </c>
      <c r="N161" s="32">
        <v>454</v>
      </c>
      <c r="O161" s="32">
        <v>719</v>
      </c>
      <c r="P161" s="32">
        <v>411</v>
      </c>
      <c r="Q161" s="32">
        <v>230</v>
      </c>
      <c r="R161" s="32" t="s">
        <v>302</v>
      </c>
      <c r="S161" s="32">
        <v>44.353299999999997</v>
      </c>
      <c r="T161" s="32">
        <v>35.471899999999998</v>
      </c>
      <c r="U161" s="32">
        <v>0.52760964099999996</v>
      </c>
      <c r="V161" s="32">
        <v>7</v>
      </c>
      <c r="W161" s="32">
        <v>0.98467000000000005</v>
      </c>
      <c r="X161" s="32">
        <v>0.340723</v>
      </c>
      <c r="Y161" s="32">
        <v>0.7</v>
      </c>
      <c r="Z161" s="32">
        <v>0.91431899999999999</v>
      </c>
      <c r="AA161" s="32">
        <v>16.5</v>
      </c>
      <c r="AB161" s="32">
        <v>294</v>
      </c>
      <c r="AC161" s="32">
        <v>14</v>
      </c>
      <c r="AD161" s="32">
        <v>19</v>
      </c>
      <c r="AE161" s="32">
        <v>0</v>
      </c>
      <c r="AF161" s="32">
        <v>0</v>
      </c>
      <c r="AG161" s="32" t="s">
        <v>200</v>
      </c>
    </row>
    <row r="162" spans="1:33">
      <c r="A162" s="32" t="s">
        <v>805</v>
      </c>
      <c r="B162" s="32" t="s">
        <v>41</v>
      </c>
      <c r="C162" s="32" t="s">
        <v>806</v>
      </c>
      <c r="D162" s="32" t="s">
        <v>807</v>
      </c>
      <c r="E162" s="32" t="s">
        <v>808</v>
      </c>
      <c r="F162" s="32" t="s">
        <v>809</v>
      </c>
      <c r="G162" s="32" t="s">
        <v>497</v>
      </c>
      <c r="H162" s="32" t="s">
        <v>498</v>
      </c>
      <c r="I162" s="32" t="s">
        <v>198</v>
      </c>
      <c r="J162" s="32" t="s">
        <v>199</v>
      </c>
      <c r="K162" s="32">
        <v>2.6658379999999999</v>
      </c>
      <c r="L162" s="33">
        <v>2190</v>
      </c>
      <c r="M162" s="32">
        <v>336</v>
      </c>
      <c r="N162" s="32">
        <v>536</v>
      </c>
      <c r="O162" s="32">
        <v>716</v>
      </c>
      <c r="P162" s="32">
        <v>407</v>
      </c>
      <c r="Q162" s="32">
        <v>195</v>
      </c>
      <c r="R162" s="32" t="s">
        <v>302</v>
      </c>
      <c r="S162" s="32">
        <v>34.0428</v>
      </c>
      <c r="T162" s="32">
        <v>5.8839199999999998</v>
      </c>
      <c r="U162" s="32">
        <v>0.69811288999999999</v>
      </c>
      <c r="V162" s="32">
        <v>6</v>
      </c>
      <c r="W162" s="32">
        <v>0.99720500000000001</v>
      </c>
      <c r="X162" s="32">
        <v>5.4375E-2</v>
      </c>
      <c r="Y162" s="32">
        <v>0.7</v>
      </c>
      <c r="Z162" s="32">
        <v>0.91401900000000003</v>
      </c>
      <c r="AA162" s="32">
        <v>22.5</v>
      </c>
      <c r="AB162" s="32">
        <v>320</v>
      </c>
      <c r="AC162" s="32">
        <v>34</v>
      </c>
      <c r="AD162" s="32">
        <v>10</v>
      </c>
      <c r="AE162" s="32">
        <v>0</v>
      </c>
      <c r="AF162" s="32">
        <v>0</v>
      </c>
      <c r="AG162" s="32" t="s">
        <v>200</v>
      </c>
    </row>
    <row r="163" spans="1:33">
      <c r="A163" s="32" t="s">
        <v>810</v>
      </c>
      <c r="B163" s="32" t="s">
        <v>41</v>
      </c>
      <c r="C163" s="32" t="s">
        <v>811</v>
      </c>
      <c r="D163" s="32" t="s">
        <v>812</v>
      </c>
      <c r="E163" s="32" t="s">
        <v>813</v>
      </c>
      <c r="F163" s="32" t="s">
        <v>814</v>
      </c>
      <c r="G163" s="32" t="s">
        <v>497</v>
      </c>
      <c r="H163" s="32" t="s">
        <v>498</v>
      </c>
      <c r="I163" s="32" t="s">
        <v>198</v>
      </c>
      <c r="J163" s="32" t="s">
        <v>199</v>
      </c>
      <c r="K163" s="32">
        <v>2.9063080000000001</v>
      </c>
      <c r="L163" s="33">
        <v>2039</v>
      </c>
      <c r="M163" s="32">
        <v>211</v>
      </c>
      <c r="N163" s="32">
        <v>576</v>
      </c>
      <c r="O163" s="32">
        <v>606</v>
      </c>
      <c r="P163" s="32">
        <v>409</v>
      </c>
      <c r="Q163" s="32">
        <v>237</v>
      </c>
      <c r="R163" s="32" t="s">
        <v>302</v>
      </c>
      <c r="S163" s="32">
        <v>41.887099999999997</v>
      </c>
      <c r="T163" s="32">
        <v>20.028400000000001</v>
      </c>
      <c r="U163" s="32">
        <v>0.58520330600000003</v>
      </c>
      <c r="V163" s="32">
        <v>4</v>
      </c>
      <c r="W163" s="32">
        <v>1</v>
      </c>
      <c r="X163" s="32">
        <v>0.21326000000000001</v>
      </c>
      <c r="Y163" s="32">
        <v>0.7</v>
      </c>
      <c r="Z163" s="32">
        <v>0.97314800000000001</v>
      </c>
      <c r="AA163" s="32">
        <v>22.2</v>
      </c>
      <c r="AB163" s="32">
        <v>290</v>
      </c>
      <c r="AC163" s="32">
        <v>14</v>
      </c>
      <c r="AD163" s="32">
        <v>29</v>
      </c>
      <c r="AE163" s="32">
        <v>0</v>
      </c>
      <c r="AF163" s="32">
        <v>8</v>
      </c>
      <c r="AG163" s="32" t="s">
        <v>200</v>
      </c>
    </row>
    <row r="164" spans="1:33">
      <c r="A164" s="32" t="s">
        <v>815</v>
      </c>
      <c r="B164" s="32" t="s">
        <v>41</v>
      </c>
      <c r="C164" s="32" t="s">
        <v>816</v>
      </c>
      <c r="D164" s="32" t="s">
        <v>817</v>
      </c>
      <c r="E164" s="32" t="s">
        <v>792</v>
      </c>
      <c r="F164" s="32" t="s">
        <v>793</v>
      </c>
      <c r="G164" s="32" t="s">
        <v>497</v>
      </c>
      <c r="H164" s="32" t="s">
        <v>498</v>
      </c>
      <c r="I164" s="32" t="s">
        <v>198</v>
      </c>
      <c r="J164" s="32" t="s">
        <v>199</v>
      </c>
      <c r="K164" s="32">
        <v>2.8568630000000002</v>
      </c>
      <c r="L164" s="33">
        <v>2173</v>
      </c>
      <c r="M164" s="32">
        <v>276</v>
      </c>
      <c r="N164" s="32">
        <v>568</v>
      </c>
      <c r="O164" s="32">
        <v>746</v>
      </c>
      <c r="P164" s="32">
        <v>402</v>
      </c>
      <c r="Q164" s="32">
        <v>181</v>
      </c>
      <c r="R164" s="32" t="s">
        <v>302</v>
      </c>
      <c r="S164" s="32">
        <v>48.653799999999997</v>
      </c>
      <c r="T164" s="32">
        <v>18.210999999999999</v>
      </c>
      <c r="U164" s="32">
        <v>0.74395794699999995</v>
      </c>
      <c r="V164" s="32">
        <v>4</v>
      </c>
      <c r="W164" s="32">
        <v>0.93156899999999998</v>
      </c>
      <c r="X164" s="32">
        <v>0.21906600000000001</v>
      </c>
      <c r="Y164" s="32">
        <v>0.7</v>
      </c>
      <c r="Z164" s="32">
        <v>1</v>
      </c>
      <c r="AA164" s="32">
        <v>34.4</v>
      </c>
      <c r="AB164" s="32">
        <v>320</v>
      </c>
      <c r="AC164" s="32">
        <v>24</v>
      </c>
      <c r="AD164" s="32">
        <v>19</v>
      </c>
      <c r="AE164" s="32">
        <v>0</v>
      </c>
      <c r="AF164" s="32" t="s">
        <v>200</v>
      </c>
      <c r="AG164" s="32">
        <v>5</v>
      </c>
    </row>
    <row r="165" spans="1:33">
      <c r="A165" s="32" t="s">
        <v>818</v>
      </c>
      <c r="B165" s="32" t="s">
        <v>41</v>
      </c>
      <c r="C165" s="32" t="s">
        <v>819</v>
      </c>
      <c r="D165" s="32" t="s">
        <v>820</v>
      </c>
      <c r="E165" s="32" t="s">
        <v>745</v>
      </c>
      <c r="F165" s="32" t="s">
        <v>746</v>
      </c>
      <c r="G165" s="32" t="s">
        <v>497</v>
      </c>
      <c r="H165" s="32" t="s">
        <v>498</v>
      </c>
      <c r="I165" s="32" t="s">
        <v>198</v>
      </c>
      <c r="J165" s="32" t="s">
        <v>199</v>
      </c>
      <c r="K165" s="32">
        <v>2.685238</v>
      </c>
      <c r="L165" s="33">
        <v>1153</v>
      </c>
      <c r="M165" s="32">
        <v>205</v>
      </c>
      <c r="N165" s="32">
        <v>379</v>
      </c>
      <c r="O165" s="32">
        <v>289</v>
      </c>
      <c r="P165" s="32">
        <v>223</v>
      </c>
      <c r="Q165" s="32">
        <v>57</v>
      </c>
      <c r="R165" s="32" t="s">
        <v>302</v>
      </c>
      <c r="S165" s="32">
        <v>37.088700000000003</v>
      </c>
      <c r="T165" s="32">
        <v>29.6005</v>
      </c>
      <c r="U165" s="32">
        <v>0.974936209</v>
      </c>
      <c r="V165" s="32">
        <v>2</v>
      </c>
      <c r="W165" s="32">
        <v>0.92142900000000005</v>
      </c>
      <c r="X165" s="32">
        <v>7.0141999999999996E-2</v>
      </c>
      <c r="Y165" s="32">
        <v>0.7</v>
      </c>
      <c r="Z165" s="32">
        <v>0.99613499999999999</v>
      </c>
      <c r="AA165" s="32">
        <v>38.1</v>
      </c>
      <c r="AB165" s="32">
        <v>138</v>
      </c>
      <c r="AC165" s="32">
        <v>15</v>
      </c>
      <c r="AD165" s="32">
        <v>6</v>
      </c>
      <c r="AE165" s="32" t="s">
        <v>200</v>
      </c>
      <c r="AF165" s="32">
        <v>0</v>
      </c>
      <c r="AG165" s="32" t="s">
        <v>200</v>
      </c>
    </row>
    <row r="166" spans="1:33">
      <c r="A166" s="32" t="s">
        <v>821</v>
      </c>
      <c r="B166" s="32" t="s">
        <v>41</v>
      </c>
      <c r="C166" s="32" t="s">
        <v>822</v>
      </c>
      <c r="D166" s="32" t="s">
        <v>823</v>
      </c>
      <c r="E166" s="32" t="s">
        <v>745</v>
      </c>
      <c r="F166" s="32" t="s">
        <v>746</v>
      </c>
      <c r="G166" s="32" t="s">
        <v>497</v>
      </c>
      <c r="H166" s="32" t="s">
        <v>498</v>
      </c>
      <c r="I166" s="32" t="s">
        <v>198</v>
      </c>
      <c r="J166" s="32" t="s">
        <v>199</v>
      </c>
      <c r="K166" s="32">
        <v>2.704142</v>
      </c>
      <c r="L166" s="33">
        <v>2499</v>
      </c>
      <c r="M166" s="32">
        <v>247</v>
      </c>
      <c r="N166" s="33">
        <v>1396</v>
      </c>
      <c r="O166" s="32">
        <v>511</v>
      </c>
      <c r="P166" s="32">
        <v>241</v>
      </c>
      <c r="Q166" s="32">
        <v>104</v>
      </c>
      <c r="R166" s="32" t="s">
        <v>302</v>
      </c>
      <c r="S166" s="32">
        <v>44.124299999999998</v>
      </c>
      <c r="T166" s="32">
        <v>27.293600000000001</v>
      </c>
      <c r="U166" s="32">
        <v>0.92875050800000003</v>
      </c>
      <c r="V166" s="32">
        <v>3</v>
      </c>
      <c r="W166" s="32">
        <v>0.91124300000000003</v>
      </c>
      <c r="X166" s="32">
        <v>0.11820899999999999</v>
      </c>
      <c r="Y166" s="32">
        <v>0.7</v>
      </c>
      <c r="Z166" s="32">
        <v>0.98123199999999999</v>
      </c>
      <c r="AA166" s="32">
        <v>40.4</v>
      </c>
      <c r="AB166" s="32">
        <v>154</v>
      </c>
      <c r="AC166" s="32">
        <v>8</v>
      </c>
      <c r="AD166" s="32" t="s">
        <v>200</v>
      </c>
      <c r="AE166" s="32">
        <v>0</v>
      </c>
      <c r="AF166" s="32">
        <v>0</v>
      </c>
      <c r="AG166" s="32" t="s">
        <v>200</v>
      </c>
    </row>
    <row r="167" spans="1:33">
      <c r="A167" s="32" t="s">
        <v>742</v>
      </c>
      <c r="B167" s="32" t="s">
        <v>41</v>
      </c>
      <c r="C167" s="32" t="s">
        <v>743</v>
      </c>
      <c r="D167" s="32" t="s">
        <v>744</v>
      </c>
      <c r="E167" s="32" t="s">
        <v>745</v>
      </c>
      <c r="F167" s="32" t="s">
        <v>746</v>
      </c>
      <c r="G167" s="32" t="s">
        <v>497</v>
      </c>
      <c r="H167" s="32" t="s">
        <v>498</v>
      </c>
      <c r="I167" s="32" t="s">
        <v>198</v>
      </c>
      <c r="J167" s="32" t="s">
        <v>199</v>
      </c>
      <c r="K167" s="32">
        <v>2.9021089999999998</v>
      </c>
      <c r="L167" s="33">
        <v>2238</v>
      </c>
      <c r="M167" s="32">
        <v>201</v>
      </c>
      <c r="N167" s="32">
        <v>800</v>
      </c>
      <c r="O167" s="32">
        <v>717</v>
      </c>
      <c r="P167" s="32">
        <v>389</v>
      </c>
      <c r="Q167" s="32">
        <v>131</v>
      </c>
      <c r="R167" s="32" t="s">
        <v>302</v>
      </c>
      <c r="S167" s="32">
        <v>40.942999999999998</v>
      </c>
      <c r="T167" s="32">
        <v>17.037299999999998</v>
      </c>
      <c r="U167" s="32">
        <v>0.82167089100000001</v>
      </c>
      <c r="V167" s="32">
        <v>3</v>
      </c>
      <c r="W167" s="32">
        <v>0.93005300000000002</v>
      </c>
      <c r="X167" s="32">
        <v>0.289825</v>
      </c>
      <c r="Y167" s="32">
        <v>0.7</v>
      </c>
      <c r="Z167" s="32">
        <v>1</v>
      </c>
      <c r="AA167" s="32">
        <v>32.6</v>
      </c>
      <c r="AB167" s="32">
        <v>268</v>
      </c>
      <c r="AC167" s="32">
        <v>21</v>
      </c>
      <c r="AD167" s="32">
        <v>30</v>
      </c>
      <c r="AE167" s="32">
        <v>24</v>
      </c>
      <c r="AF167" s="32">
        <v>0</v>
      </c>
      <c r="AG167" s="32" t="s">
        <v>200</v>
      </c>
    </row>
    <row r="168" spans="1:33">
      <c r="A168" s="32" t="s">
        <v>824</v>
      </c>
      <c r="B168" s="32" t="s">
        <v>33</v>
      </c>
      <c r="C168" s="32" t="s">
        <v>825</v>
      </c>
      <c r="D168" s="32" t="s">
        <v>826</v>
      </c>
      <c r="E168" s="32" t="s">
        <v>827</v>
      </c>
      <c r="F168" s="32" t="s">
        <v>828</v>
      </c>
      <c r="G168" s="32" t="s">
        <v>332</v>
      </c>
      <c r="H168" s="32" t="s">
        <v>333</v>
      </c>
      <c r="I168" s="32" t="s">
        <v>198</v>
      </c>
      <c r="J168" s="32" t="s">
        <v>199</v>
      </c>
      <c r="K168" s="32">
        <v>3.1735039999999999</v>
      </c>
      <c r="L168" s="33">
        <v>1747</v>
      </c>
      <c r="M168" s="32">
        <v>194</v>
      </c>
      <c r="N168" s="32">
        <v>534</v>
      </c>
      <c r="O168" s="32">
        <v>466</v>
      </c>
      <c r="P168" s="32">
        <v>369</v>
      </c>
      <c r="Q168" s="32">
        <v>184</v>
      </c>
      <c r="R168" s="32" t="s">
        <v>668</v>
      </c>
      <c r="S168" s="32">
        <v>50.612200000000001</v>
      </c>
      <c r="T168" s="32">
        <v>33.657899999999998</v>
      </c>
      <c r="U168" s="32">
        <v>0.642511524</v>
      </c>
      <c r="V168" s="32">
        <v>2</v>
      </c>
      <c r="W168" s="32">
        <v>1</v>
      </c>
      <c r="X168" s="32">
        <v>0.40397699999999997</v>
      </c>
      <c r="Y168" s="32">
        <v>0.771671</v>
      </c>
      <c r="Z168" s="32">
        <v>1</v>
      </c>
      <c r="AA168" s="32">
        <v>30.5</v>
      </c>
      <c r="AB168" s="32">
        <v>174</v>
      </c>
      <c r="AC168" s="32">
        <v>13</v>
      </c>
      <c r="AD168" s="32">
        <v>19</v>
      </c>
      <c r="AE168" s="32">
        <v>0</v>
      </c>
      <c r="AF168" s="32">
        <v>0</v>
      </c>
      <c r="AG168" s="32" t="s">
        <v>200</v>
      </c>
    </row>
    <row r="169" spans="1:33">
      <c r="A169" s="32" t="s">
        <v>829</v>
      </c>
      <c r="B169" s="32" t="s">
        <v>33</v>
      </c>
      <c r="C169" s="32" t="s">
        <v>830</v>
      </c>
      <c r="D169" s="32" t="s">
        <v>831</v>
      </c>
      <c r="E169" s="32" t="s">
        <v>832</v>
      </c>
      <c r="F169" s="32" t="s">
        <v>833</v>
      </c>
      <c r="G169" s="32" t="s">
        <v>332</v>
      </c>
      <c r="H169" s="32" t="s">
        <v>333</v>
      </c>
      <c r="I169" s="32" t="s">
        <v>198</v>
      </c>
      <c r="J169" s="32" t="s">
        <v>199</v>
      </c>
      <c r="K169" s="32">
        <v>3.0244810000000002</v>
      </c>
      <c r="L169" s="33">
        <v>1917</v>
      </c>
      <c r="M169" s="32">
        <v>188</v>
      </c>
      <c r="N169" s="32">
        <v>667</v>
      </c>
      <c r="O169" s="32">
        <v>559</v>
      </c>
      <c r="P169" s="32">
        <v>387</v>
      </c>
      <c r="Q169" s="32">
        <v>116</v>
      </c>
      <c r="R169" s="32" t="s">
        <v>668</v>
      </c>
      <c r="S169" s="32">
        <v>56.330100000000002</v>
      </c>
      <c r="T169" s="32">
        <v>32.737900000000003</v>
      </c>
      <c r="U169" s="32">
        <v>0.75323575200000004</v>
      </c>
      <c r="V169" s="32">
        <v>2</v>
      </c>
      <c r="W169" s="32">
        <v>1</v>
      </c>
      <c r="X169" s="32">
        <v>0.319415</v>
      </c>
      <c r="Y169" s="32">
        <v>0.7</v>
      </c>
      <c r="Z169" s="32">
        <v>1</v>
      </c>
      <c r="AA169" s="32">
        <v>23.4</v>
      </c>
      <c r="AB169" s="32">
        <v>399</v>
      </c>
      <c r="AC169" s="32">
        <v>22</v>
      </c>
      <c r="AD169" s="32">
        <v>24</v>
      </c>
      <c r="AE169" s="32" t="s">
        <v>200</v>
      </c>
      <c r="AF169" s="32" t="s">
        <v>200</v>
      </c>
      <c r="AG169" s="32" t="s">
        <v>200</v>
      </c>
    </row>
    <row r="170" spans="1:33">
      <c r="A170" s="32" t="s">
        <v>834</v>
      </c>
      <c r="B170" s="32" t="s">
        <v>33</v>
      </c>
      <c r="C170" s="32" t="s">
        <v>835</v>
      </c>
      <c r="D170" s="32" t="s">
        <v>836</v>
      </c>
      <c r="E170" s="32" t="s">
        <v>837</v>
      </c>
      <c r="F170" s="32" t="s">
        <v>838</v>
      </c>
      <c r="G170" s="32" t="s">
        <v>332</v>
      </c>
      <c r="H170" s="32" t="s">
        <v>333</v>
      </c>
      <c r="I170" s="32" t="s">
        <v>198</v>
      </c>
      <c r="J170" s="32" t="s">
        <v>199</v>
      </c>
      <c r="K170" s="32">
        <v>2.7672219999999998</v>
      </c>
      <c r="L170" s="33">
        <v>2205</v>
      </c>
      <c r="M170" s="32">
        <v>376</v>
      </c>
      <c r="N170" s="32">
        <v>933</v>
      </c>
      <c r="O170" s="32">
        <v>346</v>
      </c>
      <c r="P170" s="32">
        <v>350</v>
      </c>
      <c r="Q170" s="32">
        <v>200</v>
      </c>
      <c r="R170" s="32" t="s">
        <v>302</v>
      </c>
      <c r="S170" s="32">
        <v>39.720999999999997</v>
      </c>
      <c r="T170" s="32">
        <v>21.381799999999998</v>
      </c>
      <c r="U170" s="32">
        <v>0.73676798700000001</v>
      </c>
      <c r="V170" s="32">
        <v>4</v>
      </c>
      <c r="W170" s="32">
        <v>1</v>
      </c>
      <c r="X170" s="32">
        <v>0.134463</v>
      </c>
      <c r="Y170" s="32">
        <v>0.7</v>
      </c>
      <c r="Z170" s="32">
        <v>0.94021699999999997</v>
      </c>
      <c r="AA170" s="32">
        <v>51.8</v>
      </c>
      <c r="AB170" s="32">
        <v>185</v>
      </c>
      <c r="AC170" s="32">
        <v>10</v>
      </c>
      <c r="AD170" s="32">
        <v>11</v>
      </c>
      <c r="AE170" s="32">
        <v>0</v>
      </c>
      <c r="AF170" s="32">
        <v>0</v>
      </c>
      <c r="AG170" s="32">
        <v>0</v>
      </c>
    </row>
    <row r="171" spans="1:33">
      <c r="A171" s="32" t="s">
        <v>839</v>
      </c>
      <c r="B171" s="32" t="s">
        <v>33</v>
      </c>
      <c r="C171" s="32" t="s">
        <v>840</v>
      </c>
      <c r="D171" s="32" t="s">
        <v>841</v>
      </c>
      <c r="E171" s="32" t="s">
        <v>837</v>
      </c>
      <c r="F171" s="32" t="s">
        <v>838</v>
      </c>
      <c r="G171" s="32" t="s">
        <v>332</v>
      </c>
      <c r="H171" s="32" t="s">
        <v>333</v>
      </c>
      <c r="I171" s="32" t="s">
        <v>198</v>
      </c>
      <c r="J171" s="32" t="s">
        <v>199</v>
      </c>
      <c r="K171" s="32">
        <v>2.99641</v>
      </c>
      <c r="L171" s="33">
        <v>1786</v>
      </c>
      <c r="M171" s="32">
        <v>294</v>
      </c>
      <c r="N171" s="32">
        <v>882</v>
      </c>
      <c r="O171" s="32">
        <v>301</v>
      </c>
      <c r="P171" s="32">
        <v>179</v>
      </c>
      <c r="Q171" s="32">
        <v>130</v>
      </c>
      <c r="R171" s="32" t="s">
        <v>668</v>
      </c>
      <c r="S171" s="32">
        <v>100.747</v>
      </c>
      <c r="T171" s="32">
        <v>19.673999999999999</v>
      </c>
      <c r="U171" s="32">
        <v>0.62084541100000001</v>
      </c>
      <c r="V171" s="32">
        <v>3</v>
      </c>
      <c r="W171" s="32">
        <v>1</v>
      </c>
      <c r="X171" s="32">
        <v>0.28589900000000001</v>
      </c>
      <c r="Y171" s="32">
        <v>0.7</v>
      </c>
      <c r="Z171" s="32">
        <v>1</v>
      </c>
      <c r="AA171" s="32">
        <v>53.2</v>
      </c>
      <c r="AB171" s="32">
        <v>150</v>
      </c>
      <c r="AC171" s="32">
        <v>8</v>
      </c>
      <c r="AD171" s="32">
        <v>23</v>
      </c>
      <c r="AE171" s="32">
        <v>0</v>
      </c>
      <c r="AF171" s="32" t="s">
        <v>200</v>
      </c>
      <c r="AG171" s="32">
        <v>9</v>
      </c>
    </row>
    <row r="172" spans="1:33">
      <c r="A172" s="32" t="s">
        <v>842</v>
      </c>
      <c r="B172" s="32" t="s">
        <v>33</v>
      </c>
      <c r="C172" s="32" t="s">
        <v>843</v>
      </c>
      <c r="D172" s="32" t="s">
        <v>844</v>
      </c>
      <c r="E172" s="32" t="s">
        <v>832</v>
      </c>
      <c r="F172" s="32" t="s">
        <v>833</v>
      </c>
      <c r="G172" s="32" t="s">
        <v>332</v>
      </c>
      <c r="H172" s="32" t="s">
        <v>333</v>
      </c>
      <c r="I172" s="32" t="s">
        <v>198</v>
      </c>
      <c r="J172" s="32" t="s">
        <v>199</v>
      </c>
      <c r="K172" s="32">
        <v>2.6418119999999998</v>
      </c>
      <c r="L172" s="33">
        <v>2269</v>
      </c>
      <c r="M172" s="32">
        <v>379</v>
      </c>
      <c r="N172" s="32">
        <v>672</v>
      </c>
      <c r="O172" s="32">
        <v>519</v>
      </c>
      <c r="P172" s="32">
        <v>444</v>
      </c>
      <c r="Q172" s="32">
        <v>255</v>
      </c>
      <c r="R172" s="32">
        <v>5</v>
      </c>
      <c r="S172" s="32">
        <v>85.358000000000004</v>
      </c>
      <c r="T172" s="32">
        <v>0</v>
      </c>
      <c r="U172" s="32">
        <v>0.588208705</v>
      </c>
      <c r="V172" s="32">
        <v>6</v>
      </c>
      <c r="W172" s="32">
        <v>0.99007199999999995</v>
      </c>
      <c r="X172" s="32">
        <v>0.184249</v>
      </c>
      <c r="Y172" s="32">
        <v>0.7</v>
      </c>
      <c r="Z172" s="32">
        <v>0.75901200000000002</v>
      </c>
      <c r="AA172" s="32">
        <v>35.4</v>
      </c>
      <c r="AB172" s="32">
        <v>329</v>
      </c>
      <c r="AC172" s="32">
        <v>21</v>
      </c>
      <c r="AD172" s="32">
        <v>14</v>
      </c>
      <c r="AE172" s="32" t="s">
        <v>200</v>
      </c>
      <c r="AF172" s="32">
        <v>0</v>
      </c>
      <c r="AG172" s="32" t="s">
        <v>200</v>
      </c>
    </row>
    <row r="173" spans="1:33">
      <c r="A173" s="32" t="s">
        <v>845</v>
      </c>
      <c r="B173" s="32" t="s">
        <v>33</v>
      </c>
      <c r="C173" s="32" t="s">
        <v>846</v>
      </c>
      <c r="D173" s="32" t="s">
        <v>847</v>
      </c>
      <c r="E173" s="32" t="s">
        <v>832</v>
      </c>
      <c r="F173" s="32" t="s">
        <v>833</v>
      </c>
      <c r="G173" s="32" t="s">
        <v>332</v>
      </c>
      <c r="H173" s="32" t="s">
        <v>333</v>
      </c>
      <c r="I173" s="32" t="s">
        <v>198</v>
      </c>
      <c r="J173" s="32" t="s">
        <v>199</v>
      </c>
      <c r="K173" s="32">
        <v>3.1273680000000001</v>
      </c>
      <c r="L173" s="33">
        <v>2308</v>
      </c>
      <c r="M173" s="32">
        <v>261</v>
      </c>
      <c r="N173" s="32">
        <v>697</v>
      </c>
      <c r="O173" s="32">
        <v>761</v>
      </c>
      <c r="P173" s="32">
        <v>410</v>
      </c>
      <c r="Q173" s="32">
        <v>179</v>
      </c>
      <c r="R173" s="32" t="s">
        <v>302</v>
      </c>
      <c r="S173" s="32">
        <v>49.837699999999998</v>
      </c>
      <c r="T173" s="32">
        <v>25.107500000000002</v>
      </c>
      <c r="U173" s="32">
        <v>0.60744553400000001</v>
      </c>
      <c r="V173" s="32">
        <v>4</v>
      </c>
      <c r="W173" s="32">
        <v>1</v>
      </c>
      <c r="X173" s="32">
        <v>0.412134</v>
      </c>
      <c r="Y173" s="32">
        <v>0.71484499999999995</v>
      </c>
      <c r="Z173" s="32">
        <v>1</v>
      </c>
      <c r="AA173" s="32">
        <v>36.299999999999997</v>
      </c>
      <c r="AB173" s="32">
        <v>236</v>
      </c>
      <c r="AC173" s="32">
        <v>22</v>
      </c>
      <c r="AD173" s="32">
        <v>22</v>
      </c>
      <c r="AE173" s="32">
        <v>0</v>
      </c>
      <c r="AF173" s="32">
        <v>0</v>
      </c>
      <c r="AG173" s="32" t="s">
        <v>200</v>
      </c>
    </row>
    <row r="174" spans="1:33">
      <c r="A174" s="32" t="s">
        <v>848</v>
      </c>
      <c r="B174" s="32" t="s">
        <v>33</v>
      </c>
      <c r="C174" s="32" t="s">
        <v>849</v>
      </c>
      <c r="D174" s="32" t="s">
        <v>850</v>
      </c>
      <c r="E174" s="32" t="s">
        <v>837</v>
      </c>
      <c r="F174" s="32" t="s">
        <v>838</v>
      </c>
      <c r="G174" s="32" t="s">
        <v>332</v>
      </c>
      <c r="H174" s="32" t="s">
        <v>333</v>
      </c>
      <c r="I174" s="32" t="s">
        <v>198</v>
      </c>
      <c r="J174" s="32" t="s">
        <v>199</v>
      </c>
      <c r="K174" s="32">
        <v>3.0674009999999998</v>
      </c>
      <c r="L174" s="33">
        <v>1309</v>
      </c>
      <c r="M174" s="32">
        <v>295</v>
      </c>
      <c r="N174" s="32">
        <v>362</v>
      </c>
      <c r="O174" s="32">
        <v>238</v>
      </c>
      <c r="P174" s="32">
        <v>290</v>
      </c>
      <c r="Q174" s="32">
        <v>124</v>
      </c>
      <c r="R174" s="32" t="s">
        <v>302</v>
      </c>
      <c r="S174" s="32">
        <v>42.825899999999997</v>
      </c>
      <c r="T174" s="32">
        <v>16.334800000000001</v>
      </c>
      <c r="U174" s="32">
        <v>0.80022077199999997</v>
      </c>
      <c r="V174" s="32">
        <v>2</v>
      </c>
      <c r="W174" s="32">
        <v>1</v>
      </c>
      <c r="X174" s="32">
        <v>0.349356</v>
      </c>
      <c r="Y174" s="32">
        <v>0.7</v>
      </c>
      <c r="Z174" s="32">
        <v>0.995946</v>
      </c>
      <c r="AA174" s="32">
        <v>60.3</v>
      </c>
      <c r="AB174" s="32">
        <v>124</v>
      </c>
      <c r="AC174" s="32">
        <v>9</v>
      </c>
      <c r="AD174" s="32" t="s">
        <v>200</v>
      </c>
      <c r="AE174" s="32">
        <v>0</v>
      </c>
      <c r="AF174" s="32">
        <v>0</v>
      </c>
      <c r="AG174" s="32" t="s">
        <v>200</v>
      </c>
    </row>
    <row r="175" spans="1:33">
      <c r="A175" s="32" t="s">
        <v>851</v>
      </c>
      <c r="B175" s="32" t="s">
        <v>33</v>
      </c>
      <c r="C175" s="32" t="s">
        <v>852</v>
      </c>
      <c r="D175" s="32" t="s">
        <v>853</v>
      </c>
      <c r="E175" s="32" t="s">
        <v>837</v>
      </c>
      <c r="F175" s="32" t="s">
        <v>838</v>
      </c>
      <c r="G175" s="32" t="s">
        <v>332</v>
      </c>
      <c r="H175" s="32" t="s">
        <v>333</v>
      </c>
      <c r="I175" s="32" t="s">
        <v>198</v>
      </c>
      <c r="J175" s="32" t="s">
        <v>199</v>
      </c>
      <c r="K175" s="32">
        <v>2.7147239999999999</v>
      </c>
      <c r="L175" s="33">
        <v>1835</v>
      </c>
      <c r="M175" s="32">
        <v>401</v>
      </c>
      <c r="N175" s="32">
        <v>565</v>
      </c>
      <c r="O175" s="32">
        <v>375</v>
      </c>
      <c r="P175" s="32">
        <v>311</v>
      </c>
      <c r="Q175" s="32">
        <v>183</v>
      </c>
      <c r="R175" s="32" t="s">
        <v>302</v>
      </c>
      <c r="S175" s="32">
        <v>46.432200000000002</v>
      </c>
      <c r="T175" s="32">
        <v>25.3431</v>
      </c>
      <c r="U175" s="32">
        <v>0.87842401299999995</v>
      </c>
      <c r="V175" s="32">
        <v>2</v>
      </c>
      <c r="W175" s="32">
        <v>1</v>
      </c>
      <c r="X175" s="32">
        <v>2.4204E-2</v>
      </c>
      <c r="Y175" s="32">
        <v>0.7</v>
      </c>
      <c r="Z175" s="32">
        <v>0.99117599999999995</v>
      </c>
      <c r="AA175" s="32">
        <v>53.6</v>
      </c>
      <c r="AB175" s="32">
        <v>183</v>
      </c>
      <c r="AC175" s="32">
        <v>15</v>
      </c>
      <c r="AD175" s="32" t="s">
        <v>200</v>
      </c>
      <c r="AE175" s="32">
        <v>0</v>
      </c>
      <c r="AF175" s="32">
        <v>0</v>
      </c>
      <c r="AG175" s="32">
        <v>0</v>
      </c>
    </row>
    <row r="176" spans="1:33">
      <c r="A176" s="32" t="s">
        <v>854</v>
      </c>
      <c r="B176" s="32" t="s">
        <v>33</v>
      </c>
      <c r="C176" s="32" t="s">
        <v>855</v>
      </c>
      <c r="D176" s="32" t="s">
        <v>856</v>
      </c>
      <c r="E176" s="32" t="s">
        <v>857</v>
      </c>
      <c r="F176" s="32" t="s">
        <v>858</v>
      </c>
      <c r="G176" s="32" t="s">
        <v>332</v>
      </c>
      <c r="H176" s="32" t="s">
        <v>333</v>
      </c>
      <c r="I176" s="32" t="s">
        <v>198</v>
      </c>
      <c r="J176" s="32" t="s">
        <v>199</v>
      </c>
      <c r="K176" s="32">
        <v>2.823105</v>
      </c>
      <c r="L176" s="33">
        <v>1904</v>
      </c>
      <c r="M176" s="32">
        <v>360</v>
      </c>
      <c r="N176" s="32">
        <v>553</v>
      </c>
      <c r="O176" s="32">
        <v>394</v>
      </c>
      <c r="P176" s="32">
        <v>399</v>
      </c>
      <c r="Q176" s="32">
        <v>198</v>
      </c>
      <c r="R176" s="32" t="s">
        <v>668</v>
      </c>
      <c r="S176" s="32">
        <v>56.875100000000003</v>
      </c>
      <c r="T176" s="32">
        <v>25.6462</v>
      </c>
      <c r="U176" s="32">
        <v>0.89622688500000003</v>
      </c>
      <c r="V176" s="32">
        <v>2</v>
      </c>
      <c r="W176" s="32">
        <v>1</v>
      </c>
      <c r="X176" s="32">
        <v>0.13780899999999999</v>
      </c>
      <c r="Y176" s="32">
        <v>0.70760900000000004</v>
      </c>
      <c r="Z176" s="32">
        <v>1</v>
      </c>
      <c r="AA176" s="32">
        <v>48.8</v>
      </c>
      <c r="AB176" s="32">
        <v>209</v>
      </c>
      <c r="AC176" s="32">
        <v>8</v>
      </c>
      <c r="AD176" s="32">
        <v>9</v>
      </c>
      <c r="AE176" s="32">
        <v>0</v>
      </c>
      <c r="AF176" s="32">
        <v>0</v>
      </c>
      <c r="AG176" s="32" t="s">
        <v>200</v>
      </c>
    </row>
    <row r="177" spans="1:33">
      <c r="A177" s="32" t="s">
        <v>859</v>
      </c>
      <c r="B177" s="32" t="s">
        <v>33</v>
      </c>
      <c r="C177" s="32" t="s">
        <v>860</v>
      </c>
      <c r="D177" s="32" t="s">
        <v>861</v>
      </c>
      <c r="E177" s="32" t="s">
        <v>857</v>
      </c>
      <c r="F177" s="32" t="s">
        <v>858</v>
      </c>
      <c r="G177" s="32" t="s">
        <v>332</v>
      </c>
      <c r="H177" s="32" t="s">
        <v>333</v>
      </c>
      <c r="I177" s="32" t="s">
        <v>198</v>
      </c>
      <c r="J177" s="32" t="s">
        <v>199</v>
      </c>
      <c r="K177" s="32">
        <v>2.9754290000000001</v>
      </c>
      <c r="L177" s="33">
        <v>1922</v>
      </c>
      <c r="M177" s="32">
        <v>547</v>
      </c>
      <c r="N177" s="32">
        <v>439</v>
      </c>
      <c r="O177" s="32">
        <v>384</v>
      </c>
      <c r="P177" s="32">
        <v>356</v>
      </c>
      <c r="Q177" s="32">
        <v>196</v>
      </c>
      <c r="R177" s="32" t="s">
        <v>302</v>
      </c>
      <c r="S177" s="32">
        <v>54.665100000000002</v>
      </c>
      <c r="T177" s="32">
        <v>21.958200000000001</v>
      </c>
      <c r="U177" s="32">
        <v>0.79213426899999995</v>
      </c>
      <c r="V177" s="32">
        <v>2</v>
      </c>
      <c r="W177" s="32">
        <v>1</v>
      </c>
      <c r="X177" s="32">
        <v>0.29608899999999999</v>
      </c>
      <c r="Y177" s="32">
        <v>0.7</v>
      </c>
      <c r="Z177" s="32">
        <v>1</v>
      </c>
      <c r="AA177" s="32">
        <v>55.9</v>
      </c>
      <c r="AB177" s="32">
        <v>191</v>
      </c>
      <c r="AC177" s="32">
        <v>17</v>
      </c>
      <c r="AD177" s="32">
        <v>10</v>
      </c>
      <c r="AE177" s="32">
        <v>0</v>
      </c>
      <c r="AF177" s="32" t="s">
        <v>200</v>
      </c>
      <c r="AG177" s="32" t="s">
        <v>200</v>
      </c>
    </row>
    <row r="178" spans="1:33">
      <c r="A178" s="32" t="s">
        <v>862</v>
      </c>
      <c r="B178" s="32" t="s">
        <v>33</v>
      </c>
      <c r="C178" s="32" t="s">
        <v>863</v>
      </c>
      <c r="D178" s="32" t="s">
        <v>864</v>
      </c>
      <c r="E178" s="32" t="s">
        <v>827</v>
      </c>
      <c r="F178" s="32" t="s">
        <v>828</v>
      </c>
      <c r="G178" s="32" t="s">
        <v>332</v>
      </c>
      <c r="H178" s="32" t="s">
        <v>333</v>
      </c>
      <c r="I178" s="32" t="s">
        <v>198</v>
      </c>
      <c r="J178" s="32" t="s">
        <v>199</v>
      </c>
      <c r="K178" s="32">
        <v>3.117343</v>
      </c>
      <c r="L178" s="33">
        <v>3614</v>
      </c>
      <c r="M178" s="32">
        <v>513</v>
      </c>
      <c r="N178" s="33">
        <v>1519</v>
      </c>
      <c r="O178" s="32">
        <v>953</v>
      </c>
      <c r="P178" s="32">
        <v>504</v>
      </c>
      <c r="Q178" s="32">
        <v>125</v>
      </c>
      <c r="R178" s="32" t="s">
        <v>302</v>
      </c>
      <c r="S178" s="32">
        <v>56.979900000000001</v>
      </c>
      <c r="T178" s="32">
        <v>2.5082599999999999</v>
      </c>
      <c r="U178" s="32">
        <v>0.65343286300000003</v>
      </c>
      <c r="V178" s="32">
        <v>4</v>
      </c>
      <c r="W178" s="32">
        <v>1</v>
      </c>
      <c r="X178" s="32">
        <v>0.32461800000000002</v>
      </c>
      <c r="Y178" s="32">
        <v>0.79525800000000002</v>
      </c>
      <c r="Z178" s="32">
        <v>1</v>
      </c>
      <c r="AA178" s="32">
        <v>46</v>
      </c>
      <c r="AB178" s="32">
        <v>250</v>
      </c>
      <c r="AC178" s="32">
        <v>25</v>
      </c>
      <c r="AD178" s="32">
        <v>31</v>
      </c>
      <c r="AE178" s="32">
        <v>0</v>
      </c>
      <c r="AF178" s="32" t="s">
        <v>200</v>
      </c>
      <c r="AG178" s="32">
        <v>5</v>
      </c>
    </row>
    <row r="179" spans="1:33">
      <c r="A179" s="32" t="s">
        <v>865</v>
      </c>
      <c r="B179" s="32" t="s">
        <v>33</v>
      </c>
      <c r="C179" s="32" t="s">
        <v>866</v>
      </c>
      <c r="D179" s="32" t="s">
        <v>867</v>
      </c>
      <c r="E179" s="32" t="s">
        <v>827</v>
      </c>
      <c r="F179" s="32" t="s">
        <v>828</v>
      </c>
      <c r="G179" s="32" t="s">
        <v>332</v>
      </c>
      <c r="H179" s="32" t="s">
        <v>333</v>
      </c>
      <c r="I179" s="32" t="s">
        <v>198</v>
      </c>
      <c r="J179" s="32" t="s">
        <v>199</v>
      </c>
      <c r="K179" s="32">
        <v>3.0223629999999999</v>
      </c>
      <c r="L179" s="33">
        <v>1863</v>
      </c>
      <c r="M179" s="32">
        <v>333</v>
      </c>
      <c r="N179" s="32">
        <v>615</v>
      </c>
      <c r="O179" s="32">
        <v>330</v>
      </c>
      <c r="P179" s="32">
        <v>396</v>
      </c>
      <c r="Q179" s="32">
        <v>189</v>
      </c>
      <c r="R179" s="32" t="s">
        <v>668</v>
      </c>
      <c r="S179" s="32">
        <v>61.795000000000002</v>
      </c>
      <c r="T179" s="32">
        <v>31.278600000000001</v>
      </c>
      <c r="U179" s="32">
        <v>0.80698887500000005</v>
      </c>
      <c r="V179" s="32">
        <v>2</v>
      </c>
      <c r="W179" s="32">
        <v>1</v>
      </c>
      <c r="X179" s="32">
        <v>0.222689</v>
      </c>
      <c r="Y179" s="32">
        <v>0.79790799999999995</v>
      </c>
      <c r="Z179" s="32">
        <v>1</v>
      </c>
      <c r="AA179" s="32">
        <v>44.4</v>
      </c>
      <c r="AB179" s="32">
        <v>206</v>
      </c>
      <c r="AC179" s="32">
        <v>19</v>
      </c>
      <c r="AD179" s="32">
        <v>10</v>
      </c>
      <c r="AE179" s="32" t="s">
        <v>200</v>
      </c>
      <c r="AF179" s="32">
        <v>0</v>
      </c>
      <c r="AG179" s="32">
        <v>0</v>
      </c>
    </row>
    <row r="180" spans="1:33">
      <c r="A180" s="32" t="s">
        <v>868</v>
      </c>
      <c r="B180" s="32" t="s">
        <v>43</v>
      </c>
      <c r="C180" s="32" t="s">
        <v>869</v>
      </c>
      <c r="D180" s="32" t="s">
        <v>870</v>
      </c>
      <c r="E180" s="32" t="s">
        <v>871</v>
      </c>
      <c r="F180" s="32" t="s">
        <v>872</v>
      </c>
      <c r="G180" s="32" t="s">
        <v>873</v>
      </c>
      <c r="H180" s="32" t="s">
        <v>874</v>
      </c>
      <c r="I180" s="32" t="s">
        <v>198</v>
      </c>
      <c r="J180" s="32" t="s">
        <v>199</v>
      </c>
      <c r="K180" s="32">
        <v>2.944566</v>
      </c>
      <c r="L180" s="33">
        <v>1478</v>
      </c>
      <c r="M180" s="32">
        <v>135</v>
      </c>
      <c r="N180" s="32">
        <v>445</v>
      </c>
      <c r="O180" s="32">
        <v>294</v>
      </c>
      <c r="P180" s="32">
        <v>451</v>
      </c>
      <c r="Q180" s="32">
        <v>153</v>
      </c>
      <c r="R180" s="32" t="s">
        <v>668</v>
      </c>
      <c r="S180" s="32">
        <v>84.524900000000002</v>
      </c>
      <c r="T180" s="32">
        <v>30.764600000000002</v>
      </c>
      <c r="U180" s="32">
        <v>0.43234755499999999</v>
      </c>
      <c r="V180" s="32">
        <v>6</v>
      </c>
      <c r="W180" s="32">
        <v>1</v>
      </c>
      <c r="X180" s="32">
        <v>0.26466200000000001</v>
      </c>
      <c r="Y180" s="32">
        <v>0.67799100000000001</v>
      </c>
      <c r="Z180" s="32">
        <v>1</v>
      </c>
      <c r="AA180" s="32">
        <v>16.899999999999999</v>
      </c>
      <c r="AB180" s="32">
        <v>588</v>
      </c>
      <c r="AC180" s="32">
        <v>21</v>
      </c>
      <c r="AD180" s="32">
        <v>84</v>
      </c>
      <c r="AE180" s="32">
        <v>9</v>
      </c>
      <c r="AF180" s="32" t="s">
        <v>200</v>
      </c>
      <c r="AG180" s="32">
        <v>19</v>
      </c>
    </row>
    <row r="181" spans="1:33">
      <c r="A181" s="32" t="s">
        <v>875</v>
      </c>
      <c r="B181" s="32" t="s">
        <v>43</v>
      </c>
      <c r="C181" s="32" t="s">
        <v>876</v>
      </c>
      <c r="D181" s="32" t="s">
        <v>877</v>
      </c>
      <c r="E181" s="32" t="s">
        <v>878</v>
      </c>
      <c r="F181" s="32" t="s">
        <v>879</v>
      </c>
      <c r="G181" s="32" t="s">
        <v>332</v>
      </c>
      <c r="H181" s="32" t="s">
        <v>333</v>
      </c>
      <c r="I181" s="32" t="s">
        <v>198</v>
      </c>
      <c r="J181" s="32" t="s">
        <v>199</v>
      </c>
      <c r="K181" s="32">
        <v>2.848843</v>
      </c>
      <c r="L181" s="33">
        <v>2547</v>
      </c>
      <c r="M181" s="32">
        <v>274</v>
      </c>
      <c r="N181" s="32">
        <v>724</v>
      </c>
      <c r="O181" s="32">
        <v>770</v>
      </c>
      <c r="P181" s="32">
        <v>543</v>
      </c>
      <c r="Q181" s="32">
        <v>236</v>
      </c>
      <c r="R181" s="32" t="s">
        <v>668</v>
      </c>
      <c r="S181" s="32">
        <v>69.147599999999997</v>
      </c>
      <c r="T181" s="32">
        <v>47.419400000000003</v>
      </c>
      <c r="U181" s="32">
        <v>0.63295456500000002</v>
      </c>
      <c r="V181" s="32">
        <v>5</v>
      </c>
      <c r="W181" s="32">
        <v>1</v>
      </c>
      <c r="X181" s="32">
        <v>0.23059399999999999</v>
      </c>
      <c r="Y181" s="32">
        <v>0.6</v>
      </c>
      <c r="Z181" s="32">
        <v>1</v>
      </c>
      <c r="AA181" s="32">
        <v>37.4</v>
      </c>
      <c r="AB181" s="32">
        <v>322</v>
      </c>
      <c r="AC181" s="32">
        <v>39</v>
      </c>
      <c r="AD181" s="32">
        <v>91</v>
      </c>
      <c r="AE181" s="32">
        <v>5</v>
      </c>
      <c r="AF181" s="32">
        <v>0</v>
      </c>
      <c r="AG181" s="32">
        <v>8</v>
      </c>
    </row>
    <row r="182" spans="1:33">
      <c r="A182" s="32" t="s">
        <v>880</v>
      </c>
      <c r="B182" s="32" t="s">
        <v>43</v>
      </c>
      <c r="C182" s="32" t="s">
        <v>881</v>
      </c>
      <c r="D182" s="32" t="s">
        <v>882</v>
      </c>
      <c r="E182" s="32" t="s">
        <v>883</v>
      </c>
      <c r="F182" s="32" t="s">
        <v>884</v>
      </c>
      <c r="G182" s="32" t="s">
        <v>332</v>
      </c>
      <c r="H182" s="32" t="s">
        <v>333</v>
      </c>
      <c r="I182" s="32" t="s">
        <v>198</v>
      </c>
      <c r="J182" s="32" t="s">
        <v>199</v>
      </c>
      <c r="K182" s="32">
        <v>2.813806</v>
      </c>
      <c r="L182" s="33">
        <v>2003</v>
      </c>
      <c r="M182" s="32">
        <v>257</v>
      </c>
      <c r="N182" s="32">
        <v>799</v>
      </c>
      <c r="O182" s="32">
        <v>439</v>
      </c>
      <c r="P182" s="32">
        <v>321</v>
      </c>
      <c r="Q182" s="32">
        <v>187</v>
      </c>
      <c r="R182" s="32" t="s">
        <v>302</v>
      </c>
      <c r="S182" s="32">
        <v>50.424500000000002</v>
      </c>
      <c r="T182" s="32">
        <v>8.3911800000000003</v>
      </c>
      <c r="U182" s="32">
        <v>0.69393988600000001</v>
      </c>
      <c r="V182" s="32">
        <v>5</v>
      </c>
      <c r="W182" s="32">
        <v>1</v>
      </c>
      <c r="X182" s="32">
        <v>0.17851900000000001</v>
      </c>
      <c r="Y182" s="32">
        <v>0.63185199999999997</v>
      </c>
      <c r="Z182" s="32">
        <v>1</v>
      </c>
      <c r="AA182" s="32">
        <v>51.1</v>
      </c>
      <c r="AB182" s="32">
        <v>158</v>
      </c>
      <c r="AC182" s="32">
        <v>11</v>
      </c>
      <c r="AD182" s="32">
        <v>11</v>
      </c>
      <c r="AE182" s="32">
        <v>0</v>
      </c>
      <c r="AF182" s="32">
        <v>0</v>
      </c>
      <c r="AG182" s="32" t="s">
        <v>200</v>
      </c>
    </row>
    <row r="183" spans="1:33">
      <c r="A183" s="32" t="s">
        <v>885</v>
      </c>
      <c r="B183" s="32" t="s">
        <v>43</v>
      </c>
      <c r="C183" s="32" t="s">
        <v>886</v>
      </c>
      <c r="D183" s="32" t="s">
        <v>887</v>
      </c>
      <c r="E183" s="32" t="s">
        <v>883</v>
      </c>
      <c r="F183" s="32" t="s">
        <v>884</v>
      </c>
      <c r="G183" s="32" t="s">
        <v>332</v>
      </c>
      <c r="H183" s="32" t="s">
        <v>333</v>
      </c>
      <c r="I183" s="32" t="s">
        <v>198</v>
      </c>
      <c r="J183" s="32" t="s">
        <v>199</v>
      </c>
      <c r="K183" s="32">
        <v>3.0931030000000002</v>
      </c>
      <c r="L183" s="33">
        <v>2077</v>
      </c>
      <c r="M183" s="32">
        <v>468</v>
      </c>
      <c r="N183" s="32">
        <v>648</v>
      </c>
      <c r="O183" s="32">
        <v>525</v>
      </c>
      <c r="P183" s="32">
        <v>325</v>
      </c>
      <c r="Q183" s="32">
        <v>111</v>
      </c>
      <c r="R183" s="32" t="s">
        <v>668</v>
      </c>
      <c r="S183" s="32">
        <v>87.729699999999994</v>
      </c>
      <c r="T183" s="32">
        <v>66.464600000000004</v>
      </c>
      <c r="U183" s="32">
        <v>0.73295058599999996</v>
      </c>
      <c r="V183" s="32">
        <v>2</v>
      </c>
      <c r="W183" s="32">
        <v>1</v>
      </c>
      <c r="X183" s="32">
        <v>0.40842899999999999</v>
      </c>
      <c r="Y183" s="32">
        <v>0.7</v>
      </c>
      <c r="Z183" s="32">
        <v>1</v>
      </c>
      <c r="AA183" s="32">
        <v>53.9</v>
      </c>
      <c r="AB183" s="32">
        <v>130</v>
      </c>
      <c r="AC183" s="32">
        <v>16</v>
      </c>
      <c r="AD183" s="32">
        <v>17</v>
      </c>
      <c r="AE183" s="32">
        <v>0</v>
      </c>
      <c r="AF183" s="32">
        <v>0</v>
      </c>
      <c r="AG183" s="32" t="s">
        <v>200</v>
      </c>
    </row>
    <row r="184" spans="1:33">
      <c r="A184" s="32" t="s">
        <v>888</v>
      </c>
      <c r="B184" s="32" t="s">
        <v>43</v>
      </c>
      <c r="C184" s="32" t="s">
        <v>889</v>
      </c>
      <c r="D184" s="32" t="s">
        <v>890</v>
      </c>
      <c r="E184" s="32" t="s">
        <v>891</v>
      </c>
      <c r="F184" s="32" t="s">
        <v>892</v>
      </c>
      <c r="G184" s="32" t="s">
        <v>497</v>
      </c>
      <c r="H184" s="32" t="s">
        <v>498</v>
      </c>
      <c r="I184" s="32" t="s">
        <v>198</v>
      </c>
      <c r="J184" s="32" t="s">
        <v>199</v>
      </c>
      <c r="K184" s="32">
        <v>2.8131900000000001</v>
      </c>
      <c r="L184" s="33">
        <v>2660</v>
      </c>
      <c r="M184" s="32">
        <v>167</v>
      </c>
      <c r="N184" s="33">
        <v>1143</v>
      </c>
      <c r="O184" s="32">
        <v>711</v>
      </c>
      <c r="P184" s="32">
        <v>496</v>
      </c>
      <c r="Q184" s="32">
        <v>143</v>
      </c>
      <c r="R184" s="32" t="s">
        <v>668</v>
      </c>
      <c r="S184" s="32">
        <v>64.398600000000002</v>
      </c>
      <c r="T184" s="32">
        <v>32.351900000000001</v>
      </c>
      <c r="U184" s="32">
        <v>0.51890512</v>
      </c>
      <c r="V184" s="32">
        <v>6</v>
      </c>
      <c r="W184" s="32">
        <v>1</v>
      </c>
      <c r="X184" s="32">
        <v>0.219277</v>
      </c>
      <c r="Y184" s="32">
        <v>0.6</v>
      </c>
      <c r="Z184" s="32">
        <v>1</v>
      </c>
      <c r="AA184" s="32">
        <v>24.6</v>
      </c>
      <c r="AB184" s="32">
        <v>347</v>
      </c>
      <c r="AC184" s="32">
        <v>32</v>
      </c>
      <c r="AD184" s="32">
        <v>39</v>
      </c>
      <c r="AE184" s="32" t="s">
        <v>200</v>
      </c>
      <c r="AF184" s="32" t="s">
        <v>200</v>
      </c>
      <c r="AG184" s="32">
        <v>8</v>
      </c>
    </row>
    <row r="185" spans="1:33">
      <c r="A185" s="32" t="s">
        <v>893</v>
      </c>
      <c r="B185" s="32" t="s">
        <v>43</v>
      </c>
      <c r="C185" s="32" t="s">
        <v>894</v>
      </c>
      <c r="D185" s="32" t="s">
        <v>895</v>
      </c>
      <c r="E185" s="32" t="s">
        <v>891</v>
      </c>
      <c r="F185" s="32" t="s">
        <v>892</v>
      </c>
      <c r="G185" s="32" t="s">
        <v>497</v>
      </c>
      <c r="H185" s="32" t="s">
        <v>498</v>
      </c>
      <c r="I185" s="32" t="s">
        <v>198</v>
      </c>
      <c r="J185" s="32" t="s">
        <v>199</v>
      </c>
      <c r="K185" s="32">
        <v>2.8531439999999999</v>
      </c>
      <c r="L185" s="33">
        <v>1709</v>
      </c>
      <c r="M185" s="32">
        <v>250</v>
      </c>
      <c r="N185" s="32">
        <v>473</v>
      </c>
      <c r="O185" s="32">
        <v>471</v>
      </c>
      <c r="P185" s="32">
        <v>387</v>
      </c>
      <c r="Q185" s="32">
        <v>128</v>
      </c>
      <c r="R185" s="32" t="s">
        <v>302</v>
      </c>
      <c r="S185" s="32">
        <v>49.551400000000001</v>
      </c>
      <c r="T185" s="32">
        <v>22.885400000000001</v>
      </c>
      <c r="U185" s="32">
        <v>0.70603531399999997</v>
      </c>
      <c r="V185" s="32">
        <v>4</v>
      </c>
      <c r="W185" s="32">
        <v>1</v>
      </c>
      <c r="X185" s="32">
        <v>0.21463399999999999</v>
      </c>
      <c r="Y185" s="32">
        <v>0.63428600000000002</v>
      </c>
      <c r="Z185" s="32">
        <v>1</v>
      </c>
      <c r="AA185" s="32">
        <v>29.1</v>
      </c>
      <c r="AB185" s="32">
        <v>282</v>
      </c>
      <c r="AC185" s="32">
        <v>42</v>
      </c>
      <c r="AD185" s="32">
        <v>56</v>
      </c>
      <c r="AE185" s="32">
        <v>0</v>
      </c>
      <c r="AF185" s="32" t="s">
        <v>200</v>
      </c>
      <c r="AG185" s="32" t="s">
        <v>200</v>
      </c>
    </row>
    <row r="186" spans="1:33">
      <c r="A186" s="32" t="s">
        <v>896</v>
      </c>
      <c r="B186" s="32" t="s">
        <v>43</v>
      </c>
      <c r="C186" s="32" t="s">
        <v>897</v>
      </c>
      <c r="D186" s="32" t="s">
        <v>898</v>
      </c>
      <c r="E186" s="32" t="s">
        <v>899</v>
      </c>
      <c r="F186" s="32" t="s">
        <v>900</v>
      </c>
      <c r="G186" s="32" t="s">
        <v>497</v>
      </c>
      <c r="H186" s="32" t="s">
        <v>498</v>
      </c>
      <c r="I186" s="32" t="s">
        <v>198</v>
      </c>
      <c r="J186" s="32" t="s">
        <v>199</v>
      </c>
      <c r="K186" s="32">
        <v>3.043056</v>
      </c>
      <c r="L186" s="33">
        <v>1896</v>
      </c>
      <c r="M186" s="32">
        <v>194</v>
      </c>
      <c r="N186" s="33">
        <v>1030</v>
      </c>
      <c r="O186" s="32">
        <v>312</v>
      </c>
      <c r="P186" s="32">
        <v>284</v>
      </c>
      <c r="Q186" s="32">
        <v>76</v>
      </c>
      <c r="R186" s="32" t="s">
        <v>668</v>
      </c>
      <c r="S186" s="32">
        <v>74.6203</v>
      </c>
      <c r="T186" s="32">
        <v>36.997900000000001</v>
      </c>
      <c r="U186" s="32">
        <v>0.59144312499999996</v>
      </c>
      <c r="V186" s="32">
        <v>3</v>
      </c>
      <c r="W186" s="32">
        <v>1</v>
      </c>
      <c r="X186" s="32">
        <v>0.38531500000000002</v>
      </c>
      <c r="Y186" s="32">
        <v>0.7</v>
      </c>
      <c r="Z186" s="32">
        <v>1</v>
      </c>
      <c r="AA186" s="32">
        <v>42.2</v>
      </c>
      <c r="AB186" s="32">
        <v>136</v>
      </c>
      <c r="AC186" s="32">
        <v>14</v>
      </c>
      <c r="AD186" s="32" t="s">
        <v>200</v>
      </c>
      <c r="AE186" s="32">
        <v>0</v>
      </c>
      <c r="AF186" s="32">
        <v>0</v>
      </c>
      <c r="AG186" s="32" t="s">
        <v>200</v>
      </c>
    </row>
    <row r="187" spans="1:33">
      <c r="A187" s="32" t="s">
        <v>901</v>
      </c>
      <c r="B187" s="32" t="s">
        <v>43</v>
      </c>
      <c r="C187" s="32" t="s">
        <v>902</v>
      </c>
      <c r="D187" s="32" t="s">
        <v>903</v>
      </c>
      <c r="E187" s="32" t="s">
        <v>899</v>
      </c>
      <c r="F187" s="32" t="s">
        <v>900</v>
      </c>
      <c r="G187" s="32" t="s">
        <v>497</v>
      </c>
      <c r="H187" s="32" t="s">
        <v>498</v>
      </c>
      <c r="I187" s="32" t="s">
        <v>198</v>
      </c>
      <c r="J187" s="32" t="s">
        <v>199</v>
      </c>
      <c r="K187" s="32">
        <v>2.7592210000000001</v>
      </c>
      <c r="L187" s="33">
        <v>1728</v>
      </c>
      <c r="M187" s="32">
        <v>209</v>
      </c>
      <c r="N187" s="32">
        <v>392</v>
      </c>
      <c r="O187" s="32">
        <v>445</v>
      </c>
      <c r="P187" s="32">
        <v>460</v>
      </c>
      <c r="Q187" s="32">
        <v>222</v>
      </c>
      <c r="R187" s="32" t="s">
        <v>302</v>
      </c>
      <c r="S187" s="32">
        <v>67.521500000000003</v>
      </c>
      <c r="T187" s="32">
        <v>18.441500000000001</v>
      </c>
      <c r="U187" s="32">
        <v>0.85904001900000004</v>
      </c>
      <c r="V187" s="32">
        <v>3</v>
      </c>
      <c r="W187" s="32">
        <v>1</v>
      </c>
      <c r="X187" s="32">
        <v>6.4810000000000006E-2</v>
      </c>
      <c r="Y187" s="32">
        <v>0.7</v>
      </c>
      <c r="Z187" s="32">
        <v>1</v>
      </c>
      <c r="AA187" s="32">
        <v>20.6</v>
      </c>
      <c r="AB187" s="32">
        <v>313</v>
      </c>
      <c r="AC187" s="32">
        <v>27</v>
      </c>
      <c r="AD187" s="32">
        <v>24</v>
      </c>
      <c r="AE187" s="32" t="s">
        <v>200</v>
      </c>
      <c r="AF187" s="32">
        <v>0</v>
      </c>
      <c r="AG187" s="32">
        <v>9</v>
      </c>
    </row>
    <row r="188" spans="1:33">
      <c r="A188" s="32" t="s">
        <v>904</v>
      </c>
      <c r="B188" s="32" t="s">
        <v>39</v>
      </c>
      <c r="C188" s="32" t="s">
        <v>905</v>
      </c>
      <c r="D188" s="32" t="s">
        <v>906</v>
      </c>
      <c r="E188" s="32" t="s">
        <v>907</v>
      </c>
      <c r="F188" s="32" t="s">
        <v>908</v>
      </c>
      <c r="G188" s="32" t="s">
        <v>383</v>
      </c>
      <c r="H188" s="32" t="s">
        <v>384</v>
      </c>
      <c r="I188" s="32" t="s">
        <v>198</v>
      </c>
      <c r="J188" s="32" t="s">
        <v>199</v>
      </c>
      <c r="K188" s="32">
        <v>2.9602740000000001</v>
      </c>
      <c r="L188" s="33">
        <v>1898</v>
      </c>
      <c r="M188" s="32">
        <v>135</v>
      </c>
      <c r="N188" s="32">
        <v>226</v>
      </c>
      <c r="O188" s="32">
        <v>558</v>
      </c>
      <c r="P188" s="32">
        <v>700</v>
      </c>
      <c r="Q188" s="32">
        <v>279</v>
      </c>
      <c r="R188" s="32" t="s">
        <v>668</v>
      </c>
      <c r="S188" s="32">
        <v>114.39</v>
      </c>
      <c r="T188" s="32">
        <v>68.278000000000006</v>
      </c>
      <c r="U188" s="32">
        <v>0.71050444199999996</v>
      </c>
      <c r="V188" s="32">
        <v>3</v>
      </c>
      <c r="W188" s="32">
        <v>1</v>
      </c>
      <c r="X188" s="32">
        <v>0.25957400000000003</v>
      </c>
      <c r="Y188" s="32">
        <v>0.7</v>
      </c>
      <c r="Z188" s="32">
        <v>1</v>
      </c>
      <c r="AA188" s="32">
        <v>37.200000000000003</v>
      </c>
      <c r="AB188" s="32">
        <v>253</v>
      </c>
      <c r="AC188" s="32">
        <v>15</v>
      </c>
      <c r="AD188" s="32">
        <v>60</v>
      </c>
      <c r="AE188" s="32" t="s">
        <v>200</v>
      </c>
      <c r="AF188" s="32" t="s">
        <v>200</v>
      </c>
      <c r="AG188" s="32" t="s">
        <v>200</v>
      </c>
    </row>
    <row r="189" spans="1:33">
      <c r="A189" s="32" t="s">
        <v>909</v>
      </c>
      <c r="B189" s="32" t="s">
        <v>39</v>
      </c>
      <c r="C189" s="32" t="s">
        <v>910</v>
      </c>
      <c r="D189" s="32" t="s">
        <v>911</v>
      </c>
      <c r="E189" s="32" t="s">
        <v>907</v>
      </c>
      <c r="F189" s="32" t="s">
        <v>908</v>
      </c>
      <c r="G189" s="32" t="s">
        <v>383</v>
      </c>
      <c r="H189" s="32" t="s">
        <v>384</v>
      </c>
      <c r="I189" s="32" t="s">
        <v>198</v>
      </c>
      <c r="J189" s="32" t="s">
        <v>199</v>
      </c>
      <c r="K189" s="32">
        <v>3.0068329999999999</v>
      </c>
      <c r="L189" s="33">
        <v>1369</v>
      </c>
      <c r="M189" s="32">
        <v>168</v>
      </c>
      <c r="N189" s="32">
        <v>59</v>
      </c>
      <c r="O189" s="32">
        <v>333</v>
      </c>
      <c r="P189" s="32">
        <v>551</v>
      </c>
      <c r="Q189" s="32">
        <v>258</v>
      </c>
      <c r="R189" s="32" t="s">
        <v>668</v>
      </c>
      <c r="S189" s="32">
        <v>133.91300000000001</v>
      </c>
      <c r="T189" s="32">
        <v>57.430799999999998</v>
      </c>
      <c r="U189" s="32">
        <v>0.62493053799999998</v>
      </c>
      <c r="V189" s="32">
        <v>2</v>
      </c>
      <c r="W189" s="32">
        <v>1</v>
      </c>
      <c r="X189" s="32">
        <v>0.29838900000000002</v>
      </c>
      <c r="Y189" s="32">
        <v>0.7</v>
      </c>
      <c r="Z189" s="32">
        <v>1</v>
      </c>
      <c r="AA189" s="32">
        <v>26.5</v>
      </c>
      <c r="AB189" s="32">
        <v>300</v>
      </c>
      <c r="AC189" s="32">
        <v>15</v>
      </c>
      <c r="AD189" s="32">
        <v>72</v>
      </c>
      <c r="AE189" s="32">
        <v>7</v>
      </c>
      <c r="AF189" s="32">
        <v>0</v>
      </c>
      <c r="AG189" s="32">
        <v>24</v>
      </c>
    </row>
    <row r="190" spans="1:33">
      <c r="A190" s="32" t="s">
        <v>912</v>
      </c>
      <c r="B190" s="32" t="s">
        <v>45</v>
      </c>
      <c r="C190" s="32" t="s">
        <v>913</v>
      </c>
      <c r="D190" s="32" t="s">
        <v>914</v>
      </c>
      <c r="E190" s="32" t="s">
        <v>915</v>
      </c>
      <c r="F190" s="32" t="s">
        <v>916</v>
      </c>
      <c r="G190" s="32" t="s">
        <v>332</v>
      </c>
      <c r="H190" s="32" t="s">
        <v>333</v>
      </c>
      <c r="I190" s="32" t="s">
        <v>198</v>
      </c>
      <c r="J190" s="32" t="s">
        <v>199</v>
      </c>
      <c r="K190" s="32">
        <v>2.8579949999999998</v>
      </c>
      <c r="L190" s="33">
        <v>2559</v>
      </c>
      <c r="M190" s="32">
        <v>182</v>
      </c>
      <c r="N190" s="33">
        <v>1266</v>
      </c>
      <c r="O190" s="32">
        <v>519</v>
      </c>
      <c r="P190" s="32">
        <v>423</v>
      </c>
      <c r="Q190" s="32">
        <v>169</v>
      </c>
      <c r="R190" s="32" t="s">
        <v>668</v>
      </c>
      <c r="S190" s="32">
        <v>59.911299999999997</v>
      </c>
      <c r="T190" s="32">
        <v>51.917000000000002</v>
      </c>
      <c r="U190" s="32">
        <v>0.48500618499999998</v>
      </c>
      <c r="V190" s="32">
        <v>6</v>
      </c>
      <c r="W190" s="32">
        <v>1</v>
      </c>
      <c r="X190" s="32">
        <v>0.163466</v>
      </c>
      <c r="Y190" s="32">
        <v>0.7</v>
      </c>
      <c r="Z190" s="32">
        <v>1</v>
      </c>
      <c r="AA190" s="32">
        <v>38.1</v>
      </c>
      <c r="AB190" s="32">
        <v>231</v>
      </c>
      <c r="AC190" s="32">
        <v>24</v>
      </c>
      <c r="AD190" s="32">
        <v>31</v>
      </c>
      <c r="AE190" s="32" t="s">
        <v>200</v>
      </c>
      <c r="AF190" s="32" t="s">
        <v>200</v>
      </c>
      <c r="AG190" s="32" t="s">
        <v>200</v>
      </c>
    </row>
    <row r="191" spans="1:33">
      <c r="A191" s="32" t="s">
        <v>917</v>
      </c>
      <c r="B191" s="32" t="s">
        <v>45</v>
      </c>
      <c r="C191" s="32" t="s">
        <v>918</v>
      </c>
      <c r="D191" s="32" t="s">
        <v>919</v>
      </c>
      <c r="E191" s="32" t="s">
        <v>915</v>
      </c>
      <c r="F191" s="32" t="s">
        <v>916</v>
      </c>
      <c r="G191" s="32" t="s">
        <v>332</v>
      </c>
      <c r="H191" s="32" t="s">
        <v>333</v>
      </c>
      <c r="I191" s="32" t="s">
        <v>198</v>
      </c>
      <c r="J191" s="32" t="s">
        <v>199</v>
      </c>
      <c r="K191" s="32">
        <v>3.0755729999999999</v>
      </c>
      <c r="L191" s="33">
        <v>2037</v>
      </c>
      <c r="M191" s="32">
        <v>84</v>
      </c>
      <c r="N191" s="33">
        <v>1225</v>
      </c>
      <c r="O191" s="32">
        <v>325</v>
      </c>
      <c r="P191" s="32">
        <v>228</v>
      </c>
      <c r="Q191" s="32">
        <v>175</v>
      </c>
      <c r="R191" s="32" t="s">
        <v>668</v>
      </c>
      <c r="S191" s="32">
        <v>100.488</v>
      </c>
      <c r="T191" s="32">
        <v>58.369799999999998</v>
      </c>
      <c r="U191" s="32">
        <v>0.43545276500000002</v>
      </c>
      <c r="V191" s="32">
        <v>6</v>
      </c>
      <c r="W191" s="32">
        <v>1</v>
      </c>
      <c r="X191" s="32">
        <v>0.39693099999999998</v>
      </c>
      <c r="Y191" s="32">
        <v>0.7</v>
      </c>
      <c r="Z191" s="32">
        <v>1</v>
      </c>
      <c r="AA191" s="32">
        <v>41.2</v>
      </c>
      <c r="AB191" s="32">
        <v>80</v>
      </c>
      <c r="AC191" s="32">
        <v>7</v>
      </c>
      <c r="AD191" s="32">
        <v>7</v>
      </c>
      <c r="AE191" s="32">
        <v>0</v>
      </c>
      <c r="AF191" s="32">
        <v>0</v>
      </c>
      <c r="AG191" s="32">
        <v>0</v>
      </c>
    </row>
    <row r="192" spans="1:33">
      <c r="A192" s="32" t="s">
        <v>920</v>
      </c>
      <c r="B192" s="32" t="s">
        <v>45</v>
      </c>
      <c r="C192" s="32" t="s">
        <v>921</v>
      </c>
      <c r="D192" s="32" t="s">
        <v>922</v>
      </c>
      <c r="E192" s="32" t="s">
        <v>915</v>
      </c>
      <c r="F192" s="32" t="s">
        <v>916</v>
      </c>
      <c r="G192" s="32" t="s">
        <v>332</v>
      </c>
      <c r="H192" s="32" t="s">
        <v>333</v>
      </c>
      <c r="I192" s="32" t="s">
        <v>198</v>
      </c>
      <c r="J192" s="32" t="s">
        <v>199</v>
      </c>
      <c r="K192" s="32">
        <v>2.9647459999999999</v>
      </c>
      <c r="L192" s="33">
        <v>2036</v>
      </c>
      <c r="M192" s="32">
        <v>311</v>
      </c>
      <c r="N192" s="32">
        <v>865</v>
      </c>
      <c r="O192" s="32">
        <v>357</v>
      </c>
      <c r="P192" s="32">
        <v>315</v>
      </c>
      <c r="Q192" s="32">
        <v>188</v>
      </c>
      <c r="R192" s="32" t="s">
        <v>668</v>
      </c>
      <c r="S192" s="32">
        <v>100.44799999999999</v>
      </c>
      <c r="T192" s="32">
        <v>49.334200000000003</v>
      </c>
      <c r="U192" s="32">
        <v>0.51214058500000004</v>
      </c>
      <c r="V192" s="32">
        <v>6</v>
      </c>
      <c r="W192" s="32">
        <v>1</v>
      </c>
      <c r="X192" s="32">
        <v>0.27890199999999998</v>
      </c>
      <c r="Y192" s="32">
        <v>0.7</v>
      </c>
      <c r="Z192" s="32">
        <v>1</v>
      </c>
      <c r="AA192" s="32">
        <v>58.3</v>
      </c>
      <c r="AB192" s="32">
        <v>157</v>
      </c>
      <c r="AC192" s="32" t="s">
        <v>200</v>
      </c>
      <c r="AD192" s="32">
        <v>23</v>
      </c>
      <c r="AE192" s="32">
        <v>7</v>
      </c>
      <c r="AF192" s="32">
        <v>0</v>
      </c>
      <c r="AG192" s="32" t="s">
        <v>200</v>
      </c>
    </row>
    <row r="193" spans="1:33">
      <c r="A193" s="32" t="s">
        <v>923</v>
      </c>
      <c r="B193" s="32" t="s">
        <v>45</v>
      </c>
      <c r="C193" s="32" t="s">
        <v>924</v>
      </c>
      <c r="D193" s="32" t="s">
        <v>925</v>
      </c>
      <c r="E193" s="32" t="s">
        <v>883</v>
      </c>
      <c r="F193" s="32" t="s">
        <v>884</v>
      </c>
      <c r="G193" s="32" t="s">
        <v>332</v>
      </c>
      <c r="H193" s="32" t="s">
        <v>333</v>
      </c>
      <c r="I193" s="32" t="s">
        <v>198</v>
      </c>
      <c r="J193" s="32" t="s">
        <v>199</v>
      </c>
      <c r="K193" s="32">
        <v>2.9231410000000002</v>
      </c>
      <c r="L193" s="33">
        <v>1583</v>
      </c>
      <c r="M193" s="32">
        <v>330</v>
      </c>
      <c r="N193" s="32">
        <v>529</v>
      </c>
      <c r="O193" s="32">
        <v>329</v>
      </c>
      <c r="P193" s="32">
        <v>256</v>
      </c>
      <c r="Q193" s="32">
        <v>139</v>
      </c>
      <c r="R193" s="32" t="s">
        <v>668</v>
      </c>
      <c r="S193" s="32">
        <v>104.09099999999999</v>
      </c>
      <c r="T193" s="32">
        <v>65.030900000000003</v>
      </c>
      <c r="U193" s="32">
        <v>0.92625557599999997</v>
      </c>
      <c r="V193" s="32">
        <v>2</v>
      </c>
      <c r="W193" s="32">
        <v>1</v>
      </c>
      <c r="X193" s="32">
        <v>0.24390200000000001</v>
      </c>
      <c r="Y193" s="32">
        <v>0.7</v>
      </c>
      <c r="Z193" s="32">
        <v>1</v>
      </c>
      <c r="AA193" s="32">
        <v>66.599999999999994</v>
      </c>
      <c r="AB193" s="32">
        <v>180</v>
      </c>
      <c r="AC193" s="32">
        <v>12</v>
      </c>
      <c r="AD193" s="32">
        <v>5</v>
      </c>
      <c r="AE193" s="32">
        <v>0</v>
      </c>
      <c r="AF193" s="32">
        <v>0</v>
      </c>
      <c r="AG193" s="32" t="s">
        <v>200</v>
      </c>
    </row>
    <row r="194" spans="1:33">
      <c r="A194" s="32" t="s">
        <v>926</v>
      </c>
      <c r="B194" s="32" t="s">
        <v>45</v>
      </c>
      <c r="C194" s="32" t="s">
        <v>927</v>
      </c>
      <c r="D194" s="32" t="s">
        <v>928</v>
      </c>
      <c r="E194" s="32" t="s">
        <v>929</v>
      </c>
      <c r="F194" s="32" t="s">
        <v>930</v>
      </c>
      <c r="G194" s="32" t="s">
        <v>332</v>
      </c>
      <c r="H194" s="32" t="s">
        <v>333</v>
      </c>
      <c r="I194" s="32" t="s">
        <v>198</v>
      </c>
      <c r="J194" s="32" t="s">
        <v>199</v>
      </c>
      <c r="K194" s="32">
        <v>2.6954250000000002</v>
      </c>
      <c r="L194" s="33">
        <v>1360</v>
      </c>
      <c r="M194" s="32">
        <v>275</v>
      </c>
      <c r="N194" s="32">
        <v>278</v>
      </c>
      <c r="O194" s="32">
        <v>303</v>
      </c>
      <c r="P194" s="32">
        <v>359</v>
      </c>
      <c r="Q194" s="32">
        <v>145</v>
      </c>
      <c r="R194" s="32" t="s">
        <v>668</v>
      </c>
      <c r="S194" s="32">
        <v>79.512900000000002</v>
      </c>
      <c r="T194" s="32">
        <v>53.949199999999998</v>
      </c>
      <c r="U194" s="32">
        <v>0.99879557299999999</v>
      </c>
      <c r="V194" s="32">
        <v>2</v>
      </c>
      <c r="W194" s="32">
        <v>1</v>
      </c>
      <c r="X194" s="32">
        <v>3.947E-3</v>
      </c>
      <c r="Y194" s="32">
        <v>0.694079</v>
      </c>
      <c r="Z194" s="32">
        <v>1</v>
      </c>
      <c r="AA194" s="32">
        <v>52.5</v>
      </c>
      <c r="AB194" s="32">
        <v>157</v>
      </c>
      <c r="AC194" s="32">
        <v>9</v>
      </c>
      <c r="AD194" s="32">
        <v>10</v>
      </c>
      <c r="AE194" s="32">
        <v>0</v>
      </c>
      <c r="AF194" s="32">
        <v>0</v>
      </c>
      <c r="AG194" s="32" t="s">
        <v>200</v>
      </c>
    </row>
    <row r="195" spans="1:33">
      <c r="A195" s="32" t="s">
        <v>931</v>
      </c>
      <c r="B195" s="32" t="s">
        <v>45</v>
      </c>
      <c r="C195" s="32" t="s">
        <v>932</v>
      </c>
      <c r="D195" s="32" t="s">
        <v>933</v>
      </c>
      <c r="E195" s="32" t="s">
        <v>929</v>
      </c>
      <c r="F195" s="32" t="s">
        <v>930</v>
      </c>
      <c r="G195" s="32" t="s">
        <v>332</v>
      </c>
      <c r="H195" s="32" t="s">
        <v>333</v>
      </c>
      <c r="I195" s="32" t="s">
        <v>198</v>
      </c>
      <c r="J195" s="32" t="s">
        <v>199</v>
      </c>
      <c r="K195" s="32">
        <v>2.951082</v>
      </c>
      <c r="L195" s="33">
        <v>2473</v>
      </c>
      <c r="M195" s="32">
        <v>132</v>
      </c>
      <c r="N195" s="33">
        <v>1514</v>
      </c>
      <c r="O195" s="32">
        <v>409</v>
      </c>
      <c r="P195" s="32">
        <v>253</v>
      </c>
      <c r="Q195" s="32">
        <v>165</v>
      </c>
      <c r="R195" s="32" t="s">
        <v>668</v>
      </c>
      <c r="S195" s="32">
        <v>103.096</v>
      </c>
      <c r="T195" s="32">
        <v>83.173400000000001</v>
      </c>
      <c r="U195" s="32">
        <v>0.43941463400000003</v>
      </c>
      <c r="V195" s="32">
        <v>6</v>
      </c>
      <c r="W195" s="32">
        <v>1</v>
      </c>
      <c r="X195" s="32">
        <v>0.30427399999999999</v>
      </c>
      <c r="Y195" s="32">
        <v>0.7</v>
      </c>
      <c r="Z195" s="32">
        <v>1</v>
      </c>
      <c r="AA195" s="32">
        <v>39.6</v>
      </c>
      <c r="AB195" s="32">
        <v>102</v>
      </c>
      <c r="AC195" s="32">
        <v>8</v>
      </c>
      <c r="AD195" s="32">
        <v>8</v>
      </c>
      <c r="AE195" s="32">
        <v>0</v>
      </c>
      <c r="AF195" s="32">
        <v>0</v>
      </c>
      <c r="AG195" s="32">
        <v>0</v>
      </c>
    </row>
    <row r="196" spans="1:33">
      <c r="A196" s="32" t="s">
        <v>934</v>
      </c>
      <c r="B196" s="32" t="s">
        <v>45</v>
      </c>
      <c r="C196" s="32" t="s">
        <v>935</v>
      </c>
      <c r="D196" s="32" t="s">
        <v>936</v>
      </c>
      <c r="E196" s="32" t="s">
        <v>929</v>
      </c>
      <c r="F196" s="32" t="s">
        <v>930</v>
      </c>
      <c r="G196" s="32" t="s">
        <v>332</v>
      </c>
      <c r="H196" s="32" t="s">
        <v>333</v>
      </c>
      <c r="I196" s="32" t="s">
        <v>198</v>
      </c>
      <c r="J196" s="32" t="s">
        <v>199</v>
      </c>
      <c r="K196" s="32">
        <v>2.8009219999999999</v>
      </c>
      <c r="L196" s="33">
        <v>1144</v>
      </c>
      <c r="M196" s="32">
        <v>62</v>
      </c>
      <c r="N196" s="32">
        <v>385</v>
      </c>
      <c r="O196" s="32">
        <v>303</v>
      </c>
      <c r="P196" s="32">
        <v>235</v>
      </c>
      <c r="Q196" s="32">
        <v>159</v>
      </c>
      <c r="R196" s="32" t="s">
        <v>668</v>
      </c>
      <c r="S196" s="32">
        <v>86.019800000000004</v>
      </c>
      <c r="T196" s="32">
        <v>71.562600000000003</v>
      </c>
      <c r="U196" s="32">
        <v>0.63660163299999994</v>
      </c>
      <c r="V196" s="32">
        <v>5</v>
      </c>
      <c r="W196" s="32">
        <v>1</v>
      </c>
      <c r="X196" s="32">
        <v>0.115207</v>
      </c>
      <c r="Y196" s="32">
        <v>0.69403700000000002</v>
      </c>
      <c r="Z196" s="32">
        <v>1</v>
      </c>
      <c r="AA196" s="32">
        <v>36.299999999999997</v>
      </c>
      <c r="AB196" s="32">
        <v>114</v>
      </c>
      <c r="AC196" s="32">
        <v>9</v>
      </c>
      <c r="AD196" s="32">
        <v>14</v>
      </c>
      <c r="AE196" s="32">
        <v>0</v>
      </c>
      <c r="AF196" s="32">
        <v>0</v>
      </c>
      <c r="AG196" s="32">
        <v>0</v>
      </c>
    </row>
    <row r="197" spans="1:33">
      <c r="A197" s="32" t="s">
        <v>839</v>
      </c>
      <c r="B197" s="32" t="s">
        <v>45</v>
      </c>
      <c r="C197" s="32" t="s">
        <v>840</v>
      </c>
      <c r="D197" s="32" t="s">
        <v>841</v>
      </c>
      <c r="E197" s="32" t="s">
        <v>837</v>
      </c>
      <c r="F197" s="32" t="s">
        <v>838</v>
      </c>
      <c r="G197" s="32" t="s">
        <v>332</v>
      </c>
      <c r="H197" s="32" t="s">
        <v>333</v>
      </c>
      <c r="I197" s="32" t="s">
        <v>198</v>
      </c>
      <c r="J197" s="32" t="s">
        <v>199</v>
      </c>
      <c r="K197" s="32">
        <v>2.99641</v>
      </c>
      <c r="L197" s="33">
        <v>1786</v>
      </c>
      <c r="M197" s="32">
        <v>294</v>
      </c>
      <c r="N197" s="32">
        <v>882</v>
      </c>
      <c r="O197" s="32">
        <v>301</v>
      </c>
      <c r="P197" s="32">
        <v>179</v>
      </c>
      <c r="Q197" s="32">
        <v>130</v>
      </c>
      <c r="R197" s="32" t="s">
        <v>668</v>
      </c>
      <c r="S197" s="32">
        <v>100.747</v>
      </c>
      <c r="T197" s="32">
        <v>19.673999999999999</v>
      </c>
      <c r="U197" s="32">
        <v>0.62084541100000001</v>
      </c>
      <c r="V197" s="32">
        <v>3</v>
      </c>
      <c r="W197" s="32">
        <v>1</v>
      </c>
      <c r="X197" s="32">
        <v>0.28589900000000001</v>
      </c>
      <c r="Y197" s="32">
        <v>0.7</v>
      </c>
      <c r="Z197" s="32">
        <v>1</v>
      </c>
      <c r="AA197" s="32">
        <v>53.2</v>
      </c>
      <c r="AB197" s="32">
        <v>150</v>
      </c>
      <c r="AC197" s="32">
        <v>8</v>
      </c>
      <c r="AD197" s="32">
        <v>23</v>
      </c>
      <c r="AE197" s="32">
        <v>0</v>
      </c>
      <c r="AF197" s="32" t="s">
        <v>200</v>
      </c>
      <c r="AG197" s="32">
        <v>9</v>
      </c>
    </row>
    <row r="198" spans="1:33">
      <c r="A198" s="32" t="s">
        <v>937</v>
      </c>
      <c r="B198" s="32" t="s">
        <v>45</v>
      </c>
      <c r="C198" s="32" t="s">
        <v>938</v>
      </c>
      <c r="D198" s="32" t="s">
        <v>939</v>
      </c>
      <c r="E198" s="32" t="s">
        <v>857</v>
      </c>
      <c r="F198" s="32" t="s">
        <v>858</v>
      </c>
      <c r="G198" s="32" t="s">
        <v>332</v>
      </c>
      <c r="H198" s="32" t="s">
        <v>333</v>
      </c>
      <c r="I198" s="32" t="s">
        <v>198</v>
      </c>
      <c r="J198" s="32" t="s">
        <v>199</v>
      </c>
      <c r="K198" s="32">
        <v>3.0352939999999999</v>
      </c>
      <c r="L198" s="33">
        <v>2032</v>
      </c>
      <c r="M198" s="32">
        <v>397</v>
      </c>
      <c r="N198" s="32">
        <v>678</v>
      </c>
      <c r="O198" s="32">
        <v>478</v>
      </c>
      <c r="P198" s="32">
        <v>350</v>
      </c>
      <c r="Q198" s="32">
        <v>129</v>
      </c>
      <c r="R198" s="32" t="s">
        <v>668</v>
      </c>
      <c r="S198" s="32">
        <v>118.512</v>
      </c>
      <c r="T198" s="32">
        <v>47.735700000000001</v>
      </c>
      <c r="U198" s="32">
        <v>0.75143655600000003</v>
      </c>
      <c r="V198" s="32">
        <v>2</v>
      </c>
      <c r="W198" s="32">
        <v>1</v>
      </c>
      <c r="X198" s="32">
        <v>0.318998</v>
      </c>
      <c r="Y198" s="32">
        <v>0.7</v>
      </c>
      <c r="Z198" s="32">
        <v>1</v>
      </c>
      <c r="AA198" s="32">
        <v>58.8</v>
      </c>
      <c r="AB198" s="32">
        <v>172</v>
      </c>
      <c r="AC198" s="32">
        <v>24</v>
      </c>
      <c r="AD198" s="32">
        <v>7</v>
      </c>
      <c r="AE198" s="32">
        <v>0</v>
      </c>
      <c r="AF198" s="32">
        <v>0</v>
      </c>
      <c r="AG198" s="32" t="s">
        <v>200</v>
      </c>
    </row>
    <row r="199" spans="1:33">
      <c r="A199" s="32" t="s">
        <v>940</v>
      </c>
      <c r="B199" s="32" t="s">
        <v>45</v>
      </c>
      <c r="C199" s="32" t="s">
        <v>941</v>
      </c>
      <c r="D199" s="32" t="s">
        <v>942</v>
      </c>
      <c r="E199" s="32" t="s">
        <v>943</v>
      </c>
      <c r="F199" s="32" t="s">
        <v>944</v>
      </c>
      <c r="G199" s="32" t="s">
        <v>383</v>
      </c>
      <c r="H199" s="32" t="s">
        <v>384</v>
      </c>
      <c r="I199" s="32" t="s">
        <v>198</v>
      </c>
      <c r="J199" s="32" t="s">
        <v>199</v>
      </c>
      <c r="K199" s="32">
        <v>2.7468840000000001</v>
      </c>
      <c r="L199" s="33">
        <v>2228</v>
      </c>
      <c r="M199" s="32">
        <v>219</v>
      </c>
      <c r="N199" s="32">
        <v>717</v>
      </c>
      <c r="O199" s="32">
        <v>676</v>
      </c>
      <c r="P199" s="32">
        <v>380</v>
      </c>
      <c r="Q199" s="32">
        <v>236</v>
      </c>
      <c r="R199" s="32" t="s">
        <v>668</v>
      </c>
      <c r="S199" s="32">
        <v>60.376899999999999</v>
      </c>
      <c r="T199" s="32">
        <v>42.141800000000003</v>
      </c>
      <c r="U199" s="32">
        <v>0.52724459599999995</v>
      </c>
      <c r="V199" s="32">
        <v>9</v>
      </c>
      <c r="W199" s="32">
        <v>1</v>
      </c>
      <c r="X199" s="32">
        <v>9.2447000000000001E-2</v>
      </c>
      <c r="Y199" s="32">
        <v>0.7</v>
      </c>
      <c r="Z199" s="32">
        <v>0.94371300000000002</v>
      </c>
      <c r="AA199" s="32">
        <v>37.299999999999997</v>
      </c>
      <c r="AB199" s="32">
        <v>278</v>
      </c>
      <c r="AC199" s="32">
        <v>11</v>
      </c>
      <c r="AD199" s="32">
        <v>17</v>
      </c>
      <c r="AE199" s="32" t="s">
        <v>200</v>
      </c>
      <c r="AF199" s="32">
        <v>0</v>
      </c>
      <c r="AG199" s="32" t="s">
        <v>200</v>
      </c>
    </row>
    <row r="200" spans="1:33">
      <c r="A200" s="32" t="s">
        <v>945</v>
      </c>
      <c r="B200" s="32" t="s">
        <v>45</v>
      </c>
      <c r="C200" s="32" t="s">
        <v>946</v>
      </c>
      <c r="D200" s="32" t="s">
        <v>947</v>
      </c>
      <c r="E200" s="32" t="s">
        <v>943</v>
      </c>
      <c r="F200" s="32" t="s">
        <v>944</v>
      </c>
      <c r="G200" s="32" t="s">
        <v>383</v>
      </c>
      <c r="H200" s="32" t="s">
        <v>384</v>
      </c>
      <c r="I200" s="32" t="s">
        <v>198</v>
      </c>
      <c r="J200" s="32" t="s">
        <v>199</v>
      </c>
      <c r="K200" s="32">
        <v>3.0069119999999998</v>
      </c>
      <c r="L200" s="33">
        <v>2451</v>
      </c>
      <c r="M200" s="32">
        <v>458</v>
      </c>
      <c r="N200" s="32">
        <v>613</v>
      </c>
      <c r="O200" s="32">
        <v>607</v>
      </c>
      <c r="P200" s="32">
        <v>480</v>
      </c>
      <c r="Q200" s="32">
        <v>293</v>
      </c>
      <c r="R200" s="32" t="s">
        <v>668</v>
      </c>
      <c r="S200" s="32">
        <v>75.859700000000004</v>
      </c>
      <c r="T200" s="32">
        <v>57.398200000000003</v>
      </c>
      <c r="U200" s="32">
        <v>0.36728011599999999</v>
      </c>
      <c r="V200" s="32">
        <v>9</v>
      </c>
      <c r="W200" s="32">
        <v>1</v>
      </c>
      <c r="X200" s="32">
        <v>0.45023299999999999</v>
      </c>
      <c r="Y200" s="32">
        <v>0.7</v>
      </c>
      <c r="Z200" s="32">
        <v>0.85137600000000002</v>
      </c>
      <c r="AA200" s="32">
        <v>41.2</v>
      </c>
      <c r="AB200" s="32">
        <v>331</v>
      </c>
      <c r="AC200" s="32" t="s">
        <v>200</v>
      </c>
      <c r="AD200" s="32">
        <v>60</v>
      </c>
      <c r="AE200" s="32">
        <v>0</v>
      </c>
      <c r="AF200" s="32">
        <v>0</v>
      </c>
      <c r="AG200" s="32">
        <v>5</v>
      </c>
    </row>
    <row r="201" spans="1:33">
      <c r="A201" s="32" t="s">
        <v>948</v>
      </c>
      <c r="B201" s="32" t="s">
        <v>45</v>
      </c>
      <c r="C201" s="32" t="s">
        <v>949</v>
      </c>
      <c r="D201" s="32" t="s">
        <v>950</v>
      </c>
      <c r="E201" s="32" t="s">
        <v>951</v>
      </c>
      <c r="F201" s="32" t="s">
        <v>952</v>
      </c>
      <c r="G201" s="32" t="s">
        <v>383</v>
      </c>
      <c r="H201" s="32" t="s">
        <v>384</v>
      </c>
      <c r="I201" s="32" t="s">
        <v>198</v>
      </c>
      <c r="J201" s="32" t="s">
        <v>199</v>
      </c>
      <c r="K201" s="32">
        <v>3.120098</v>
      </c>
      <c r="L201" s="33">
        <v>2476</v>
      </c>
      <c r="M201" s="32">
        <v>360</v>
      </c>
      <c r="N201" s="32">
        <v>594</v>
      </c>
      <c r="O201" s="32">
        <v>750</v>
      </c>
      <c r="P201" s="32">
        <v>546</v>
      </c>
      <c r="Q201" s="32">
        <v>226</v>
      </c>
      <c r="R201" s="32" t="s">
        <v>668</v>
      </c>
      <c r="S201" s="32">
        <v>76.498599999999996</v>
      </c>
      <c r="T201" s="32">
        <v>53.675899999999999</v>
      </c>
      <c r="U201" s="32">
        <v>0.55764482299999996</v>
      </c>
      <c r="V201" s="32">
        <v>5</v>
      </c>
      <c r="W201" s="32">
        <v>1</v>
      </c>
      <c r="X201" s="32">
        <v>0.43333300000000002</v>
      </c>
      <c r="Y201" s="32">
        <v>0.7</v>
      </c>
      <c r="Z201" s="32">
        <v>1</v>
      </c>
      <c r="AA201" s="32">
        <v>43.4</v>
      </c>
      <c r="AB201" s="32">
        <v>603</v>
      </c>
      <c r="AC201" s="32">
        <v>23</v>
      </c>
      <c r="AD201" s="32">
        <v>36</v>
      </c>
      <c r="AE201" s="32" t="s">
        <v>200</v>
      </c>
      <c r="AF201" s="32">
        <v>0</v>
      </c>
      <c r="AG201" s="32">
        <v>10</v>
      </c>
    </row>
    <row r="202" spans="1:33">
      <c r="A202" s="32" t="s">
        <v>953</v>
      </c>
      <c r="B202" s="32" t="s">
        <v>45</v>
      </c>
      <c r="C202" s="32" t="s">
        <v>954</v>
      </c>
      <c r="D202" s="32" t="s">
        <v>955</v>
      </c>
      <c r="E202" s="32" t="s">
        <v>951</v>
      </c>
      <c r="F202" s="32" t="s">
        <v>952</v>
      </c>
      <c r="G202" s="32" t="s">
        <v>383</v>
      </c>
      <c r="H202" s="32" t="s">
        <v>384</v>
      </c>
      <c r="I202" s="32" t="s">
        <v>198</v>
      </c>
      <c r="J202" s="32" t="s">
        <v>199</v>
      </c>
      <c r="K202" s="32">
        <v>3.0305559999999998</v>
      </c>
      <c r="L202" s="33">
        <v>2189</v>
      </c>
      <c r="M202" s="32">
        <v>265</v>
      </c>
      <c r="N202" s="32">
        <v>612</v>
      </c>
      <c r="O202" s="32">
        <v>618</v>
      </c>
      <c r="P202" s="32">
        <v>460</v>
      </c>
      <c r="Q202" s="32">
        <v>234</v>
      </c>
      <c r="R202" s="32" t="s">
        <v>668</v>
      </c>
      <c r="S202" s="32">
        <v>70.202100000000002</v>
      </c>
      <c r="T202" s="32">
        <v>60.538699999999999</v>
      </c>
      <c r="U202" s="32">
        <v>0.43048003800000001</v>
      </c>
      <c r="V202" s="32">
        <v>7</v>
      </c>
      <c r="W202" s="32">
        <v>1</v>
      </c>
      <c r="X202" s="32">
        <v>0.35585299999999997</v>
      </c>
      <c r="Y202" s="32">
        <v>0.7</v>
      </c>
      <c r="Z202" s="32">
        <v>0.96448299999999998</v>
      </c>
      <c r="AA202" s="32">
        <v>32.1</v>
      </c>
      <c r="AB202" s="32">
        <v>361</v>
      </c>
      <c r="AC202" s="32">
        <v>17</v>
      </c>
      <c r="AD202" s="32">
        <v>40</v>
      </c>
      <c r="AE202" s="32">
        <v>0</v>
      </c>
      <c r="AF202" s="32" t="s">
        <v>200</v>
      </c>
      <c r="AG202" s="32">
        <v>0</v>
      </c>
    </row>
    <row r="203" spans="1:33">
      <c r="A203" s="32" t="s">
        <v>956</v>
      </c>
      <c r="B203" s="32" t="s">
        <v>45</v>
      </c>
      <c r="C203" s="32" t="s">
        <v>957</v>
      </c>
      <c r="D203" s="32" t="s">
        <v>958</v>
      </c>
      <c r="E203" s="32" t="s">
        <v>943</v>
      </c>
      <c r="F203" s="32" t="s">
        <v>944</v>
      </c>
      <c r="G203" s="32" t="s">
        <v>383</v>
      </c>
      <c r="H203" s="32" t="s">
        <v>384</v>
      </c>
      <c r="I203" s="32" t="s">
        <v>198</v>
      </c>
      <c r="J203" s="32" t="s">
        <v>199</v>
      </c>
      <c r="K203" s="32">
        <v>2.974434</v>
      </c>
      <c r="L203" s="33">
        <v>2167</v>
      </c>
      <c r="M203" s="32">
        <v>272</v>
      </c>
      <c r="N203" s="32">
        <v>655</v>
      </c>
      <c r="O203" s="32">
        <v>576</v>
      </c>
      <c r="P203" s="32">
        <v>406</v>
      </c>
      <c r="Q203" s="32">
        <v>258</v>
      </c>
      <c r="R203" s="32" t="s">
        <v>668</v>
      </c>
      <c r="S203" s="32">
        <v>76.268299999999996</v>
      </c>
      <c r="T203" s="32">
        <v>50.235199999999999</v>
      </c>
      <c r="U203" s="32">
        <v>0.42969916600000002</v>
      </c>
      <c r="V203" s="32">
        <v>8</v>
      </c>
      <c r="W203" s="32">
        <v>1</v>
      </c>
      <c r="X203" s="32">
        <v>0.31318299999999999</v>
      </c>
      <c r="Y203" s="32">
        <v>0.7</v>
      </c>
      <c r="Z203" s="32">
        <v>0.99902599999999997</v>
      </c>
      <c r="AA203" s="32">
        <v>30.7</v>
      </c>
      <c r="AB203" s="32">
        <v>380</v>
      </c>
      <c r="AC203" s="32">
        <v>16</v>
      </c>
      <c r="AD203" s="32">
        <v>10</v>
      </c>
      <c r="AE203" s="32">
        <v>0</v>
      </c>
      <c r="AF203" s="32" t="s">
        <v>200</v>
      </c>
      <c r="AG203" s="32">
        <v>114</v>
      </c>
    </row>
    <row r="204" spans="1:33">
      <c r="A204" s="32" t="s">
        <v>959</v>
      </c>
      <c r="B204" s="32" t="s">
        <v>45</v>
      </c>
      <c r="C204" s="32" t="s">
        <v>960</v>
      </c>
      <c r="D204" s="32" t="s">
        <v>961</v>
      </c>
      <c r="E204" s="32" t="s">
        <v>962</v>
      </c>
      <c r="F204" s="32" t="s">
        <v>963</v>
      </c>
      <c r="G204" s="32" t="s">
        <v>383</v>
      </c>
      <c r="H204" s="32" t="s">
        <v>384</v>
      </c>
      <c r="I204" s="32" t="s">
        <v>198</v>
      </c>
      <c r="J204" s="32" t="s">
        <v>199</v>
      </c>
      <c r="K204" s="32">
        <v>2.824551</v>
      </c>
      <c r="L204" s="33">
        <v>2747</v>
      </c>
      <c r="M204" s="32">
        <v>342</v>
      </c>
      <c r="N204" s="33">
        <v>1130</v>
      </c>
      <c r="O204" s="32">
        <v>584</v>
      </c>
      <c r="P204" s="32">
        <v>442</v>
      </c>
      <c r="Q204" s="32">
        <v>249</v>
      </c>
      <c r="R204" s="32" t="s">
        <v>668</v>
      </c>
      <c r="S204" s="32">
        <v>66.364500000000007</v>
      </c>
      <c r="T204" s="32">
        <v>42.694299999999998</v>
      </c>
      <c r="U204" s="32">
        <v>0.62301309199999999</v>
      </c>
      <c r="V204" s="32">
        <v>6</v>
      </c>
      <c r="W204" s="32">
        <v>1</v>
      </c>
      <c r="X204" s="32">
        <v>0.14523800000000001</v>
      </c>
      <c r="Y204" s="32">
        <v>0.7</v>
      </c>
      <c r="Z204" s="32">
        <v>0.98828800000000006</v>
      </c>
      <c r="AA204" s="32">
        <v>38.4</v>
      </c>
      <c r="AB204" s="32">
        <v>284</v>
      </c>
      <c r="AC204" s="32">
        <v>23</v>
      </c>
      <c r="AD204" s="32">
        <v>15</v>
      </c>
      <c r="AE204" s="32">
        <v>0</v>
      </c>
      <c r="AF204" s="32">
        <v>0</v>
      </c>
      <c r="AG204" s="32" t="s">
        <v>200</v>
      </c>
    </row>
    <row r="205" spans="1:33">
      <c r="A205" s="32" t="s">
        <v>964</v>
      </c>
      <c r="B205" s="32" t="s">
        <v>45</v>
      </c>
      <c r="C205" s="32" t="s">
        <v>965</v>
      </c>
      <c r="D205" s="32" t="s">
        <v>966</v>
      </c>
      <c r="E205" s="32" t="s">
        <v>967</v>
      </c>
      <c r="F205" s="32" t="s">
        <v>968</v>
      </c>
      <c r="G205" s="32" t="s">
        <v>383</v>
      </c>
      <c r="H205" s="32" t="s">
        <v>384</v>
      </c>
      <c r="I205" s="32" t="s">
        <v>198</v>
      </c>
      <c r="J205" s="32" t="s">
        <v>199</v>
      </c>
      <c r="K205" s="32">
        <v>2.976</v>
      </c>
      <c r="L205" s="33">
        <v>1934</v>
      </c>
      <c r="M205" s="32">
        <v>337</v>
      </c>
      <c r="N205" s="32">
        <v>369</v>
      </c>
      <c r="O205" s="32">
        <v>558</v>
      </c>
      <c r="P205" s="32">
        <v>423</v>
      </c>
      <c r="Q205" s="32">
        <v>247</v>
      </c>
      <c r="R205" s="32" t="s">
        <v>668</v>
      </c>
      <c r="S205" s="32">
        <v>60.444800000000001</v>
      </c>
      <c r="T205" s="32">
        <v>33.395400000000002</v>
      </c>
      <c r="U205" s="32">
        <v>0.37130516400000002</v>
      </c>
      <c r="V205" s="32">
        <v>9</v>
      </c>
      <c r="W205" s="32">
        <v>1</v>
      </c>
      <c r="X205" s="32">
        <v>0.34139900000000001</v>
      </c>
      <c r="Y205" s="32">
        <v>0.7</v>
      </c>
      <c r="Z205" s="32">
        <v>0.93695200000000001</v>
      </c>
      <c r="AA205" s="32">
        <v>25.6</v>
      </c>
      <c r="AB205" s="32">
        <v>429</v>
      </c>
      <c r="AC205" s="32">
        <v>16</v>
      </c>
      <c r="AD205" s="32">
        <v>16</v>
      </c>
      <c r="AE205" s="32">
        <v>0</v>
      </c>
      <c r="AF205" s="32">
        <v>0</v>
      </c>
      <c r="AG205" s="32" t="s">
        <v>200</v>
      </c>
    </row>
    <row r="206" spans="1:33">
      <c r="A206" s="32" t="s">
        <v>969</v>
      </c>
      <c r="B206" s="32" t="s">
        <v>45</v>
      </c>
      <c r="C206" s="32" t="s">
        <v>970</v>
      </c>
      <c r="D206" s="32" t="s">
        <v>971</v>
      </c>
      <c r="E206" s="32" t="s">
        <v>967</v>
      </c>
      <c r="F206" s="32" t="s">
        <v>968</v>
      </c>
      <c r="G206" s="32" t="s">
        <v>383</v>
      </c>
      <c r="H206" s="32" t="s">
        <v>384</v>
      </c>
      <c r="I206" s="32" t="s">
        <v>198</v>
      </c>
      <c r="J206" s="32" t="s">
        <v>199</v>
      </c>
      <c r="K206" s="32">
        <v>2.7506490000000001</v>
      </c>
      <c r="L206" s="33">
        <v>1889</v>
      </c>
      <c r="M206" s="32">
        <v>195</v>
      </c>
      <c r="N206" s="32">
        <v>501</v>
      </c>
      <c r="O206" s="32">
        <v>581</v>
      </c>
      <c r="P206" s="32">
        <v>374</v>
      </c>
      <c r="Q206" s="32">
        <v>238</v>
      </c>
      <c r="R206" s="32" t="s">
        <v>668</v>
      </c>
      <c r="S206" s="32">
        <v>61.480400000000003</v>
      </c>
      <c r="T206" s="32">
        <v>47.712899999999998</v>
      </c>
      <c r="U206" s="32">
        <v>0.53798689200000005</v>
      </c>
      <c r="V206" s="32">
        <v>7</v>
      </c>
      <c r="W206" s="32">
        <v>1</v>
      </c>
      <c r="X206" s="32">
        <v>6.6031999999999993E-2</v>
      </c>
      <c r="Y206" s="32">
        <v>0.7</v>
      </c>
      <c r="Z206" s="32">
        <v>0.99044600000000005</v>
      </c>
      <c r="AA206" s="32">
        <v>19.7</v>
      </c>
      <c r="AB206" s="32">
        <v>303</v>
      </c>
      <c r="AC206" s="32">
        <v>13</v>
      </c>
      <c r="AD206" s="32">
        <v>14</v>
      </c>
      <c r="AE206" s="32">
        <v>0</v>
      </c>
      <c r="AF206" s="32">
        <v>0</v>
      </c>
      <c r="AG206" s="32" t="s">
        <v>200</v>
      </c>
    </row>
    <row r="207" spans="1:33">
      <c r="A207" s="32" t="s">
        <v>972</v>
      </c>
      <c r="B207" s="32" t="s">
        <v>45</v>
      </c>
      <c r="C207" s="32" t="s">
        <v>973</v>
      </c>
      <c r="D207" s="32" t="s">
        <v>974</v>
      </c>
      <c r="E207" s="32" t="s">
        <v>975</v>
      </c>
      <c r="F207" s="32" t="s">
        <v>976</v>
      </c>
      <c r="G207" s="32" t="s">
        <v>383</v>
      </c>
      <c r="H207" s="32" t="s">
        <v>384</v>
      </c>
      <c r="I207" s="32" t="s">
        <v>198</v>
      </c>
      <c r="J207" s="32" t="s">
        <v>199</v>
      </c>
      <c r="K207" s="32">
        <v>2.9767299999999999</v>
      </c>
      <c r="L207" s="33">
        <v>1448</v>
      </c>
      <c r="M207" s="32">
        <v>167</v>
      </c>
      <c r="N207" s="32">
        <v>336</v>
      </c>
      <c r="O207" s="32">
        <v>424</v>
      </c>
      <c r="P207" s="32">
        <v>378</v>
      </c>
      <c r="Q207" s="32">
        <v>143</v>
      </c>
      <c r="R207" s="32" t="s">
        <v>668</v>
      </c>
      <c r="S207" s="32">
        <v>64.331000000000003</v>
      </c>
      <c r="T207" s="32">
        <v>44.5242</v>
      </c>
      <c r="U207" s="32">
        <v>0.95845841899999995</v>
      </c>
      <c r="V207" s="32">
        <v>2</v>
      </c>
      <c r="W207" s="32">
        <v>1</v>
      </c>
      <c r="X207" s="32">
        <v>0.25822800000000001</v>
      </c>
      <c r="Y207" s="32">
        <v>0.7</v>
      </c>
      <c r="Z207" s="32">
        <v>1</v>
      </c>
      <c r="AA207" s="32">
        <v>47</v>
      </c>
      <c r="AB207" s="32">
        <v>155</v>
      </c>
      <c r="AC207" s="32">
        <v>11</v>
      </c>
      <c r="AD207" s="32">
        <v>9</v>
      </c>
      <c r="AE207" s="32">
        <v>0</v>
      </c>
      <c r="AF207" s="32">
        <v>0</v>
      </c>
      <c r="AG207" s="32">
        <v>0</v>
      </c>
    </row>
    <row r="208" spans="1:33">
      <c r="A208" s="32" t="s">
        <v>977</v>
      </c>
      <c r="B208" s="32" t="s">
        <v>45</v>
      </c>
      <c r="C208" s="32" t="s">
        <v>978</v>
      </c>
      <c r="D208" s="32" t="s">
        <v>979</v>
      </c>
      <c r="E208" s="32" t="s">
        <v>975</v>
      </c>
      <c r="F208" s="32" t="s">
        <v>976</v>
      </c>
      <c r="G208" s="32" t="s">
        <v>383</v>
      </c>
      <c r="H208" s="32" t="s">
        <v>384</v>
      </c>
      <c r="I208" s="32" t="s">
        <v>198</v>
      </c>
      <c r="J208" s="32" t="s">
        <v>199</v>
      </c>
      <c r="K208" s="32">
        <v>3.0952000000000002</v>
      </c>
      <c r="L208" s="33">
        <v>1485</v>
      </c>
      <c r="M208" s="32">
        <v>227</v>
      </c>
      <c r="N208" s="32">
        <v>255</v>
      </c>
      <c r="O208" s="32">
        <v>432</v>
      </c>
      <c r="P208" s="32">
        <v>417</v>
      </c>
      <c r="Q208" s="32">
        <v>154</v>
      </c>
      <c r="R208" s="32" t="s">
        <v>668</v>
      </c>
      <c r="S208" s="32">
        <v>63.651000000000003</v>
      </c>
      <c r="T208" s="32">
        <v>37.860399999999998</v>
      </c>
      <c r="U208" s="32">
        <v>0.88578546800000002</v>
      </c>
      <c r="V208" s="32">
        <v>2</v>
      </c>
      <c r="W208" s="32">
        <v>1</v>
      </c>
      <c r="X208" s="32">
        <v>0.38893299999999997</v>
      </c>
      <c r="Y208" s="32">
        <v>0.7</v>
      </c>
      <c r="Z208" s="32">
        <v>1</v>
      </c>
      <c r="AA208" s="32">
        <v>59.3</v>
      </c>
      <c r="AB208" s="32">
        <v>161</v>
      </c>
      <c r="AC208" s="32">
        <v>12</v>
      </c>
      <c r="AD208" s="32">
        <v>17</v>
      </c>
      <c r="AE208" s="32">
        <v>0</v>
      </c>
      <c r="AF208" s="32">
        <v>0</v>
      </c>
      <c r="AG208" s="32" t="s">
        <v>200</v>
      </c>
    </row>
    <row r="209" spans="1:33">
      <c r="A209" s="32" t="s">
        <v>980</v>
      </c>
      <c r="B209" s="32" t="s">
        <v>57</v>
      </c>
      <c r="C209" s="32" t="s">
        <v>981</v>
      </c>
      <c r="D209" s="32" t="s">
        <v>982</v>
      </c>
      <c r="E209" s="32" t="s">
        <v>983</v>
      </c>
      <c r="F209" s="32" t="s">
        <v>984</v>
      </c>
      <c r="G209" s="32" t="s">
        <v>300</v>
      </c>
      <c r="H209" s="32" t="s">
        <v>301</v>
      </c>
      <c r="I209" s="32" t="s">
        <v>198</v>
      </c>
      <c r="J209" s="32" t="s">
        <v>199</v>
      </c>
      <c r="K209" s="32">
        <v>2.9160949999999999</v>
      </c>
      <c r="L209" s="33">
        <v>2915</v>
      </c>
      <c r="M209" s="32">
        <v>424</v>
      </c>
      <c r="N209" s="32">
        <v>835</v>
      </c>
      <c r="O209" s="33">
        <v>1141</v>
      </c>
      <c r="P209" s="32">
        <v>423</v>
      </c>
      <c r="Q209" s="32">
        <v>92</v>
      </c>
      <c r="R209" s="32">
        <v>5</v>
      </c>
      <c r="S209" s="32">
        <v>28.653700000000001</v>
      </c>
      <c r="T209" s="32">
        <v>4.1451500000000001</v>
      </c>
      <c r="U209" s="32">
        <v>0.53820393</v>
      </c>
      <c r="V209" s="32">
        <v>5</v>
      </c>
      <c r="W209" s="32">
        <v>0.91635900000000003</v>
      </c>
      <c r="X209" s="32">
        <v>0.30133300000000002</v>
      </c>
      <c r="Y209" s="32">
        <v>0.7</v>
      </c>
      <c r="Z209" s="32">
        <v>1</v>
      </c>
      <c r="AA209" s="32">
        <v>24.5</v>
      </c>
      <c r="AB209" s="32">
        <v>363</v>
      </c>
      <c r="AC209" s="32">
        <v>33</v>
      </c>
      <c r="AD209" s="32">
        <v>22</v>
      </c>
      <c r="AE209" s="32" t="s">
        <v>200</v>
      </c>
      <c r="AF209" s="32">
        <v>0</v>
      </c>
      <c r="AG209" s="32">
        <v>5</v>
      </c>
    </row>
    <row r="210" spans="1:33">
      <c r="A210" s="32" t="s">
        <v>985</v>
      </c>
      <c r="B210" s="32" t="s">
        <v>57</v>
      </c>
      <c r="C210" s="32" t="s">
        <v>986</v>
      </c>
      <c r="D210" s="32" t="s">
        <v>987</v>
      </c>
      <c r="E210" s="32" t="s">
        <v>983</v>
      </c>
      <c r="F210" s="32" t="s">
        <v>984</v>
      </c>
      <c r="G210" s="32" t="s">
        <v>300</v>
      </c>
      <c r="H210" s="32" t="s">
        <v>301</v>
      </c>
      <c r="I210" s="32" t="s">
        <v>198</v>
      </c>
      <c r="J210" s="32" t="s">
        <v>199</v>
      </c>
      <c r="K210" s="32">
        <v>2.877707</v>
      </c>
      <c r="L210" s="33">
        <v>1643</v>
      </c>
      <c r="M210" s="32">
        <v>335</v>
      </c>
      <c r="N210" s="32">
        <v>387</v>
      </c>
      <c r="O210" s="32">
        <v>460</v>
      </c>
      <c r="P210" s="32">
        <v>334</v>
      </c>
      <c r="Q210" s="32">
        <v>127</v>
      </c>
      <c r="R210" s="32" t="s">
        <v>302</v>
      </c>
      <c r="S210" s="32">
        <v>34.577800000000003</v>
      </c>
      <c r="T210" s="32">
        <v>25.290199999999999</v>
      </c>
      <c r="U210" s="32">
        <v>0.76664357000000005</v>
      </c>
      <c r="V210" s="32">
        <v>4</v>
      </c>
      <c r="W210" s="32">
        <v>0.90541400000000005</v>
      </c>
      <c r="X210" s="32">
        <v>0.30632900000000002</v>
      </c>
      <c r="Y210" s="32">
        <v>0.7</v>
      </c>
      <c r="Z210" s="32">
        <v>0.97365100000000004</v>
      </c>
      <c r="AA210" s="32">
        <v>53.5</v>
      </c>
      <c r="AB210" s="32">
        <v>233</v>
      </c>
      <c r="AC210" s="32">
        <v>16</v>
      </c>
      <c r="AD210" s="32" t="s">
        <v>200</v>
      </c>
      <c r="AE210" s="32">
        <v>0</v>
      </c>
      <c r="AF210" s="32" t="s">
        <v>200</v>
      </c>
      <c r="AG210" s="32" t="s">
        <v>200</v>
      </c>
    </row>
    <row r="211" spans="1:33">
      <c r="A211" s="32" t="s">
        <v>988</v>
      </c>
      <c r="B211" s="32" t="s">
        <v>57</v>
      </c>
      <c r="C211" s="32" t="s">
        <v>989</v>
      </c>
      <c r="D211" s="32" t="s">
        <v>990</v>
      </c>
      <c r="E211" s="32" t="s">
        <v>983</v>
      </c>
      <c r="F211" s="32" t="s">
        <v>984</v>
      </c>
      <c r="G211" s="32" t="s">
        <v>300</v>
      </c>
      <c r="H211" s="32" t="s">
        <v>301</v>
      </c>
      <c r="I211" s="32" t="s">
        <v>198</v>
      </c>
      <c r="J211" s="32" t="s">
        <v>199</v>
      </c>
      <c r="K211" s="32">
        <v>2.9697819999999999</v>
      </c>
      <c r="L211" s="33">
        <v>1937</v>
      </c>
      <c r="M211" s="32">
        <v>441</v>
      </c>
      <c r="N211" s="32">
        <v>482</v>
      </c>
      <c r="O211" s="32">
        <v>542</v>
      </c>
      <c r="P211" s="32">
        <v>310</v>
      </c>
      <c r="Q211" s="32">
        <v>162</v>
      </c>
      <c r="R211" s="32" t="s">
        <v>302</v>
      </c>
      <c r="S211" s="32">
        <v>41.072899999999997</v>
      </c>
      <c r="T211" s="32">
        <v>18.177700000000002</v>
      </c>
      <c r="U211" s="32">
        <v>0.84414346399999995</v>
      </c>
      <c r="V211" s="32">
        <v>3</v>
      </c>
      <c r="W211" s="32">
        <v>0.90996900000000003</v>
      </c>
      <c r="X211" s="32">
        <v>0.36386299999999999</v>
      </c>
      <c r="Y211" s="32">
        <v>0.7</v>
      </c>
      <c r="Z211" s="32">
        <v>0.99968500000000005</v>
      </c>
      <c r="AA211" s="32">
        <v>63.7</v>
      </c>
      <c r="AB211" s="32">
        <v>291</v>
      </c>
      <c r="AC211" s="32">
        <v>12</v>
      </c>
      <c r="AD211" s="32">
        <v>12</v>
      </c>
      <c r="AE211" s="32">
        <v>0</v>
      </c>
      <c r="AF211" s="32" t="s">
        <v>200</v>
      </c>
      <c r="AG211" s="32" t="s">
        <v>200</v>
      </c>
    </row>
    <row r="212" spans="1:33">
      <c r="A212" s="32" t="s">
        <v>312</v>
      </c>
      <c r="B212" s="32" t="s">
        <v>57</v>
      </c>
      <c r="C212" s="32" t="s">
        <v>313</v>
      </c>
      <c r="D212" s="32" t="s">
        <v>314</v>
      </c>
      <c r="E212" s="32" t="s">
        <v>315</v>
      </c>
      <c r="F212" s="32" t="s">
        <v>316</v>
      </c>
      <c r="G212" s="32" t="s">
        <v>300</v>
      </c>
      <c r="H212" s="32" t="s">
        <v>301</v>
      </c>
      <c r="I212" s="32" t="s">
        <v>198</v>
      </c>
      <c r="J212" s="32" t="s">
        <v>199</v>
      </c>
      <c r="K212" s="32">
        <v>2.854562</v>
      </c>
      <c r="L212" s="33">
        <v>1900</v>
      </c>
      <c r="M212" s="32">
        <v>329</v>
      </c>
      <c r="N212" s="32">
        <v>512</v>
      </c>
      <c r="O212" s="32">
        <v>550</v>
      </c>
      <c r="P212" s="32">
        <v>371</v>
      </c>
      <c r="Q212" s="32">
        <v>138</v>
      </c>
      <c r="R212" s="32" t="s">
        <v>302</v>
      </c>
      <c r="S212" s="32">
        <v>42.923499999999997</v>
      </c>
      <c r="T212" s="32">
        <v>1.86382</v>
      </c>
      <c r="U212" s="32">
        <v>0.61190477600000004</v>
      </c>
      <c r="V212" s="32">
        <v>5</v>
      </c>
      <c r="W212" s="32">
        <v>0.91240900000000003</v>
      </c>
      <c r="X212" s="32">
        <v>0.32783899999999999</v>
      </c>
      <c r="Y212" s="32">
        <v>0.68143399999999998</v>
      </c>
      <c r="Z212" s="32">
        <v>0.93376099999999995</v>
      </c>
      <c r="AA212" s="32">
        <v>30.8</v>
      </c>
      <c r="AB212" s="32">
        <v>334</v>
      </c>
      <c r="AC212" s="32">
        <v>11</v>
      </c>
      <c r="AD212" s="32">
        <v>19</v>
      </c>
      <c r="AE212" s="32">
        <v>0</v>
      </c>
      <c r="AF212" s="32" t="s">
        <v>200</v>
      </c>
      <c r="AG212" s="32" t="s">
        <v>200</v>
      </c>
    </row>
    <row r="213" spans="1:33">
      <c r="A213" s="32" t="s">
        <v>991</v>
      </c>
      <c r="B213" s="32" t="s">
        <v>57</v>
      </c>
      <c r="C213" s="32" t="s">
        <v>992</v>
      </c>
      <c r="D213" s="32" t="s">
        <v>993</v>
      </c>
      <c r="E213" s="32" t="s">
        <v>994</v>
      </c>
      <c r="F213" s="32" t="s">
        <v>995</v>
      </c>
      <c r="G213" s="32" t="s">
        <v>300</v>
      </c>
      <c r="H213" s="32" t="s">
        <v>301</v>
      </c>
      <c r="I213" s="32" t="s">
        <v>198</v>
      </c>
      <c r="J213" s="32" t="s">
        <v>199</v>
      </c>
      <c r="K213" s="32">
        <v>3.0207999999999999</v>
      </c>
      <c r="L213" s="33">
        <v>1347</v>
      </c>
      <c r="M213" s="32">
        <v>360</v>
      </c>
      <c r="N213" s="32">
        <v>248</v>
      </c>
      <c r="O213" s="32">
        <v>384</v>
      </c>
      <c r="P213" s="32">
        <v>235</v>
      </c>
      <c r="Q213" s="32">
        <v>120</v>
      </c>
      <c r="R213" s="32" t="s">
        <v>302</v>
      </c>
      <c r="S213" s="32">
        <v>27.3492</v>
      </c>
      <c r="T213" s="32">
        <v>23.572099999999999</v>
      </c>
      <c r="U213" s="32">
        <v>0.78421632600000002</v>
      </c>
      <c r="V213" s="32">
        <v>3</v>
      </c>
      <c r="W213" s="32">
        <v>0.95920000000000005</v>
      </c>
      <c r="X213" s="32">
        <v>0.39687499999999998</v>
      </c>
      <c r="Y213" s="32">
        <v>0.7</v>
      </c>
      <c r="Z213" s="32">
        <v>1</v>
      </c>
      <c r="AA213" s="32">
        <v>77.599999999999994</v>
      </c>
      <c r="AB213" s="32">
        <v>210</v>
      </c>
      <c r="AC213" s="32">
        <v>7</v>
      </c>
      <c r="AD213" s="32">
        <v>9</v>
      </c>
      <c r="AE213" s="32">
        <v>0</v>
      </c>
      <c r="AF213" s="32">
        <v>0</v>
      </c>
      <c r="AG213" s="32" t="s">
        <v>200</v>
      </c>
    </row>
    <row r="214" spans="1:33">
      <c r="A214" s="32" t="s">
        <v>996</v>
      </c>
      <c r="B214" s="32" t="s">
        <v>57</v>
      </c>
      <c r="C214" s="32" t="s">
        <v>997</v>
      </c>
      <c r="D214" s="32" t="s">
        <v>998</v>
      </c>
      <c r="E214" s="32" t="s">
        <v>994</v>
      </c>
      <c r="F214" s="32" t="s">
        <v>995</v>
      </c>
      <c r="G214" s="32" t="s">
        <v>300</v>
      </c>
      <c r="H214" s="32" t="s">
        <v>301</v>
      </c>
      <c r="I214" s="32" t="s">
        <v>198</v>
      </c>
      <c r="J214" s="32" t="s">
        <v>199</v>
      </c>
      <c r="K214" s="32">
        <v>2.7171430000000001</v>
      </c>
      <c r="L214" s="33">
        <v>1622</v>
      </c>
      <c r="M214" s="32">
        <v>483</v>
      </c>
      <c r="N214" s="32">
        <v>305</v>
      </c>
      <c r="O214" s="32">
        <v>447</v>
      </c>
      <c r="P214" s="32">
        <v>252</v>
      </c>
      <c r="Q214" s="32">
        <v>135</v>
      </c>
      <c r="R214" s="32">
        <v>4</v>
      </c>
      <c r="S214" s="32">
        <v>29.132200000000001</v>
      </c>
      <c r="T214" s="32">
        <v>2.4624299999999999</v>
      </c>
      <c r="U214" s="32">
        <v>0.96901701500000004</v>
      </c>
      <c r="V214" s="32">
        <v>3</v>
      </c>
      <c r="W214" s="32">
        <v>0.92</v>
      </c>
      <c r="X214" s="32">
        <v>0.117703</v>
      </c>
      <c r="Y214" s="32">
        <v>0.7</v>
      </c>
      <c r="Z214" s="32">
        <v>1</v>
      </c>
      <c r="AA214" s="32">
        <v>58.8</v>
      </c>
      <c r="AB214" s="32">
        <v>201</v>
      </c>
      <c r="AC214" s="32">
        <v>10</v>
      </c>
      <c r="AD214" s="32">
        <v>7</v>
      </c>
      <c r="AE214" s="32">
        <v>0</v>
      </c>
      <c r="AF214" s="32">
        <v>0</v>
      </c>
      <c r="AG214" s="32" t="s">
        <v>200</v>
      </c>
    </row>
    <row r="215" spans="1:33">
      <c r="A215" s="32" t="s">
        <v>999</v>
      </c>
      <c r="B215" s="32" t="s">
        <v>57</v>
      </c>
      <c r="C215" s="32" t="s">
        <v>1000</v>
      </c>
      <c r="D215" s="32" t="s">
        <v>1001</v>
      </c>
      <c r="E215" s="32" t="s">
        <v>1002</v>
      </c>
      <c r="F215" s="32" t="s">
        <v>1003</v>
      </c>
      <c r="G215" s="32" t="s">
        <v>300</v>
      </c>
      <c r="H215" s="32" t="s">
        <v>301</v>
      </c>
      <c r="I215" s="32" t="s">
        <v>198</v>
      </c>
      <c r="J215" s="32" t="s">
        <v>199</v>
      </c>
      <c r="K215" s="32">
        <v>2.7405889999999999</v>
      </c>
      <c r="L215" s="33">
        <v>2340</v>
      </c>
      <c r="M215" s="32">
        <v>434</v>
      </c>
      <c r="N215" s="32">
        <v>699</v>
      </c>
      <c r="O215" s="32">
        <v>694</v>
      </c>
      <c r="P215" s="32">
        <v>390</v>
      </c>
      <c r="Q215" s="32">
        <v>123</v>
      </c>
      <c r="R215" s="32">
        <v>5</v>
      </c>
      <c r="S215" s="32">
        <v>38.763199999999998</v>
      </c>
      <c r="T215" s="32">
        <v>4.6943000000000001</v>
      </c>
      <c r="U215" s="32">
        <v>1.001435267</v>
      </c>
      <c r="V215" s="32">
        <v>3</v>
      </c>
      <c r="W215" s="32">
        <v>0.91161999999999999</v>
      </c>
      <c r="X215" s="32">
        <v>0.14365700000000001</v>
      </c>
      <c r="Y215" s="32">
        <v>0.7</v>
      </c>
      <c r="Z215" s="32">
        <v>0.99062499999999998</v>
      </c>
      <c r="AA215" s="32">
        <v>51.7</v>
      </c>
      <c r="AB215" s="32">
        <v>350</v>
      </c>
      <c r="AC215" s="32">
        <v>13</v>
      </c>
      <c r="AD215" s="32">
        <v>69</v>
      </c>
      <c r="AE215" s="32">
        <v>9</v>
      </c>
      <c r="AF215" s="32">
        <v>0</v>
      </c>
      <c r="AG215" s="32" t="s">
        <v>200</v>
      </c>
    </row>
    <row r="216" spans="1:33">
      <c r="A216" s="32" t="s">
        <v>1004</v>
      </c>
      <c r="B216" s="32" t="s">
        <v>57</v>
      </c>
      <c r="C216" s="32" t="s">
        <v>1005</v>
      </c>
      <c r="D216" s="32" t="s">
        <v>1006</v>
      </c>
      <c r="E216" s="32" t="s">
        <v>1002</v>
      </c>
      <c r="F216" s="32" t="s">
        <v>1003</v>
      </c>
      <c r="G216" s="32" t="s">
        <v>300</v>
      </c>
      <c r="H216" s="32" t="s">
        <v>301</v>
      </c>
      <c r="I216" s="32" t="s">
        <v>198</v>
      </c>
      <c r="J216" s="32" t="s">
        <v>199</v>
      </c>
      <c r="K216" s="32">
        <v>2.6798739999999999</v>
      </c>
      <c r="L216" s="33">
        <v>1906</v>
      </c>
      <c r="M216" s="32">
        <v>390</v>
      </c>
      <c r="N216" s="32">
        <v>457</v>
      </c>
      <c r="O216" s="32">
        <v>580</v>
      </c>
      <c r="P216" s="32">
        <v>353</v>
      </c>
      <c r="Q216" s="32">
        <v>126</v>
      </c>
      <c r="R216" s="32">
        <v>5</v>
      </c>
      <c r="S216" s="32">
        <v>31.360399999999998</v>
      </c>
      <c r="T216" s="32">
        <v>7.1876100000000003</v>
      </c>
      <c r="U216" s="32">
        <v>1.018140413</v>
      </c>
      <c r="V216" s="32">
        <v>2</v>
      </c>
      <c r="W216" s="32">
        <v>0.92138399999999998</v>
      </c>
      <c r="X216" s="32">
        <v>0.128302</v>
      </c>
      <c r="Y216" s="32">
        <v>0.7</v>
      </c>
      <c r="Z216" s="32">
        <v>0.96037700000000004</v>
      </c>
      <c r="AA216" s="32">
        <v>69.2</v>
      </c>
      <c r="AB216" s="32">
        <v>253</v>
      </c>
      <c r="AC216" s="32">
        <v>6</v>
      </c>
      <c r="AD216" s="32">
        <v>9</v>
      </c>
      <c r="AE216" s="32" t="s">
        <v>200</v>
      </c>
      <c r="AF216" s="32">
        <v>0</v>
      </c>
      <c r="AG216" s="32" t="s">
        <v>200</v>
      </c>
    </row>
    <row r="217" spans="1:33">
      <c r="A217" s="32" t="s">
        <v>295</v>
      </c>
      <c r="B217" s="32" t="s">
        <v>57</v>
      </c>
      <c r="C217" s="32" t="s">
        <v>296</v>
      </c>
      <c r="D217" s="32" t="s">
        <v>297</v>
      </c>
      <c r="E217" s="32" t="s">
        <v>298</v>
      </c>
      <c r="F217" s="32" t="s">
        <v>299</v>
      </c>
      <c r="G217" s="32" t="s">
        <v>300</v>
      </c>
      <c r="H217" s="32" t="s">
        <v>301</v>
      </c>
      <c r="I217" s="32" t="s">
        <v>198</v>
      </c>
      <c r="J217" s="32" t="s">
        <v>199</v>
      </c>
      <c r="K217" s="32">
        <v>2.6546639999999999</v>
      </c>
      <c r="L217" s="33">
        <v>2823</v>
      </c>
      <c r="M217" s="32">
        <v>641</v>
      </c>
      <c r="N217" s="32">
        <v>739</v>
      </c>
      <c r="O217" s="32">
        <v>830</v>
      </c>
      <c r="P217" s="32">
        <v>404</v>
      </c>
      <c r="Q217" s="32">
        <v>209</v>
      </c>
      <c r="R217" s="32" t="s">
        <v>302</v>
      </c>
      <c r="S217" s="32">
        <v>45.7074</v>
      </c>
      <c r="T217" s="32">
        <v>11.418200000000001</v>
      </c>
      <c r="U217" s="32">
        <v>1.0562853640000001</v>
      </c>
      <c r="V217" s="32">
        <v>3</v>
      </c>
      <c r="W217" s="32">
        <v>0.924512</v>
      </c>
      <c r="X217" s="32">
        <v>0.14513999999999999</v>
      </c>
      <c r="Y217" s="32">
        <v>0.7</v>
      </c>
      <c r="Z217" s="32">
        <v>0.90907099999999996</v>
      </c>
      <c r="AA217" s="32">
        <v>60.5</v>
      </c>
      <c r="AB217" s="32">
        <v>340</v>
      </c>
      <c r="AC217" s="32">
        <v>14</v>
      </c>
      <c r="AD217" s="32">
        <v>14</v>
      </c>
      <c r="AE217" s="32">
        <v>0</v>
      </c>
      <c r="AF217" s="32" t="s">
        <v>200</v>
      </c>
      <c r="AG217" s="32" t="s">
        <v>200</v>
      </c>
    </row>
    <row r="218" spans="1:33">
      <c r="A218" s="32" t="s">
        <v>940</v>
      </c>
      <c r="B218" s="32" t="s">
        <v>47</v>
      </c>
      <c r="C218" s="32" t="s">
        <v>941</v>
      </c>
      <c r="D218" s="32" t="s">
        <v>942</v>
      </c>
      <c r="E218" s="32" t="s">
        <v>943</v>
      </c>
      <c r="F218" s="32" t="s">
        <v>944</v>
      </c>
      <c r="G218" s="32" t="s">
        <v>383</v>
      </c>
      <c r="H218" s="32" t="s">
        <v>384</v>
      </c>
      <c r="I218" s="32" t="s">
        <v>198</v>
      </c>
      <c r="J218" s="32" t="s">
        <v>199</v>
      </c>
      <c r="K218" s="32">
        <v>2.7468840000000001</v>
      </c>
      <c r="L218" s="33">
        <v>2228</v>
      </c>
      <c r="M218" s="32">
        <v>219</v>
      </c>
      <c r="N218" s="32">
        <v>717</v>
      </c>
      <c r="O218" s="32">
        <v>676</v>
      </c>
      <c r="P218" s="32">
        <v>380</v>
      </c>
      <c r="Q218" s="32">
        <v>236</v>
      </c>
      <c r="R218" s="32" t="s">
        <v>668</v>
      </c>
      <c r="S218" s="32">
        <v>60.376899999999999</v>
      </c>
      <c r="T218" s="32">
        <v>42.141800000000003</v>
      </c>
      <c r="U218" s="32">
        <v>0.52724459599999995</v>
      </c>
      <c r="V218" s="32">
        <v>9</v>
      </c>
      <c r="W218" s="32">
        <v>1</v>
      </c>
      <c r="X218" s="32">
        <v>9.2447000000000001E-2</v>
      </c>
      <c r="Y218" s="32">
        <v>0.7</v>
      </c>
      <c r="Z218" s="32">
        <v>0.94371300000000002</v>
      </c>
      <c r="AA218" s="32">
        <v>37.299999999999997</v>
      </c>
      <c r="AB218" s="32">
        <v>278</v>
      </c>
      <c r="AC218" s="32">
        <v>11</v>
      </c>
      <c r="AD218" s="32">
        <v>17</v>
      </c>
      <c r="AE218" s="32" t="s">
        <v>200</v>
      </c>
      <c r="AF218" s="32">
        <v>0</v>
      </c>
      <c r="AG218" s="32" t="s">
        <v>200</v>
      </c>
    </row>
    <row r="219" spans="1:33">
      <c r="A219" s="32" t="s">
        <v>945</v>
      </c>
      <c r="B219" s="32" t="s">
        <v>47</v>
      </c>
      <c r="C219" s="32" t="s">
        <v>946</v>
      </c>
      <c r="D219" s="32" t="s">
        <v>947</v>
      </c>
      <c r="E219" s="32" t="s">
        <v>943</v>
      </c>
      <c r="F219" s="32" t="s">
        <v>944</v>
      </c>
      <c r="G219" s="32" t="s">
        <v>383</v>
      </c>
      <c r="H219" s="32" t="s">
        <v>384</v>
      </c>
      <c r="I219" s="32" t="s">
        <v>198</v>
      </c>
      <c r="J219" s="32" t="s">
        <v>199</v>
      </c>
      <c r="K219" s="32">
        <v>3.0069119999999998</v>
      </c>
      <c r="L219" s="33">
        <v>2451</v>
      </c>
      <c r="M219" s="32">
        <v>458</v>
      </c>
      <c r="N219" s="32">
        <v>613</v>
      </c>
      <c r="O219" s="32">
        <v>607</v>
      </c>
      <c r="P219" s="32">
        <v>480</v>
      </c>
      <c r="Q219" s="32">
        <v>293</v>
      </c>
      <c r="R219" s="32" t="s">
        <v>668</v>
      </c>
      <c r="S219" s="32">
        <v>75.859700000000004</v>
      </c>
      <c r="T219" s="32">
        <v>57.398200000000003</v>
      </c>
      <c r="U219" s="32">
        <v>0.36728011599999999</v>
      </c>
      <c r="V219" s="32">
        <v>9</v>
      </c>
      <c r="W219" s="32">
        <v>1</v>
      </c>
      <c r="X219" s="32">
        <v>0.45023299999999999</v>
      </c>
      <c r="Y219" s="32">
        <v>0.7</v>
      </c>
      <c r="Z219" s="32">
        <v>0.85137600000000002</v>
      </c>
      <c r="AA219" s="32">
        <v>41.2</v>
      </c>
      <c r="AB219" s="32">
        <v>331</v>
      </c>
      <c r="AC219" s="32" t="s">
        <v>200</v>
      </c>
      <c r="AD219" s="32">
        <v>60</v>
      </c>
      <c r="AE219" s="32">
        <v>0</v>
      </c>
      <c r="AF219" s="32">
        <v>0</v>
      </c>
      <c r="AG219" s="32">
        <v>5</v>
      </c>
    </row>
    <row r="220" spans="1:33">
      <c r="A220" s="32" t="s">
        <v>948</v>
      </c>
      <c r="B220" s="32" t="s">
        <v>47</v>
      </c>
      <c r="C220" s="32" t="s">
        <v>949</v>
      </c>
      <c r="D220" s="32" t="s">
        <v>950</v>
      </c>
      <c r="E220" s="32" t="s">
        <v>951</v>
      </c>
      <c r="F220" s="32" t="s">
        <v>952</v>
      </c>
      <c r="G220" s="32" t="s">
        <v>383</v>
      </c>
      <c r="H220" s="32" t="s">
        <v>384</v>
      </c>
      <c r="I220" s="32" t="s">
        <v>198</v>
      </c>
      <c r="J220" s="32" t="s">
        <v>199</v>
      </c>
      <c r="K220" s="32">
        <v>3.120098</v>
      </c>
      <c r="L220" s="33">
        <v>2476</v>
      </c>
      <c r="M220" s="32">
        <v>360</v>
      </c>
      <c r="N220" s="32">
        <v>594</v>
      </c>
      <c r="O220" s="32">
        <v>750</v>
      </c>
      <c r="P220" s="32">
        <v>546</v>
      </c>
      <c r="Q220" s="32">
        <v>226</v>
      </c>
      <c r="R220" s="32" t="s">
        <v>668</v>
      </c>
      <c r="S220" s="32">
        <v>76.498599999999996</v>
      </c>
      <c r="T220" s="32">
        <v>53.675899999999999</v>
      </c>
      <c r="U220" s="32">
        <v>0.55764482299999996</v>
      </c>
      <c r="V220" s="32">
        <v>5</v>
      </c>
      <c r="W220" s="32">
        <v>1</v>
      </c>
      <c r="X220" s="32">
        <v>0.43333300000000002</v>
      </c>
      <c r="Y220" s="32">
        <v>0.7</v>
      </c>
      <c r="Z220" s="32">
        <v>1</v>
      </c>
      <c r="AA220" s="32">
        <v>43.4</v>
      </c>
      <c r="AB220" s="32">
        <v>603</v>
      </c>
      <c r="AC220" s="32">
        <v>23</v>
      </c>
      <c r="AD220" s="32">
        <v>36</v>
      </c>
      <c r="AE220" s="32" t="s">
        <v>200</v>
      </c>
      <c r="AF220" s="32">
        <v>0</v>
      </c>
      <c r="AG220" s="32">
        <v>10</v>
      </c>
    </row>
    <row r="221" spans="1:33">
      <c r="A221" s="32" t="s">
        <v>953</v>
      </c>
      <c r="B221" s="32" t="s">
        <v>47</v>
      </c>
      <c r="C221" s="32" t="s">
        <v>954</v>
      </c>
      <c r="D221" s="32" t="s">
        <v>955</v>
      </c>
      <c r="E221" s="32" t="s">
        <v>951</v>
      </c>
      <c r="F221" s="32" t="s">
        <v>952</v>
      </c>
      <c r="G221" s="32" t="s">
        <v>383</v>
      </c>
      <c r="H221" s="32" t="s">
        <v>384</v>
      </c>
      <c r="I221" s="32" t="s">
        <v>198</v>
      </c>
      <c r="J221" s="32" t="s">
        <v>199</v>
      </c>
      <c r="K221" s="32">
        <v>3.0305559999999998</v>
      </c>
      <c r="L221" s="33">
        <v>2189</v>
      </c>
      <c r="M221" s="32">
        <v>265</v>
      </c>
      <c r="N221" s="32">
        <v>612</v>
      </c>
      <c r="O221" s="32">
        <v>618</v>
      </c>
      <c r="P221" s="32">
        <v>460</v>
      </c>
      <c r="Q221" s="32">
        <v>234</v>
      </c>
      <c r="R221" s="32" t="s">
        <v>668</v>
      </c>
      <c r="S221" s="32">
        <v>70.202100000000002</v>
      </c>
      <c r="T221" s="32">
        <v>60.538699999999999</v>
      </c>
      <c r="U221" s="32">
        <v>0.43048003800000001</v>
      </c>
      <c r="V221" s="32">
        <v>7</v>
      </c>
      <c r="W221" s="32">
        <v>1</v>
      </c>
      <c r="X221" s="32">
        <v>0.35585299999999997</v>
      </c>
      <c r="Y221" s="32">
        <v>0.7</v>
      </c>
      <c r="Z221" s="32">
        <v>0.96448299999999998</v>
      </c>
      <c r="AA221" s="32">
        <v>32.1</v>
      </c>
      <c r="AB221" s="32">
        <v>361</v>
      </c>
      <c r="AC221" s="32">
        <v>17</v>
      </c>
      <c r="AD221" s="32">
        <v>40</v>
      </c>
      <c r="AE221" s="32">
        <v>0</v>
      </c>
      <c r="AF221" s="32" t="s">
        <v>200</v>
      </c>
      <c r="AG221" s="32">
        <v>0</v>
      </c>
    </row>
    <row r="222" spans="1:33">
      <c r="A222" s="32" t="s">
        <v>1007</v>
      </c>
      <c r="B222" s="32" t="s">
        <v>47</v>
      </c>
      <c r="C222" s="32" t="s">
        <v>1008</v>
      </c>
      <c r="D222" s="32" t="s">
        <v>1009</v>
      </c>
      <c r="E222" s="32" t="s">
        <v>951</v>
      </c>
      <c r="F222" s="32" t="s">
        <v>952</v>
      </c>
      <c r="G222" s="32" t="s">
        <v>383</v>
      </c>
      <c r="H222" s="32" t="s">
        <v>384</v>
      </c>
      <c r="I222" s="32" t="s">
        <v>198</v>
      </c>
      <c r="J222" s="32" t="s">
        <v>199</v>
      </c>
      <c r="K222" s="32">
        <v>2.8217110000000001</v>
      </c>
      <c r="L222" s="33">
        <v>1790</v>
      </c>
      <c r="M222" s="32">
        <v>294</v>
      </c>
      <c r="N222" s="32">
        <v>280</v>
      </c>
      <c r="O222" s="32">
        <v>438</v>
      </c>
      <c r="P222" s="32">
        <v>459</v>
      </c>
      <c r="Q222" s="32">
        <v>319</v>
      </c>
      <c r="R222" s="32" t="s">
        <v>668</v>
      </c>
      <c r="S222" s="32">
        <v>76.7714</v>
      </c>
      <c r="T222" s="32">
        <v>45.4831</v>
      </c>
      <c r="U222" s="32">
        <v>0.61386867000000001</v>
      </c>
      <c r="V222" s="32">
        <v>5</v>
      </c>
      <c r="W222" s="32">
        <v>1</v>
      </c>
      <c r="X222" s="32">
        <v>9.2928999999999998E-2</v>
      </c>
      <c r="Y222" s="32">
        <v>0.73501700000000003</v>
      </c>
      <c r="Z222" s="32">
        <v>1</v>
      </c>
      <c r="AA222" s="32">
        <v>31.9</v>
      </c>
      <c r="AB222" s="32">
        <v>407</v>
      </c>
      <c r="AC222" s="32">
        <v>17</v>
      </c>
      <c r="AD222" s="32">
        <v>26</v>
      </c>
      <c r="AE222" s="32">
        <v>0</v>
      </c>
      <c r="AF222" s="32" t="s">
        <v>200</v>
      </c>
      <c r="AG222" s="32">
        <v>5</v>
      </c>
    </row>
    <row r="223" spans="1:33">
      <c r="A223" s="32" t="s">
        <v>1010</v>
      </c>
      <c r="B223" s="32" t="s">
        <v>47</v>
      </c>
      <c r="C223" s="32" t="s">
        <v>1011</v>
      </c>
      <c r="D223" s="32" t="s">
        <v>1012</v>
      </c>
      <c r="E223" s="32" t="s">
        <v>975</v>
      </c>
      <c r="F223" s="32" t="s">
        <v>976</v>
      </c>
      <c r="G223" s="32" t="s">
        <v>383</v>
      </c>
      <c r="H223" s="32" t="s">
        <v>384</v>
      </c>
      <c r="I223" s="32" t="s">
        <v>198</v>
      </c>
      <c r="J223" s="32" t="s">
        <v>199</v>
      </c>
      <c r="K223" s="32">
        <v>2.7634690000000002</v>
      </c>
      <c r="L223" s="33">
        <v>2927</v>
      </c>
      <c r="M223" s="32">
        <v>769</v>
      </c>
      <c r="N223" s="32">
        <v>551</v>
      </c>
      <c r="O223" s="32">
        <v>495</v>
      </c>
      <c r="P223" s="32">
        <v>637</v>
      </c>
      <c r="Q223" s="32">
        <v>475</v>
      </c>
      <c r="R223" s="32">
        <v>5</v>
      </c>
      <c r="S223" s="32">
        <v>46.296700000000001</v>
      </c>
      <c r="T223" s="32">
        <v>13.579499999999999</v>
      </c>
      <c r="U223" s="32">
        <v>1.2173940519999999</v>
      </c>
      <c r="V223" s="32">
        <v>1</v>
      </c>
      <c r="W223" s="32">
        <v>1</v>
      </c>
      <c r="X223" s="32">
        <v>9.4853000000000007E-2</v>
      </c>
      <c r="Y223" s="32">
        <v>0.7</v>
      </c>
      <c r="Z223" s="32">
        <v>0.95970100000000003</v>
      </c>
      <c r="AA223" s="32">
        <v>76.400000000000006</v>
      </c>
      <c r="AB223" s="32">
        <v>379</v>
      </c>
      <c r="AC223" s="32">
        <v>19</v>
      </c>
      <c r="AD223" s="32">
        <v>9</v>
      </c>
      <c r="AE223" s="32">
        <v>0</v>
      </c>
      <c r="AF223" s="32" t="s">
        <v>200</v>
      </c>
      <c r="AG223" s="32" t="s">
        <v>200</v>
      </c>
    </row>
    <row r="224" spans="1:33">
      <c r="A224" s="32" t="s">
        <v>1013</v>
      </c>
      <c r="B224" s="32" t="s">
        <v>47</v>
      </c>
      <c r="C224" s="32" t="s">
        <v>1014</v>
      </c>
      <c r="D224" s="32" t="s">
        <v>1015</v>
      </c>
      <c r="E224" s="32" t="s">
        <v>975</v>
      </c>
      <c r="F224" s="32" t="s">
        <v>976</v>
      </c>
      <c r="G224" s="32" t="s">
        <v>383</v>
      </c>
      <c r="H224" s="32" t="s">
        <v>384</v>
      </c>
      <c r="I224" s="32" t="s">
        <v>198</v>
      </c>
      <c r="J224" s="32" t="s">
        <v>199</v>
      </c>
      <c r="K224" s="32">
        <v>2.701031</v>
      </c>
      <c r="L224" s="33">
        <v>1711</v>
      </c>
      <c r="M224" s="32">
        <v>365</v>
      </c>
      <c r="N224" s="32">
        <v>329</v>
      </c>
      <c r="O224" s="32">
        <v>348</v>
      </c>
      <c r="P224" s="32">
        <v>374</v>
      </c>
      <c r="Q224" s="32">
        <v>295</v>
      </c>
      <c r="R224" s="32" t="s">
        <v>302</v>
      </c>
      <c r="S224" s="32">
        <v>38.056899999999999</v>
      </c>
      <c r="T224" s="32">
        <v>17.845099999999999</v>
      </c>
      <c r="U224" s="32">
        <v>0.98130928299999998</v>
      </c>
      <c r="V224" s="32">
        <v>3</v>
      </c>
      <c r="W224" s="32">
        <v>1</v>
      </c>
      <c r="X224" s="32">
        <v>1.042E-3</v>
      </c>
      <c r="Y224" s="32">
        <v>0.7</v>
      </c>
      <c r="Z224" s="32">
        <v>1</v>
      </c>
      <c r="AA224" s="32">
        <v>58.6</v>
      </c>
      <c r="AB224" s="32">
        <v>253</v>
      </c>
      <c r="AC224" s="32">
        <v>10</v>
      </c>
      <c r="AD224" s="32">
        <v>11</v>
      </c>
      <c r="AE224" s="32">
        <v>0</v>
      </c>
      <c r="AF224" s="32">
        <v>0</v>
      </c>
      <c r="AG224" s="32">
        <v>7</v>
      </c>
    </row>
    <row r="225" spans="1:33">
      <c r="A225" s="32" t="s">
        <v>1016</v>
      </c>
      <c r="B225" s="32" t="s">
        <v>47</v>
      </c>
      <c r="C225" s="32" t="s">
        <v>1017</v>
      </c>
      <c r="D225" s="32" t="s">
        <v>1018</v>
      </c>
      <c r="E225" s="32" t="s">
        <v>975</v>
      </c>
      <c r="F225" s="32" t="s">
        <v>976</v>
      </c>
      <c r="G225" s="32" t="s">
        <v>383</v>
      </c>
      <c r="H225" s="32" t="s">
        <v>384</v>
      </c>
      <c r="I225" s="32" t="s">
        <v>198</v>
      </c>
      <c r="J225" s="32" t="s">
        <v>199</v>
      </c>
      <c r="K225" s="32">
        <v>2.7010640000000001</v>
      </c>
      <c r="L225" s="33">
        <v>1953</v>
      </c>
      <c r="M225" s="32">
        <v>505</v>
      </c>
      <c r="N225" s="32">
        <v>412</v>
      </c>
      <c r="O225" s="32">
        <v>389</v>
      </c>
      <c r="P225" s="32">
        <v>416</v>
      </c>
      <c r="Q225" s="32">
        <v>231</v>
      </c>
      <c r="R225" s="32" t="s">
        <v>302</v>
      </c>
      <c r="S225" s="32">
        <v>44.689599999999999</v>
      </c>
      <c r="T225" s="32">
        <v>4.1519599999999999</v>
      </c>
      <c r="U225" s="32">
        <v>1.1752431029999999</v>
      </c>
      <c r="V225" s="32">
        <v>2</v>
      </c>
      <c r="W225" s="32">
        <v>1</v>
      </c>
      <c r="X225" s="32">
        <v>1.0640000000000001E-3</v>
      </c>
      <c r="Y225" s="32">
        <v>0.7</v>
      </c>
      <c r="Z225" s="32">
        <v>1</v>
      </c>
      <c r="AA225" s="32">
        <v>58.8</v>
      </c>
      <c r="AB225" s="32">
        <v>222</v>
      </c>
      <c r="AC225" s="32">
        <v>17</v>
      </c>
      <c r="AD225" s="32">
        <v>12</v>
      </c>
      <c r="AE225" s="32">
        <v>0</v>
      </c>
      <c r="AF225" s="32">
        <v>0</v>
      </c>
      <c r="AG225" s="32">
        <v>0</v>
      </c>
    </row>
    <row r="226" spans="1:33">
      <c r="A226" s="32" t="s">
        <v>972</v>
      </c>
      <c r="B226" s="32" t="s">
        <v>47</v>
      </c>
      <c r="C226" s="32" t="s">
        <v>973</v>
      </c>
      <c r="D226" s="32" t="s">
        <v>974</v>
      </c>
      <c r="E226" s="32" t="s">
        <v>975</v>
      </c>
      <c r="F226" s="32" t="s">
        <v>976</v>
      </c>
      <c r="G226" s="32" t="s">
        <v>383</v>
      </c>
      <c r="H226" s="32" t="s">
        <v>384</v>
      </c>
      <c r="I226" s="32" t="s">
        <v>198</v>
      </c>
      <c r="J226" s="32" t="s">
        <v>199</v>
      </c>
      <c r="K226" s="32">
        <v>2.9767299999999999</v>
      </c>
      <c r="L226" s="33">
        <v>1448</v>
      </c>
      <c r="M226" s="32">
        <v>167</v>
      </c>
      <c r="N226" s="32">
        <v>336</v>
      </c>
      <c r="O226" s="32">
        <v>424</v>
      </c>
      <c r="P226" s="32">
        <v>378</v>
      </c>
      <c r="Q226" s="32">
        <v>143</v>
      </c>
      <c r="R226" s="32" t="s">
        <v>668</v>
      </c>
      <c r="S226" s="32">
        <v>64.331000000000003</v>
      </c>
      <c r="T226" s="32">
        <v>44.5242</v>
      </c>
      <c r="U226" s="32">
        <v>0.95845841899999995</v>
      </c>
      <c r="V226" s="32">
        <v>2</v>
      </c>
      <c r="W226" s="32">
        <v>1</v>
      </c>
      <c r="X226" s="32">
        <v>0.25822800000000001</v>
      </c>
      <c r="Y226" s="32">
        <v>0.7</v>
      </c>
      <c r="Z226" s="32">
        <v>1</v>
      </c>
      <c r="AA226" s="32">
        <v>47</v>
      </c>
      <c r="AB226" s="32">
        <v>155</v>
      </c>
      <c r="AC226" s="32">
        <v>11</v>
      </c>
      <c r="AD226" s="32">
        <v>9</v>
      </c>
      <c r="AE226" s="32">
        <v>0</v>
      </c>
      <c r="AF226" s="32">
        <v>0</v>
      </c>
      <c r="AG226" s="32">
        <v>0</v>
      </c>
    </row>
    <row r="227" spans="1:33">
      <c r="A227" s="32" t="s">
        <v>1019</v>
      </c>
      <c r="B227" s="32" t="s">
        <v>48</v>
      </c>
      <c r="C227" s="32" t="s">
        <v>1020</v>
      </c>
      <c r="D227" s="32" t="s">
        <v>1021</v>
      </c>
      <c r="E227" s="32" t="s">
        <v>951</v>
      </c>
      <c r="F227" s="32" t="s">
        <v>952</v>
      </c>
      <c r="G227" s="32" t="s">
        <v>383</v>
      </c>
      <c r="H227" s="32" t="s">
        <v>384</v>
      </c>
      <c r="I227" s="32" t="s">
        <v>198</v>
      </c>
      <c r="J227" s="32" t="s">
        <v>199</v>
      </c>
      <c r="K227" s="32">
        <v>3.1501519999999998</v>
      </c>
      <c r="L227" s="33">
        <v>1809</v>
      </c>
      <c r="M227" s="32">
        <v>197</v>
      </c>
      <c r="N227" s="32">
        <v>724</v>
      </c>
      <c r="O227" s="32">
        <v>463</v>
      </c>
      <c r="P227" s="32">
        <v>257</v>
      </c>
      <c r="Q227" s="32">
        <v>168</v>
      </c>
      <c r="R227" s="32" t="s">
        <v>668</v>
      </c>
      <c r="S227" s="32">
        <v>66.372200000000007</v>
      </c>
      <c r="T227" s="32">
        <v>54.127299999999998</v>
      </c>
      <c r="U227" s="32">
        <v>0.51519706799999998</v>
      </c>
      <c r="V227" s="32">
        <v>6</v>
      </c>
      <c r="W227" s="32">
        <v>1</v>
      </c>
      <c r="X227" s="32">
        <v>0.36886200000000002</v>
      </c>
      <c r="Y227" s="32">
        <v>0.79545500000000002</v>
      </c>
      <c r="Z227" s="32">
        <v>1</v>
      </c>
      <c r="AA227" s="32">
        <v>48.1</v>
      </c>
      <c r="AB227" s="32">
        <v>350</v>
      </c>
      <c r="AC227" s="32">
        <v>8</v>
      </c>
      <c r="AD227" s="32">
        <v>17</v>
      </c>
      <c r="AE227" s="32" t="s">
        <v>200</v>
      </c>
      <c r="AF227" s="32" t="s">
        <v>200</v>
      </c>
      <c r="AG227" s="32" t="s">
        <v>200</v>
      </c>
    </row>
    <row r="228" spans="1:33">
      <c r="A228" s="32" t="s">
        <v>948</v>
      </c>
      <c r="B228" s="32" t="s">
        <v>48</v>
      </c>
      <c r="C228" s="32" t="s">
        <v>949</v>
      </c>
      <c r="D228" s="32" t="s">
        <v>950</v>
      </c>
      <c r="E228" s="32" t="s">
        <v>951</v>
      </c>
      <c r="F228" s="32" t="s">
        <v>952</v>
      </c>
      <c r="G228" s="32" t="s">
        <v>383</v>
      </c>
      <c r="H228" s="32" t="s">
        <v>384</v>
      </c>
      <c r="I228" s="32" t="s">
        <v>198</v>
      </c>
      <c r="J228" s="32" t="s">
        <v>199</v>
      </c>
      <c r="K228" s="32">
        <v>3.120098</v>
      </c>
      <c r="L228" s="33">
        <v>2476</v>
      </c>
      <c r="M228" s="32">
        <v>360</v>
      </c>
      <c r="N228" s="32">
        <v>594</v>
      </c>
      <c r="O228" s="32">
        <v>750</v>
      </c>
      <c r="P228" s="32">
        <v>546</v>
      </c>
      <c r="Q228" s="32">
        <v>226</v>
      </c>
      <c r="R228" s="32" t="s">
        <v>668</v>
      </c>
      <c r="S228" s="32">
        <v>76.498599999999996</v>
      </c>
      <c r="T228" s="32">
        <v>53.675899999999999</v>
      </c>
      <c r="U228" s="32">
        <v>0.55764482299999996</v>
      </c>
      <c r="V228" s="32">
        <v>5</v>
      </c>
      <c r="W228" s="32">
        <v>1</v>
      </c>
      <c r="X228" s="32">
        <v>0.43333300000000002</v>
      </c>
      <c r="Y228" s="32">
        <v>0.7</v>
      </c>
      <c r="Z228" s="32">
        <v>1</v>
      </c>
      <c r="AA228" s="32">
        <v>43.4</v>
      </c>
      <c r="AB228" s="32">
        <v>603</v>
      </c>
      <c r="AC228" s="32">
        <v>23</v>
      </c>
      <c r="AD228" s="32">
        <v>36</v>
      </c>
      <c r="AE228" s="32" t="s">
        <v>200</v>
      </c>
      <c r="AF228" s="32">
        <v>0</v>
      </c>
      <c r="AG228" s="32">
        <v>10</v>
      </c>
    </row>
    <row r="229" spans="1:33">
      <c r="A229" s="32" t="s">
        <v>1007</v>
      </c>
      <c r="B229" s="32" t="s">
        <v>48</v>
      </c>
      <c r="C229" s="32" t="s">
        <v>1008</v>
      </c>
      <c r="D229" s="32" t="s">
        <v>1009</v>
      </c>
      <c r="E229" s="32" t="s">
        <v>951</v>
      </c>
      <c r="F229" s="32" t="s">
        <v>952</v>
      </c>
      <c r="G229" s="32" t="s">
        <v>383</v>
      </c>
      <c r="H229" s="32" t="s">
        <v>384</v>
      </c>
      <c r="I229" s="32" t="s">
        <v>198</v>
      </c>
      <c r="J229" s="32" t="s">
        <v>199</v>
      </c>
      <c r="K229" s="32">
        <v>2.8217110000000001</v>
      </c>
      <c r="L229" s="33">
        <v>1790</v>
      </c>
      <c r="M229" s="32">
        <v>294</v>
      </c>
      <c r="N229" s="32">
        <v>280</v>
      </c>
      <c r="O229" s="32">
        <v>438</v>
      </c>
      <c r="P229" s="32">
        <v>459</v>
      </c>
      <c r="Q229" s="32">
        <v>319</v>
      </c>
      <c r="R229" s="32" t="s">
        <v>668</v>
      </c>
      <c r="S229" s="32">
        <v>76.7714</v>
      </c>
      <c r="T229" s="32">
        <v>45.4831</v>
      </c>
      <c r="U229" s="32">
        <v>0.61386867000000001</v>
      </c>
      <c r="V229" s="32">
        <v>5</v>
      </c>
      <c r="W229" s="32">
        <v>1</v>
      </c>
      <c r="X229" s="32">
        <v>9.2928999999999998E-2</v>
      </c>
      <c r="Y229" s="32">
        <v>0.73501700000000003</v>
      </c>
      <c r="Z229" s="32">
        <v>1</v>
      </c>
      <c r="AA229" s="32">
        <v>31.9</v>
      </c>
      <c r="AB229" s="32">
        <v>407</v>
      </c>
      <c r="AC229" s="32">
        <v>17</v>
      </c>
      <c r="AD229" s="32">
        <v>26</v>
      </c>
      <c r="AE229" s="32">
        <v>0</v>
      </c>
      <c r="AF229" s="32" t="s">
        <v>200</v>
      </c>
      <c r="AG229" s="32">
        <v>5</v>
      </c>
    </row>
    <row r="230" spans="1:33">
      <c r="A230" s="32" t="s">
        <v>1022</v>
      </c>
      <c r="B230" s="32" t="s">
        <v>48</v>
      </c>
      <c r="C230" s="32" t="s">
        <v>1023</v>
      </c>
      <c r="D230" s="32" t="s">
        <v>1024</v>
      </c>
      <c r="E230" s="32" t="s">
        <v>1025</v>
      </c>
      <c r="F230" s="32" t="s">
        <v>1026</v>
      </c>
      <c r="G230" s="32" t="s">
        <v>383</v>
      </c>
      <c r="H230" s="32" t="s">
        <v>384</v>
      </c>
      <c r="I230" s="32" t="s">
        <v>198</v>
      </c>
      <c r="J230" s="32" t="s">
        <v>199</v>
      </c>
      <c r="K230" s="32">
        <v>3.099405</v>
      </c>
      <c r="L230" s="33">
        <v>1509</v>
      </c>
      <c r="M230" s="32">
        <v>234</v>
      </c>
      <c r="N230" s="32">
        <v>230</v>
      </c>
      <c r="O230" s="32">
        <v>367</v>
      </c>
      <c r="P230" s="32">
        <v>365</v>
      </c>
      <c r="Q230" s="32">
        <v>313</v>
      </c>
      <c r="R230" s="32" t="s">
        <v>668</v>
      </c>
      <c r="S230" s="32">
        <v>66.874700000000004</v>
      </c>
      <c r="T230" s="32">
        <v>41.834400000000002</v>
      </c>
      <c r="U230" s="32">
        <v>0.36504526999999998</v>
      </c>
      <c r="V230" s="32">
        <v>8</v>
      </c>
      <c r="W230" s="32">
        <v>1</v>
      </c>
      <c r="X230" s="32">
        <v>0.27321400000000001</v>
      </c>
      <c r="Y230" s="32">
        <v>0.8</v>
      </c>
      <c r="Z230" s="32">
        <v>1</v>
      </c>
      <c r="AA230" s="32">
        <v>30.4</v>
      </c>
      <c r="AB230" s="32">
        <v>358</v>
      </c>
      <c r="AC230" s="32">
        <v>18</v>
      </c>
      <c r="AD230" s="32">
        <v>14</v>
      </c>
      <c r="AE230" s="32" t="s">
        <v>200</v>
      </c>
      <c r="AF230" s="32">
        <v>0</v>
      </c>
      <c r="AG230" s="32" t="s">
        <v>200</v>
      </c>
    </row>
    <row r="231" spans="1:33">
      <c r="A231" s="32" t="s">
        <v>1027</v>
      </c>
      <c r="B231" s="32" t="s">
        <v>48</v>
      </c>
      <c r="C231" s="32" t="s">
        <v>1028</v>
      </c>
      <c r="D231" s="32" t="s">
        <v>1029</v>
      </c>
      <c r="E231" s="32" t="s">
        <v>1025</v>
      </c>
      <c r="F231" s="32" t="s">
        <v>1026</v>
      </c>
      <c r="G231" s="32" t="s">
        <v>383</v>
      </c>
      <c r="H231" s="32" t="s">
        <v>384</v>
      </c>
      <c r="I231" s="32" t="s">
        <v>198</v>
      </c>
      <c r="J231" s="32" t="s">
        <v>199</v>
      </c>
      <c r="K231" s="32">
        <v>3.0717650000000001</v>
      </c>
      <c r="L231" s="33">
        <v>1946</v>
      </c>
      <c r="M231" s="32">
        <v>287</v>
      </c>
      <c r="N231" s="32">
        <v>732</v>
      </c>
      <c r="O231" s="32">
        <v>429</v>
      </c>
      <c r="P231" s="32">
        <v>272</v>
      </c>
      <c r="Q231" s="32">
        <v>226</v>
      </c>
      <c r="R231" s="32" t="s">
        <v>668</v>
      </c>
      <c r="S231" s="32">
        <v>65.553399999999996</v>
      </c>
      <c r="T231" s="32">
        <v>50.591200000000001</v>
      </c>
      <c r="U231" s="32">
        <v>0.62210847800000002</v>
      </c>
      <c r="V231" s="32">
        <v>5</v>
      </c>
      <c r="W231" s="32">
        <v>1</v>
      </c>
      <c r="X231" s="32">
        <v>0.32031300000000001</v>
      </c>
      <c r="Y231" s="32">
        <v>0.76305199999999995</v>
      </c>
      <c r="Z231" s="32">
        <v>1</v>
      </c>
      <c r="AA231" s="32">
        <v>61.1</v>
      </c>
      <c r="AB231" s="32">
        <v>270</v>
      </c>
      <c r="AC231" s="32">
        <v>12</v>
      </c>
      <c r="AD231" s="32">
        <v>14</v>
      </c>
      <c r="AE231" s="32">
        <v>0</v>
      </c>
      <c r="AF231" s="32">
        <v>0</v>
      </c>
      <c r="AG231" s="32" t="s">
        <v>200</v>
      </c>
    </row>
    <row r="232" spans="1:33">
      <c r="A232" s="32" t="s">
        <v>1030</v>
      </c>
      <c r="B232" s="32" t="s">
        <v>48</v>
      </c>
      <c r="C232" s="32" t="s">
        <v>1031</v>
      </c>
      <c r="D232" s="32" t="s">
        <v>1032</v>
      </c>
      <c r="E232" s="32" t="s">
        <v>1025</v>
      </c>
      <c r="F232" s="32" t="s">
        <v>1026</v>
      </c>
      <c r="G232" s="32" t="s">
        <v>383</v>
      </c>
      <c r="H232" s="32" t="s">
        <v>384</v>
      </c>
      <c r="I232" s="32" t="s">
        <v>198</v>
      </c>
      <c r="J232" s="32" t="s">
        <v>199</v>
      </c>
      <c r="K232" s="32">
        <v>2.941176</v>
      </c>
      <c r="L232" s="33">
        <v>1609</v>
      </c>
      <c r="M232" s="32">
        <v>222</v>
      </c>
      <c r="N232" s="32">
        <v>285</v>
      </c>
      <c r="O232" s="32">
        <v>538</v>
      </c>
      <c r="P232" s="32">
        <v>340</v>
      </c>
      <c r="Q232" s="32">
        <v>224</v>
      </c>
      <c r="R232" s="32" t="s">
        <v>668</v>
      </c>
      <c r="S232" s="32">
        <v>57.3142</v>
      </c>
      <c r="T232" s="32">
        <v>50.459699999999998</v>
      </c>
      <c r="U232" s="32">
        <v>0.75975180200000003</v>
      </c>
      <c r="V232" s="32">
        <v>4</v>
      </c>
      <c r="W232" s="32">
        <v>1</v>
      </c>
      <c r="X232" s="32">
        <v>0.108081</v>
      </c>
      <c r="Y232" s="32">
        <v>0.8</v>
      </c>
      <c r="Z232" s="32">
        <v>1</v>
      </c>
      <c r="AA232" s="32">
        <v>61.2</v>
      </c>
      <c r="AB232" s="32">
        <v>266</v>
      </c>
      <c r="AC232" s="32">
        <v>26</v>
      </c>
      <c r="AD232" s="32">
        <v>13</v>
      </c>
      <c r="AE232" s="32" t="s">
        <v>200</v>
      </c>
      <c r="AF232" s="32">
        <v>0</v>
      </c>
      <c r="AG232" s="32" t="s">
        <v>200</v>
      </c>
    </row>
    <row r="233" spans="1:33">
      <c r="A233" s="32" t="s">
        <v>1033</v>
      </c>
      <c r="B233" s="32" t="s">
        <v>48</v>
      </c>
      <c r="C233" s="32" t="s">
        <v>1034</v>
      </c>
      <c r="D233" s="32" t="s">
        <v>1035</v>
      </c>
      <c r="E233" s="32" t="s">
        <v>1036</v>
      </c>
      <c r="F233" s="32" t="s">
        <v>1037</v>
      </c>
      <c r="G233" s="32" t="s">
        <v>383</v>
      </c>
      <c r="H233" s="32" t="s">
        <v>384</v>
      </c>
      <c r="I233" s="32" t="s">
        <v>198</v>
      </c>
      <c r="J233" s="32" t="s">
        <v>199</v>
      </c>
      <c r="K233" s="32">
        <v>2.731773</v>
      </c>
      <c r="L233" s="33">
        <v>1724</v>
      </c>
      <c r="M233" s="32">
        <v>285</v>
      </c>
      <c r="N233" s="32">
        <v>462</v>
      </c>
      <c r="O233" s="32">
        <v>383</v>
      </c>
      <c r="P233" s="32">
        <v>406</v>
      </c>
      <c r="Q233" s="32">
        <v>188</v>
      </c>
      <c r="R233" s="32">
        <v>5</v>
      </c>
      <c r="S233" s="32">
        <v>66.064800000000005</v>
      </c>
      <c r="T233" s="32">
        <v>0</v>
      </c>
      <c r="U233" s="32">
        <v>0.61501092599999996</v>
      </c>
      <c r="V233" s="32">
        <v>6</v>
      </c>
      <c r="W233" s="32">
        <v>0.99863100000000005</v>
      </c>
      <c r="X233" s="32">
        <v>0.26862599999999998</v>
      </c>
      <c r="Y233" s="32">
        <v>0.71981399999999995</v>
      </c>
      <c r="Z233" s="32">
        <v>0.74482800000000005</v>
      </c>
      <c r="AA233" s="32">
        <v>25.9</v>
      </c>
      <c r="AB233" s="32">
        <v>459</v>
      </c>
      <c r="AC233" s="32">
        <v>17</v>
      </c>
      <c r="AD233" s="32">
        <v>20</v>
      </c>
      <c r="AE233" s="32" t="s">
        <v>200</v>
      </c>
      <c r="AF233" s="32">
        <v>0</v>
      </c>
      <c r="AG233" s="32">
        <v>8</v>
      </c>
    </row>
    <row r="234" spans="1:33">
      <c r="A234" s="32" t="s">
        <v>1038</v>
      </c>
      <c r="B234" s="32" t="s">
        <v>48</v>
      </c>
      <c r="C234" s="32" t="s">
        <v>1039</v>
      </c>
      <c r="D234" s="32" t="s">
        <v>1040</v>
      </c>
      <c r="E234" s="32" t="s">
        <v>967</v>
      </c>
      <c r="F234" s="32" t="s">
        <v>968</v>
      </c>
      <c r="G234" s="32" t="s">
        <v>383</v>
      </c>
      <c r="H234" s="32" t="s">
        <v>384</v>
      </c>
      <c r="I234" s="32" t="s">
        <v>198</v>
      </c>
      <c r="J234" s="32" t="s">
        <v>199</v>
      </c>
      <c r="K234" s="32">
        <v>2.9827590000000002</v>
      </c>
      <c r="L234" s="33">
        <v>2776</v>
      </c>
      <c r="M234" s="32">
        <v>360</v>
      </c>
      <c r="N234" s="32">
        <v>548</v>
      </c>
      <c r="O234" s="32">
        <v>709</v>
      </c>
      <c r="P234" s="32">
        <v>755</v>
      </c>
      <c r="Q234" s="32">
        <v>404</v>
      </c>
      <c r="R234" s="32" t="s">
        <v>668</v>
      </c>
      <c r="S234" s="32">
        <v>76.297899999999998</v>
      </c>
      <c r="T234" s="32">
        <v>40.358800000000002</v>
      </c>
      <c r="U234" s="32">
        <v>0.39535223800000002</v>
      </c>
      <c r="V234" s="32">
        <v>8</v>
      </c>
      <c r="W234" s="32">
        <v>1</v>
      </c>
      <c r="X234" s="32">
        <v>0.226773</v>
      </c>
      <c r="Y234" s="32">
        <v>0.77692300000000003</v>
      </c>
      <c r="Z234" s="32">
        <v>1</v>
      </c>
      <c r="AA234" s="32">
        <v>34.9</v>
      </c>
      <c r="AB234" s="32">
        <v>1013</v>
      </c>
      <c r="AC234" s="32">
        <v>76</v>
      </c>
      <c r="AD234" s="32">
        <v>56</v>
      </c>
      <c r="AE234" s="32" t="s">
        <v>200</v>
      </c>
      <c r="AF234" s="32">
        <v>0</v>
      </c>
      <c r="AG234" s="32">
        <v>18</v>
      </c>
    </row>
    <row r="235" spans="1:33">
      <c r="A235" s="32" t="s">
        <v>1041</v>
      </c>
      <c r="B235" s="32" t="s">
        <v>48</v>
      </c>
      <c r="C235" s="32" t="s">
        <v>1042</v>
      </c>
      <c r="D235" s="32" t="s">
        <v>1043</v>
      </c>
      <c r="E235" s="32" t="s">
        <v>1025</v>
      </c>
      <c r="F235" s="32" t="s">
        <v>1026</v>
      </c>
      <c r="G235" s="32" t="s">
        <v>383</v>
      </c>
      <c r="H235" s="32" t="s">
        <v>384</v>
      </c>
      <c r="I235" s="32" t="s">
        <v>198</v>
      </c>
      <c r="J235" s="32" t="s">
        <v>199</v>
      </c>
      <c r="K235" s="32">
        <v>2.96461</v>
      </c>
      <c r="L235" s="33">
        <v>1346</v>
      </c>
      <c r="M235" s="32">
        <v>142</v>
      </c>
      <c r="N235" s="32">
        <v>357</v>
      </c>
      <c r="O235" s="32">
        <v>343</v>
      </c>
      <c r="P235" s="32">
        <v>297</v>
      </c>
      <c r="Q235" s="32">
        <v>207</v>
      </c>
      <c r="R235" s="32" t="s">
        <v>668</v>
      </c>
      <c r="S235" s="32">
        <v>76.215400000000002</v>
      </c>
      <c r="T235" s="32">
        <v>42.8611</v>
      </c>
      <c r="U235" s="32">
        <v>0.72315726999999996</v>
      </c>
      <c r="V235" s="32">
        <v>3</v>
      </c>
      <c r="W235" s="32">
        <v>1</v>
      </c>
      <c r="X235" s="32">
        <v>0.26418199999999997</v>
      </c>
      <c r="Y235" s="32">
        <v>0.70047800000000005</v>
      </c>
      <c r="Z235" s="32">
        <v>1</v>
      </c>
      <c r="AA235" s="32">
        <v>43.1</v>
      </c>
      <c r="AB235" s="32">
        <v>302</v>
      </c>
      <c r="AC235" s="32">
        <v>19</v>
      </c>
      <c r="AD235" s="32">
        <v>32</v>
      </c>
      <c r="AE235" s="32">
        <v>0</v>
      </c>
      <c r="AF235" s="32" t="s">
        <v>200</v>
      </c>
      <c r="AG235" s="32">
        <v>5</v>
      </c>
    </row>
    <row r="236" spans="1:33">
      <c r="A236" s="32" t="s">
        <v>1044</v>
      </c>
      <c r="B236" s="32" t="s">
        <v>49</v>
      </c>
      <c r="C236" s="32" t="s">
        <v>1045</v>
      </c>
      <c r="D236" s="32" t="s">
        <v>1046</v>
      </c>
      <c r="E236" s="32" t="s">
        <v>1047</v>
      </c>
      <c r="F236" s="32" t="s">
        <v>1048</v>
      </c>
      <c r="G236" s="32" t="s">
        <v>1049</v>
      </c>
      <c r="H236" s="32" t="s">
        <v>1050</v>
      </c>
      <c r="I236" s="32" t="s">
        <v>198</v>
      </c>
      <c r="J236" s="32" t="s">
        <v>199</v>
      </c>
      <c r="K236" s="32">
        <v>2.7988810000000002</v>
      </c>
      <c r="L236" s="33">
        <v>1962</v>
      </c>
      <c r="M236" s="32">
        <v>312</v>
      </c>
      <c r="N236" s="32">
        <v>517</v>
      </c>
      <c r="O236" s="32">
        <v>497</v>
      </c>
      <c r="P236" s="32">
        <v>384</v>
      </c>
      <c r="Q236" s="32">
        <v>252</v>
      </c>
      <c r="R236" s="32">
        <v>5</v>
      </c>
      <c r="S236" s="32">
        <v>26.026900000000001</v>
      </c>
      <c r="T236" s="32">
        <v>17.461200000000002</v>
      </c>
      <c r="U236" s="32">
        <v>0.47439204800000001</v>
      </c>
      <c r="V236" s="32">
        <v>7</v>
      </c>
      <c r="W236" s="32">
        <v>0.96753699999999998</v>
      </c>
      <c r="X236" s="32">
        <v>0.119245</v>
      </c>
      <c r="Y236" s="32">
        <v>0.8</v>
      </c>
      <c r="Z236" s="32">
        <v>0.9</v>
      </c>
      <c r="AA236" s="32">
        <v>35.700000000000003</v>
      </c>
      <c r="AB236" s="32">
        <v>368</v>
      </c>
      <c r="AC236" s="32">
        <v>22</v>
      </c>
      <c r="AD236" s="32">
        <v>14</v>
      </c>
      <c r="AE236" s="32" t="s">
        <v>200</v>
      </c>
      <c r="AF236" s="32">
        <v>0</v>
      </c>
      <c r="AG236" s="32" t="s">
        <v>200</v>
      </c>
    </row>
    <row r="237" spans="1:33">
      <c r="A237" s="32" t="s">
        <v>1051</v>
      </c>
      <c r="B237" s="32" t="s">
        <v>49</v>
      </c>
      <c r="C237" s="32" t="s">
        <v>1052</v>
      </c>
      <c r="D237" s="32" t="s">
        <v>1053</v>
      </c>
      <c r="E237" s="32" t="s">
        <v>1054</v>
      </c>
      <c r="F237" s="32" t="s">
        <v>1055</v>
      </c>
      <c r="G237" s="32" t="s">
        <v>1049</v>
      </c>
      <c r="H237" s="32" t="s">
        <v>1050</v>
      </c>
      <c r="I237" s="32" t="s">
        <v>198</v>
      </c>
      <c r="J237" s="32" t="s">
        <v>199</v>
      </c>
      <c r="K237" s="32">
        <v>3.0623809999999998</v>
      </c>
      <c r="L237" s="33">
        <v>1357</v>
      </c>
      <c r="M237" s="32">
        <v>172</v>
      </c>
      <c r="N237" s="32">
        <v>313</v>
      </c>
      <c r="O237" s="32">
        <v>398</v>
      </c>
      <c r="P237" s="32">
        <v>298</v>
      </c>
      <c r="Q237" s="32">
        <v>176</v>
      </c>
      <c r="R237" s="32" t="s">
        <v>302</v>
      </c>
      <c r="S237" s="32">
        <v>34.552900000000001</v>
      </c>
      <c r="T237" s="32">
        <v>24.914300000000001</v>
      </c>
      <c r="U237" s="32">
        <v>0.45747183000000002</v>
      </c>
      <c r="V237" s="32">
        <v>5</v>
      </c>
      <c r="W237" s="32">
        <v>0.95952400000000004</v>
      </c>
      <c r="X237" s="32">
        <v>0.39134600000000003</v>
      </c>
      <c r="Y237" s="32">
        <v>0.8</v>
      </c>
      <c r="Z237" s="32">
        <v>0.9</v>
      </c>
      <c r="AA237" s="32">
        <v>35.6</v>
      </c>
      <c r="AB237" s="32">
        <v>252</v>
      </c>
      <c r="AC237" s="32">
        <v>11</v>
      </c>
      <c r="AD237" s="32">
        <v>5</v>
      </c>
      <c r="AE237" s="32">
        <v>0</v>
      </c>
      <c r="AF237" s="32">
        <v>0</v>
      </c>
      <c r="AG237" s="32" t="s">
        <v>200</v>
      </c>
    </row>
    <row r="238" spans="1:33">
      <c r="A238" s="32" t="s">
        <v>1056</v>
      </c>
      <c r="B238" s="32" t="s">
        <v>49</v>
      </c>
      <c r="C238" s="32" t="s">
        <v>1057</v>
      </c>
      <c r="D238" s="32" t="s">
        <v>1058</v>
      </c>
      <c r="E238" s="32" t="s">
        <v>1059</v>
      </c>
      <c r="F238" s="32" t="s">
        <v>1060</v>
      </c>
      <c r="G238" s="32" t="s">
        <v>1049</v>
      </c>
      <c r="H238" s="32" t="s">
        <v>1050</v>
      </c>
      <c r="I238" s="32" t="s">
        <v>198</v>
      </c>
      <c r="J238" s="32" t="s">
        <v>199</v>
      </c>
      <c r="K238" s="32">
        <v>2.8736060000000001</v>
      </c>
      <c r="L238" s="33">
        <v>1868</v>
      </c>
      <c r="M238" s="32">
        <v>224</v>
      </c>
      <c r="N238" s="32">
        <v>367</v>
      </c>
      <c r="O238" s="32">
        <v>521</v>
      </c>
      <c r="P238" s="32">
        <v>451</v>
      </c>
      <c r="Q238" s="32">
        <v>305</v>
      </c>
      <c r="R238" s="32" t="s">
        <v>302</v>
      </c>
      <c r="S238" s="32">
        <v>45.134999999999998</v>
      </c>
      <c r="T238" s="32">
        <v>24.783100000000001</v>
      </c>
      <c r="U238" s="32">
        <v>0.47611172800000001</v>
      </c>
      <c r="V238" s="32">
        <v>7</v>
      </c>
      <c r="W238" s="32">
        <v>1</v>
      </c>
      <c r="X238" s="32">
        <v>0.188497</v>
      </c>
      <c r="Y238" s="32">
        <v>0.7</v>
      </c>
      <c r="Z238" s="32">
        <v>1</v>
      </c>
      <c r="AA238" s="32">
        <v>28.8</v>
      </c>
      <c r="AB238" s="32">
        <v>436</v>
      </c>
      <c r="AC238" s="32">
        <v>15</v>
      </c>
      <c r="AD238" s="32">
        <v>30</v>
      </c>
      <c r="AE238" s="32">
        <v>5</v>
      </c>
      <c r="AF238" s="32" t="s">
        <v>200</v>
      </c>
      <c r="AG238" s="32" t="s">
        <v>200</v>
      </c>
    </row>
    <row r="239" spans="1:33">
      <c r="A239" s="32" t="s">
        <v>1061</v>
      </c>
      <c r="B239" s="32" t="s">
        <v>49</v>
      </c>
      <c r="C239" s="32" t="s">
        <v>1062</v>
      </c>
      <c r="D239" s="32" t="s">
        <v>1063</v>
      </c>
      <c r="E239" s="32" t="s">
        <v>1059</v>
      </c>
      <c r="F239" s="32" t="s">
        <v>1060</v>
      </c>
      <c r="G239" s="32" t="s">
        <v>1049</v>
      </c>
      <c r="H239" s="32" t="s">
        <v>1050</v>
      </c>
      <c r="I239" s="32" t="s">
        <v>198</v>
      </c>
      <c r="J239" s="32" t="s">
        <v>199</v>
      </c>
      <c r="K239" s="32">
        <v>2.8940160000000001</v>
      </c>
      <c r="L239" s="33">
        <v>1463</v>
      </c>
      <c r="M239" s="32">
        <v>218</v>
      </c>
      <c r="N239" s="32">
        <v>282</v>
      </c>
      <c r="O239" s="32">
        <v>369</v>
      </c>
      <c r="P239" s="32">
        <v>330</v>
      </c>
      <c r="Q239" s="32">
        <v>264</v>
      </c>
      <c r="R239" s="32" t="s">
        <v>302</v>
      </c>
      <c r="S239" s="32">
        <v>37.480800000000002</v>
      </c>
      <c r="T239" s="32">
        <v>14.1591</v>
      </c>
      <c r="U239" s="32">
        <v>0.418962905</v>
      </c>
      <c r="V239" s="32">
        <v>8</v>
      </c>
      <c r="W239" s="32">
        <v>1</v>
      </c>
      <c r="X239" s="32">
        <v>0.198125</v>
      </c>
      <c r="Y239" s="32">
        <v>0.7</v>
      </c>
      <c r="Z239" s="32">
        <v>1</v>
      </c>
      <c r="AA239" s="32">
        <v>21.2</v>
      </c>
      <c r="AB239" s="32">
        <v>619</v>
      </c>
      <c r="AC239" s="32">
        <v>38</v>
      </c>
      <c r="AD239" s="32">
        <v>45</v>
      </c>
      <c r="AE239" s="32" t="s">
        <v>200</v>
      </c>
      <c r="AF239" s="32">
        <v>0</v>
      </c>
      <c r="AG239" s="32">
        <v>9</v>
      </c>
    </row>
    <row r="240" spans="1:33">
      <c r="A240" s="32" t="s">
        <v>1064</v>
      </c>
      <c r="B240" s="32" t="s">
        <v>49</v>
      </c>
      <c r="C240" s="32" t="s">
        <v>1065</v>
      </c>
      <c r="D240" s="32" t="s">
        <v>1066</v>
      </c>
      <c r="E240" s="32" t="s">
        <v>1067</v>
      </c>
      <c r="F240" s="32" t="s">
        <v>1068</v>
      </c>
      <c r="G240" s="32" t="s">
        <v>1049</v>
      </c>
      <c r="H240" s="32" t="s">
        <v>1050</v>
      </c>
      <c r="I240" s="32" t="s">
        <v>198</v>
      </c>
      <c r="J240" s="32" t="s">
        <v>199</v>
      </c>
      <c r="K240" s="32">
        <v>2.8302</v>
      </c>
      <c r="L240" s="33">
        <v>1387</v>
      </c>
      <c r="M240" s="32">
        <v>255</v>
      </c>
      <c r="N240" s="32">
        <v>251</v>
      </c>
      <c r="O240" s="32">
        <v>414</v>
      </c>
      <c r="P240" s="32">
        <v>309</v>
      </c>
      <c r="Q240" s="32">
        <v>158</v>
      </c>
      <c r="R240" s="32" t="s">
        <v>302</v>
      </c>
      <c r="S240" s="32">
        <v>40.573599999999999</v>
      </c>
      <c r="T240" s="32">
        <v>23.3415</v>
      </c>
      <c r="U240" s="32">
        <v>0.41774633300000003</v>
      </c>
      <c r="V240" s="32">
        <v>8</v>
      </c>
      <c r="W240" s="32">
        <v>1</v>
      </c>
      <c r="X240" s="32">
        <v>0.20715700000000001</v>
      </c>
      <c r="Y240" s="32">
        <v>0.7</v>
      </c>
      <c r="Z240" s="32">
        <v>0.93433100000000002</v>
      </c>
      <c r="AA240" s="32">
        <v>24.9</v>
      </c>
      <c r="AB240" s="32">
        <v>311</v>
      </c>
      <c r="AC240" s="32">
        <v>49</v>
      </c>
      <c r="AD240" s="32">
        <v>17</v>
      </c>
      <c r="AE240" s="32">
        <v>0</v>
      </c>
      <c r="AF240" s="32" t="s">
        <v>200</v>
      </c>
      <c r="AG240" s="32">
        <v>22</v>
      </c>
    </row>
    <row r="241" spans="1:33">
      <c r="A241" s="32" t="s">
        <v>1069</v>
      </c>
      <c r="B241" s="32" t="s">
        <v>49</v>
      </c>
      <c r="C241" s="32" t="s">
        <v>1070</v>
      </c>
      <c r="D241" s="32" t="s">
        <v>1071</v>
      </c>
      <c r="E241" s="32" t="s">
        <v>1072</v>
      </c>
      <c r="F241" s="32" t="s">
        <v>1073</v>
      </c>
      <c r="G241" s="32" t="s">
        <v>1049</v>
      </c>
      <c r="H241" s="32" t="s">
        <v>1050</v>
      </c>
      <c r="I241" s="32" t="s">
        <v>198</v>
      </c>
      <c r="J241" s="32" t="s">
        <v>199</v>
      </c>
      <c r="K241" s="32">
        <v>3.0620210000000001</v>
      </c>
      <c r="L241" s="33">
        <v>1521</v>
      </c>
      <c r="M241" s="32">
        <v>270</v>
      </c>
      <c r="N241" s="32">
        <v>270</v>
      </c>
      <c r="O241" s="32">
        <v>357</v>
      </c>
      <c r="P241" s="32">
        <v>392</v>
      </c>
      <c r="Q241" s="32">
        <v>232</v>
      </c>
      <c r="R241" s="32" t="s">
        <v>302</v>
      </c>
      <c r="S241" s="32">
        <v>50.942999999999998</v>
      </c>
      <c r="T241" s="32">
        <v>24.894100000000002</v>
      </c>
      <c r="U241" s="32">
        <v>0.345689682</v>
      </c>
      <c r="V241" s="32">
        <v>8</v>
      </c>
      <c r="W241" s="32">
        <v>1</v>
      </c>
      <c r="X241" s="32">
        <v>0.35874099999999998</v>
      </c>
      <c r="Y241" s="32">
        <v>0.7</v>
      </c>
      <c r="Z241" s="32">
        <v>1</v>
      </c>
      <c r="AA241" s="32">
        <v>24.4</v>
      </c>
      <c r="AB241" s="32">
        <v>463</v>
      </c>
      <c r="AC241" s="32">
        <v>26</v>
      </c>
      <c r="AD241" s="32">
        <v>18</v>
      </c>
      <c r="AE241" s="32">
        <v>5</v>
      </c>
      <c r="AF241" s="32">
        <v>0</v>
      </c>
      <c r="AG241" s="32">
        <v>5</v>
      </c>
    </row>
    <row r="242" spans="1:33">
      <c r="A242" s="32" t="s">
        <v>1074</v>
      </c>
      <c r="B242" s="32" t="s">
        <v>49</v>
      </c>
      <c r="C242" s="32" t="s">
        <v>1075</v>
      </c>
      <c r="D242" s="32" t="s">
        <v>1076</v>
      </c>
      <c r="E242" s="32" t="s">
        <v>1067</v>
      </c>
      <c r="F242" s="32" t="s">
        <v>1068</v>
      </c>
      <c r="G242" s="32" t="s">
        <v>1049</v>
      </c>
      <c r="H242" s="32" t="s">
        <v>1050</v>
      </c>
      <c r="I242" s="32" t="s">
        <v>198</v>
      </c>
      <c r="J242" s="32" t="s">
        <v>199</v>
      </c>
      <c r="K242" s="32">
        <v>2.8263760000000002</v>
      </c>
      <c r="L242" s="33">
        <v>1613</v>
      </c>
      <c r="M242" s="32">
        <v>274</v>
      </c>
      <c r="N242" s="32">
        <v>348</v>
      </c>
      <c r="O242" s="32">
        <v>449</v>
      </c>
      <c r="P242" s="32">
        <v>330</v>
      </c>
      <c r="Q242" s="32">
        <v>212</v>
      </c>
      <c r="R242" s="32" t="s">
        <v>302</v>
      </c>
      <c r="S242" s="32">
        <v>41.035600000000002</v>
      </c>
      <c r="T242" s="32">
        <v>30.882300000000001</v>
      </c>
      <c r="U242" s="32">
        <v>0.438047772</v>
      </c>
      <c r="V242" s="32">
        <v>8</v>
      </c>
      <c r="W242" s="32">
        <v>1</v>
      </c>
      <c r="X242" s="32">
        <v>0.20230400000000001</v>
      </c>
      <c r="Y242" s="32">
        <v>0.709677</v>
      </c>
      <c r="Z242" s="32">
        <v>0.92263300000000004</v>
      </c>
      <c r="AA242" s="32">
        <v>24.6</v>
      </c>
      <c r="AB242" s="32">
        <v>399</v>
      </c>
      <c r="AC242" s="32">
        <v>25</v>
      </c>
      <c r="AD242" s="32">
        <v>17</v>
      </c>
      <c r="AE242" s="32" t="s">
        <v>200</v>
      </c>
      <c r="AF242" s="32" t="s">
        <v>200</v>
      </c>
      <c r="AG242" s="32" t="s">
        <v>200</v>
      </c>
    </row>
    <row r="243" spans="1:33">
      <c r="A243" s="32" t="s">
        <v>1077</v>
      </c>
      <c r="B243" s="32" t="s">
        <v>49</v>
      </c>
      <c r="C243" s="32" t="s">
        <v>1078</v>
      </c>
      <c r="D243" s="32" t="s">
        <v>1079</v>
      </c>
      <c r="E243" s="32" t="s">
        <v>1047</v>
      </c>
      <c r="F243" s="32" t="s">
        <v>1048</v>
      </c>
      <c r="G243" s="32" t="s">
        <v>1049</v>
      </c>
      <c r="H243" s="32" t="s">
        <v>1050</v>
      </c>
      <c r="I243" s="32" t="s">
        <v>198</v>
      </c>
      <c r="J243" s="32" t="s">
        <v>199</v>
      </c>
      <c r="K243" s="32">
        <v>2.9174890000000002</v>
      </c>
      <c r="L243" s="33">
        <v>1449</v>
      </c>
      <c r="M243" s="32">
        <v>183</v>
      </c>
      <c r="N243" s="32">
        <v>330</v>
      </c>
      <c r="O243" s="32">
        <v>436</v>
      </c>
      <c r="P243" s="32">
        <v>325</v>
      </c>
      <c r="Q243" s="32">
        <v>175</v>
      </c>
      <c r="R243" s="32" t="s">
        <v>302</v>
      </c>
      <c r="S243" s="32">
        <v>35.563600000000001</v>
      </c>
      <c r="T243" s="32">
        <v>29.031600000000001</v>
      </c>
      <c r="U243" s="32">
        <v>0.69441396200000005</v>
      </c>
      <c r="V243" s="32">
        <v>4</v>
      </c>
      <c r="W243" s="32">
        <v>1</v>
      </c>
      <c r="X243" s="32">
        <v>0.19447</v>
      </c>
      <c r="Y243" s="32">
        <v>0.79508900000000005</v>
      </c>
      <c r="Z243" s="32">
        <v>0.94009200000000004</v>
      </c>
      <c r="AA243" s="32">
        <v>35.700000000000003</v>
      </c>
      <c r="AB243" s="32">
        <v>269</v>
      </c>
      <c r="AC243" s="32">
        <v>21</v>
      </c>
      <c r="AD243" s="32">
        <v>8</v>
      </c>
      <c r="AE243" s="32">
        <v>0</v>
      </c>
      <c r="AF243" s="32">
        <v>0</v>
      </c>
      <c r="AG243" s="32" t="s">
        <v>200</v>
      </c>
    </row>
    <row r="244" spans="1:33">
      <c r="A244" s="32" t="s">
        <v>1080</v>
      </c>
      <c r="B244" s="32" t="s">
        <v>49</v>
      </c>
      <c r="C244" s="32" t="s">
        <v>1081</v>
      </c>
      <c r="D244" s="32" t="s">
        <v>1082</v>
      </c>
      <c r="E244" s="32" t="s">
        <v>1047</v>
      </c>
      <c r="F244" s="32" t="s">
        <v>1048</v>
      </c>
      <c r="G244" s="32" t="s">
        <v>1049</v>
      </c>
      <c r="H244" s="32" t="s">
        <v>1050</v>
      </c>
      <c r="I244" s="32" t="s">
        <v>198</v>
      </c>
      <c r="J244" s="32" t="s">
        <v>199</v>
      </c>
      <c r="K244" s="32">
        <v>2.9144739999999998</v>
      </c>
      <c r="L244" s="33">
        <v>1475</v>
      </c>
      <c r="M244" s="32">
        <v>188</v>
      </c>
      <c r="N244" s="32">
        <v>421</v>
      </c>
      <c r="O244" s="32">
        <v>392</v>
      </c>
      <c r="P244" s="32">
        <v>322</v>
      </c>
      <c r="Q244" s="32">
        <v>152</v>
      </c>
      <c r="R244" s="32" t="s">
        <v>302</v>
      </c>
      <c r="S244" s="32">
        <v>50.070999999999998</v>
      </c>
      <c r="T244" s="32">
        <v>28.558299999999999</v>
      </c>
      <c r="U244" s="32">
        <v>0.66087689800000005</v>
      </c>
      <c r="V244" s="32">
        <v>4</v>
      </c>
      <c r="W244" s="32">
        <v>1</v>
      </c>
      <c r="X244" s="32">
        <v>0.23305100000000001</v>
      </c>
      <c r="Y244" s="32">
        <v>0.8</v>
      </c>
      <c r="Z244" s="32">
        <v>0.91315800000000003</v>
      </c>
      <c r="AA244" s="32">
        <v>41.8</v>
      </c>
      <c r="AB244" s="32">
        <v>281</v>
      </c>
      <c r="AC244" s="32">
        <v>18</v>
      </c>
      <c r="AD244" s="32">
        <v>15</v>
      </c>
      <c r="AE244" s="32">
        <v>0</v>
      </c>
      <c r="AF244" s="32" t="s">
        <v>200</v>
      </c>
      <c r="AG244" s="32">
        <v>6</v>
      </c>
    </row>
    <row r="245" spans="1:33">
      <c r="A245" s="32" t="s">
        <v>1083</v>
      </c>
      <c r="B245" s="32" t="s">
        <v>49</v>
      </c>
      <c r="C245" s="32" t="s">
        <v>1084</v>
      </c>
      <c r="D245" s="32" t="s">
        <v>1085</v>
      </c>
      <c r="E245" s="32" t="s">
        <v>1086</v>
      </c>
      <c r="F245" s="32" t="s">
        <v>1087</v>
      </c>
      <c r="G245" s="32" t="s">
        <v>1049</v>
      </c>
      <c r="H245" s="32" t="s">
        <v>1050</v>
      </c>
      <c r="I245" s="32" t="s">
        <v>198</v>
      </c>
      <c r="J245" s="32" t="s">
        <v>199</v>
      </c>
      <c r="K245" s="32">
        <v>3.1112739999999999</v>
      </c>
      <c r="L245" s="33">
        <v>1526</v>
      </c>
      <c r="M245" s="32">
        <v>142</v>
      </c>
      <c r="N245" s="32">
        <v>255</v>
      </c>
      <c r="O245" s="32">
        <v>400</v>
      </c>
      <c r="P245" s="32">
        <v>395</v>
      </c>
      <c r="Q245" s="32">
        <v>334</v>
      </c>
      <c r="R245" s="32" t="s">
        <v>302</v>
      </c>
      <c r="S245" s="32">
        <v>41.596200000000003</v>
      </c>
      <c r="T245" s="32">
        <v>27.1188</v>
      </c>
      <c r="U245" s="32">
        <v>0.76919232800000004</v>
      </c>
      <c r="V245" s="32">
        <v>2</v>
      </c>
      <c r="W245" s="32">
        <v>0.99754900000000002</v>
      </c>
      <c r="X245" s="32">
        <v>0.36748799999999998</v>
      </c>
      <c r="Y245" s="32">
        <v>0.8</v>
      </c>
      <c r="Z245" s="32">
        <v>0.97609800000000002</v>
      </c>
      <c r="AA245" s="32">
        <v>44.8</v>
      </c>
      <c r="AB245" s="32">
        <v>199</v>
      </c>
      <c r="AC245" s="32">
        <v>6</v>
      </c>
      <c r="AD245" s="32">
        <v>11</v>
      </c>
      <c r="AE245" s="32">
        <v>0</v>
      </c>
      <c r="AF245" s="32">
        <v>0</v>
      </c>
      <c r="AG245" s="32" t="s">
        <v>200</v>
      </c>
    </row>
    <row r="246" spans="1:33">
      <c r="A246" s="32" t="s">
        <v>1088</v>
      </c>
      <c r="B246" s="32" t="s">
        <v>49</v>
      </c>
      <c r="C246" s="32" t="s">
        <v>1089</v>
      </c>
      <c r="D246" s="32" t="s">
        <v>1090</v>
      </c>
      <c r="E246" s="32" t="s">
        <v>1091</v>
      </c>
      <c r="F246" s="32" t="s">
        <v>1092</v>
      </c>
      <c r="G246" s="32" t="s">
        <v>1049</v>
      </c>
      <c r="H246" s="32" t="s">
        <v>1050</v>
      </c>
      <c r="I246" s="32" t="s">
        <v>198</v>
      </c>
      <c r="J246" s="32" t="s">
        <v>199</v>
      </c>
      <c r="K246" s="32">
        <v>2.75813</v>
      </c>
      <c r="L246" s="33">
        <v>1444</v>
      </c>
      <c r="M246" s="32">
        <v>187</v>
      </c>
      <c r="N246" s="32">
        <v>373</v>
      </c>
      <c r="O246" s="32">
        <v>399</v>
      </c>
      <c r="P246" s="32">
        <v>316</v>
      </c>
      <c r="Q246" s="32">
        <v>169</v>
      </c>
      <c r="R246" s="32" t="s">
        <v>302</v>
      </c>
      <c r="S246" s="32">
        <v>37.547800000000002</v>
      </c>
      <c r="T246" s="32">
        <v>24.557300000000001</v>
      </c>
      <c r="U246" s="32">
        <v>0.53936582099999997</v>
      </c>
      <c r="V246" s="32">
        <v>7</v>
      </c>
      <c r="W246" s="32">
        <v>1</v>
      </c>
      <c r="X246" s="32">
        <v>0.138017</v>
      </c>
      <c r="Y246" s="32">
        <v>0.71295500000000001</v>
      </c>
      <c r="Z246" s="32">
        <v>0.88983699999999999</v>
      </c>
      <c r="AA246" s="32">
        <v>27.2</v>
      </c>
      <c r="AB246" s="32">
        <v>652</v>
      </c>
      <c r="AC246" s="32">
        <v>7</v>
      </c>
      <c r="AD246" s="32">
        <v>11</v>
      </c>
      <c r="AE246" s="32" t="s">
        <v>200</v>
      </c>
      <c r="AF246" s="32">
        <v>0</v>
      </c>
      <c r="AG246" s="32" t="s">
        <v>200</v>
      </c>
    </row>
    <row r="247" spans="1:33">
      <c r="A247" s="32" t="s">
        <v>1093</v>
      </c>
      <c r="B247" s="32" t="s">
        <v>49</v>
      </c>
      <c r="C247" s="32" t="s">
        <v>1094</v>
      </c>
      <c r="D247" s="32" t="s">
        <v>1095</v>
      </c>
      <c r="E247" s="32" t="s">
        <v>1047</v>
      </c>
      <c r="F247" s="32" t="s">
        <v>1048</v>
      </c>
      <c r="G247" s="32" t="s">
        <v>1049</v>
      </c>
      <c r="H247" s="32" t="s">
        <v>1050</v>
      </c>
      <c r="I247" s="32" t="s">
        <v>198</v>
      </c>
      <c r="J247" s="32" t="s">
        <v>199</v>
      </c>
      <c r="K247" s="32">
        <v>2.875769</v>
      </c>
      <c r="L247" s="33">
        <v>2454</v>
      </c>
      <c r="M247" s="32">
        <v>259</v>
      </c>
      <c r="N247" s="32">
        <v>876</v>
      </c>
      <c r="O247" s="32">
        <v>676</v>
      </c>
      <c r="P247" s="32">
        <v>428</v>
      </c>
      <c r="Q247" s="32">
        <v>215</v>
      </c>
      <c r="R247" s="32">
        <v>5</v>
      </c>
      <c r="S247" s="32">
        <v>28.545400000000001</v>
      </c>
      <c r="T247" s="32">
        <v>6.0856700000000004</v>
      </c>
      <c r="U247" s="32">
        <v>0.445794888</v>
      </c>
      <c r="V247" s="32">
        <v>8</v>
      </c>
      <c r="W247" s="32">
        <v>0.98499999999999999</v>
      </c>
      <c r="X247" s="32">
        <v>0.18687300000000001</v>
      </c>
      <c r="Y247" s="32">
        <v>0.78473300000000001</v>
      </c>
      <c r="Z247" s="32">
        <v>0.9</v>
      </c>
      <c r="AA247" s="32">
        <v>35</v>
      </c>
      <c r="AB247" s="32">
        <v>380</v>
      </c>
      <c r="AC247" s="32">
        <v>25</v>
      </c>
      <c r="AD247" s="32">
        <v>13</v>
      </c>
      <c r="AE247" s="32">
        <v>0</v>
      </c>
      <c r="AF247" s="32" t="s">
        <v>200</v>
      </c>
      <c r="AG247" s="32" t="s">
        <v>200</v>
      </c>
    </row>
    <row r="248" spans="1:33">
      <c r="A248" s="32" t="s">
        <v>1096</v>
      </c>
      <c r="B248" s="32" t="s">
        <v>49</v>
      </c>
      <c r="C248" s="32" t="s">
        <v>1097</v>
      </c>
      <c r="D248" s="32" t="s">
        <v>1098</v>
      </c>
      <c r="E248" s="32" t="s">
        <v>1091</v>
      </c>
      <c r="F248" s="32" t="s">
        <v>1092</v>
      </c>
      <c r="G248" s="32" t="s">
        <v>1049</v>
      </c>
      <c r="H248" s="32" t="s">
        <v>1050</v>
      </c>
      <c r="I248" s="32" t="s">
        <v>198</v>
      </c>
      <c r="J248" s="32" t="s">
        <v>199</v>
      </c>
      <c r="K248" s="32">
        <v>2.636625</v>
      </c>
      <c r="L248" s="33">
        <v>1939</v>
      </c>
      <c r="M248" s="32">
        <v>254</v>
      </c>
      <c r="N248" s="32">
        <v>538</v>
      </c>
      <c r="O248" s="32">
        <v>533</v>
      </c>
      <c r="P248" s="32">
        <v>423</v>
      </c>
      <c r="Q248" s="32">
        <v>191</v>
      </c>
      <c r="R248" s="32" t="s">
        <v>302</v>
      </c>
      <c r="S248" s="32">
        <v>35.458599999999997</v>
      </c>
      <c r="T248" s="32">
        <v>26.929400000000001</v>
      </c>
      <c r="U248" s="32">
        <v>0.53005638700000002</v>
      </c>
      <c r="V248" s="32">
        <v>9</v>
      </c>
      <c r="W248" s="32">
        <v>1</v>
      </c>
      <c r="X248" s="32">
        <v>7.9674999999999996E-2</v>
      </c>
      <c r="Y248" s="32">
        <v>0.7</v>
      </c>
      <c r="Z248" s="32">
        <v>0.845082</v>
      </c>
      <c r="AA248" s="32">
        <v>31.9</v>
      </c>
      <c r="AB248" s="32">
        <v>477</v>
      </c>
      <c r="AC248" s="32">
        <v>33</v>
      </c>
      <c r="AD248" s="32">
        <v>8</v>
      </c>
      <c r="AE248" s="32">
        <v>0</v>
      </c>
      <c r="AF248" s="32" t="s">
        <v>200</v>
      </c>
      <c r="AG248" s="32">
        <v>5</v>
      </c>
    </row>
    <row r="249" spans="1:33">
      <c r="A249" s="32" t="s">
        <v>1099</v>
      </c>
      <c r="B249" s="32" t="s">
        <v>49</v>
      </c>
      <c r="C249" s="32" t="s">
        <v>1100</v>
      </c>
      <c r="D249" s="32" t="s">
        <v>1101</v>
      </c>
      <c r="E249" s="32" t="s">
        <v>1036</v>
      </c>
      <c r="F249" s="32" t="s">
        <v>1037</v>
      </c>
      <c r="G249" s="32" t="s">
        <v>383</v>
      </c>
      <c r="H249" s="32" t="s">
        <v>384</v>
      </c>
      <c r="I249" s="32" t="s">
        <v>198</v>
      </c>
      <c r="J249" s="32" t="s">
        <v>199</v>
      </c>
      <c r="K249" s="32">
        <v>2.8802219999999998</v>
      </c>
      <c r="L249" s="33">
        <v>1764</v>
      </c>
      <c r="M249" s="32">
        <v>233</v>
      </c>
      <c r="N249" s="32">
        <v>304</v>
      </c>
      <c r="O249" s="32">
        <v>448</v>
      </c>
      <c r="P249" s="32">
        <v>508</v>
      </c>
      <c r="Q249" s="32">
        <v>271</v>
      </c>
      <c r="R249" s="32" t="s">
        <v>302</v>
      </c>
      <c r="S249" s="32">
        <v>96.160700000000006</v>
      </c>
      <c r="T249" s="32">
        <v>19.757899999999999</v>
      </c>
      <c r="U249" s="32">
        <v>0.45616233699999997</v>
      </c>
      <c r="V249" s="32">
        <v>8</v>
      </c>
      <c r="W249" s="32">
        <v>1</v>
      </c>
      <c r="X249" s="32">
        <v>0.19010099999999999</v>
      </c>
      <c r="Y249" s="32">
        <v>0.7</v>
      </c>
      <c r="Z249" s="32">
        <v>0.98911300000000002</v>
      </c>
      <c r="AA249" s="32">
        <v>30.8</v>
      </c>
      <c r="AB249" s="32">
        <v>498</v>
      </c>
      <c r="AC249" s="32">
        <v>16</v>
      </c>
      <c r="AD249" s="32">
        <v>30</v>
      </c>
      <c r="AE249" s="32" t="s">
        <v>200</v>
      </c>
      <c r="AF249" s="32" t="s">
        <v>200</v>
      </c>
      <c r="AG249" s="32">
        <v>8</v>
      </c>
    </row>
    <row r="250" spans="1:33">
      <c r="A250" s="32" t="s">
        <v>1102</v>
      </c>
      <c r="B250" s="32" t="s">
        <v>50</v>
      </c>
      <c r="C250" s="32" t="s">
        <v>1103</v>
      </c>
      <c r="D250" s="32" t="s">
        <v>1104</v>
      </c>
      <c r="E250" s="32" t="s">
        <v>1105</v>
      </c>
      <c r="F250" s="32" t="s">
        <v>1106</v>
      </c>
      <c r="G250" s="32" t="s">
        <v>1049</v>
      </c>
      <c r="H250" s="32" t="s">
        <v>1050</v>
      </c>
      <c r="I250" s="32" t="s">
        <v>198</v>
      </c>
      <c r="J250" s="32" t="s">
        <v>199</v>
      </c>
      <c r="K250" s="32">
        <v>2.6536590000000002</v>
      </c>
      <c r="L250" s="33">
        <v>1601</v>
      </c>
      <c r="M250" s="32">
        <v>252</v>
      </c>
      <c r="N250" s="32">
        <v>207</v>
      </c>
      <c r="O250" s="32">
        <v>285</v>
      </c>
      <c r="P250" s="32">
        <v>484</v>
      </c>
      <c r="Q250" s="32">
        <v>373</v>
      </c>
      <c r="R250" s="32">
        <v>2</v>
      </c>
      <c r="S250" s="32">
        <v>12.797700000000001</v>
      </c>
      <c r="T250" s="32">
        <v>3.43004</v>
      </c>
      <c r="U250" s="32">
        <v>0.50360103599999995</v>
      </c>
      <c r="V250" s="32">
        <v>9</v>
      </c>
      <c r="W250" s="32">
        <v>0.95560999999999996</v>
      </c>
      <c r="X250" s="32">
        <v>0.293431</v>
      </c>
      <c r="Y250" s="32">
        <v>0.7</v>
      </c>
      <c r="Z250" s="32">
        <v>0.68956300000000004</v>
      </c>
      <c r="AA250" s="32">
        <v>13.9</v>
      </c>
      <c r="AB250" s="32">
        <v>601</v>
      </c>
      <c r="AC250" s="32">
        <v>19</v>
      </c>
      <c r="AD250" s="32">
        <v>8</v>
      </c>
      <c r="AE250" s="32" t="s">
        <v>200</v>
      </c>
      <c r="AF250" s="32">
        <v>0</v>
      </c>
      <c r="AG250" s="32" t="s">
        <v>200</v>
      </c>
    </row>
    <row r="251" spans="1:33">
      <c r="A251" s="32" t="s">
        <v>1107</v>
      </c>
      <c r="B251" s="32" t="s">
        <v>50</v>
      </c>
      <c r="C251" s="32" t="s">
        <v>1108</v>
      </c>
      <c r="D251" s="32" t="s">
        <v>1109</v>
      </c>
      <c r="E251" s="32" t="s">
        <v>1110</v>
      </c>
      <c r="F251" s="32" t="s">
        <v>1111</v>
      </c>
      <c r="G251" s="32" t="s">
        <v>1049</v>
      </c>
      <c r="H251" s="32" t="s">
        <v>1050</v>
      </c>
      <c r="I251" s="32" t="s">
        <v>198</v>
      </c>
      <c r="J251" s="32" t="s">
        <v>199</v>
      </c>
      <c r="K251" s="32">
        <v>2.9850500000000002</v>
      </c>
      <c r="L251" s="33">
        <v>1234</v>
      </c>
      <c r="M251" s="32">
        <v>207</v>
      </c>
      <c r="N251" s="32">
        <v>140</v>
      </c>
      <c r="O251" s="32">
        <v>240</v>
      </c>
      <c r="P251" s="32">
        <v>317</v>
      </c>
      <c r="Q251" s="32">
        <v>330</v>
      </c>
      <c r="R251" s="32">
        <v>4</v>
      </c>
      <c r="S251" s="32">
        <v>21.186800000000002</v>
      </c>
      <c r="T251" s="32">
        <v>15.408099999999999</v>
      </c>
      <c r="U251" s="32">
        <v>0.78322755700000002</v>
      </c>
      <c r="V251" s="32">
        <v>2</v>
      </c>
      <c r="W251" s="32">
        <v>0.97076399999999996</v>
      </c>
      <c r="X251" s="32">
        <v>0.39866699999999999</v>
      </c>
      <c r="Y251" s="32">
        <v>0.78691299999999997</v>
      </c>
      <c r="Z251" s="32">
        <v>0.83333299999999999</v>
      </c>
      <c r="AA251" s="32">
        <v>35.1</v>
      </c>
      <c r="AB251" s="32">
        <v>263</v>
      </c>
      <c r="AC251" s="32">
        <v>22</v>
      </c>
      <c r="AD251" s="32">
        <v>28</v>
      </c>
      <c r="AE251" s="32">
        <v>0</v>
      </c>
      <c r="AF251" s="32">
        <v>0</v>
      </c>
      <c r="AG251" s="32" t="s">
        <v>200</v>
      </c>
    </row>
    <row r="252" spans="1:33">
      <c r="A252" s="32" t="s">
        <v>1112</v>
      </c>
      <c r="B252" s="32" t="s">
        <v>50</v>
      </c>
      <c r="C252" s="32" t="s">
        <v>1113</v>
      </c>
      <c r="D252" s="32" t="s">
        <v>1114</v>
      </c>
      <c r="E252" s="32" t="s">
        <v>1105</v>
      </c>
      <c r="F252" s="32" t="s">
        <v>1106</v>
      </c>
      <c r="G252" s="32" t="s">
        <v>1049</v>
      </c>
      <c r="H252" s="32" t="s">
        <v>1050</v>
      </c>
      <c r="I252" s="32" t="s">
        <v>198</v>
      </c>
      <c r="J252" s="32" t="s">
        <v>199</v>
      </c>
      <c r="K252" s="32">
        <v>2.828163</v>
      </c>
      <c r="L252" s="33">
        <v>1303</v>
      </c>
      <c r="M252" s="32">
        <v>126</v>
      </c>
      <c r="N252" s="32">
        <v>135</v>
      </c>
      <c r="O252" s="32">
        <v>183</v>
      </c>
      <c r="P252" s="32">
        <v>278</v>
      </c>
      <c r="Q252" s="32">
        <v>581</v>
      </c>
      <c r="R252" s="32">
        <v>4</v>
      </c>
      <c r="S252" s="32">
        <v>29.035900000000002</v>
      </c>
      <c r="T252" s="32">
        <v>3.0977700000000001</v>
      </c>
      <c r="U252" s="32">
        <v>0.50155802400000005</v>
      </c>
      <c r="V252" s="32">
        <v>6</v>
      </c>
      <c r="W252" s="32">
        <v>0.97227699999999995</v>
      </c>
      <c r="X252" s="32">
        <v>0.24106</v>
      </c>
      <c r="Y252" s="32">
        <v>0.7</v>
      </c>
      <c r="Z252" s="32">
        <v>0.90771800000000002</v>
      </c>
      <c r="AA252" s="32">
        <v>11.4</v>
      </c>
      <c r="AB252" s="32">
        <v>340</v>
      </c>
      <c r="AC252" s="32">
        <v>13</v>
      </c>
      <c r="AD252" s="32" t="s">
        <v>200</v>
      </c>
      <c r="AE252" s="32">
        <v>0</v>
      </c>
      <c r="AF252" s="32">
        <v>0</v>
      </c>
      <c r="AG252" s="32">
        <v>11</v>
      </c>
    </row>
    <row r="253" spans="1:33">
      <c r="A253" s="32" t="s">
        <v>1115</v>
      </c>
      <c r="B253" s="32" t="s">
        <v>50</v>
      </c>
      <c r="C253" s="32" t="s">
        <v>1116</v>
      </c>
      <c r="D253" s="32" t="s">
        <v>1117</v>
      </c>
      <c r="E253" s="32" t="s">
        <v>1110</v>
      </c>
      <c r="F253" s="32" t="s">
        <v>1111</v>
      </c>
      <c r="G253" s="32" t="s">
        <v>1049</v>
      </c>
      <c r="H253" s="32" t="s">
        <v>1050</v>
      </c>
      <c r="I253" s="32" t="s">
        <v>198</v>
      </c>
      <c r="J253" s="32" t="s">
        <v>199</v>
      </c>
      <c r="K253" s="32">
        <v>2.8513510000000002</v>
      </c>
      <c r="L253" s="33">
        <v>1271</v>
      </c>
      <c r="M253" s="32">
        <v>176</v>
      </c>
      <c r="N253" s="32">
        <v>184</v>
      </c>
      <c r="O253" s="32">
        <v>380</v>
      </c>
      <c r="P253" s="32">
        <v>348</v>
      </c>
      <c r="Q253" s="32">
        <v>183</v>
      </c>
      <c r="R253" s="32">
        <v>4</v>
      </c>
      <c r="S253" s="32">
        <v>22.071400000000001</v>
      </c>
      <c r="T253" s="32">
        <v>11.430899999999999</v>
      </c>
      <c r="U253" s="32">
        <v>0.67320509900000003</v>
      </c>
      <c r="V253" s="32">
        <v>4</v>
      </c>
      <c r="W253" s="32">
        <v>0.91381400000000002</v>
      </c>
      <c r="X253" s="32">
        <v>0.14437900000000001</v>
      </c>
      <c r="Y253" s="32">
        <v>0.8</v>
      </c>
      <c r="Z253" s="32">
        <v>1</v>
      </c>
      <c r="AA253" s="32">
        <v>25.8</v>
      </c>
      <c r="AB253" s="32">
        <v>403</v>
      </c>
      <c r="AC253" s="32">
        <v>35</v>
      </c>
      <c r="AD253" s="32">
        <v>14</v>
      </c>
      <c r="AE253" s="32">
        <v>0</v>
      </c>
      <c r="AF253" s="32" t="s">
        <v>200</v>
      </c>
      <c r="AG253" s="32" t="s">
        <v>200</v>
      </c>
    </row>
    <row r="254" spans="1:33">
      <c r="A254" s="32" t="s">
        <v>1118</v>
      </c>
      <c r="B254" s="32" t="s">
        <v>50</v>
      </c>
      <c r="C254" s="32" t="s">
        <v>1119</v>
      </c>
      <c r="D254" s="32" t="s">
        <v>1120</v>
      </c>
      <c r="E254" s="32" t="s">
        <v>1110</v>
      </c>
      <c r="F254" s="32" t="s">
        <v>1111</v>
      </c>
      <c r="G254" s="32" t="s">
        <v>1049</v>
      </c>
      <c r="H254" s="32" t="s">
        <v>1050</v>
      </c>
      <c r="I254" s="32" t="s">
        <v>198</v>
      </c>
      <c r="J254" s="32" t="s">
        <v>199</v>
      </c>
      <c r="K254" s="32">
        <v>3.2397260000000001</v>
      </c>
      <c r="L254" s="33">
        <v>1012</v>
      </c>
      <c r="M254" s="32">
        <v>206</v>
      </c>
      <c r="N254" s="32">
        <v>134</v>
      </c>
      <c r="O254" s="32">
        <v>215</v>
      </c>
      <c r="P254" s="32">
        <v>260</v>
      </c>
      <c r="Q254" s="32">
        <v>197</v>
      </c>
      <c r="R254" s="32">
        <v>3</v>
      </c>
      <c r="S254" s="32">
        <v>17.705400000000001</v>
      </c>
      <c r="T254" s="32">
        <v>10.267799999999999</v>
      </c>
      <c r="U254" s="32">
        <v>0.87475034699999998</v>
      </c>
      <c r="V254" s="32">
        <v>1</v>
      </c>
      <c r="W254" s="32">
        <v>0.94931500000000002</v>
      </c>
      <c r="X254" s="32">
        <v>0.46197199999999999</v>
      </c>
      <c r="Y254" s="32">
        <v>0.8</v>
      </c>
      <c r="Z254" s="32">
        <v>0.96799999999999997</v>
      </c>
      <c r="AA254" s="32">
        <v>54.2</v>
      </c>
      <c r="AB254" s="32">
        <v>158</v>
      </c>
      <c r="AC254" s="32">
        <v>15</v>
      </c>
      <c r="AD254" s="32">
        <v>14</v>
      </c>
      <c r="AE254" s="32">
        <v>0</v>
      </c>
      <c r="AF254" s="32">
        <v>0</v>
      </c>
      <c r="AG254" s="32" t="s">
        <v>200</v>
      </c>
    </row>
    <row r="255" spans="1:33">
      <c r="A255" s="32" t="s">
        <v>1121</v>
      </c>
      <c r="B255" s="32" t="s">
        <v>50</v>
      </c>
      <c r="C255" s="32" t="s">
        <v>1122</v>
      </c>
      <c r="D255" s="32" t="s">
        <v>1123</v>
      </c>
      <c r="E255" s="32" t="s">
        <v>1110</v>
      </c>
      <c r="F255" s="32" t="s">
        <v>1111</v>
      </c>
      <c r="G255" s="32" t="s">
        <v>1049</v>
      </c>
      <c r="H255" s="32" t="s">
        <v>1050</v>
      </c>
      <c r="I255" s="32" t="s">
        <v>198</v>
      </c>
      <c r="J255" s="32" t="s">
        <v>199</v>
      </c>
      <c r="K255" s="32">
        <v>3.0269910000000002</v>
      </c>
      <c r="L255" s="33">
        <v>1387</v>
      </c>
      <c r="M255" s="32">
        <v>247</v>
      </c>
      <c r="N255" s="32">
        <v>189</v>
      </c>
      <c r="O255" s="32">
        <v>271</v>
      </c>
      <c r="P255" s="32">
        <v>411</v>
      </c>
      <c r="Q255" s="32">
        <v>269</v>
      </c>
      <c r="R255" s="32">
        <v>4</v>
      </c>
      <c r="S255" s="32">
        <v>23.951799999999999</v>
      </c>
      <c r="T255" s="32">
        <v>14.394600000000001</v>
      </c>
      <c r="U255" s="32">
        <v>0.79812598599999995</v>
      </c>
      <c r="V255" s="32">
        <v>2</v>
      </c>
      <c r="W255" s="32">
        <v>0.92610599999999998</v>
      </c>
      <c r="X255" s="32">
        <v>0.37533</v>
      </c>
      <c r="Y255" s="32">
        <v>0.8</v>
      </c>
      <c r="Z255" s="32">
        <v>0.96563900000000003</v>
      </c>
      <c r="AA255" s="32">
        <v>42.4</v>
      </c>
      <c r="AB255" s="32">
        <v>269</v>
      </c>
      <c r="AC255" s="32">
        <v>24</v>
      </c>
      <c r="AD255" s="32">
        <v>18</v>
      </c>
      <c r="AE255" s="32" t="s">
        <v>200</v>
      </c>
      <c r="AF255" s="32">
        <v>0</v>
      </c>
      <c r="AG255" s="32" t="s">
        <v>200</v>
      </c>
    </row>
    <row r="256" spans="1:33">
      <c r="A256" s="32" t="s">
        <v>1124</v>
      </c>
      <c r="B256" s="32" t="s">
        <v>50</v>
      </c>
      <c r="C256" s="32" t="s">
        <v>1125</v>
      </c>
      <c r="D256" s="32" t="s">
        <v>1126</v>
      </c>
      <c r="E256" s="32" t="s">
        <v>1127</v>
      </c>
      <c r="F256" s="32" t="s">
        <v>1128</v>
      </c>
      <c r="G256" s="32" t="s">
        <v>1049</v>
      </c>
      <c r="H256" s="32" t="s">
        <v>1050</v>
      </c>
      <c r="I256" s="32" t="s">
        <v>198</v>
      </c>
      <c r="J256" s="32" t="s">
        <v>199</v>
      </c>
      <c r="K256" s="32">
        <v>2.6973120000000002</v>
      </c>
      <c r="L256" s="33">
        <v>1377</v>
      </c>
      <c r="M256" s="32">
        <v>206</v>
      </c>
      <c r="N256" s="32">
        <v>199</v>
      </c>
      <c r="O256" s="32">
        <v>292</v>
      </c>
      <c r="P256" s="32">
        <v>382</v>
      </c>
      <c r="Q256" s="32">
        <v>298</v>
      </c>
      <c r="R256" s="32">
        <v>4</v>
      </c>
      <c r="S256" s="32">
        <v>23.096</v>
      </c>
      <c r="T256" s="32">
        <v>11.444900000000001</v>
      </c>
      <c r="U256" s="32">
        <v>0.54924358699999998</v>
      </c>
      <c r="V256" s="32">
        <v>6</v>
      </c>
      <c r="W256" s="32">
        <v>0.964785</v>
      </c>
      <c r="X256" s="32">
        <v>0.22337000000000001</v>
      </c>
      <c r="Y256" s="32">
        <v>0.70326999999999995</v>
      </c>
      <c r="Z256" s="32">
        <v>0.81284199999999995</v>
      </c>
      <c r="AA256" s="32">
        <v>17.899999999999999</v>
      </c>
      <c r="AB256" s="32">
        <v>582</v>
      </c>
      <c r="AC256" s="32">
        <v>32</v>
      </c>
      <c r="AD256" s="32">
        <v>11</v>
      </c>
      <c r="AE256" s="32">
        <v>0</v>
      </c>
      <c r="AF256" s="32" t="s">
        <v>200</v>
      </c>
      <c r="AG256" s="32" t="s">
        <v>200</v>
      </c>
    </row>
    <row r="257" spans="1:33">
      <c r="A257" s="32" t="s">
        <v>1129</v>
      </c>
      <c r="B257" s="32" t="s">
        <v>50</v>
      </c>
      <c r="C257" s="32" t="s">
        <v>1130</v>
      </c>
      <c r="D257" s="32" t="s">
        <v>1131</v>
      </c>
      <c r="E257" s="32" t="s">
        <v>1127</v>
      </c>
      <c r="F257" s="32" t="s">
        <v>1128</v>
      </c>
      <c r="G257" s="32" t="s">
        <v>1049</v>
      </c>
      <c r="H257" s="32" t="s">
        <v>1050</v>
      </c>
      <c r="I257" s="32" t="s">
        <v>198</v>
      </c>
      <c r="J257" s="32" t="s">
        <v>199</v>
      </c>
      <c r="K257" s="32">
        <v>2.813901</v>
      </c>
      <c r="L257" s="33">
        <v>1449</v>
      </c>
      <c r="M257" s="32">
        <v>213</v>
      </c>
      <c r="N257" s="32">
        <v>237</v>
      </c>
      <c r="O257" s="32">
        <v>336</v>
      </c>
      <c r="P257" s="32">
        <v>387</v>
      </c>
      <c r="Q257" s="32">
        <v>276</v>
      </c>
      <c r="R257" s="32">
        <v>4</v>
      </c>
      <c r="S257" s="32">
        <v>21.7988</v>
      </c>
      <c r="T257" s="32">
        <v>13.997199999999999</v>
      </c>
      <c r="U257" s="32">
        <v>0.656428342</v>
      </c>
      <c r="V257" s="32">
        <v>5</v>
      </c>
      <c r="W257" s="32">
        <v>0.99372199999999999</v>
      </c>
      <c r="X257" s="32">
        <v>0.313004</v>
      </c>
      <c r="Y257" s="32">
        <v>0.71473200000000003</v>
      </c>
      <c r="Z257" s="32">
        <v>0.8</v>
      </c>
      <c r="AA257" s="32">
        <v>22.6</v>
      </c>
      <c r="AB257" s="32">
        <v>351</v>
      </c>
      <c r="AC257" s="32">
        <v>31</v>
      </c>
      <c r="AD257" s="32">
        <v>10</v>
      </c>
      <c r="AE257" s="32">
        <v>0</v>
      </c>
      <c r="AF257" s="32">
        <v>0</v>
      </c>
      <c r="AG257" s="32" t="s">
        <v>200</v>
      </c>
    </row>
    <row r="258" spans="1:33">
      <c r="A258" s="32" t="s">
        <v>1132</v>
      </c>
      <c r="B258" s="32" t="s">
        <v>51</v>
      </c>
      <c r="C258" s="32" t="s">
        <v>1133</v>
      </c>
      <c r="D258" s="32" t="s">
        <v>1134</v>
      </c>
      <c r="E258" s="32" t="s">
        <v>1036</v>
      </c>
      <c r="F258" s="32" t="s">
        <v>1037</v>
      </c>
      <c r="G258" s="32" t="s">
        <v>383</v>
      </c>
      <c r="H258" s="32" t="s">
        <v>384</v>
      </c>
      <c r="I258" s="32" t="s">
        <v>198</v>
      </c>
      <c r="J258" s="32" t="s">
        <v>199</v>
      </c>
      <c r="K258" s="32">
        <v>2.9190480000000001</v>
      </c>
      <c r="L258" s="33">
        <v>1828</v>
      </c>
      <c r="M258" s="32">
        <v>354</v>
      </c>
      <c r="N258" s="32">
        <v>274</v>
      </c>
      <c r="O258" s="32">
        <v>401</v>
      </c>
      <c r="P258" s="32">
        <v>548</v>
      </c>
      <c r="Q258" s="32">
        <v>251</v>
      </c>
      <c r="R258" s="32" t="s">
        <v>668</v>
      </c>
      <c r="S258" s="32">
        <v>105.578</v>
      </c>
      <c r="T258" s="32">
        <v>42.9161</v>
      </c>
      <c r="U258" s="32">
        <v>0.35783510099999999</v>
      </c>
      <c r="V258" s="32">
        <v>10</v>
      </c>
      <c r="W258" s="32">
        <v>1</v>
      </c>
      <c r="X258" s="32">
        <v>0.21240999999999999</v>
      </c>
      <c r="Y258" s="32">
        <v>0.7</v>
      </c>
      <c r="Z258" s="32">
        <v>1</v>
      </c>
      <c r="AA258" s="32">
        <v>18.600000000000001</v>
      </c>
      <c r="AB258" s="32">
        <v>590</v>
      </c>
      <c r="AC258" s="32">
        <v>19</v>
      </c>
      <c r="AD258" s="32">
        <v>21</v>
      </c>
      <c r="AE258" s="32" t="s">
        <v>200</v>
      </c>
      <c r="AF258" s="32" t="s">
        <v>200</v>
      </c>
      <c r="AG258" s="32">
        <v>5</v>
      </c>
    </row>
    <row r="259" spans="1:33">
      <c r="A259" s="32" t="s">
        <v>1135</v>
      </c>
      <c r="B259" s="32" t="s">
        <v>51</v>
      </c>
      <c r="C259" s="32" t="s">
        <v>1136</v>
      </c>
      <c r="D259" s="32" t="s">
        <v>1137</v>
      </c>
      <c r="E259" s="32" t="s">
        <v>1138</v>
      </c>
      <c r="F259" s="32" t="s">
        <v>1139</v>
      </c>
      <c r="G259" s="32" t="s">
        <v>383</v>
      </c>
      <c r="H259" s="32" t="s">
        <v>384</v>
      </c>
      <c r="I259" s="32" t="s">
        <v>198</v>
      </c>
      <c r="J259" s="32" t="s">
        <v>199</v>
      </c>
      <c r="K259" s="32">
        <v>2.9686409999999999</v>
      </c>
      <c r="L259" s="33">
        <v>2459</v>
      </c>
      <c r="M259" s="32">
        <v>240</v>
      </c>
      <c r="N259" s="32">
        <v>648</v>
      </c>
      <c r="O259" s="32">
        <v>722</v>
      </c>
      <c r="P259" s="32">
        <v>599</v>
      </c>
      <c r="Q259" s="32">
        <v>250</v>
      </c>
      <c r="R259" s="32" t="s">
        <v>668</v>
      </c>
      <c r="S259" s="32">
        <v>104.27</v>
      </c>
      <c r="T259" s="32">
        <v>11.9033</v>
      </c>
      <c r="U259" s="32">
        <v>0.451955738</v>
      </c>
      <c r="V259" s="32">
        <v>8</v>
      </c>
      <c r="W259" s="32">
        <v>1</v>
      </c>
      <c r="X259" s="32">
        <v>0.262685</v>
      </c>
      <c r="Y259" s="32">
        <v>0.7</v>
      </c>
      <c r="Z259" s="32">
        <v>1</v>
      </c>
      <c r="AA259" s="32">
        <v>25.3</v>
      </c>
      <c r="AB259" s="32">
        <v>579</v>
      </c>
      <c r="AC259" s="32">
        <v>25</v>
      </c>
      <c r="AD259" s="32">
        <v>81</v>
      </c>
      <c r="AE259" s="32">
        <v>13</v>
      </c>
      <c r="AF259" s="32">
        <v>10</v>
      </c>
      <c r="AG259" s="32">
        <v>45</v>
      </c>
    </row>
    <row r="260" spans="1:33">
      <c r="A260" s="32" t="s">
        <v>1140</v>
      </c>
      <c r="B260" s="32" t="s">
        <v>51</v>
      </c>
      <c r="C260" s="32" t="s">
        <v>1141</v>
      </c>
      <c r="D260" s="32" t="s">
        <v>1142</v>
      </c>
      <c r="E260" s="32" t="s">
        <v>1143</v>
      </c>
      <c r="F260" s="32" t="s">
        <v>1144</v>
      </c>
      <c r="G260" s="32" t="s">
        <v>383</v>
      </c>
      <c r="H260" s="32" t="s">
        <v>384</v>
      </c>
      <c r="I260" s="32" t="s">
        <v>198</v>
      </c>
      <c r="J260" s="32" t="s">
        <v>199</v>
      </c>
      <c r="K260" s="32">
        <v>3.2426360000000001</v>
      </c>
      <c r="L260" s="33">
        <v>1464</v>
      </c>
      <c r="M260" s="32">
        <v>251</v>
      </c>
      <c r="N260" s="32">
        <v>184</v>
      </c>
      <c r="O260" s="32">
        <v>318</v>
      </c>
      <c r="P260" s="32">
        <v>402</v>
      </c>
      <c r="Q260" s="32">
        <v>309</v>
      </c>
      <c r="R260" s="32" t="s">
        <v>302</v>
      </c>
      <c r="S260" s="32">
        <v>43.805399999999999</v>
      </c>
      <c r="T260" s="32">
        <v>19.410799999999998</v>
      </c>
      <c r="U260" s="32">
        <v>0.38529848999999999</v>
      </c>
      <c r="V260" s="32">
        <v>5</v>
      </c>
      <c r="W260" s="32">
        <v>1</v>
      </c>
      <c r="X260" s="32">
        <v>0.43190699999999999</v>
      </c>
      <c r="Y260" s="32">
        <v>0.8</v>
      </c>
      <c r="Z260" s="32">
        <v>1</v>
      </c>
      <c r="AA260" s="32">
        <v>24.4</v>
      </c>
      <c r="AB260" s="32">
        <v>290</v>
      </c>
      <c r="AC260" s="32">
        <v>10</v>
      </c>
      <c r="AD260" s="32">
        <v>7</v>
      </c>
      <c r="AE260" s="32">
        <v>0</v>
      </c>
      <c r="AF260" s="32">
        <v>0</v>
      </c>
      <c r="AG260" s="32">
        <v>6</v>
      </c>
    </row>
    <row r="261" spans="1:33">
      <c r="A261" s="32" t="s">
        <v>1145</v>
      </c>
      <c r="B261" s="32" t="s">
        <v>51</v>
      </c>
      <c r="C261" s="32" t="s">
        <v>1146</v>
      </c>
      <c r="D261" s="32" t="s">
        <v>1147</v>
      </c>
      <c r="E261" s="32" t="s">
        <v>1143</v>
      </c>
      <c r="F261" s="32" t="s">
        <v>1144</v>
      </c>
      <c r="G261" s="32" t="s">
        <v>383</v>
      </c>
      <c r="H261" s="32" t="s">
        <v>384</v>
      </c>
      <c r="I261" s="32" t="s">
        <v>198</v>
      </c>
      <c r="J261" s="32" t="s">
        <v>199</v>
      </c>
      <c r="K261" s="32">
        <v>3.0986669999999998</v>
      </c>
      <c r="L261" s="33">
        <v>1879</v>
      </c>
      <c r="M261" s="32">
        <v>235</v>
      </c>
      <c r="N261" s="32">
        <v>394</v>
      </c>
      <c r="O261" s="32">
        <v>549</v>
      </c>
      <c r="P261" s="32">
        <v>388</v>
      </c>
      <c r="Q261" s="32">
        <v>313</v>
      </c>
      <c r="R261" s="32">
        <v>5</v>
      </c>
      <c r="S261" s="32">
        <v>35.552500000000002</v>
      </c>
      <c r="T261" s="32">
        <v>17.328399999999998</v>
      </c>
      <c r="U261" s="32">
        <v>0.355476601</v>
      </c>
      <c r="V261" s="32">
        <v>8</v>
      </c>
      <c r="W261" s="32">
        <v>1</v>
      </c>
      <c r="X261" s="32">
        <v>0.31125799999999998</v>
      </c>
      <c r="Y261" s="32">
        <v>0.8</v>
      </c>
      <c r="Z261" s="32">
        <v>1</v>
      </c>
      <c r="AA261" s="32">
        <v>18.399999999999999</v>
      </c>
      <c r="AB261" s="32">
        <v>285</v>
      </c>
      <c r="AC261" s="32">
        <v>16</v>
      </c>
      <c r="AD261" s="32">
        <v>10</v>
      </c>
      <c r="AE261" s="32">
        <v>0</v>
      </c>
      <c r="AF261" s="32" t="s">
        <v>200</v>
      </c>
      <c r="AG261" s="32" t="s">
        <v>200</v>
      </c>
    </row>
    <row r="262" spans="1:33">
      <c r="A262" s="32" t="s">
        <v>1148</v>
      </c>
      <c r="B262" s="32" t="s">
        <v>51</v>
      </c>
      <c r="C262" s="32" t="s">
        <v>1149</v>
      </c>
      <c r="D262" s="32" t="s">
        <v>1150</v>
      </c>
      <c r="E262" s="32" t="s">
        <v>1151</v>
      </c>
      <c r="F262" s="32" t="s">
        <v>1152</v>
      </c>
      <c r="G262" s="32" t="s">
        <v>383</v>
      </c>
      <c r="H262" s="32" t="s">
        <v>384</v>
      </c>
      <c r="I262" s="32" t="s">
        <v>198</v>
      </c>
      <c r="J262" s="32" t="s">
        <v>199</v>
      </c>
      <c r="K262" s="32">
        <v>3.0277780000000001</v>
      </c>
      <c r="L262" s="33">
        <v>1766</v>
      </c>
      <c r="M262" s="32">
        <v>262</v>
      </c>
      <c r="N262" s="32">
        <v>307</v>
      </c>
      <c r="O262" s="32">
        <v>385</v>
      </c>
      <c r="P262" s="32">
        <v>424</v>
      </c>
      <c r="Q262" s="32">
        <v>388</v>
      </c>
      <c r="R262" s="32" t="s">
        <v>668</v>
      </c>
      <c r="S262" s="32">
        <v>66.022800000000004</v>
      </c>
      <c r="T262" s="32">
        <v>58.1295</v>
      </c>
      <c r="U262" s="32">
        <v>0.789394174</v>
      </c>
      <c r="V262" s="32">
        <v>2</v>
      </c>
      <c r="W262" s="32">
        <v>1</v>
      </c>
      <c r="X262" s="32">
        <v>0.26219500000000001</v>
      </c>
      <c r="Y262" s="32">
        <v>0.77018600000000004</v>
      </c>
      <c r="Z262" s="32">
        <v>1</v>
      </c>
      <c r="AA262" s="32">
        <v>33.299999999999997</v>
      </c>
      <c r="AB262" s="32">
        <v>215</v>
      </c>
      <c r="AC262" s="32">
        <v>9</v>
      </c>
      <c r="AD262" s="32">
        <v>11</v>
      </c>
      <c r="AE262" s="32">
        <v>0</v>
      </c>
      <c r="AF262" s="32">
        <v>0</v>
      </c>
      <c r="AG262" s="32" t="s">
        <v>200</v>
      </c>
    </row>
    <row r="263" spans="1:33">
      <c r="A263" s="32" t="s">
        <v>1153</v>
      </c>
      <c r="B263" s="32" t="s">
        <v>51</v>
      </c>
      <c r="C263" s="32" t="s">
        <v>1154</v>
      </c>
      <c r="D263" s="32" t="s">
        <v>1155</v>
      </c>
      <c r="E263" s="32" t="s">
        <v>1143</v>
      </c>
      <c r="F263" s="32" t="s">
        <v>1144</v>
      </c>
      <c r="G263" s="32" t="s">
        <v>383</v>
      </c>
      <c r="H263" s="32" t="s">
        <v>384</v>
      </c>
      <c r="I263" s="32" t="s">
        <v>198</v>
      </c>
      <c r="J263" s="32" t="s">
        <v>199</v>
      </c>
      <c r="K263" s="32">
        <v>3.1088079999999998</v>
      </c>
      <c r="L263" s="33">
        <v>1434</v>
      </c>
      <c r="M263" s="32">
        <v>196</v>
      </c>
      <c r="N263" s="32">
        <v>307</v>
      </c>
      <c r="O263" s="32">
        <v>404</v>
      </c>
      <c r="P263" s="32">
        <v>336</v>
      </c>
      <c r="Q263" s="32">
        <v>191</v>
      </c>
      <c r="R263" s="32" t="s">
        <v>668</v>
      </c>
      <c r="S263" s="32">
        <v>73.040000000000006</v>
      </c>
      <c r="T263" s="32">
        <v>28.057200000000002</v>
      </c>
      <c r="U263" s="32">
        <v>0.55756447099999995</v>
      </c>
      <c r="V263" s="32">
        <v>5</v>
      </c>
      <c r="W263" s="32">
        <v>1</v>
      </c>
      <c r="X263" s="32">
        <v>0.30366500000000002</v>
      </c>
      <c r="Y263" s="32">
        <v>0.8</v>
      </c>
      <c r="Z263" s="32">
        <v>1</v>
      </c>
      <c r="AA263" s="32">
        <v>25.6</v>
      </c>
      <c r="AB263" s="32">
        <v>187</v>
      </c>
      <c r="AC263" s="32">
        <v>17</v>
      </c>
      <c r="AD263" s="32">
        <v>9</v>
      </c>
      <c r="AE263" s="32" t="s">
        <v>200</v>
      </c>
      <c r="AF263" s="32">
        <v>0</v>
      </c>
      <c r="AG263" s="32" t="s">
        <v>200</v>
      </c>
    </row>
    <row r="264" spans="1:33">
      <c r="A264" s="32" t="s">
        <v>1156</v>
      </c>
      <c r="B264" s="32" t="s">
        <v>51</v>
      </c>
      <c r="C264" s="32" t="s">
        <v>1157</v>
      </c>
      <c r="D264" s="32" t="s">
        <v>1158</v>
      </c>
      <c r="E264" s="32" t="s">
        <v>1159</v>
      </c>
      <c r="F264" s="32" t="s">
        <v>1160</v>
      </c>
      <c r="G264" s="32" t="s">
        <v>383</v>
      </c>
      <c r="H264" s="32" t="s">
        <v>384</v>
      </c>
      <c r="I264" s="32" t="s">
        <v>198</v>
      </c>
      <c r="J264" s="32" t="s">
        <v>199</v>
      </c>
      <c r="K264" s="32">
        <v>2.9073829999999998</v>
      </c>
      <c r="L264" s="33">
        <v>1624</v>
      </c>
      <c r="M264" s="32">
        <v>197</v>
      </c>
      <c r="N264" s="32">
        <v>412</v>
      </c>
      <c r="O264" s="32">
        <v>488</v>
      </c>
      <c r="P264" s="32">
        <v>354</v>
      </c>
      <c r="Q264" s="32">
        <v>173</v>
      </c>
      <c r="R264" s="32" t="s">
        <v>668</v>
      </c>
      <c r="S264" s="32">
        <v>58.457799999999999</v>
      </c>
      <c r="T264" s="32">
        <v>18.369399999999999</v>
      </c>
      <c r="U264" s="32">
        <v>0.43490665299999998</v>
      </c>
      <c r="V264" s="32">
        <v>8</v>
      </c>
      <c r="W264" s="32">
        <v>1</v>
      </c>
      <c r="X264" s="32">
        <v>0.100662</v>
      </c>
      <c r="Y264" s="32">
        <v>0.8</v>
      </c>
      <c r="Z264" s="32">
        <v>1</v>
      </c>
      <c r="AA264" s="32">
        <v>14.2</v>
      </c>
      <c r="AB264" s="32">
        <v>302</v>
      </c>
      <c r="AC264" s="32">
        <v>23</v>
      </c>
      <c r="AD264" s="32" t="s">
        <v>200</v>
      </c>
      <c r="AE264" s="32">
        <v>0</v>
      </c>
      <c r="AF264" s="32">
        <v>0</v>
      </c>
      <c r="AG264" s="32" t="s">
        <v>200</v>
      </c>
    </row>
    <row r="265" spans="1:33">
      <c r="A265" s="32" t="s">
        <v>1161</v>
      </c>
      <c r="B265" s="32" t="s">
        <v>51</v>
      </c>
      <c r="C265" s="32" t="s">
        <v>1162</v>
      </c>
      <c r="D265" s="32" t="s">
        <v>1163</v>
      </c>
      <c r="E265" s="32" t="s">
        <v>1138</v>
      </c>
      <c r="F265" s="32" t="s">
        <v>1139</v>
      </c>
      <c r="G265" s="32" t="s">
        <v>383</v>
      </c>
      <c r="H265" s="32" t="s">
        <v>384</v>
      </c>
      <c r="I265" s="32" t="s">
        <v>198</v>
      </c>
      <c r="J265" s="32" t="s">
        <v>199</v>
      </c>
      <c r="K265" s="32">
        <v>2.7888220000000001</v>
      </c>
      <c r="L265" s="33">
        <v>1618</v>
      </c>
      <c r="M265" s="32">
        <v>272</v>
      </c>
      <c r="N265" s="32">
        <v>247</v>
      </c>
      <c r="O265" s="32">
        <v>438</v>
      </c>
      <c r="P265" s="32">
        <v>417</v>
      </c>
      <c r="Q265" s="32">
        <v>244</v>
      </c>
      <c r="R265" s="32" t="s">
        <v>668</v>
      </c>
      <c r="S265" s="32">
        <v>81.9178</v>
      </c>
      <c r="T265" s="32">
        <v>53.964199999999998</v>
      </c>
      <c r="U265" s="32">
        <v>0.75395447999999998</v>
      </c>
      <c r="V265" s="32">
        <v>4</v>
      </c>
      <c r="W265" s="32">
        <v>1</v>
      </c>
      <c r="X265" s="32">
        <v>9.6385999999999999E-2</v>
      </c>
      <c r="Y265" s="32">
        <v>0.7</v>
      </c>
      <c r="Z265" s="32">
        <v>1</v>
      </c>
      <c r="AA265" s="32">
        <v>27.3</v>
      </c>
      <c r="AB265" s="32">
        <v>292</v>
      </c>
      <c r="AC265" s="32">
        <v>14</v>
      </c>
      <c r="AD265" s="32">
        <v>47</v>
      </c>
      <c r="AE265" s="32" t="s">
        <v>200</v>
      </c>
      <c r="AF265" s="32">
        <v>0</v>
      </c>
      <c r="AG265" s="32" t="s">
        <v>200</v>
      </c>
    </row>
    <row r="266" spans="1:33">
      <c r="A266" s="32" t="s">
        <v>1164</v>
      </c>
      <c r="B266" s="32" t="s">
        <v>51</v>
      </c>
      <c r="C266" s="32" t="s">
        <v>1165</v>
      </c>
      <c r="D266" s="32" t="s">
        <v>1166</v>
      </c>
      <c r="E266" s="32" t="s">
        <v>1151</v>
      </c>
      <c r="F266" s="32" t="s">
        <v>1152</v>
      </c>
      <c r="G266" s="32" t="s">
        <v>383</v>
      </c>
      <c r="H266" s="32" t="s">
        <v>384</v>
      </c>
      <c r="I266" s="32" t="s">
        <v>198</v>
      </c>
      <c r="J266" s="32" t="s">
        <v>199</v>
      </c>
      <c r="K266" s="32">
        <v>3.0231029999999999</v>
      </c>
      <c r="L266" s="33">
        <v>3069</v>
      </c>
      <c r="M266" s="32">
        <v>516</v>
      </c>
      <c r="N266" s="32">
        <v>609</v>
      </c>
      <c r="O266" s="32">
        <v>775</v>
      </c>
      <c r="P266" s="32">
        <v>779</v>
      </c>
      <c r="Q266" s="32">
        <v>390</v>
      </c>
      <c r="R266" s="32" t="s">
        <v>302</v>
      </c>
      <c r="S266" s="32">
        <v>41.457700000000003</v>
      </c>
      <c r="T266" s="32">
        <v>10.6091</v>
      </c>
      <c r="U266" s="32">
        <v>0.47843840199999998</v>
      </c>
      <c r="V266" s="32">
        <v>6</v>
      </c>
      <c r="W266" s="32">
        <v>1</v>
      </c>
      <c r="X266" s="32">
        <v>0.27184799999999998</v>
      </c>
      <c r="Y266" s="32">
        <v>0.74718899999999999</v>
      </c>
      <c r="Z266" s="32">
        <v>0.99037799999999998</v>
      </c>
      <c r="AA266" s="32">
        <v>24</v>
      </c>
      <c r="AB266" s="32">
        <v>494</v>
      </c>
      <c r="AC266" s="32">
        <v>14</v>
      </c>
      <c r="AD266" s="32">
        <v>20</v>
      </c>
      <c r="AE266" s="32" t="s">
        <v>200</v>
      </c>
      <c r="AF266" s="32">
        <v>0</v>
      </c>
      <c r="AG266" s="32">
        <v>5</v>
      </c>
    </row>
    <row r="267" spans="1:33">
      <c r="A267" s="32" t="s">
        <v>1167</v>
      </c>
      <c r="B267" s="32" t="s">
        <v>51</v>
      </c>
      <c r="C267" s="32" t="s">
        <v>1168</v>
      </c>
      <c r="D267" s="32" t="s">
        <v>1169</v>
      </c>
      <c r="E267" s="32" t="s">
        <v>1151</v>
      </c>
      <c r="F267" s="32" t="s">
        <v>1152</v>
      </c>
      <c r="G267" s="32" t="s">
        <v>383</v>
      </c>
      <c r="H267" s="32" t="s">
        <v>384</v>
      </c>
      <c r="I267" s="32" t="s">
        <v>198</v>
      </c>
      <c r="J267" s="32" t="s">
        <v>199</v>
      </c>
      <c r="K267" s="32">
        <v>2.9377249999999999</v>
      </c>
      <c r="L267" s="33">
        <v>2595</v>
      </c>
      <c r="M267" s="32">
        <v>311</v>
      </c>
      <c r="N267" s="32">
        <v>552</v>
      </c>
      <c r="O267" s="32">
        <v>717</v>
      </c>
      <c r="P267" s="32">
        <v>654</v>
      </c>
      <c r="Q267" s="32">
        <v>361</v>
      </c>
      <c r="R267" s="32" t="s">
        <v>668</v>
      </c>
      <c r="S267" s="32">
        <v>79.610399999999998</v>
      </c>
      <c r="T267" s="32">
        <v>23.2348</v>
      </c>
      <c r="U267" s="32">
        <v>0.64282876799999999</v>
      </c>
      <c r="V267" s="32">
        <v>4</v>
      </c>
      <c r="W267" s="32">
        <v>1</v>
      </c>
      <c r="X267" s="32">
        <v>0.19882</v>
      </c>
      <c r="Y267" s="32">
        <v>0.73862300000000003</v>
      </c>
      <c r="Z267" s="32">
        <v>1</v>
      </c>
      <c r="AA267" s="32">
        <v>28.7</v>
      </c>
      <c r="AB267" s="32">
        <v>412</v>
      </c>
      <c r="AC267" s="32">
        <v>23</v>
      </c>
      <c r="AD267" s="32">
        <v>17</v>
      </c>
      <c r="AE267" s="32">
        <v>0</v>
      </c>
      <c r="AF267" s="32">
        <v>0</v>
      </c>
      <c r="AG267" s="32" t="s">
        <v>200</v>
      </c>
    </row>
    <row r="268" spans="1:33">
      <c r="A268" s="32" t="s">
        <v>1170</v>
      </c>
      <c r="B268" s="32" t="s">
        <v>51</v>
      </c>
      <c r="C268" s="32" t="s">
        <v>1171</v>
      </c>
      <c r="D268" s="32" t="s">
        <v>1172</v>
      </c>
      <c r="E268" s="32" t="s">
        <v>1138</v>
      </c>
      <c r="F268" s="32" t="s">
        <v>1139</v>
      </c>
      <c r="G268" s="32" t="s">
        <v>383</v>
      </c>
      <c r="H268" s="32" t="s">
        <v>384</v>
      </c>
      <c r="I268" s="32" t="s">
        <v>198</v>
      </c>
      <c r="J268" s="32" t="s">
        <v>199</v>
      </c>
      <c r="K268" s="32">
        <v>2.906844</v>
      </c>
      <c r="L268" s="33">
        <v>1759</v>
      </c>
      <c r="M268" s="32">
        <v>257</v>
      </c>
      <c r="N268" s="32">
        <v>265</v>
      </c>
      <c r="O268" s="32">
        <v>429</v>
      </c>
      <c r="P268" s="32">
        <v>516</v>
      </c>
      <c r="Q268" s="32">
        <v>292</v>
      </c>
      <c r="R268" s="32" t="s">
        <v>668</v>
      </c>
      <c r="S268" s="32">
        <v>94.627600000000001</v>
      </c>
      <c r="T268" s="32">
        <v>69.3399</v>
      </c>
      <c r="U268" s="32">
        <v>0.44648559100000001</v>
      </c>
      <c r="V268" s="32">
        <v>8</v>
      </c>
      <c r="W268" s="32">
        <v>1</v>
      </c>
      <c r="X268" s="32">
        <v>0.242146</v>
      </c>
      <c r="Y268" s="32">
        <v>0.7</v>
      </c>
      <c r="Z268" s="32">
        <v>1</v>
      </c>
      <c r="AA268" s="32">
        <v>19</v>
      </c>
      <c r="AB268" s="32">
        <v>290</v>
      </c>
      <c r="AC268" s="32">
        <v>17</v>
      </c>
      <c r="AD268" s="32">
        <v>13</v>
      </c>
      <c r="AE268" s="32">
        <v>0</v>
      </c>
      <c r="AF268" s="32" t="s">
        <v>200</v>
      </c>
      <c r="AG268" s="32">
        <v>0</v>
      </c>
    </row>
    <row r="269" spans="1:33">
      <c r="A269" s="32" t="s">
        <v>1173</v>
      </c>
      <c r="B269" s="32" t="s">
        <v>51</v>
      </c>
      <c r="C269" s="32" t="s">
        <v>1174</v>
      </c>
      <c r="D269" s="32" t="s">
        <v>1175</v>
      </c>
      <c r="E269" s="32" t="s">
        <v>1159</v>
      </c>
      <c r="F269" s="32" t="s">
        <v>1160</v>
      </c>
      <c r="G269" s="32" t="s">
        <v>383</v>
      </c>
      <c r="H269" s="32" t="s">
        <v>384</v>
      </c>
      <c r="I269" s="32" t="s">
        <v>198</v>
      </c>
      <c r="J269" s="32" t="s">
        <v>199</v>
      </c>
      <c r="K269" s="32">
        <v>2.911111</v>
      </c>
      <c r="L269" s="33">
        <v>3107</v>
      </c>
      <c r="M269" s="32">
        <v>499</v>
      </c>
      <c r="N269" s="32">
        <v>836</v>
      </c>
      <c r="O269" s="32">
        <v>834</v>
      </c>
      <c r="P269" s="32">
        <v>658</v>
      </c>
      <c r="Q269" s="32">
        <v>280</v>
      </c>
      <c r="R269" s="32" t="s">
        <v>668</v>
      </c>
      <c r="S269" s="32">
        <v>88.953699999999998</v>
      </c>
      <c r="T269" s="32">
        <v>52.802599999999998</v>
      </c>
      <c r="U269" s="32">
        <v>0.481385962</v>
      </c>
      <c r="V269" s="32">
        <v>7</v>
      </c>
      <c r="W269" s="32">
        <v>1</v>
      </c>
      <c r="X269" s="32">
        <v>0.19705900000000001</v>
      </c>
      <c r="Y269" s="32">
        <v>0.71532799999999996</v>
      </c>
      <c r="Z269" s="32">
        <v>1</v>
      </c>
      <c r="AA269" s="32">
        <v>25.6</v>
      </c>
      <c r="AB269" s="32">
        <v>562</v>
      </c>
      <c r="AC269" s="32">
        <v>36</v>
      </c>
      <c r="AD269" s="32">
        <v>40</v>
      </c>
      <c r="AE269" s="32" t="s">
        <v>200</v>
      </c>
      <c r="AF269" s="32" t="s">
        <v>200</v>
      </c>
      <c r="AG269" s="32">
        <v>8</v>
      </c>
    </row>
    <row r="270" spans="1:33">
      <c r="A270" s="32" t="s">
        <v>1176</v>
      </c>
      <c r="B270" s="32" t="s">
        <v>51</v>
      </c>
      <c r="C270" s="32" t="s">
        <v>1177</v>
      </c>
      <c r="D270" s="32" t="s">
        <v>1178</v>
      </c>
      <c r="E270" s="32" t="s">
        <v>1179</v>
      </c>
      <c r="F270" s="32" t="s">
        <v>1180</v>
      </c>
      <c r="G270" s="32" t="s">
        <v>383</v>
      </c>
      <c r="H270" s="32" t="s">
        <v>384</v>
      </c>
      <c r="I270" s="32" t="s">
        <v>198</v>
      </c>
      <c r="J270" s="32" t="s">
        <v>199</v>
      </c>
      <c r="K270" s="32">
        <v>3.1217389999999998</v>
      </c>
      <c r="L270" s="33">
        <v>1738</v>
      </c>
      <c r="M270" s="32">
        <v>188</v>
      </c>
      <c r="N270" s="32">
        <v>315</v>
      </c>
      <c r="O270" s="32">
        <v>440</v>
      </c>
      <c r="P270" s="32">
        <v>419</v>
      </c>
      <c r="Q270" s="32">
        <v>376</v>
      </c>
      <c r="R270" s="32" t="s">
        <v>668</v>
      </c>
      <c r="S270" s="32">
        <v>116.02200000000001</v>
      </c>
      <c r="T270" s="32">
        <v>47.216000000000001</v>
      </c>
      <c r="U270" s="32">
        <v>0.52534388399999998</v>
      </c>
      <c r="V270" s="32">
        <v>5</v>
      </c>
      <c r="W270" s="32">
        <v>1</v>
      </c>
      <c r="X270" s="32">
        <v>0.42876500000000001</v>
      </c>
      <c r="Y270" s="32">
        <v>0.7</v>
      </c>
      <c r="Z270" s="32">
        <v>1</v>
      </c>
      <c r="AA270" s="32">
        <v>32.1</v>
      </c>
      <c r="AB270" s="32">
        <v>426</v>
      </c>
      <c r="AC270" s="32">
        <v>22</v>
      </c>
      <c r="AD270" s="32">
        <v>49</v>
      </c>
      <c r="AE270" s="32" t="s">
        <v>200</v>
      </c>
      <c r="AF270" s="32">
        <v>6</v>
      </c>
      <c r="AG270" s="32">
        <v>20</v>
      </c>
    </row>
    <row r="271" spans="1:33">
      <c r="A271" s="32" t="s">
        <v>1181</v>
      </c>
      <c r="B271" s="32" t="s">
        <v>51</v>
      </c>
      <c r="C271" s="32" t="s">
        <v>1182</v>
      </c>
      <c r="D271" s="32" t="s">
        <v>1183</v>
      </c>
      <c r="E271" s="32" t="s">
        <v>1159</v>
      </c>
      <c r="F271" s="32" t="s">
        <v>1160</v>
      </c>
      <c r="G271" s="32" t="s">
        <v>383</v>
      </c>
      <c r="H271" s="32" t="s">
        <v>384</v>
      </c>
      <c r="I271" s="32" t="s">
        <v>198</v>
      </c>
      <c r="J271" s="32" t="s">
        <v>199</v>
      </c>
      <c r="K271" s="32">
        <v>2.7664209999999998</v>
      </c>
      <c r="L271" s="33">
        <v>2021</v>
      </c>
      <c r="M271" s="32">
        <v>240</v>
      </c>
      <c r="N271" s="32">
        <v>488</v>
      </c>
      <c r="O271" s="32">
        <v>561</v>
      </c>
      <c r="P271" s="32">
        <v>466</v>
      </c>
      <c r="Q271" s="32">
        <v>266</v>
      </c>
      <c r="R271" s="32" t="s">
        <v>668</v>
      </c>
      <c r="S271" s="32">
        <v>79.070599999999999</v>
      </c>
      <c r="T271" s="32">
        <v>48.773699999999998</v>
      </c>
      <c r="U271" s="32">
        <v>0.56829474800000002</v>
      </c>
      <c r="V271" s="32">
        <v>8</v>
      </c>
      <c r="W271" s="32">
        <v>1</v>
      </c>
      <c r="X271" s="32">
        <v>6.9144999999999998E-2</v>
      </c>
      <c r="Y271" s="32">
        <v>0.7</v>
      </c>
      <c r="Z271" s="32">
        <v>1</v>
      </c>
      <c r="AA271" s="32">
        <v>16.100000000000001</v>
      </c>
      <c r="AB271" s="32">
        <v>451</v>
      </c>
      <c r="AC271" s="32">
        <v>33</v>
      </c>
      <c r="AD271" s="32">
        <v>12</v>
      </c>
      <c r="AE271" s="32" t="s">
        <v>200</v>
      </c>
      <c r="AF271" s="32">
        <v>0</v>
      </c>
      <c r="AG271" s="32" t="s">
        <v>200</v>
      </c>
    </row>
    <row r="272" spans="1:33">
      <c r="A272" s="32" t="s">
        <v>1184</v>
      </c>
      <c r="B272" s="32" t="s">
        <v>51</v>
      </c>
      <c r="C272" s="32" t="s">
        <v>1185</v>
      </c>
      <c r="D272" s="32" t="s">
        <v>1186</v>
      </c>
      <c r="E272" s="32" t="s">
        <v>1159</v>
      </c>
      <c r="F272" s="32" t="s">
        <v>1160</v>
      </c>
      <c r="G272" s="32" t="s">
        <v>383</v>
      </c>
      <c r="H272" s="32" t="s">
        <v>384</v>
      </c>
      <c r="I272" s="32" t="s">
        <v>198</v>
      </c>
      <c r="J272" s="32" t="s">
        <v>199</v>
      </c>
      <c r="K272" s="32">
        <v>2.7793649999999999</v>
      </c>
      <c r="L272" s="33">
        <v>1782</v>
      </c>
      <c r="M272" s="32">
        <v>195</v>
      </c>
      <c r="N272" s="32">
        <v>394</v>
      </c>
      <c r="O272" s="32">
        <v>481</v>
      </c>
      <c r="P272" s="32">
        <v>480</v>
      </c>
      <c r="Q272" s="32">
        <v>232</v>
      </c>
      <c r="R272" s="32">
        <v>5</v>
      </c>
      <c r="S272" s="32">
        <v>48.051299999999998</v>
      </c>
      <c r="T272" s="32">
        <v>12.4213</v>
      </c>
      <c r="U272" s="32">
        <v>0.719952802</v>
      </c>
      <c r="V272" s="32">
        <v>4</v>
      </c>
      <c r="W272" s="32">
        <v>1</v>
      </c>
      <c r="X272" s="32">
        <v>2.0799999999999999E-2</v>
      </c>
      <c r="Y272" s="32">
        <v>0.76229499999999994</v>
      </c>
      <c r="Z272" s="32">
        <v>1</v>
      </c>
      <c r="AA272" s="32">
        <v>24.4</v>
      </c>
      <c r="AB272" s="32">
        <v>266</v>
      </c>
      <c r="AC272" s="32">
        <v>29</v>
      </c>
      <c r="AD272" s="32">
        <v>21</v>
      </c>
      <c r="AE272" s="32">
        <v>0</v>
      </c>
      <c r="AF272" s="32">
        <v>0</v>
      </c>
      <c r="AG272" s="32">
        <v>0</v>
      </c>
    </row>
    <row r="273" spans="1:33">
      <c r="A273" s="32" t="s">
        <v>1187</v>
      </c>
      <c r="B273" s="32" t="s">
        <v>52</v>
      </c>
      <c r="C273" s="32" t="s">
        <v>1188</v>
      </c>
      <c r="D273" s="32" t="s">
        <v>1189</v>
      </c>
      <c r="E273" s="32" t="s">
        <v>1047</v>
      </c>
      <c r="F273" s="32" t="s">
        <v>1048</v>
      </c>
      <c r="G273" s="32" t="s">
        <v>1049</v>
      </c>
      <c r="H273" s="32" t="s">
        <v>1050</v>
      </c>
      <c r="I273" s="32" t="s">
        <v>198</v>
      </c>
      <c r="J273" s="32" t="s">
        <v>199</v>
      </c>
      <c r="K273" s="32">
        <v>2.8144279999999999</v>
      </c>
      <c r="L273" s="33">
        <v>1546</v>
      </c>
      <c r="M273" s="32">
        <v>279</v>
      </c>
      <c r="N273" s="32">
        <v>292</v>
      </c>
      <c r="O273" s="32">
        <v>431</v>
      </c>
      <c r="P273" s="32">
        <v>371</v>
      </c>
      <c r="Q273" s="32">
        <v>173</v>
      </c>
      <c r="R273" s="32" t="s">
        <v>302</v>
      </c>
      <c r="S273" s="32">
        <v>37.571399999999997</v>
      </c>
      <c r="T273" s="32">
        <v>30.679300000000001</v>
      </c>
      <c r="U273" s="32">
        <v>0.53296576100000004</v>
      </c>
      <c r="V273" s="32">
        <v>6</v>
      </c>
      <c r="W273" s="32">
        <v>1</v>
      </c>
      <c r="X273" s="32">
        <v>4.8515000000000003E-2</v>
      </c>
      <c r="Y273" s="32">
        <v>0.8</v>
      </c>
      <c r="Z273" s="32">
        <v>0.96862700000000002</v>
      </c>
      <c r="AA273" s="32">
        <v>27.3</v>
      </c>
      <c r="AB273" s="32">
        <v>374</v>
      </c>
      <c r="AC273" s="32">
        <v>24</v>
      </c>
      <c r="AD273" s="32">
        <v>6</v>
      </c>
      <c r="AE273" s="32">
        <v>0</v>
      </c>
      <c r="AF273" s="32">
        <v>0</v>
      </c>
      <c r="AG273" s="32" t="s">
        <v>200</v>
      </c>
    </row>
    <row r="274" spans="1:33">
      <c r="A274" s="32" t="s">
        <v>1190</v>
      </c>
      <c r="B274" s="32" t="s">
        <v>52</v>
      </c>
      <c r="C274" s="32" t="s">
        <v>1191</v>
      </c>
      <c r="D274" s="32" t="s">
        <v>1192</v>
      </c>
      <c r="E274" s="32" t="s">
        <v>1193</v>
      </c>
      <c r="F274" s="32" t="s">
        <v>1194</v>
      </c>
      <c r="G274" s="32" t="s">
        <v>1049</v>
      </c>
      <c r="H274" s="32" t="s">
        <v>1050</v>
      </c>
      <c r="I274" s="32" t="s">
        <v>198</v>
      </c>
      <c r="J274" s="32" t="s">
        <v>199</v>
      </c>
      <c r="K274" s="32">
        <v>2.9458060000000001</v>
      </c>
      <c r="L274" s="33">
        <v>1313</v>
      </c>
      <c r="M274" s="32">
        <v>150</v>
      </c>
      <c r="N274" s="32">
        <v>313</v>
      </c>
      <c r="O274" s="32">
        <v>381</v>
      </c>
      <c r="P274" s="32">
        <v>307</v>
      </c>
      <c r="Q274" s="32">
        <v>162</v>
      </c>
      <c r="R274" s="32" t="s">
        <v>668</v>
      </c>
      <c r="S274" s="32">
        <v>49.326700000000002</v>
      </c>
      <c r="T274" s="32">
        <v>36.301600000000001</v>
      </c>
      <c r="U274" s="32">
        <v>0.73070864099999999</v>
      </c>
      <c r="V274" s="32">
        <v>3</v>
      </c>
      <c r="W274" s="32">
        <v>0.92871000000000004</v>
      </c>
      <c r="X274" s="32">
        <v>0.28322599999999998</v>
      </c>
      <c r="Y274" s="32">
        <v>0.8</v>
      </c>
      <c r="Z274" s="32">
        <v>0.93493599999999999</v>
      </c>
      <c r="AA274" s="32">
        <v>34.200000000000003</v>
      </c>
      <c r="AB274" s="32">
        <v>198</v>
      </c>
      <c r="AC274" s="32">
        <v>7</v>
      </c>
      <c r="AD274" s="32">
        <v>7</v>
      </c>
      <c r="AE274" s="32">
        <v>0</v>
      </c>
      <c r="AF274" s="32">
        <v>0</v>
      </c>
      <c r="AG274" s="32">
        <v>0</v>
      </c>
    </row>
    <row r="275" spans="1:33">
      <c r="A275" s="32" t="s">
        <v>1195</v>
      </c>
      <c r="B275" s="32" t="s">
        <v>52</v>
      </c>
      <c r="C275" s="32" t="s">
        <v>1196</v>
      </c>
      <c r="D275" s="32" t="s">
        <v>1197</v>
      </c>
      <c r="E275" s="32" t="s">
        <v>1086</v>
      </c>
      <c r="F275" s="32" t="s">
        <v>1087</v>
      </c>
      <c r="G275" s="32" t="s">
        <v>1049</v>
      </c>
      <c r="H275" s="32" t="s">
        <v>1050</v>
      </c>
      <c r="I275" s="32" t="s">
        <v>198</v>
      </c>
      <c r="J275" s="32" t="s">
        <v>199</v>
      </c>
      <c r="K275" s="32">
        <v>2.9165320000000001</v>
      </c>
      <c r="L275" s="33">
        <v>1571</v>
      </c>
      <c r="M275" s="32">
        <v>183</v>
      </c>
      <c r="N275" s="32">
        <v>471</v>
      </c>
      <c r="O275" s="32">
        <v>452</v>
      </c>
      <c r="P275" s="32">
        <v>336</v>
      </c>
      <c r="Q275" s="32">
        <v>129</v>
      </c>
      <c r="R275" s="32" t="s">
        <v>668</v>
      </c>
      <c r="S275" s="32">
        <v>44.854500000000002</v>
      </c>
      <c r="T275" s="32">
        <v>37.285800000000002</v>
      </c>
      <c r="U275" s="32">
        <v>0.64112850499999996</v>
      </c>
      <c r="V275" s="32">
        <v>4</v>
      </c>
      <c r="W275" s="32">
        <v>0.98104800000000003</v>
      </c>
      <c r="X275" s="32">
        <v>0.15501999999999999</v>
      </c>
      <c r="Y275" s="32">
        <v>0.8</v>
      </c>
      <c r="Z275" s="32">
        <v>0.98624999999999996</v>
      </c>
      <c r="AA275" s="32">
        <v>28.2</v>
      </c>
      <c r="AB275" s="32">
        <v>278</v>
      </c>
      <c r="AC275" s="32">
        <v>26</v>
      </c>
      <c r="AD275" s="32">
        <v>12</v>
      </c>
      <c r="AE275" s="32">
        <v>0</v>
      </c>
      <c r="AF275" s="32">
        <v>0</v>
      </c>
      <c r="AG275" s="32" t="s">
        <v>200</v>
      </c>
    </row>
    <row r="276" spans="1:33">
      <c r="A276" s="32" t="s">
        <v>1198</v>
      </c>
      <c r="B276" s="32" t="s">
        <v>52</v>
      </c>
      <c r="C276" s="32" t="s">
        <v>1199</v>
      </c>
      <c r="D276" s="32" t="s">
        <v>1200</v>
      </c>
      <c r="E276" s="32" t="s">
        <v>1086</v>
      </c>
      <c r="F276" s="32" t="s">
        <v>1087</v>
      </c>
      <c r="G276" s="32" t="s">
        <v>1049</v>
      </c>
      <c r="H276" s="32" t="s">
        <v>1050</v>
      </c>
      <c r="I276" s="32" t="s">
        <v>198</v>
      </c>
      <c r="J276" s="32" t="s">
        <v>199</v>
      </c>
      <c r="K276" s="32">
        <v>3.0932270000000002</v>
      </c>
      <c r="L276" s="33">
        <v>1472</v>
      </c>
      <c r="M276" s="32">
        <v>220</v>
      </c>
      <c r="N276" s="32">
        <v>316</v>
      </c>
      <c r="O276" s="32">
        <v>408</v>
      </c>
      <c r="P276" s="32">
        <v>342</v>
      </c>
      <c r="Q276" s="32">
        <v>186</v>
      </c>
      <c r="R276" s="32" t="s">
        <v>302</v>
      </c>
      <c r="S276" s="32">
        <v>37.763399999999997</v>
      </c>
      <c r="T276" s="32">
        <v>28.080300000000001</v>
      </c>
      <c r="U276" s="32">
        <v>0.66199456700000003</v>
      </c>
      <c r="V276" s="32">
        <v>3</v>
      </c>
      <c r="W276" s="32">
        <v>0.97131500000000004</v>
      </c>
      <c r="X276" s="32">
        <v>0.34466400000000003</v>
      </c>
      <c r="Y276" s="32">
        <v>0.8</v>
      </c>
      <c r="Z276" s="32">
        <v>1</v>
      </c>
      <c r="AA276" s="32">
        <v>35.4</v>
      </c>
      <c r="AB276" s="32">
        <v>213</v>
      </c>
      <c r="AC276" s="32">
        <v>7</v>
      </c>
      <c r="AD276" s="32">
        <v>8</v>
      </c>
      <c r="AE276" s="32">
        <v>0</v>
      </c>
      <c r="AF276" s="32">
        <v>0</v>
      </c>
      <c r="AG276" s="32" t="s">
        <v>200</v>
      </c>
    </row>
    <row r="277" spans="1:33">
      <c r="A277" s="32" t="s">
        <v>1201</v>
      </c>
      <c r="B277" s="32" t="s">
        <v>52</v>
      </c>
      <c r="C277" s="32" t="s">
        <v>1202</v>
      </c>
      <c r="D277" s="32" t="s">
        <v>1203</v>
      </c>
      <c r="E277" s="32" t="s">
        <v>1193</v>
      </c>
      <c r="F277" s="32" t="s">
        <v>1194</v>
      </c>
      <c r="G277" s="32" t="s">
        <v>1049</v>
      </c>
      <c r="H277" s="32" t="s">
        <v>1050</v>
      </c>
      <c r="I277" s="32" t="s">
        <v>198</v>
      </c>
      <c r="J277" s="32" t="s">
        <v>199</v>
      </c>
      <c r="K277" s="32">
        <v>2.971028</v>
      </c>
      <c r="L277" s="33">
        <v>1572</v>
      </c>
      <c r="M277" s="32">
        <v>258</v>
      </c>
      <c r="N277" s="32">
        <v>333</v>
      </c>
      <c r="O277" s="32">
        <v>427</v>
      </c>
      <c r="P277" s="32">
        <v>345</v>
      </c>
      <c r="Q277" s="32">
        <v>209</v>
      </c>
      <c r="R277" s="32" t="s">
        <v>302</v>
      </c>
      <c r="S277" s="32">
        <v>43.562399999999997</v>
      </c>
      <c r="T277" s="32">
        <v>33.938200000000002</v>
      </c>
      <c r="U277" s="32">
        <v>0.51550510100000002</v>
      </c>
      <c r="V277" s="32">
        <v>6</v>
      </c>
      <c r="W277" s="32">
        <v>0.99345799999999995</v>
      </c>
      <c r="X277" s="32">
        <v>0.28317799999999999</v>
      </c>
      <c r="Y277" s="32">
        <v>0.8</v>
      </c>
      <c r="Z277" s="32">
        <v>0.88066</v>
      </c>
      <c r="AA277" s="32">
        <v>27.8</v>
      </c>
      <c r="AB277" s="32">
        <v>305</v>
      </c>
      <c r="AC277" s="32">
        <v>32</v>
      </c>
      <c r="AD277" s="32">
        <v>23</v>
      </c>
      <c r="AE277" s="32" t="s">
        <v>200</v>
      </c>
      <c r="AF277" s="32">
        <v>0</v>
      </c>
      <c r="AG277" s="32" t="s">
        <v>200</v>
      </c>
    </row>
    <row r="278" spans="1:33">
      <c r="A278" s="32" t="s">
        <v>1080</v>
      </c>
      <c r="B278" s="32" t="s">
        <v>52</v>
      </c>
      <c r="C278" s="32" t="s">
        <v>1081</v>
      </c>
      <c r="D278" s="32" t="s">
        <v>1082</v>
      </c>
      <c r="E278" s="32" t="s">
        <v>1047</v>
      </c>
      <c r="F278" s="32" t="s">
        <v>1048</v>
      </c>
      <c r="G278" s="32" t="s">
        <v>1049</v>
      </c>
      <c r="H278" s="32" t="s">
        <v>1050</v>
      </c>
      <c r="I278" s="32" t="s">
        <v>198</v>
      </c>
      <c r="J278" s="32" t="s">
        <v>199</v>
      </c>
      <c r="K278" s="32">
        <v>2.9144739999999998</v>
      </c>
      <c r="L278" s="33">
        <v>1475</v>
      </c>
      <c r="M278" s="32">
        <v>188</v>
      </c>
      <c r="N278" s="32">
        <v>421</v>
      </c>
      <c r="O278" s="32">
        <v>392</v>
      </c>
      <c r="P278" s="32">
        <v>322</v>
      </c>
      <c r="Q278" s="32">
        <v>152</v>
      </c>
      <c r="R278" s="32" t="s">
        <v>302</v>
      </c>
      <c r="S278" s="32">
        <v>50.070999999999998</v>
      </c>
      <c r="T278" s="32">
        <v>28.558299999999999</v>
      </c>
      <c r="U278" s="32">
        <v>0.66087689800000005</v>
      </c>
      <c r="V278" s="32">
        <v>4</v>
      </c>
      <c r="W278" s="32">
        <v>1</v>
      </c>
      <c r="X278" s="32">
        <v>0.23305100000000001</v>
      </c>
      <c r="Y278" s="32">
        <v>0.8</v>
      </c>
      <c r="Z278" s="32">
        <v>0.91315800000000003</v>
      </c>
      <c r="AA278" s="32">
        <v>41.8</v>
      </c>
      <c r="AB278" s="32">
        <v>281</v>
      </c>
      <c r="AC278" s="32">
        <v>18</v>
      </c>
      <c r="AD278" s="32">
        <v>15</v>
      </c>
      <c r="AE278" s="32">
        <v>0</v>
      </c>
      <c r="AF278" s="32" t="s">
        <v>200</v>
      </c>
      <c r="AG278" s="32">
        <v>6</v>
      </c>
    </row>
    <row r="279" spans="1:33">
      <c r="A279" s="32" t="s">
        <v>1083</v>
      </c>
      <c r="B279" s="32" t="s">
        <v>52</v>
      </c>
      <c r="C279" s="32" t="s">
        <v>1084</v>
      </c>
      <c r="D279" s="32" t="s">
        <v>1085</v>
      </c>
      <c r="E279" s="32" t="s">
        <v>1086</v>
      </c>
      <c r="F279" s="32" t="s">
        <v>1087</v>
      </c>
      <c r="G279" s="32" t="s">
        <v>1049</v>
      </c>
      <c r="H279" s="32" t="s">
        <v>1050</v>
      </c>
      <c r="I279" s="32" t="s">
        <v>198</v>
      </c>
      <c r="J279" s="32" t="s">
        <v>199</v>
      </c>
      <c r="K279" s="32">
        <v>3.1112739999999999</v>
      </c>
      <c r="L279" s="33">
        <v>1526</v>
      </c>
      <c r="M279" s="32">
        <v>142</v>
      </c>
      <c r="N279" s="32">
        <v>255</v>
      </c>
      <c r="O279" s="32">
        <v>400</v>
      </c>
      <c r="P279" s="32">
        <v>395</v>
      </c>
      <c r="Q279" s="32">
        <v>334</v>
      </c>
      <c r="R279" s="32" t="s">
        <v>302</v>
      </c>
      <c r="S279" s="32">
        <v>41.596200000000003</v>
      </c>
      <c r="T279" s="32">
        <v>27.1188</v>
      </c>
      <c r="U279" s="32">
        <v>0.76919232800000004</v>
      </c>
      <c r="V279" s="32">
        <v>2</v>
      </c>
      <c r="W279" s="32">
        <v>0.99754900000000002</v>
      </c>
      <c r="X279" s="32">
        <v>0.36748799999999998</v>
      </c>
      <c r="Y279" s="32">
        <v>0.8</v>
      </c>
      <c r="Z279" s="32">
        <v>0.97609800000000002</v>
      </c>
      <c r="AA279" s="32">
        <v>44.8</v>
      </c>
      <c r="AB279" s="32">
        <v>199</v>
      </c>
      <c r="AC279" s="32">
        <v>6</v>
      </c>
      <c r="AD279" s="32">
        <v>11</v>
      </c>
      <c r="AE279" s="32">
        <v>0</v>
      </c>
      <c r="AF279" s="32">
        <v>0</v>
      </c>
      <c r="AG279" s="32" t="s">
        <v>200</v>
      </c>
    </row>
    <row r="280" spans="1:33">
      <c r="A280" s="32" t="s">
        <v>1204</v>
      </c>
      <c r="B280" s="32" t="s">
        <v>52</v>
      </c>
      <c r="C280" s="32" t="s">
        <v>1205</v>
      </c>
      <c r="D280" s="32" t="s">
        <v>1206</v>
      </c>
      <c r="E280" s="32" t="s">
        <v>1193</v>
      </c>
      <c r="F280" s="32" t="s">
        <v>1194</v>
      </c>
      <c r="G280" s="32" t="s">
        <v>1049</v>
      </c>
      <c r="H280" s="32" t="s">
        <v>1050</v>
      </c>
      <c r="I280" s="32" t="s">
        <v>198</v>
      </c>
      <c r="J280" s="32" t="s">
        <v>199</v>
      </c>
      <c r="K280" s="32">
        <v>2.837304</v>
      </c>
      <c r="L280" s="33">
        <v>1732</v>
      </c>
      <c r="M280" s="32">
        <v>231</v>
      </c>
      <c r="N280" s="32">
        <v>390</v>
      </c>
      <c r="O280" s="32">
        <v>471</v>
      </c>
      <c r="P280" s="32">
        <v>377</v>
      </c>
      <c r="Q280" s="32">
        <v>263</v>
      </c>
      <c r="R280" s="32" t="s">
        <v>302</v>
      </c>
      <c r="S280" s="32">
        <v>36.147599999999997</v>
      </c>
      <c r="T280" s="32">
        <v>0</v>
      </c>
      <c r="U280" s="32">
        <v>0.618281729</v>
      </c>
      <c r="V280" s="32">
        <v>4</v>
      </c>
      <c r="W280" s="32">
        <v>0.92037599999999997</v>
      </c>
      <c r="X280" s="32">
        <v>0.30222199999999999</v>
      </c>
      <c r="Y280" s="32">
        <v>0.8</v>
      </c>
      <c r="Z280" s="32">
        <v>0.81847099999999995</v>
      </c>
      <c r="AA280" s="32">
        <v>22.8</v>
      </c>
      <c r="AB280" s="32">
        <v>344</v>
      </c>
      <c r="AC280" s="32">
        <v>26</v>
      </c>
      <c r="AD280" s="32">
        <v>13</v>
      </c>
      <c r="AE280" s="32">
        <v>0</v>
      </c>
      <c r="AF280" s="32" t="s">
        <v>200</v>
      </c>
      <c r="AG280" s="32">
        <v>5</v>
      </c>
    </row>
    <row r="281" spans="1:33">
      <c r="A281" s="32" t="s">
        <v>1207</v>
      </c>
      <c r="B281" s="32" t="s">
        <v>52</v>
      </c>
      <c r="C281" s="32" t="s">
        <v>1208</v>
      </c>
      <c r="D281" s="32" t="s">
        <v>1209</v>
      </c>
      <c r="E281" s="32" t="s">
        <v>1193</v>
      </c>
      <c r="F281" s="32" t="s">
        <v>1194</v>
      </c>
      <c r="G281" s="32" t="s">
        <v>1049</v>
      </c>
      <c r="H281" s="32" t="s">
        <v>1050</v>
      </c>
      <c r="I281" s="32" t="s">
        <v>198</v>
      </c>
      <c r="J281" s="32" t="s">
        <v>199</v>
      </c>
      <c r="K281" s="32">
        <v>2.9637540000000002</v>
      </c>
      <c r="L281" s="33">
        <v>1755</v>
      </c>
      <c r="M281" s="32">
        <v>246</v>
      </c>
      <c r="N281" s="32">
        <v>539</v>
      </c>
      <c r="O281" s="32">
        <v>446</v>
      </c>
      <c r="P281" s="32">
        <v>351</v>
      </c>
      <c r="Q281" s="32">
        <v>173</v>
      </c>
      <c r="R281" s="32" t="s">
        <v>302</v>
      </c>
      <c r="S281" s="32">
        <v>41.387799999999999</v>
      </c>
      <c r="T281" s="32">
        <v>26.787700000000001</v>
      </c>
      <c r="U281" s="32">
        <v>0.59207869599999996</v>
      </c>
      <c r="V281" s="32">
        <v>5</v>
      </c>
      <c r="W281" s="32">
        <v>0.95048500000000002</v>
      </c>
      <c r="X281" s="32">
        <v>0.40065099999999998</v>
      </c>
      <c r="Y281" s="32">
        <v>0.8</v>
      </c>
      <c r="Z281" s="32">
        <v>0.83227799999999996</v>
      </c>
      <c r="AA281" s="32">
        <v>23.4</v>
      </c>
      <c r="AB281" s="32">
        <v>256</v>
      </c>
      <c r="AC281" s="32">
        <v>22</v>
      </c>
      <c r="AD281" s="32">
        <v>8</v>
      </c>
      <c r="AE281" s="32">
        <v>0</v>
      </c>
      <c r="AF281" s="32">
        <v>0</v>
      </c>
      <c r="AG281" s="32" t="s">
        <v>200</v>
      </c>
    </row>
    <row r="282" spans="1:33">
      <c r="A282" s="32" t="s">
        <v>1210</v>
      </c>
      <c r="B282" s="32" t="s">
        <v>52</v>
      </c>
      <c r="C282" s="32" t="s">
        <v>1211</v>
      </c>
      <c r="D282" s="32" t="s">
        <v>1212</v>
      </c>
      <c r="E282" s="32" t="s">
        <v>1213</v>
      </c>
      <c r="F282" s="32" t="s">
        <v>1214</v>
      </c>
      <c r="G282" s="32" t="s">
        <v>1049</v>
      </c>
      <c r="H282" s="32" t="s">
        <v>1050</v>
      </c>
      <c r="I282" s="32" t="s">
        <v>198</v>
      </c>
      <c r="J282" s="32" t="s">
        <v>199</v>
      </c>
      <c r="K282" s="32">
        <v>2.7543660000000001</v>
      </c>
      <c r="L282" s="33">
        <v>1736</v>
      </c>
      <c r="M282" s="32">
        <v>302</v>
      </c>
      <c r="N282" s="32">
        <v>261</v>
      </c>
      <c r="O282" s="32">
        <v>496</v>
      </c>
      <c r="P282" s="32">
        <v>439</v>
      </c>
      <c r="Q282" s="32">
        <v>238</v>
      </c>
      <c r="R282" s="32" t="s">
        <v>302</v>
      </c>
      <c r="S282" s="32">
        <v>35.9925</v>
      </c>
      <c r="T282" s="32">
        <v>14.9114</v>
      </c>
      <c r="U282" s="32">
        <v>0.47920709700000003</v>
      </c>
      <c r="V282" s="32">
        <v>8</v>
      </c>
      <c r="W282" s="32">
        <v>0.95887299999999998</v>
      </c>
      <c r="X282" s="32">
        <v>0.22520999999999999</v>
      </c>
      <c r="Y282" s="32">
        <v>0.76694200000000001</v>
      </c>
      <c r="Z282" s="32">
        <v>0.80473499999999998</v>
      </c>
      <c r="AA282" s="32">
        <v>17.2</v>
      </c>
      <c r="AB282" s="32">
        <v>465</v>
      </c>
      <c r="AC282" s="32">
        <v>23</v>
      </c>
      <c r="AD282" s="32">
        <v>8</v>
      </c>
      <c r="AE282" s="32">
        <v>0</v>
      </c>
      <c r="AF282" s="32">
        <v>0</v>
      </c>
      <c r="AG282" s="32" t="s">
        <v>200</v>
      </c>
    </row>
    <row r="283" spans="1:33">
      <c r="A283" s="32" t="s">
        <v>1215</v>
      </c>
      <c r="B283" s="32" t="s">
        <v>52</v>
      </c>
      <c r="C283" s="32" t="s">
        <v>1216</v>
      </c>
      <c r="D283" s="32" t="s">
        <v>1217</v>
      </c>
      <c r="E283" s="32" t="s">
        <v>1213</v>
      </c>
      <c r="F283" s="32" t="s">
        <v>1214</v>
      </c>
      <c r="G283" s="32" t="s">
        <v>1049</v>
      </c>
      <c r="H283" s="32" t="s">
        <v>1050</v>
      </c>
      <c r="I283" s="32" t="s">
        <v>198</v>
      </c>
      <c r="J283" s="32" t="s">
        <v>199</v>
      </c>
      <c r="K283" s="32">
        <v>2.795455</v>
      </c>
      <c r="L283" s="33">
        <v>1432</v>
      </c>
      <c r="M283" s="32">
        <v>243</v>
      </c>
      <c r="N283" s="32">
        <v>342</v>
      </c>
      <c r="O283" s="32">
        <v>408</v>
      </c>
      <c r="P283" s="32">
        <v>294</v>
      </c>
      <c r="Q283" s="32">
        <v>145</v>
      </c>
      <c r="R283" s="32">
        <v>4</v>
      </c>
      <c r="S283" s="32">
        <v>32.386899999999997</v>
      </c>
      <c r="T283" s="32">
        <v>0</v>
      </c>
      <c r="U283" s="32">
        <v>0.60637580199999996</v>
      </c>
      <c r="V283" s="32">
        <v>6</v>
      </c>
      <c r="W283" s="32">
        <v>0.90909099999999998</v>
      </c>
      <c r="X283" s="32">
        <v>0.21243999999999999</v>
      </c>
      <c r="Y283" s="32">
        <v>0.79833299999999996</v>
      </c>
      <c r="Z283" s="32">
        <v>0.865012</v>
      </c>
      <c r="AA283" s="32">
        <v>20.399999999999999</v>
      </c>
      <c r="AB283" s="32">
        <v>314</v>
      </c>
      <c r="AC283" s="32">
        <v>14</v>
      </c>
      <c r="AD283" s="32">
        <v>13</v>
      </c>
      <c r="AE283" s="32">
        <v>0</v>
      </c>
      <c r="AF283" s="32">
        <v>0</v>
      </c>
      <c r="AG283" s="32" t="s">
        <v>200</v>
      </c>
    </row>
    <row r="284" spans="1:33">
      <c r="A284" s="32" t="s">
        <v>1218</v>
      </c>
      <c r="B284" s="32" t="s">
        <v>52</v>
      </c>
      <c r="C284" s="32" t="s">
        <v>1219</v>
      </c>
      <c r="D284" s="32" t="s">
        <v>1220</v>
      </c>
      <c r="E284" s="32" t="s">
        <v>1193</v>
      </c>
      <c r="F284" s="32" t="s">
        <v>1194</v>
      </c>
      <c r="G284" s="32" t="s">
        <v>1049</v>
      </c>
      <c r="H284" s="32" t="s">
        <v>1050</v>
      </c>
      <c r="I284" s="32" t="s">
        <v>198</v>
      </c>
      <c r="J284" s="32" t="s">
        <v>199</v>
      </c>
      <c r="K284" s="32">
        <v>2.804071</v>
      </c>
      <c r="L284" s="33">
        <v>1838</v>
      </c>
      <c r="M284" s="32">
        <v>432</v>
      </c>
      <c r="N284" s="32">
        <v>205</v>
      </c>
      <c r="O284" s="32">
        <v>425</v>
      </c>
      <c r="P284" s="32">
        <v>501</v>
      </c>
      <c r="Q284" s="32">
        <v>275</v>
      </c>
      <c r="R284" s="32" t="s">
        <v>302</v>
      </c>
      <c r="S284" s="32">
        <v>39.318100000000001</v>
      </c>
      <c r="T284" s="32">
        <v>8.8690099999999994</v>
      </c>
      <c r="U284" s="32">
        <v>0.44544086500000002</v>
      </c>
      <c r="V284" s="32">
        <v>8</v>
      </c>
      <c r="W284" s="32">
        <v>1</v>
      </c>
      <c r="X284" s="32">
        <v>0.12886600000000001</v>
      </c>
      <c r="Y284" s="32">
        <v>0.76994799999999997</v>
      </c>
      <c r="Z284" s="32">
        <v>0.91870099999999999</v>
      </c>
      <c r="AA284" s="32">
        <v>18.2</v>
      </c>
      <c r="AB284" s="32">
        <v>435</v>
      </c>
      <c r="AC284" s="32">
        <v>29</v>
      </c>
      <c r="AD284" s="32">
        <v>6</v>
      </c>
      <c r="AE284" s="32">
        <v>0</v>
      </c>
      <c r="AF284" s="32">
        <v>0</v>
      </c>
      <c r="AG284" s="32" t="s">
        <v>200</v>
      </c>
    </row>
    <row r="285" spans="1:33">
      <c r="A285" s="32" t="s">
        <v>1221</v>
      </c>
      <c r="B285" s="32" t="s">
        <v>52</v>
      </c>
      <c r="C285" s="32" t="s">
        <v>1222</v>
      </c>
      <c r="D285" s="32" t="s">
        <v>1223</v>
      </c>
      <c r="E285" s="32" t="s">
        <v>1213</v>
      </c>
      <c r="F285" s="32" t="s">
        <v>1214</v>
      </c>
      <c r="G285" s="32" t="s">
        <v>1049</v>
      </c>
      <c r="H285" s="32" t="s">
        <v>1050</v>
      </c>
      <c r="I285" s="32" t="s">
        <v>198</v>
      </c>
      <c r="J285" s="32" t="s">
        <v>199</v>
      </c>
      <c r="K285" s="32">
        <v>2.6521620000000001</v>
      </c>
      <c r="L285" s="33">
        <v>1818</v>
      </c>
      <c r="M285" s="32">
        <v>231</v>
      </c>
      <c r="N285" s="32">
        <v>362</v>
      </c>
      <c r="O285" s="32">
        <v>442</v>
      </c>
      <c r="P285" s="32">
        <v>448</v>
      </c>
      <c r="Q285" s="32">
        <v>335</v>
      </c>
      <c r="R285" s="32">
        <v>4</v>
      </c>
      <c r="S285" s="32">
        <v>23.282599999999999</v>
      </c>
      <c r="T285" s="32">
        <v>12.484500000000001</v>
      </c>
      <c r="U285" s="32">
        <v>0.59543640499999995</v>
      </c>
      <c r="V285" s="32">
        <v>7</v>
      </c>
      <c r="W285" s="32">
        <v>0.94324300000000005</v>
      </c>
      <c r="X285" s="32">
        <v>0.21881700000000001</v>
      </c>
      <c r="Y285" s="32">
        <v>0.71444099999999999</v>
      </c>
      <c r="Z285" s="32">
        <v>0.80729700000000004</v>
      </c>
      <c r="AA285" s="32">
        <v>18.899999999999999</v>
      </c>
      <c r="AB285" s="32">
        <v>400</v>
      </c>
      <c r="AC285" s="32">
        <v>26</v>
      </c>
      <c r="AD285" s="32">
        <v>13</v>
      </c>
      <c r="AE285" s="32">
        <v>0</v>
      </c>
      <c r="AF285" s="32">
        <v>0</v>
      </c>
      <c r="AG285" s="32" t="s">
        <v>200</v>
      </c>
    </row>
    <row r="286" spans="1:33">
      <c r="A286" s="32" t="s">
        <v>1224</v>
      </c>
      <c r="B286" s="32" t="s">
        <v>52</v>
      </c>
      <c r="C286" s="32" t="s">
        <v>1225</v>
      </c>
      <c r="D286" s="32" t="s">
        <v>1226</v>
      </c>
      <c r="E286" s="32" t="s">
        <v>1110</v>
      </c>
      <c r="F286" s="32" t="s">
        <v>1111</v>
      </c>
      <c r="G286" s="32" t="s">
        <v>1049</v>
      </c>
      <c r="H286" s="32" t="s">
        <v>1050</v>
      </c>
      <c r="I286" s="32" t="s">
        <v>198</v>
      </c>
      <c r="J286" s="32" t="s">
        <v>199</v>
      </c>
      <c r="K286" s="32">
        <v>2.989306</v>
      </c>
      <c r="L286" s="33">
        <v>2215</v>
      </c>
      <c r="M286" s="32">
        <v>424</v>
      </c>
      <c r="N286" s="32">
        <v>412</v>
      </c>
      <c r="O286" s="32">
        <v>612</v>
      </c>
      <c r="P286" s="32">
        <v>505</v>
      </c>
      <c r="Q286" s="32">
        <v>262</v>
      </c>
      <c r="R286" s="32">
        <v>4</v>
      </c>
      <c r="S286" s="32">
        <v>24.037199999999999</v>
      </c>
      <c r="T286" s="32">
        <v>13.490399999999999</v>
      </c>
      <c r="U286" s="32">
        <v>0.47699108200000001</v>
      </c>
      <c r="V286" s="32">
        <v>5</v>
      </c>
      <c r="W286" s="32">
        <v>0.92774599999999996</v>
      </c>
      <c r="X286" s="32">
        <v>0.40284900000000001</v>
      </c>
      <c r="Y286" s="32">
        <v>0.78452699999999997</v>
      </c>
      <c r="Z286" s="32">
        <v>0.866282</v>
      </c>
      <c r="AA286" s="32">
        <v>28.1</v>
      </c>
      <c r="AB286" s="32">
        <v>543</v>
      </c>
      <c r="AC286" s="32">
        <v>37</v>
      </c>
      <c r="AD286" s="32">
        <v>13</v>
      </c>
      <c r="AE286" s="32">
        <v>0</v>
      </c>
      <c r="AF286" s="32">
        <v>0</v>
      </c>
      <c r="AG286" s="32" t="s">
        <v>200</v>
      </c>
    </row>
    <row r="287" spans="1:33">
      <c r="A287" s="32" t="s">
        <v>1227</v>
      </c>
      <c r="B287" s="32" t="s">
        <v>42</v>
      </c>
      <c r="C287" s="32" t="s">
        <v>1228</v>
      </c>
      <c r="D287" s="32" t="s">
        <v>1229</v>
      </c>
      <c r="E287" s="32" t="s">
        <v>1230</v>
      </c>
      <c r="F287" s="32" t="s">
        <v>1231</v>
      </c>
      <c r="G287" s="32" t="s">
        <v>1232</v>
      </c>
      <c r="H287" s="32" t="s">
        <v>1233</v>
      </c>
      <c r="I287" s="32" t="s">
        <v>198</v>
      </c>
      <c r="J287" s="32" t="s">
        <v>199</v>
      </c>
      <c r="K287" s="32">
        <v>3.0430299999999999</v>
      </c>
      <c r="L287" s="33">
        <v>2981</v>
      </c>
      <c r="M287" s="32">
        <v>427</v>
      </c>
      <c r="N287" s="32">
        <v>836</v>
      </c>
      <c r="O287" s="32">
        <v>881</v>
      </c>
      <c r="P287" s="32">
        <v>635</v>
      </c>
      <c r="Q287" s="32">
        <v>202</v>
      </c>
      <c r="R287" s="32" t="s">
        <v>668</v>
      </c>
      <c r="S287" s="32">
        <v>59.857999999999997</v>
      </c>
      <c r="T287" s="32">
        <v>25.8598</v>
      </c>
      <c r="U287" s="32">
        <v>0.67436595200000005</v>
      </c>
      <c r="V287" s="32">
        <v>3</v>
      </c>
      <c r="W287" s="32">
        <v>1</v>
      </c>
      <c r="X287" s="32">
        <v>0.34416099999999999</v>
      </c>
      <c r="Y287" s="32">
        <v>0.70026999999999995</v>
      </c>
      <c r="Z287" s="32">
        <v>1</v>
      </c>
      <c r="AA287" s="32">
        <v>46.7</v>
      </c>
      <c r="AB287" s="32">
        <v>424</v>
      </c>
      <c r="AC287" s="32">
        <v>39</v>
      </c>
      <c r="AD287" s="32">
        <v>42</v>
      </c>
      <c r="AE287" s="32">
        <v>19</v>
      </c>
      <c r="AF287" s="32">
        <v>0</v>
      </c>
      <c r="AG287" s="32" t="s">
        <v>200</v>
      </c>
    </row>
    <row r="288" spans="1:33">
      <c r="A288" s="32" t="s">
        <v>1234</v>
      </c>
      <c r="B288" s="32" t="s">
        <v>42</v>
      </c>
      <c r="C288" s="32" t="s">
        <v>1235</v>
      </c>
      <c r="D288" s="32" t="s">
        <v>1236</v>
      </c>
      <c r="E288" s="32" t="s">
        <v>1237</v>
      </c>
      <c r="F288" s="32" t="s">
        <v>1238</v>
      </c>
      <c r="G288" s="32" t="s">
        <v>1232</v>
      </c>
      <c r="H288" s="32" t="s">
        <v>1233</v>
      </c>
      <c r="I288" s="32" t="s">
        <v>198</v>
      </c>
      <c r="J288" s="32" t="s">
        <v>199</v>
      </c>
      <c r="K288" s="32">
        <v>2.9145789999999998</v>
      </c>
      <c r="L288" s="33">
        <v>1855</v>
      </c>
      <c r="M288" s="32">
        <v>326</v>
      </c>
      <c r="N288" s="32">
        <v>379</v>
      </c>
      <c r="O288" s="32">
        <v>504</v>
      </c>
      <c r="P288" s="32">
        <v>478</v>
      </c>
      <c r="Q288" s="32">
        <v>168</v>
      </c>
      <c r="R288" s="32">
        <v>4</v>
      </c>
      <c r="S288" s="32">
        <v>34.101300000000002</v>
      </c>
      <c r="T288" s="32">
        <v>4.9029400000000001</v>
      </c>
      <c r="U288" s="32">
        <v>0.78428188700000001</v>
      </c>
      <c r="V288" s="32">
        <v>3</v>
      </c>
      <c r="W288" s="32">
        <v>1</v>
      </c>
      <c r="X288" s="32">
        <v>0.233486</v>
      </c>
      <c r="Y288" s="32">
        <v>0.7</v>
      </c>
      <c r="Z288" s="32">
        <v>1</v>
      </c>
      <c r="AA288" s="32">
        <v>49.7</v>
      </c>
      <c r="AB288" s="32">
        <v>335</v>
      </c>
      <c r="AC288" s="32">
        <v>20</v>
      </c>
      <c r="AD288" s="32">
        <v>39</v>
      </c>
      <c r="AE288" s="32">
        <v>0</v>
      </c>
      <c r="AF288" s="32">
        <v>0</v>
      </c>
      <c r="AG288" s="32" t="s">
        <v>200</v>
      </c>
    </row>
    <row r="289" spans="1:33">
      <c r="A289" s="32" t="s">
        <v>1239</v>
      </c>
      <c r="B289" s="32" t="s">
        <v>42</v>
      </c>
      <c r="C289" s="32" t="s">
        <v>1240</v>
      </c>
      <c r="D289" s="32" t="s">
        <v>1241</v>
      </c>
      <c r="E289" s="32" t="s">
        <v>1242</v>
      </c>
      <c r="F289" s="32" t="s">
        <v>1243</v>
      </c>
      <c r="G289" s="32" t="s">
        <v>1232</v>
      </c>
      <c r="H289" s="32" t="s">
        <v>1233</v>
      </c>
      <c r="I289" s="32" t="s">
        <v>198</v>
      </c>
      <c r="J289" s="32" t="s">
        <v>199</v>
      </c>
      <c r="K289" s="32">
        <v>3.0814699999999999</v>
      </c>
      <c r="L289" s="33">
        <v>2739</v>
      </c>
      <c r="M289" s="32">
        <v>130</v>
      </c>
      <c r="N289" s="33">
        <v>1566</v>
      </c>
      <c r="O289" s="32">
        <v>636</v>
      </c>
      <c r="P289" s="32">
        <v>297</v>
      </c>
      <c r="Q289" s="32">
        <v>110</v>
      </c>
      <c r="R289" s="32" t="s">
        <v>668</v>
      </c>
      <c r="S289" s="32">
        <v>117.336</v>
      </c>
      <c r="T289" s="32">
        <v>10.7951</v>
      </c>
      <c r="U289" s="32">
        <v>0.38083277900000001</v>
      </c>
      <c r="V289" s="32">
        <v>7</v>
      </c>
      <c r="W289" s="32">
        <v>1</v>
      </c>
      <c r="X289" s="32">
        <v>0.38303399999999999</v>
      </c>
      <c r="Y289" s="32">
        <v>0.7</v>
      </c>
      <c r="Z289" s="32">
        <v>1</v>
      </c>
      <c r="AA289" s="32">
        <v>48.6</v>
      </c>
      <c r="AB289" s="32">
        <v>268</v>
      </c>
      <c r="AC289" s="32">
        <v>13</v>
      </c>
      <c r="AD289" s="32">
        <v>68</v>
      </c>
      <c r="AE289" s="32" t="s">
        <v>200</v>
      </c>
      <c r="AF289" s="32" t="s">
        <v>200</v>
      </c>
      <c r="AG289" s="32">
        <v>28</v>
      </c>
    </row>
    <row r="290" spans="1:33">
      <c r="A290" s="32" t="s">
        <v>1244</v>
      </c>
      <c r="B290" s="32" t="s">
        <v>42</v>
      </c>
      <c r="C290" s="32" t="s">
        <v>1245</v>
      </c>
      <c r="D290" s="32" t="s">
        <v>1246</v>
      </c>
      <c r="E290" s="32" t="s">
        <v>1242</v>
      </c>
      <c r="F290" s="32" t="s">
        <v>1243</v>
      </c>
      <c r="G290" s="32" t="s">
        <v>1232</v>
      </c>
      <c r="H290" s="32" t="s">
        <v>1233</v>
      </c>
      <c r="I290" s="32" t="s">
        <v>198</v>
      </c>
      <c r="J290" s="32" t="s">
        <v>199</v>
      </c>
      <c r="K290" s="32">
        <v>3.0900889999999999</v>
      </c>
      <c r="L290" s="33">
        <v>1693</v>
      </c>
      <c r="M290" s="32">
        <v>247</v>
      </c>
      <c r="N290" s="32">
        <v>388</v>
      </c>
      <c r="O290" s="32">
        <v>439</v>
      </c>
      <c r="P290" s="32">
        <v>394</v>
      </c>
      <c r="Q290" s="32">
        <v>225</v>
      </c>
      <c r="R290" s="32" t="s">
        <v>668</v>
      </c>
      <c r="S290" s="32">
        <v>120.307</v>
      </c>
      <c r="T290" s="32">
        <v>14.712899999999999</v>
      </c>
      <c r="U290" s="32">
        <v>0.55124529499999997</v>
      </c>
      <c r="V290" s="32">
        <v>4</v>
      </c>
      <c r="W290" s="32">
        <v>1</v>
      </c>
      <c r="X290" s="32">
        <v>0.380357</v>
      </c>
      <c r="Y290" s="32">
        <v>0.7</v>
      </c>
      <c r="Z290" s="32">
        <v>1</v>
      </c>
      <c r="AA290" s="32">
        <v>30.9</v>
      </c>
      <c r="AB290" s="32">
        <v>232</v>
      </c>
      <c r="AC290" s="32">
        <v>22</v>
      </c>
      <c r="AD290" s="32">
        <v>40</v>
      </c>
      <c r="AE290" s="32" t="s">
        <v>200</v>
      </c>
      <c r="AF290" s="32" t="s">
        <v>200</v>
      </c>
      <c r="AG290" s="32" t="s">
        <v>200</v>
      </c>
    </row>
    <row r="291" spans="1:33">
      <c r="A291" s="32" t="s">
        <v>1247</v>
      </c>
      <c r="B291" s="32" t="s">
        <v>42</v>
      </c>
      <c r="C291" s="32" t="s">
        <v>1248</v>
      </c>
      <c r="D291" s="32" t="s">
        <v>1249</v>
      </c>
      <c r="E291" s="32" t="s">
        <v>1237</v>
      </c>
      <c r="F291" s="32" t="s">
        <v>1238</v>
      </c>
      <c r="G291" s="32" t="s">
        <v>1232</v>
      </c>
      <c r="H291" s="32" t="s">
        <v>1233</v>
      </c>
      <c r="I291" s="32" t="s">
        <v>198</v>
      </c>
      <c r="J291" s="32" t="s">
        <v>199</v>
      </c>
      <c r="K291" s="32">
        <v>2.9563380000000001</v>
      </c>
      <c r="L291" s="33">
        <v>1735</v>
      </c>
      <c r="M291" s="32">
        <v>265</v>
      </c>
      <c r="N291" s="32">
        <v>390</v>
      </c>
      <c r="O291" s="32">
        <v>381</v>
      </c>
      <c r="P291" s="32">
        <v>488</v>
      </c>
      <c r="Q291" s="32">
        <v>211</v>
      </c>
      <c r="R291" s="32">
        <v>4</v>
      </c>
      <c r="S291" s="32">
        <v>27.546800000000001</v>
      </c>
      <c r="T291" s="32">
        <v>11.531599999999999</v>
      </c>
      <c r="U291" s="32">
        <v>0.731776443</v>
      </c>
      <c r="V291" s="32">
        <v>3</v>
      </c>
      <c r="W291" s="32">
        <v>1</v>
      </c>
      <c r="X291" s="32">
        <v>0.25611499999999998</v>
      </c>
      <c r="Y291" s="32">
        <v>0.7</v>
      </c>
      <c r="Z291" s="32">
        <v>1</v>
      </c>
      <c r="AA291" s="32">
        <v>51.1</v>
      </c>
      <c r="AB291" s="32">
        <v>311</v>
      </c>
      <c r="AC291" s="32">
        <v>19</v>
      </c>
      <c r="AD291" s="32">
        <v>219</v>
      </c>
      <c r="AE291" s="32" t="s">
        <v>200</v>
      </c>
      <c r="AF291" s="32">
        <v>0</v>
      </c>
      <c r="AG291" s="32" t="s">
        <v>200</v>
      </c>
    </row>
    <row r="292" spans="1:33">
      <c r="A292" s="32" t="s">
        <v>1250</v>
      </c>
      <c r="B292" s="32" t="s">
        <v>42</v>
      </c>
      <c r="C292" s="32" t="s">
        <v>1251</v>
      </c>
      <c r="D292" s="32" t="s">
        <v>1252</v>
      </c>
      <c r="E292" s="32" t="s">
        <v>1242</v>
      </c>
      <c r="F292" s="32" t="s">
        <v>1243</v>
      </c>
      <c r="G292" s="32" t="s">
        <v>1232</v>
      </c>
      <c r="H292" s="32" t="s">
        <v>1233</v>
      </c>
      <c r="I292" s="32" t="s">
        <v>198</v>
      </c>
      <c r="J292" s="32" t="s">
        <v>199</v>
      </c>
      <c r="K292" s="32">
        <v>3.0790150000000001</v>
      </c>
      <c r="L292" s="33">
        <v>2843</v>
      </c>
      <c r="M292" s="32">
        <v>109</v>
      </c>
      <c r="N292" s="33">
        <v>1992</v>
      </c>
      <c r="O292" s="32">
        <v>307</v>
      </c>
      <c r="P292" s="32">
        <v>294</v>
      </c>
      <c r="Q292" s="32">
        <v>141</v>
      </c>
      <c r="R292" s="32" t="s">
        <v>668</v>
      </c>
      <c r="S292" s="32">
        <v>128.92599999999999</v>
      </c>
      <c r="T292" s="32">
        <v>84.484399999999994</v>
      </c>
      <c r="U292" s="32">
        <v>0.443867132</v>
      </c>
      <c r="V292" s="32">
        <v>7</v>
      </c>
      <c r="W292" s="32">
        <v>1</v>
      </c>
      <c r="X292" s="32">
        <v>0.38936199999999999</v>
      </c>
      <c r="Y292" s="32">
        <v>0.7</v>
      </c>
      <c r="Z292" s="32">
        <v>1</v>
      </c>
      <c r="AA292" s="32">
        <v>49.2</v>
      </c>
      <c r="AB292" s="32">
        <v>198</v>
      </c>
      <c r="AC292" s="32" t="s">
        <v>200</v>
      </c>
      <c r="AD292" s="32">
        <v>5</v>
      </c>
      <c r="AE292" s="32">
        <v>0</v>
      </c>
      <c r="AF292" s="32">
        <v>0</v>
      </c>
      <c r="AG292" s="32">
        <v>0</v>
      </c>
    </row>
    <row r="293" spans="1:33">
      <c r="A293" s="32" t="s">
        <v>1253</v>
      </c>
      <c r="B293" s="32" t="s">
        <v>42</v>
      </c>
      <c r="C293" s="32" t="s">
        <v>1254</v>
      </c>
      <c r="D293" s="32" t="s">
        <v>1255</v>
      </c>
      <c r="E293" s="32" t="s">
        <v>1242</v>
      </c>
      <c r="F293" s="32" t="s">
        <v>1243</v>
      </c>
      <c r="G293" s="32" t="s">
        <v>1232</v>
      </c>
      <c r="H293" s="32" t="s">
        <v>1233</v>
      </c>
      <c r="I293" s="32" t="s">
        <v>198</v>
      </c>
      <c r="J293" s="32" t="s">
        <v>199</v>
      </c>
      <c r="K293" s="32">
        <v>2.8471199999999999</v>
      </c>
      <c r="L293" s="33">
        <v>2029</v>
      </c>
      <c r="M293" s="32">
        <v>201</v>
      </c>
      <c r="N293" s="32">
        <v>709</v>
      </c>
      <c r="O293" s="32">
        <v>449</v>
      </c>
      <c r="P293" s="32">
        <v>426</v>
      </c>
      <c r="Q293" s="32">
        <v>244</v>
      </c>
      <c r="R293" s="32" t="s">
        <v>668</v>
      </c>
      <c r="S293" s="32">
        <v>123.193</v>
      </c>
      <c r="T293" s="32">
        <v>96.225700000000003</v>
      </c>
      <c r="U293" s="32">
        <v>0.73887804599999996</v>
      </c>
      <c r="V293" s="32">
        <v>4</v>
      </c>
      <c r="W293" s="32">
        <v>1</v>
      </c>
      <c r="X293" s="32">
        <v>0.16562499999999999</v>
      </c>
      <c r="Y293" s="32">
        <v>0.7</v>
      </c>
      <c r="Z293" s="32">
        <v>1</v>
      </c>
      <c r="AA293" s="32">
        <v>31.7</v>
      </c>
      <c r="AB293" s="32">
        <v>273</v>
      </c>
      <c r="AC293" s="32">
        <v>20</v>
      </c>
      <c r="AD293" s="32">
        <v>13</v>
      </c>
      <c r="AE293" s="32">
        <v>0</v>
      </c>
      <c r="AF293" s="32">
        <v>0</v>
      </c>
      <c r="AG293" s="32" t="s">
        <v>200</v>
      </c>
    </row>
    <row r="294" spans="1:33">
      <c r="A294" s="32" t="s">
        <v>1256</v>
      </c>
      <c r="B294" s="32" t="s">
        <v>42</v>
      </c>
      <c r="C294" s="32" t="s">
        <v>1257</v>
      </c>
      <c r="D294" s="32" t="s">
        <v>1258</v>
      </c>
      <c r="E294" s="32" t="s">
        <v>1259</v>
      </c>
      <c r="F294" s="32" t="s">
        <v>1260</v>
      </c>
      <c r="G294" s="32" t="s">
        <v>1261</v>
      </c>
      <c r="H294" s="32" t="s">
        <v>1262</v>
      </c>
      <c r="I294" s="32" t="s">
        <v>198</v>
      </c>
      <c r="J294" s="32" t="s">
        <v>199</v>
      </c>
      <c r="K294" s="32">
        <v>2.9761470000000001</v>
      </c>
      <c r="L294" s="33">
        <v>2163</v>
      </c>
      <c r="M294" s="32">
        <v>171</v>
      </c>
      <c r="N294" s="32">
        <v>707</v>
      </c>
      <c r="O294" s="32">
        <v>565</v>
      </c>
      <c r="P294" s="32">
        <v>472</v>
      </c>
      <c r="Q294" s="32">
        <v>248</v>
      </c>
      <c r="R294" s="32" t="s">
        <v>668</v>
      </c>
      <c r="S294" s="32">
        <v>113.505</v>
      </c>
      <c r="T294" s="32">
        <v>19.251200000000001</v>
      </c>
      <c r="U294" s="32">
        <v>0.52373289300000003</v>
      </c>
      <c r="V294" s="32">
        <v>5</v>
      </c>
      <c r="W294" s="32">
        <v>1</v>
      </c>
      <c r="X294" s="32">
        <v>0.280061</v>
      </c>
      <c r="Y294" s="32">
        <v>0.7</v>
      </c>
      <c r="Z294" s="32">
        <v>1</v>
      </c>
      <c r="AA294" s="32">
        <v>34.5</v>
      </c>
      <c r="AB294" s="32">
        <v>385</v>
      </c>
      <c r="AC294" s="32">
        <v>24</v>
      </c>
      <c r="AD294" s="32">
        <v>35</v>
      </c>
      <c r="AE294" s="32" t="s">
        <v>200</v>
      </c>
      <c r="AF294" s="32">
        <v>0</v>
      </c>
      <c r="AG294" s="32" t="s">
        <v>200</v>
      </c>
    </row>
    <row r="295" spans="1:33">
      <c r="A295" s="32" t="s">
        <v>1263</v>
      </c>
      <c r="B295" s="32" t="s">
        <v>42</v>
      </c>
      <c r="C295" s="32" t="s">
        <v>1264</v>
      </c>
      <c r="D295" s="32" t="s">
        <v>1265</v>
      </c>
      <c r="E295" s="32" t="s">
        <v>1242</v>
      </c>
      <c r="F295" s="32" t="s">
        <v>1243</v>
      </c>
      <c r="G295" s="32" t="s">
        <v>1232</v>
      </c>
      <c r="H295" s="32" t="s">
        <v>1233</v>
      </c>
      <c r="I295" s="32" t="s">
        <v>198</v>
      </c>
      <c r="J295" s="32" t="s">
        <v>199</v>
      </c>
      <c r="K295" s="32">
        <v>2.9688599999999998</v>
      </c>
      <c r="L295" s="33">
        <v>2028</v>
      </c>
      <c r="M295" s="32">
        <v>263</v>
      </c>
      <c r="N295" s="32">
        <v>514</v>
      </c>
      <c r="O295" s="32">
        <v>628</v>
      </c>
      <c r="P295" s="32">
        <v>429</v>
      </c>
      <c r="Q295" s="32">
        <v>194</v>
      </c>
      <c r="R295" s="32" t="s">
        <v>668</v>
      </c>
      <c r="S295" s="32">
        <v>142.93100000000001</v>
      </c>
      <c r="T295" s="32">
        <v>89.631500000000003</v>
      </c>
      <c r="U295" s="32">
        <v>0.665987777</v>
      </c>
      <c r="V295" s="32">
        <v>3</v>
      </c>
      <c r="W295" s="32">
        <v>1</v>
      </c>
      <c r="X295" s="32">
        <v>0.26932400000000001</v>
      </c>
      <c r="Y295" s="32">
        <v>0.7</v>
      </c>
      <c r="Z295" s="32">
        <v>1</v>
      </c>
      <c r="AA295" s="32">
        <v>41.7</v>
      </c>
      <c r="AB295" s="32">
        <v>299</v>
      </c>
      <c r="AC295" s="32">
        <v>17</v>
      </c>
      <c r="AD295" s="32">
        <v>144</v>
      </c>
      <c r="AE295" s="32">
        <v>8</v>
      </c>
      <c r="AF295" s="32" t="s">
        <v>200</v>
      </c>
      <c r="AG295" s="32">
        <v>124</v>
      </c>
    </row>
    <row r="296" spans="1:33">
      <c r="A296" s="32" t="s">
        <v>1266</v>
      </c>
      <c r="B296" s="32" t="s">
        <v>42</v>
      </c>
      <c r="C296" s="32" t="s">
        <v>1267</v>
      </c>
      <c r="D296" s="32" t="s">
        <v>1268</v>
      </c>
      <c r="E296" s="32" t="s">
        <v>1269</v>
      </c>
      <c r="F296" s="32" t="s">
        <v>1270</v>
      </c>
      <c r="G296" s="32" t="s">
        <v>1261</v>
      </c>
      <c r="H296" s="32" t="s">
        <v>1262</v>
      </c>
      <c r="I296" s="32" t="s">
        <v>198</v>
      </c>
      <c r="J296" s="32" t="s">
        <v>199</v>
      </c>
      <c r="K296" s="32">
        <v>2.9</v>
      </c>
      <c r="L296" s="33">
        <v>1692</v>
      </c>
      <c r="M296" s="32">
        <v>211</v>
      </c>
      <c r="N296" s="32">
        <v>500</v>
      </c>
      <c r="O296" s="32">
        <v>526</v>
      </c>
      <c r="P296" s="32">
        <v>341</v>
      </c>
      <c r="Q296" s="32">
        <v>114</v>
      </c>
      <c r="R296" s="32" t="s">
        <v>668</v>
      </c>
      <c r="S296" s="32">
        <v>116.857</v>
      </c>
      <c r="T296" s="32">
        <v>71.036100000000005</v>
      </c>
      <c r="U296" s="32">
        <v>0.67156270399999995</v>
      </c>
      <c r="V296" s="32">
        <v>3</v>
      </c>
      <c r="W296" s="32">
        <v>1</v>
      </c>
      <c r="X296" s="32">
        <v>0.20086200000000001</v>
      </c>
      <c r="Y296" s="32">
        <v>0.7</v>
      </c>
      <c r="Z296" s="32">
        <v>1</v>
      </c>
      <c r="AA296" s="32">
        <v>33.6</v>
      </c>
      <c r="AB296" s="32">
        <v>246</v>
      </c>
      <c r="AC296" s="32">
        <v>14</v>
      </c>
      <c r="AD296" s="32">
        <v>23</v>
      </c>
      <c r="AE296" s="32" t="s">
        <v>200</v>
      </c>
      <c r="AF296" s="32">
        <v>0</v>
      </c>
      <c r="AG296" s="32">
        <v>15</v>
      </c>
    </row>
    <row r="297" spans="1:33">
      <c r="A297" s="32" t="s">
        <v>1271</v>
      </c>
      <c r="B297" s="32" t="s">
        <v>54</v>
      </c>
      <c r="C297" s="32" t="s">
        <v>1272</v>
      </c>
      <c r="D297" s="32" t="s">
        <v>1273</v>
      </c>
      <c r="E297" s="32" t="s">
        <v>871</v>
      </c>
      <c r="F297" s="32" t="s">
        <v>872</v>
      </c>
      <c r="G297" s="32" t="s">
        <v>873</v>
      </c>
      <c r="H297" s="32" t="s">
        <v>874</v>
      </c>
      <c r="I297" s="32" t="s">
        <v>198</v>
      </c>
      <c r="J297" s="32" t="s">
        <v>199</v>
      </c>
      <c r="K297" s="32">
        <v>3.1094889999999999</v>
      </c>
      <c r="L297" s="33">
        <v>1888</v>
      </c>
      <c r="M297" s="32">
        <v>396</v>
      </c>
      <c r="N297" s="32">
        <v>728</v>
      </c>
      <c r="O297" s="32">
        <v>242</v>
      </c>
      <c r="P297" s="32">
        <v>329</v>
      </c>
      <c r="Q297" s="32">
        <v>193</v>
      </c>
      <c r="R297" s="32" t="s">
        <v>668</v>
      </c>
      <c r="S297" s="32">
        <v>120.84699999999999</v>
      </c>
      <c r="T297" s="32">
        <v>45.916800000000002</v>
      </c>
      <c r="U297" s="32">
        <v>0.52595627599999994</v>
      </c>
      <c r="V297" s="32">
        <v>3</v>
      </c>
      <c r="W297" s="32">
        <v>1</v>
      </c>
      <c r="X297" s="32">
        <v>0.39853499999999997</v>
      </c>
      <c r="Y297" s="32">
        <v>0.7</v>
      </c>
      <c r="Z297" s="32">
        <v>1</v>
      </c>
      <c r="AA297" s="32">
        <v>48.6</v>
      </c>
      <c r="AB297" s="32">
        <v>130</v>
      </c>
      <c r="AC297" s="32">
        <v>10</v>
      </c>
      <c r="AD297" s="32">
        <v>14</v>
      </c>
      <c r="AE297" s="32" t="s">
        <v>200</v>
      </c>
      <c r="AF297" s="32">
        <v>0</v>
      </c>
      <c r="AG297" s="32" t="s">
        <v>200</v>
      </c>
    </row>
    <row r="298" spans="1:33">
      <c r="A298" s="32" t="s">
        <v>1274</v>
      </c>
      <c r="B298" s="32" t="s">
        <v>54</v>
      </c>
      <c r="C298" s="32" t="s">
        <v>1275</v>
      </c>
      <c r="D298" s="32" t="s">
        <v>1276</v>
      </c>
      <c r="E298" s="32" t="s">
        <v>871</v>
      </c>
      <c r="F298" s="32" t="s">
        <v>872</v>
      </c>
      <c r="G298" s="32" t="s">
        <v>873</v>
      </c>
      <c r="H298" s="32" t="s">
        <v>874</v>
      </c>
      <c r="I298" s="32" t="s">
        <v>198</v>
      </c>
      <c r="J298" s="32" t="s">
        <v>199</v>
      </c>
      <c r="K298" s="32">
        <v>2.8818100000000002</v>
      </c>
      <c r="L298" s="33">
        <v>1375</v>
      </c>
      <c r="M298" s="32">
        <v>187</v>
      </c>
      <c r="N298" s="32">
        <v>424</v>
      </c>
      <c r="O298" s="32">
        <v>408</v>
      </c>
      <c r="P298" s="32">
        <v>293</v>
      </c>
      <c r="Q298" s="32">
        <v>63</v>
      </c>
      <c r="R298" s="32" t="s">
        <v>668</v>
      </c>
      <c r="S298" s="32">
        <v>188.32300000000001</v>
      </c>
      <c r="T298" s="32">
        <v>46.777000000000001</v>
      </c>
      <c r="U298" s="32">
        <v>0.43929950699999998</v>
      </c>
      <c r="V298" s="32">
        <v>7</v>
      </c>
      <c r="W298" s="32">
        <v>1</v>
      </c>
      <c r="X298" s="32">
        <v>0.194826</v>
      </c>
      <c r="Y298" s="32">
        <v>0.68725700000000001</v>
      </c>
      <c r="Z298" s="32">
        <v>1</v>
      </c>
      <c r="AA298" s="32">
        <v>22.1</v>
      </c>
      <c r="AB298" s="32">
        <v>735</v>
      </c>
      <c r="AC298" s="32">
        <v>13</v>
      </c>
      <c r="AD298" s="32">
        <v>244</v>
      </c>
      <c r="AE298" s="32">
        <v>12</v>
      </c>
      <c r="AF298" s="32">
        <v>11</v>
      </c>
      <c r="AG298" s="32">
        <v>30</v>
      </c>
    </row>
    <row r="299" spans="1:33">
      <c r="A299" s="32" t="s">
        <v>885</v>
      </c>
      <c r="B299" s="32" t="s">
        <v>55</v>
      </c>
      <c r="C299" s="32" t="s">
        <v>886</v>
      </c>
      <c r="D299" s="32" t="s">
        <v>887</v>
      </c>
      <c r="E299" s="32" t="s">
        <v>883</v>
      </c>
      <c r="F299" s="32" t="s">
        <v>884</v>
      </c>
      <c r="G299" s="32" t="s">
        <v>332</v>
      </c>
      <c r="H299" s="32" t="s">
        <v>333</v>
      </c>
      <c r="I299" s="32" t="s">
        <v>198</v>
      </c>
      <c r="J299" s="32" t="s">
        <v>199</v>
      </c>
      <c r="K299" s="32">
        <v>3.0931030000000002</v>
      </c>
      <c r="L299" s="33">
        <v>2077</v>
      </c>
      <c r="M299" s="32">
        <v>468</v>
      </c>
      <c r="N299" s="32">
        <v>648</v>
      </c>
      <c r="O299" s="32">
        <v>525</v>
      </c>
      <c r="P299" s="32">
        <v>325</v>
      </c>
      <c r="Q299" s="32">
        <v>111</v>
      </c>
      <c r="R299" s="32" t="s">
        <v>668</v>
      </c>
      <c r="S299" s="32">
        <v>87.729699999999994</v>
      </c>
      <c r="T299" s="32">
        <v>66.464600000000004</v>
      </c>
      <c r="U299" s="32">
        <v>0.73295058599999996</v>
      </c>
      <c r="V299" s="32">
        <v>2</v>
      </c>
      <c r="W299" s="32">
        <v>1</v>
      </c>
      <c r="X299" s="32">
        <v>0.40842899999999999</v>
      </c>
      <c r="Y299" s="32">
        <v>0.7</v>
      </c>
      <c r="Z299" s="32">
        <v>1</v>
      </c>
      <c r="AA299" s="32">
        <v>53.9</v>
      </c>
      <c r="AB299" s="32">
        <v>130</v>
      </c>
      <c r="AC299" s="32">
        <v>16</v>
      </c>
      <c r="AD299" s="32">
        <v>17</v>
      </c>
      <c r="AE299" s="32">
        <v>0</v>
      </c>
      <c r="AF299" s="32">
        <v>0</v>
      </c>
      <c r="AG299" s="32" t="s">
        <v>200</v>
      </c>
    </row>
    <row r="300" spans="1:33">
      <c r="A300" s="32" t="s">
        <v>1277</v>
      </c>
      <c r="B300" s="32" t="s">
        <v>55</v>
      </c>
      <c r="C300" s="32" t="s">
        <v>1278</v>
      </c>
      <c r="D300" s="32" t="s">
        <v>1279</v>
      </c>
      <c r="E300" s="32" t="s">
        <v>1280</v>
      </c>
      <c r="F300" s="32" t="s">
        <v>1281</v>
      </c>
      <c r="G300" s="32" t="s">
        <v>655</v>
      </c>
      <c r="H300" s="32" t="s">
        <v>656</v>
      </c>
      <c r="I300" s="32" t="s">
        <v>198</v>
      </c>
      <c r="J300" s="32" t="s">
        <v>199</v>
      </c>
      <c r="K300" s="32">
        <v>2.8363640000000001</v>
      </c>
      <c r="L300" s="33">
        <v>3365</v>
      </c>
      <c r="M300" s="32">
        <v>649</v>
      </c>
      <c r="N300" s="32">
        <v>679</v>
      </c>
      <c r="O300" s="33">
        <v>1229</v>
      </c>
      <c r="P300" s="32">
        <v>682</v>
      </c>
      <c r="Q300" s="32">
        <v>126</v>
      </c>
      <c r="R300" s="32" t="s">
        <v>302</v>
      </c>
      <c r="S300" s="32">
        <v>38.217799999999997</v>
      </c>
      <c r="T300" s="32">
        <v>18.6755</v>
      </c>
      <c r="U300" s="32">
        <v>0.72434090200000001</v>
      </c>
      <c r="V300" s="32">
        <v>3</v>
      </c>
      <c r="W300" s="32">
        <v>1</v>
      </c>
      <c r="X300" s="32">
        <v>0.13014400000000001</v>
      </c>
      <c r="Y300" s="32">
        <v>0.7</v>
      </c>
      <c r="Z300" s="32">
        <v>1</v>
      </c>
      <c r="AA300" s="32">
        <v>50.3</v>
      </c>
      <c r="AB300" s="32">
        <v>460</v>
      </c>
      <c r="AC300" s="32">
        <v>25</v>
      </c>
      <c r="AD300" s="32">
        <v>99</v>
      </c>
      <c r="AE300" s="32" t="s">
        <v>200</v>
      </c>
      <c r="AF300" s="32">
        <v>0</v>
      </c>
      <c r="AG300" s="32">
        <v>7</v>
      </c>
    </row>
    <row r="301" spans="1:33">
      <c r="A301" s="32" t="s">
        <v>1282</v>
      </c>
      <c r="B301" s="32" t="s">
        <v>55</v>
      </c>
      <c r="C301" s="32" t="s">
        <v>1283</v>
      </c>
      <c r="D301" s="32" t="s">
        <v>1284</v>
      </c>
      <c r="E301" s="32" t="s">
        <v>1285</v>
      </c>
      <c r="F301" s="32" t="s">
        <v>1286</v>
      </c>
      <c r="G301" s="32" t="s">
        <v>655</v>
      </c>
      <c r="H301" s="32" t="s">
        <v>656</v>
      </c>
      <c r="I301" s="32" t="s">
        <v>198</v>
      </c>
      <c r="J301" s="32" t="s">
        <v>199</v>
      </c>
      <c r="K301" s="32">
        <v>2.8370920000000002</v>
      </c>
      <c r="L301" s="33">
        <v>1879</v>
      </c>
      <c r="M301" s="32">
        <v>304</v>
      </c>
      <c r="N301" s="32">
        <v>390</v>
      </c>
      <c r="O301" s="32">
        <v>608</v>
      </c>
      <c r="P301" s="32">
        <v>405</v>
      </c>
      <c r="Q301" s="32">
        <v>172</v>
      </c>
      <c r="R301" s="32" t="s">
        <v>302</v>
      </c>
      <c r="S301" s="32">
        <v>50.2408</v>
      </c>
      <c r="T301" s="32">
        <v>27.034600000000001</v>
      </c>
      <c r="U301" s="32">
        <v>0.91517578799999999</v>
      </c>
      <c r="V301" s="32">
        <v>2</v>
      </c>
      <c r="W301" s="32">
        <v>1</v>
      </c>
      <c r="X301" s="32">
        <v>0.13897300000000001</v>
      </c>
      <c r="Y301" s="32">
        <v>0.68523100000000003</v>
      </c>
      <c r="Z301" s="32">
        <v>1</v>
      </c>
      <c r="AA301" s="32">
        <v>48.1</v>
      </c>
      <c r="AB301" s="32">
        <v>266</v>
      </c>
      <c r="AC301" s="32">
        <v>17</v>
      </c>
      <c r="AD301" s="32">
        <v>20</v>
      </c>
      <c r="AE301" s="32">
        <v>0</v>
      </c>
      <c r="AF301" s="32">
        <v>0</v>
      </c>
      <c r="AG301" s="32" t="s">
        <v>200</v>
      </c>
    </row>
    <row r="302" spans="1:33">
      <c r="A302" s="32" t="s">
        <v>1287</v>
      </c>
      <c r="B302" s="32" t="s">
        <v>55</v>
      </c>
      <c r="C302" s="32" t="s">
        <v>1288</v>
      </c>
      <c r="D302" s="32" t="s">
        <v>1289</v>
      </c>
      <c r="E302" s="32" t="s">
        <v>899</v>
      </c>
      <c r="F302" s="32" t="s">
        <v>900</v>
      </c>
      <c r="G302" s="32" t="s">
        <v>497</v>
      </c>
      <c r="H302" s="32" t="s">
        <v>498</v>
      </c>
      <c r="I302" s="32" t="s">
        <v>198</v>
      </c>
      <c r="J302" s="32" t="s">
        <v>199</v>
      </c>
      <c r="K302" s="32">
        <v>2.8035420000000002</v>
      </c>
      <c r="L302" s="33">
        <v>1821</v>
      </c>
      <c r="M302" s="32">
        <v>233</v>
      </c>
      <c r="N302" s="32">
        <v>510</v>
      </c>
      <c r="O302" s="32">
        <v>616</v>
      </c>
      <c r="P302" s="32">
        <v>283</v>
      </c>
      <c r="Q302" s="32">
        <v>179</v>
      </c>
      <c r="R302" s="32" t="s">
        <v>302</v>
      </c>
      <c r="S302" s="32">
        <v>54.173400000000001</v>
      </c>
      <c r="T302" s="32">
        <v>9.5891300000000008</v>
      </c>
      <c r="U302" s="32">
        <v>0.73051434699999995</v>
      </c>
      <c r="V302" s="32">
        <v>4</v>
      </c>
      <c r="W302" s="32">
        <v>1</v>
      </c>
      <c r="X302" s="32">
        <v>8.9862999999999998E-2</v>
      </c>
      <c r="Y302" s="32">
        <v>0.7</v>
      </c>
      <c r="Z302" s="32">
        <v>1</v>
      </c>
      <c r="AA302" s="32">
        <v>31.1</v>
      </c>
      <c r="AB302" s="32">
        <v>162</v>
      </c>
      <c r="AC302" s="32">
        <v>16</v>
      </c>
      <c r="AD302" s="32">
        <v>12</v>
      </c>
      <c r="AE302" s="32">
        <v>0</v>
      </c>
      <c r="AF302" s="32">
        <v>0</v>
      </c>
      <c r="AG302" s="32">
        <v>6</v>
      </c>
    </row>
    <row r="303" spans="1:33">
      <c r="A303" s="32" t="s">
        <v>1290</v>
      </c>
      <c r="B303" s="32" t="s">
        <v>55</v>
      </c>
      <c r="C303" s="32" t="s">
        <v>1291</v>
      </c>
      <c r="D303" s="32" t="s">
        <v>1292</v>
      </c>
      <c r="E303" s="32" t="s">
        <v>813</v>
      </c>
      <c r="F303" s="32" t="s">
        <v>814</v>
      </c>
      <c r="G303" s="32" t="s">
        <v>497</v>
      </c>
      <c r="H303" s="32" t="s">
        <v>498</v>
      </c>
      <c r="I303" s="32" t="s">
        <v>198</v>
      </c>
      <c r="J303" s="32" t="s">
        <v>199</v>
      </c>
      <c r="K303" s="32">
        <v>2.7515909999999999</v>
      </c>
      <c r="L303" s="33">
        <v>2174</v>
      </c>
      <c r="M303" s="32">
        <v>294</v>
      </c>
      <c r="N303" s="32">
        <v>479</v>
      </c>
      <c r="O303" s="32">
        <v>733</v>
      </c>
      <c r="P303" s="32">
        <v>428</v>
      </c>
      <c r="Q303" s="32">
        <v>240</v>
      </c>
      <c r="R303" s="32" t="s">
        <v>302</v>
      </c>
      <c r="S303" s="32">
        <v>46.031700000000001</v>
      </c>
      <c r="T303" s="32">
        <v>1.9229499999999999</v>
      </c>
      <c r="U303" s="32">
        <v>0.71049924799999997</v>
      </c>
      <c r="V303" s="32">
        <v>5</v>
      </c>
      <c r="W303" s="32">
        <v>1</v>
      </c>
      <c r="X303" s="32">
        <v>8.7927000000000005E-2</v>
      </c>
      <c r="Y303" s="32">
        <v>0.7</v>
      </c>
      <c r="Z303" s="32">
        <v>0.95388099999999998</v>
      </c>
      <c r="AA303" s="32">
        <v>17.100000000000001</v>
      </c>
      <c r="AB303" s="32">
        <v>329</v>
      </c>
      <c r="AC303" s="32">
        <v>21</v>
      </c>
      <c r="AD303" s="32">
        <v>19</v>
      </c>
      <c r="AE303" s="32">
        <v>0</v>
      </c>
      <c r="AF303" s="32">
        <v>0</v>
      </c>
      <c r="AG303" s="32">
        <v>5</v>
      </c>
    </row>
    <row r="304" spans="1:33">
      <c r="A304" s="32" t="s">
        <v>1293</v>
      </c>
      <c r="B304" s="32" t="s">
        <v>55</v>
      </c>
      <c r="C304" s="32" t="s">
        <v>1294</v>
      </c>
      <c r="D304" s="32" t="s">
        <v>1295</v>
      </c>
      <c r="E304" s="32" t="s">
        <v>1296</v>
      </c>
      <c r="F304" s="32" t="s">
        <v>1297</v>
      </c>
      <c r="G304" s="32" t="s">
        <v>497</v>
      </c>
      <c r="H304" s="32" t="s">
        <v>498</v>
      </c>
      <c r="I304" s="32" t="s">
        <v>198</v>
      </c>
      <c r="J304" s="32" t="s">
        <v>199</v>
      </c>
      <c r="K304" s="32">
        <v>2.8797619999999999</v>
      </c>
      <c r="L304" s="33">
        <v>2366</v>
      </c>
      <c r="M304" s="32">
        <v>375</v>
      </c>
      <c r="N304" s="33">
        <v>1028</v>
      </c>
      <c r="O304" s="32">
        <v>377</v>
      </c>
      <c r="P304" s="32">
        <v>373</v>
      </c>
      <c r="Q304" s="32">
        <v>213</v>
      </c>
      <c r="R304" s="32" t="s">
        <v>668</v>
      </c>
      <c r="S304" s="32">
        <v>75.060500000000005</v>
      </c>
      <c r="T304" s="32">
        <v>26.987400000000001</v>
      </c>
      <c r="U304" s="32">
        <v>0.78947955400000003</v>
      </c>
      <c r="V304" s="32">
        <v>3</v>
      </c>
      <c r="W304" s="32">
        <v>1</v>
      </c>
      <c r="X304" s="32">
        <v>0.180838</v>
      </c>
      <c r="Y304" s="32">
        <v>0.7</v>
      </c>
      <c r="Z304" s="32">
        <v>1</v>
      </c>
      <c r="AA304" s="32">
        <v>52.3</v>
      </c>
      <c r="AB304" s="32">
        <v>219</v>
      </c>
      <c r="AC304" s="32">
        <v>12</v>
      </c>
      <c r="AD304" s="32">
        <v>8</v>
      </c>
      <c r="AE304" s="32">
        <v>0</v>
      </c>
      <c r="AF304" s="32">
        <v>0</v>
      </c>
      <c r="AG304" s="32" t="s">
        <v>200</v>
      </c>
    </row>
    <row r="305" spans="1:33">
      <c r="A305" s="32" t="s">
        <v>1298</v>
      </c>
      <c r="B305" s="32" t="s">
        <v>55</v>
      </c>
      <c r="C305" s="32" t="s">
        <v>1299</v>
      </c>
      <c r="D305" s="32" t="s">
        <v>1300</v>
      </c>
      <c r="E305" s="32" t="s">
        <v>1301</v>
      </c>
      <c r="F305" s="32" t="s">
        <v>1302</v>
      </c>
      <c r="G305" s="32" t="s">
        <v>497</v>
      </c>
      <c r="H305" s="32" t="s">
        <v>498</v>
      </c>
      <c r="I305" s="32" t="s">
        <v>198</v>
      </c>
      <c r="J305" s="32" t="s">
        <v>199</v>
      </c>
      <c r="K305" s="32">
        <v>2.9658730000000002</v>
      </c>
      <c r="L305" s="33">
        <v>1833</v>
      </c>
      <c r="M305" s="32">
        <v>224</v>
      </c>
      <c r="N305" s="32">
        <v>639</v>
      </c>
      <c r="O305" s="32">
        <v>440</v>
      </c>
      <c r="P305" s="32">
        <v>329</v>
      </c>
      <c r="Q305" s="32">
        <v>201</v>
      </c>
      <c r="R305" s="32" t="s">
        <v>302</v>
      </c>
      <c r="S305" s="32">
        <v>55.724699999999999</v>
      </c>
      <c r="T305" s="32">
        <v>30.117799999999999</v>
      </c>
      <c r="U305" s="32">
        <v>0.71928200399999997</v>
      </c>
      <c r="V305" s="32">
        <v>3</v>
      </c>
      <c r="W305" s="32">
        <v>1</v>
      </c>
      <c r="X305" s="32">
        <v>0.28924299999999997</v>
      </c>
      <c r="Y305" s="32">
        <v>0.65843099999999999</v>
      </c>
      <c r="Z305" s="32">
        <v>1</v>
      </c>
      <c r="AA305" s="32">
        <v>34</v>
      </c>
      <c r="AB305" s="32">
        <v>381</v>
      </c>
      <c r="AC305" s="32">
        <v>11</v>
      </c>
      <c r="AD305" s="32">
        <v>119</v>
      </c>
      <c r="AE305" s="32">
        <v>7</v>
      </c>
      <c r="AF305" s="32">
        <v>12</v>
      </c>
      <c r="AG305" s="32" t="s">
        <v>200</v>
      </c>
    </row>
    <row r="306" spans="1:33">
      <c r="A306" s="32" t="s">
        <v>1303</v>
      </c>
      <c r="B306" s="32" t="s">
        <v>55</v>
      </c>
      <c r="C306" s="32" t="s">
        <v>1304</v>
      </c>
      <c r="D306" s="32" t="s">
        <v>1305</v>
      </c>
      <c r="E306" s="32" t="s">
        <v>1301</v>
      </c>
      <c r="F306" s="32" t="s">
        <v>1302</v>
      </c>
      <c r="G306" s="32" t="s">
        <v>497</v>
      </c>
      <c r="H306" s="32" t="s">
        <v>498</v>
      </c>
      <c r="I306" s="32" t="s">
        <v>198</v>
      </c>
      <c r="J306" s="32" t="s">
        <v>199</v>
      </c>
      <c r="K306" s="32">
        <v>2.8017439999999998</v>
      </c>
      <c r="L306" s="33">
        <v>2536</v>
      </c>
      <c r="M306" s="32">
        <v>446</v>
      </c>
      <c r="N306" s="32">
        <v>951</v>
      </c>
      <c r="O306" s="32">
        <v>659</v>
      </c>
      <c r="P306" s="32">
        <v>346</v>
      </c>
      <c r="Q306" s="32">
        <v>134</v>
      </c>
      <c r="R306" s="32" t="s">
        <v>302</v>
      </c>
      <c r="S306" s="32">
        <v>33.852699999999999</v>
      </c>
      <c r="T306" s="32">
        <v>13.6356</v>
      </c>
      <c r="U306" s="32">
        <v>0.87869169999999996</v>
      </c>
      <c r="V306" s="32">
        <v>3</v>
      </c>
      <c r="W306" s="32">
        <v>1</v>
      </c>
      <c r="X306" s="32">
        <v>0.117341</v>
      </c>
      <c r="Y306" s="32">
        <v>0.69855500000000004</v>
      </c>
      <c r="Z306" s="32">
        <v>1</v>
      </c>
      <c r="AA306" s="32">
        <v>41.3</v>
      </c>
      <c r="AB306" s="32">
        <v>224</v>
      </c>
      <c r="AC306" s="32">
        <v>17</v>
      </c>
      <c r="AD306" s="32">
        <v>13</v>
      </c>
      <c r="AE306" s="32">
        <v>0</v>
      </c>
      <c r="AF306" s="32" t="s">
        <v>200</v>
      </c>
      <c r="AG306" s="32">
        <v>8</v>
      </c>
    </row>
    <row r="307" spans="1:33">
      <c r="A307" s="32" t="s">
        <v>1306</v>
      </c>
      <c r="B307" s="32" t="s">
        <v>55</v>
      </c>
      <c r="C307" s="32" t="s">
        <v>1307</v>
      </c>
      <c r="D307" s="32" t="s">
        <v>1308</v>
      </c>
      <c r="E307" s="32" t="s">
        <v>1301</v>
      </c>
      <c r="F307" s="32" t="s">
        <v>1302</v>
      </c>
      <c r="G307" s="32" t="s">
        <v>497</v>
      </c>
      <c r="H307" s="32" t="s">
        <v>498</v>
      </c>
      <c r="I307" s="32" t="s">
        <v>198</v>
      </c>
      <c r="J307" s="32" t="s">
        <v>199</v>
      </c>
      <c r="K307" s="32">
        <v>2.7792659999999998</v>
      </c>
      <c r="L307" s="33">
        <v>2556</v>
      </c>
      <c r="M307" s="32">
        <v>390</v>
      </c>
      <c r="N307" s="32">
        <v>808</v>
      </c>
      <c r="O307" s="32">
        <v>662</v>
      </c>
      <c r="P307" s="32">
        <v>475</v>
      </c>
      <c r="Q307" s="32">
        <v>221</v>
      </c>
      <c r="R307" s="32" t="s">
        <v>668</v>
      </c>
      <c r="S307" s="32">
        <v>97.913499999999999</v>
      </c>
      <c r="T307" s="32">
        <v>32.277099999999997</v>
      </c>
      <c r="U307" s="32">
        <v>0.70848259499999999</v>
      </c>
      <c r="V307" s="32">
        <v>4</v>
      </c>
      <c r="W307" s="32">
        <v>1</v>
      </c>
      <c r="X307" s="32">
        <v>0.18548200000000001</v>
      </c>
      <c r="Y307" s="32">
        <v>0.6</v>
      </c>
      <c r="Z307" s="32">
        <v>1</v>
      </c>
      <c r="AA307" s="32">
        <v>34.700000000000003</v>
      </c>
      <c r="AB307" s="32">
        <v>304</v>
      </c>
      <c r="AC307" s="32">
        <v>30</v>
      </c>
      <c r="AD307" s="32">
        <v>30</v>
      </c>
      <c r="AE307" s="32" t="s">
        <v>200</v>
      </c>
      <c r="AF307" s="32" t="s">
        <v>200</v>
      </c>
      <c r="AG307" s="32" t="s">
        <v>200</v>
      </c>
    </row>
    <row r="308" spans="1:33">
      <c r="A308" s="32" t="s">
        <v>1309</v>
      </c>
      <c r="B308" s="32" t="s">
        <v>55</v>
      </c>
      <c r="C308" s="32" t="s">
        <v>1310</v>
      </c>
      <c r="D308" s="32" t="s">
        <v>1311</v>
      </c>
      <c r="E308" s="32" t="s">
        <v>891</v>
      </c>
      <c r="F308" s="32" t="s">
        <v>892</v>
      </c>
      <c r="G308" s="32" t="s">
        <v>497</v>
      </c>
      <c r="H308" s="32" t="s">
        <v>498</v>
      </c>
      <c r="I308" s="32" t="s">
        <v>198</v>
      </c>
      <c r="J308" s="32" t="s">
        <v>199</v>
      </c>
      <c r="K308" s="32">
        <v>3.094398</v>
      </c>
      <c r="L308" s="33">
        <v>2435</v>
      </c>
      <c r="M308" s="32">
        <v>259</v>
      </c>
      <c r="N308" s="32">
        <v>911</v>
      </c>
      <c r="O308" s="32">
        <v>768</v>
      </c>
      <c r="P308" s="32">
        <v>351</v>
      </c>
      <c r="Q308" s="32">
        <v>146</v>
      </c>
      <c r="R308" s="32" t="s">
        <v>302</v>
      </c>
      <c r="S308" s="32">
        <v>37.850200000000001</v>
      </c>
      <c r="T308" s="32">
        <v>12.5671</v>
      </c>
      <c r="U308" s="32">
        <v>0.56568848999999999</v>
      </c>
      <c r="V308" s="32">
        <v>4</v>
      </c>
      <c r="W308" s="32">
        <v>1</v>
      </c>
      <c r="X308" s="32">
        <v>0.41572999999999999</v>
      </c>
      <c r="Y308" s="32">
        <v>0.7</v>
      </c>
      <c r="Z308" s="32">
        <v>1</v>
      </c>
      <c r="AA308" s="32">
        <v>29.4</v>
      </c>
      <c r="AB308" s="32">
        <v>251</v>
      </c>
      <c r="AC308" s="32">
        <v>19</v>
      </c>
      <c r="AD308" s="32">
        <v>23</v>
      </c>
      <c r="AE308" s="32" t="s">
        <v>200</v>
      </c>
      <c r="AF308" s="32" t="s">
        <v>200</v>
      </c>
      <c r="AG308" s="32">
        <v>7</v>
      </c>
    </row>
    <row r="309" spans="1:33">
      <c r="A309" s="32" t="s">
        <v>1312</v>
      </c>
      <c r="B309" s="32" t="s">
        <v>55</v>
      </c>
      <c r="C309" s="32" t="s">
        <v>1313</v>
      </c>
      <c r="D309" s="32" t="s">
        <v>1314</v>
      </c>
      <c r="E309" s="32" t="s">
        <v>899</v>
      </c>
      <c r="F309" s="32" t="s">
        <v>900</v>
      </c>
      <c r="G309" s="32" t="s">
        <v>497</v>
      </c>
      <c r="H309" s="32" t="s">
        <v>498</v>
      </c>
      <c r="I309" s="32" t="s">
        <v>198</v>
      </c>
      <c r="J309" s="32" t="s">
        <v>199</v>
      </c>
      <c r="K309" s="32">
        <v>2.9855109999999998</v>
      </c>
      <c r="L309" s="33">
        <v>2642</v>
      </c>
      <c r="M309" s="32">
        <v>278</v>
      </c>
      <c r="N309" s="33">
        <v>1082</v>
      </c>
      <c r="O309" s="32">
        <v>654</v>
      </c>
      <c r="P309" s="32">
        <v>510</v>
      </c>
      <c r="Q309" s="32">
        <v>118</v>
      </c>
      <c r="R309" s="32" t="s">
        <v>668</v>
      </c>
      <c r="S309" s="32">
        <v>91.942400000000006</v>
      </c>
      <c r="T309" s="32">
        <v>61.2102</v>
      </c>
      <c r="U309" s="32">
        <v>0.62092918100000005</v>
      </c>
      <c r="V309" s="32">
        <v>4</v>
      </c>
      <c r="W309" s="32">
        <v>1</v>
      </c>
      <c r="X309" s="32">
        <v>0.30440800000000001</v>
      </c>
      <c r="Y309" s="32">
        <v>0.7</v>
      </c>
      <c r="Z309" s="32">
        <v>1</v>
      </c>
      <c r="AA309" s="32">
        <v>36.700000000000003</v>
      </c>
      <c r="AB309" s="32">
        <v>265</v>
      </c>
      <c r="AC309" s="32">
        <v>25</v>
      </c>
      <c r="AD309" s="32">
        <v>15</v>
      </c>
      <c r="AE309" s="32">
        <v>0</v>
      </c>
      <c r="AF309" s="32" t="s">
        <v>200</v>
      </c>
      <c r="AG309" s="32" t="s">
        <v>200</v>
      </c>
    </row>
    <row r="310" spans="1:33">
      <c r="A310" s="32" t="s">
        <v>1315</v>
      </c>
      <c r="B310" s="32" t="s">
        <v>55</v>
      </c>
      <c r="C310" s="32" t="s">
        <v>1316</v>
      </c>
      <c r="D310" s="32" t="s">
        <v>1317</v>
      </c>
      <c r="E310" s="32" t="s">
        <v>891</v>
      </c>
      <c r="F310" s="32" t="s">
        <v>892</v>
      </c>
      <c r="G310" s="32" t="s">
        <v>497</v>
      </c>
      <c r="H310" s="32" t="s">
        <v>498</v>
      </c>
      <c r="I310" s="32" t="s">
        <v>198</v>
      </c>
      <c r="J310" s="32" t="s">
        <v>199</v>
      </c>
      <c r="K310" s="32">
        <v>2.840379</v>
      </c>
      <c r="L310" s="33">
        <v>1939</v>
      </c>
      <c r="M310" s="32">
        <v>246</v>
      </c>
      <c r="N310" s="32">
        <v>807</v>
      </c>
      <c r="O310" s="32">
        <v>441</v>
      </c>
      <c r="P310" s="32">
        <v>306</v>
      </c>
      <c r="Q310" s="32">
        <v>139</v>
      </c>
      <c r="R310" s="32" t="s">
        <v>302</v>
      </c>
      <c r="S310" s="32">
        <v>43.1982</v>
      </c>
      <c r="T310" s="32">
        <v>10.5723</v>
      </c>
      <c r="U310" s="32">
        <v>0.79793888199999996</v>
      </c>
      <c r="V310" s="32">
        <v>3</v>
      </c>
      <c r="W310" s="32">
        <v>1</v>
      </c>
      <c r="X310" s="32">
        <v>0.144872</v>
      </c>
      <c r="Y310" s="32">
        <v>0.69158600000000003</v>
      </c>
      <c r="Z310" s="32">
        <v>1</v>
      </c>
      <c r="AA310" s="32">
        <v>32.200000000000003</v>
      </c>
      <c r="AB310" s="32">
        <v>216</v>
      </c>
      <c r="AC310" s="32">
        <v>16</v>
      </c>
      <c r="AD310" s="32">
        <v>20</v>
      </c>
      <c r="AE310" s="32">
        <v>0</v>
      </c>
      <c r="AF310" s="32" t="s">
        <v>200</v>
      </c>
      <c r="AG310" s="32">
        <v>6</v>
      </c>
    </row>
    <row r="311" spans="1:33">
      <c r="A311" s="32" t="s">
        <v>1318</v>
      </c>
      <c r="B311" s="32" t="s">
        <v>55</v>
      </c>
      <c r="C311" s="32" t="s">
        <v>1319</v>
      </c>
      <c r="D311" s="32" t="s">
        <v>1320</v>
      </c>
      <c r="E311" s="32" t="s">
        <v>899</v>
      </c>
      <c r="F311" s="32" t="s">
        <v>900</v>
      </c>
      <c r="G311" s="32" t="s">
        <v>497</v>
      </c>
      <c r="H311" s="32" t="s">
        <v>498</v>
      </c>
      <c r="I311" s="32" t="s">
        <v>198</v>
      </c>
      <c r="J311" s="32" t="s">
        <v>199</v>
      </c>
      <c r="K311" s="32">
        <v>2.9302860000000002</v>
      </c>
      <c r="L311" s="33">
        <v>1689</v>
      </c>
      <c r="M311" s="32">
        <v>225</v>
      </c>
      <c r="N311" s="32">
        <v>314</v>
      </c>
      <c r="O311" s="32">
        <v>569</v>
      </c>
      <c r="P311" s="32">
        <v>404</v>
      </c>
      <c r="Q311" s="32">
        <v>177</v>
      </c>
      <c r="R311" s="32" t="s">
        <v>302</v>
      </c>
      <c r="S311" s="32">
        <v>40.124400000000001</v>
      </c>
      <c r="T311" s="32">
        <v>15.3184</v>
      </c>
      <c r="U311" s="32">
        <v>0.64194001499999997</v>
      </c>
      <c r="V311" s="32">
        <v>4</v>
      </c>
      <c r="W311" s="32">
        <v>1</v>
      </c>
      <c r="X311" s="32">
        <v>0.23885700000000001</v>
      </c>
      <c r="Y311" s="32">
        <v>0.7</v>
      </c>
      <c r="Z311" s="32">
        <v>1</v>
      </c>
      <c r="AA311" s="32">
        <v>22.9</v>
      </c>
      <c r="AB311" s="32">
        <v>276</v>
      </c>
      <c r="AC311" s="32">
        <v>20</v>
      </c>
      <c r="AD311" s="32">
        <v>7</v>
      </c>
      <c r="AE311" s="32" t="s">
        <v>200</v>
      </c>
      <c r="AF311" s="32" t="s">
        <v>200</v>
      </c>
      <c r="AG311" s="32" t="s">
        <v>200</v>
      </c>
    </row>
    <row r="312" spans="1:33">
      <c r="A312" s="32" t="s">
        <v>896</v>
      </c>
      <c r="B312" s="32" t="s">
        <v>55</v>
      </c>
      <c r="C312" s="32" t="s">
        <v>897</v>
      </c>
      <c r="D312" s="32" t="s">
        <v>898</v>
      </c>
      <c r="E312" s="32" t="s">
        <v>899</v>
      </c>
      <c r="F312" s="32" t="s">
        <v>900</v>
      </c>
      <c r="G312" s="32" t="s">
        <v>497</v>
      </c>
      <c r="H312" s="32" t="s">
        <v>498</v>
      </c>
      <c r="I312" s="32" t="s">
        <v>198</v>
      </c>
      <c r="J312" s="32" t="s">
        <v>199</v>
      </c>
      <c r="K312" s="32">
        <v>3.043056</v>
      </c>
      <c r="L312" s="33">
        <v>1896</v>
      </c>
      <c r="M312" s="32">
        <v>194</v>
      </c>
      <c r="N312" s="33">
        <v>1030</v>
      </c>
      <c r="O312" s="32">
        <v>312</v>
      </c>
      <c r="P312" s="32">
        <v>284</v>
      </c>
      <c r="Q312" s="32">
        <v>76</v>
      </c>
      <c r="R312" s="32" t="s">
        <v>668</v>
      </c>
      <c r="S312" s="32">
        <v>74.6203</v>
      </c>
      <c r="T312" s="32">
        <v>36.997900000000001</v>
      </c>
      <c r="U312" s="32">
        <v>0.59144312499999996</v>
      </c>
      <c r="V312" s="32">
        <v>3</v>
      </c>
      <c r="W312" s="32">
        <v>1</v>
      </c>
      <c r="X312" s="32">
        <v>0.38531500000000002</v>
      </c>
      <c r="Y312" s="32">
        <v>0.7</v>
      </c>
      <c r="Z312" s="32">
        <v>1</v>
      </c>
      <c r="AA312" s="32">
        <v>42.2</v>
      </c>
      <c r="AB312" s="32">
        <v>136</v>
      </c>
      <c r="AC312" s="32">
        <v>14</v>
      </c>
      <c r="AD312" s="32" t="s">
        <v>200</v>
      </c>
      <c r="AE312" s="32">
        <v>0</v>
      </c>
      <c r="AF312" s="32">
        <v>0</v>
      </c>
      <c r="AG312" s="32" t="s">
        <v>200</v>
      </c>
    </row>
    <row r="313" spans="1:33">
      <c r="A313" s="32" t="s">
        <v>901</v>
      </c>
      <c r="B313" s="32" t="s">
        <v>55</v>
      </c>
      <c r="C313" s="32" t="s">
        <v>902</v>
      </c>
      <c r="D313" s="32" t="s">
        <v>903</v>
      </c>
      <c r="E313" s="32" t="s">
        <v>899</v>
      </c>
      <c r="F313" s="32" t="s">
        <v>900</v>
      </c>
      <c r="G313" s="32" t="s">
        <v>497</v>
      </c>
      <c r="H313" s="32" t="s">
        <v>498</v>
      </c>
      <c r="I313" s="32" t="s">
        <v>198</v>
      </c>
      <c r="J313" s="32" t="s">
        <v>199</v>
      </c>
      <c r="K313" s="32">
        <v>2.7592210000000001</v>
      </c>
      <c r="L313" s="33">
        <v>1728</v>
      </c>
      <c r="M313" s="32">
        <v>209</v>
      </c>
      <c r="N313" s="32">
        <v>392</v>
      </c>
      <c r="O313" s="32">
        <v>445</v>
      </c>
      <c r="P313" s="32">
        <v>460</v>
      </c>
      <c r="Q313" s="32">
        <v>222</v>
      </c>
      <c r="R313" s="32" t="s">
        <v>302</v>
      </c>
      <c r="S313" s="32">
        <v>67.521500000000003</v>
      </c>
      <c r="T313" s="32">
        <v>18.441500000000001</v>
      </c>
      <c r="U313" s="32">
        <v>0.85904001900000004</v>
      </c>
      <c r="V313" s="32">
        <v>3</v>
      </c>
      <c r="W313" s="32">
        <v>1</v>
      </c>
      <c r="X313" s="32">
        <v>6.4810000000000006E-2</v>
      </c>
      <c r="Y313" s="32">
        <v>0.7</v>
      </c>
      <c r="Z313" s="32">
        <v>1</v>
      </c>
      <c r="AA313" s="32">
        <v>20.6</v>
      </c>
      <c r="AB313" s="32">
        <v>313</v>
      </c>
      <c r="AC313" s="32">
        <v>27</v>
      </c>
      <c r="AD313" s="32">
        <v>24</v>
      </c>
      <c r="AE313" s="32" t="s">
        <v>200</v>
      </c>
      <c r="AF313" s="32">
        <v>0</v>
      </c>
      <c r="AG313" s="32">
        <v>9</v>
      </c>
    </row>
    <row r="314" spans="1:33">
      <c r="A314" s="32" t="s">
        <v>1321</v>
      </c>
      <c r="B314" s="32" t="s">
        <v>55</v>
      </c>
      <c r="C314" s="32" t="s">
        <v>1322</v>
      </c>
      <c r="D314" s="32" t="s">
        <v>1323</v>
      </c>
      <c r="E314" s="32" t="s">
        <v>813</v>
      </c>
      <c r="F314" s="32" t="s">
        <v>814</v>
      </c>
      <c r="G314" s="32" t="s">
        <v>497</v>
      </c>
      <c r="H314" s="32" t="s">
        <v>498</v>
      </c>
      <c r="I314" s="32" t="s">
        <v>198</v>
      </c>
      <c r="J314" s="32" t="s">
        <v>199</v>
      </c>
      <c r="K314" s="32">
        <v>2.9044690000000002</v>
      </c>
      <c r="L314" s="33">
        <v>3051</v>
      </c>
      <c r="M314" s="32">
        <v>421</v>
      </c>
      <c r="N314" s="33">
        <v>1034</v>
      </c>
      <c r="O314" s="32">
        <v>868</v>
      </c>
      <c r="P314" s="32">
        <v>522</v>
      </c>
      <c r="Q314" s="32">
        <v>206</v>
      </c>
      <c r="R314" s="32" t="s">
        <v>302</v>
      </c>
      <c r="S314" s="32">
        <v>39.2883</v>
      </c>
      <c r="T314" s="32">
        <v>6.9574499999999997</v>
      </c>
      <c r="U314" s="32">
        <v>0.65102086299999995</v>
      </c>
      <c r="V314" s="32">
        <v>4</v>
      </c>
      <c r="W314" s="32">
        <v>1</v>
      </c>
      <c r="X314" s="32">
        <v>0.21654100000000001</v>
      </c>
      <c r="Y314" s="32">
        <v>0.7</v>
      </c>
      <c r="Z314" s="32">
        <v>1</v>
      </c>
      <c r="AA314" s="32">
        <v>25.9</v>
      </c>
      <c r="AB314" s="32">
        <v>432</v>
      </c>
      <c r="AC314" s="32">
        <v>28</v>
      </c>
      <c r="AD314" s="32">
        <v>43</v>
      </c>
      <c r="AE314" s="32">
        <v>0</v>
      </c>
      <c r="AF314" s="32" t="s">
        <v>200</v>
      </c>
      <c r="AG314" s="32" t="s">
        <v>200</v>
      </c>
    </row>
    <row r="315" spans="1:33">
      <c r="A315" s="32" t="s">
        <v>1324</v>
      </c>
      <c r="B315" s="32" t="s">
        <v>55</v>
      </c>
      <c r="C315" s="32" t="s">
        <v>1325</v>
      </c>
      <c r="D315" s="32" t="s">
        <v>1326</v>
      </c>
      <c r="E315" s="32" t="s">
        <v>1285</v>
      </c>
      <c r="F315" s="32" t="s">
        <v>1286</v>
      </c>
      <c r="G315" s="32" t="s">
        <v>655</v>
      </c>
      <c r="H315" s="32" t="s">
        <v>656</v>
      </c>
      <c r="I315" s="32" t="s">
        <v>198</v>
      </c>
      <c r="J315" s="32" t="s">
        <v>199</v>
      </c>
      <c r="K315" s="32">
        <v>2.9576190000000002</v>
      </c>
      <c r="L315" s="33">
        <v>1742</v>
      </c>
      <c r="M315" s="32">
        <v>100</v>
      </c>
      <c r="N315" s="32">
        <v>715</v>
      </c>
      <c r="O315" s="32">
        <v>742</v>
      </c>
      <c r="P315" s="32">
        <v>141</v>
      </c>
      <c r="Q315" s="32">
        <v>44</v>
      </c>
      <c r="R315" s="32" t="s">
        <v>302</v>
      </c>
      <c r="S315" s="32">
        <v>45.213999999999999</v>
      </c>
      <c r="T315" s="32">
        <v>27.811800000000002</v>
      </c>
      <c r="U315" s="32">
        <v>0.64083785999999998</v>
      </c>
      <c r="V315" s="32">
        <v>3</v>
      </c>
      <c r="W315" s="32">
        <v>1</v>
      </c>
      <c r="X315" s="32">
        <v>0.35518899999999998</v>
      </c>
      <c r="Y315" s="32">
        <v>0.60189599999999999</v>
      </c>
      <c r="Z315" s="32">
        <v>1</v>
      </c>
      <c r="AA315" s="32">
        <v>28.8</v>
      </c>
      <c r="AB315" s="32">
        <v>146</v>
      </c>
      <c r="AC315" s="32">
        <v>19</v>
      </c>
      <c r="AD315" s="32">
        <v>23</v>
      </c>
      <c r="AE315" s="32" t="s">
        <v>200</v>
      </c>
      <c r="AF315" s="32">
        <v>0</v>
      </c>
      <c r="AG315" s="32">
        <v>0</v>
      </c>
    </row>
    <row r="316" spans="1:33">
      <c r="A316" s="32" t="s">
        <v>1327</v>
      </c>
      <c r="B316" s="32" t="s">
        <v>55</v>
      </c>
      <c r="C316" s="32" t="s">
        <v>1328</v>
      </c>
      <c r="D316" s="32" t="s">
        <v>1329</v>
      </c>
      <c r="E316" s="32" t="s">
        <v>1285</v>
      </c>
      <c r="F316" s="32" t="s">
        <v>1286</v>
      </c>
      <c r="G316" s="32" t="s">
        <v>655</v>
      </c>
      <c r="H316" s="32" t="s">
        <v>656</v>
      </c>
      <c r="I316" s="32" t="s">
        <v>198</v>
      </c>
      <c r="J316" s="32" t="s">
        <v>199</v>
      </c>
      <c r="K316" s="32">
        <v>2.848554</v>
      </c>
      <c r="L316" s="33">
        <v>2284</v>
      </c>
      <c r="M316" s="32">
        <v>105</v>
      </c>
      <c r="N316" s="32">
        <v>946</v>
      </c>
      <c r="O316" s="32">
        <v>955</v>
      </c>
      <c r="P316" s="32">
        <v>231</v>
      </c>
      <c r="Q316" s="32">
        <v>47</v>
      </c>
      <c r="R316" s="32" t="s">
        <v>668</v>
      </c>
      <c r="S316" s="32">
        <v>106.014</v>
      </c>
      <c r="T316" s="32">
        <v>36.423200000000001</v>
      </c>
      <c r="U316" s="32">
        <v>0.58706593399999996</v>
      </c>
      <c r="V316" s="32">
        <v>5</v>
      </c>
      <c r="W316" s="32">
        <v>1</v>
      </c>
      <c r="X316" s="32">
        <v>0.23313300000000001</v>
      </c>
      <c r="Y316" s="32">
        <v>0.61205200000000004</v>
      </c>
      <c r="Z316" s="32">
        <v>1</v>
      </c>
      <c r="AA316" s="32">
        <v>24.7</v>
      </c>
      <c r="AB316" s="32">
        <v>284</v>
      </c>
      <c r="AC316" s="32">
        <v>28</v>
      </c>
      <c r="AD316" s="32">
        <v>125</v>
      </c>
      <c r="AE316" s="32">
        <v>7</v>
      </c>
      <c r="AF316" s="32">
        <v>0</v>
      </c>
      <c r="AG316" s="32" t="s">
        <v>200</v>
      </c>
    </row>
    <row r="317" spans="1:33">
      <c r="A317" s="32" t="s">
        <v>1330</v>
      </c>
      <c r="B317" s="32" t="s">
        <v>55</v>
      </c>
      <c r="C317" s="32" t="s">
        <v>1331</v>
      </c>
      <c r="D317" s="32" t="s">
        <v>1332</v>
      </c>
      <c r="E317" s="32" t="s">
        <v>1285</v>
      </c>
      <c r="F317" s="32" t="s">
        <v>1286</v>
      </c>
      <c r="G317" s="32" t="s">
        <v>655</v>
      </c>
      <c r="H317" s="32" t="s">
        <v>656</v>
      </c>
      <c r="I317" s="32" t="s">
        <v>198</v>
      </c>
      <c r="J317" s="32" t="s">
        <v>199</v>
      </c>
      <c r="K317" s="32">
        <v>2.9026939999999999</v>
      </c>
      <c r="L317" s="33">
        <v>1840</v>
      </c>
      <c r="M317" s="32">
        <v>277</v>
      </c>
      <c r="N317" s="32">
        <v>466</v>
      </c>
      <c r="O317" s="32">
        <v>666</v>
      </c>
      <c r="P317" s="32">
        <v>349</v>
      </c>
      <c r="Q317" s="32">
        <v>82</v>
      </c>
      <c r="R317" s="32" t="s">
        <v>302</v>
      </c>
      <c r="S317" s="32">
        <v>34.649799999999999</v>
      </c>
      <c r="T317" s="32">
        <v>24.732099999999999</v>
      </c>
      <c r="U317" s="32">
        <v>0.72061364900000002</v>
      </c>
      <c r="V317" s="32">
        <v>2</v>
      </c>
      <c r="W317" s="32">
        <v>1</v>
      </c>
      <c r="X317" s="32">
        <v>0.190604</v>
      </c>
      <c r="Y317" s="32">
        <v>0.7</v>
      </c>
      <c r="Z317" s="32">
        <v>1</v>
      </c>
      <c r="AA317" s="32">
        <v>44.3</v>
      </c>
      <c r="AB317" s="32">
        <v>184</v>
      </c>
      <c r="AC317" s="32">
        <v>12</v>
      </c>
      <c r="AD317" s="32">
        <v>19</v>
      </c>
      <c r="AE317" s="32">
        <v>0</v>
      </c>
      <c r="AF317" s="32" t="s">
        <v>200</v>
      </c>
      <c r="AG317" s="32" t="s">
        <v>200</v>
      </c>
    </row>
    <row r="318" spans="1:33">
      <c r="A318" s="32" t="s">
        <v>1333</v>
      </c>
      <c r="B318" s="32" t="s">
        <v>55</v>
      </c>
      <c r="C318" s="32" t="s">
        <v>1334</v>
      </c>
      <c r="D318" s="32" t="s">
        <v>1335</v>
      </c>
      <c r="E318" s="32" t="s">
        <v>1285</v>
      </c>
      <c r="F318" s="32" t="s">
        <v>1286</v>
      </c>
      <c r="G318" s="32" t="s">
        <v>655</v>
      </c>
      <c r="H318" s="32" t="s">
        <v>656</v>
      </c>
      <c r="I318" s="32" t="s">
        <v>198</v>
      </c>
      <c r="J318" s="32" t="s">
        <v>199</v>
      </c>
      <c r="K318" s="32">
        <v>2.9992130000000001</v>
      </c>
      <c r="L318" s="33">
        <v>3876</v>
      </c>
      <c r="M318" s="32">
        <v>164</v>
      </c>
      <c r="N318" s="33">
        <v>2676</v>
      </c>
      <c r="O318" s="32">
        <v>790</v>
      </c>
      <c r="P318" s="32">
        <v>199</v>
      </c>
      <c r="Q318" s="32">
        <v>47</v>
      </c>
      <c r="R318" s="32" t="s">
        <v>302</v>
      </c>
      <c r="S318" s="32">
        <v>45.315300000000001</v>
      </c>
      <c r="T318" s="32">
        <v>28.3186</v>
      </c>
      <c r="U318" s="32">
        <v>0.49683582300000001</v>
      </c>
      <c r="V318" s="32">
        <v>4</v>
      </c>
      <c r="W318" s="32">
        <v>1</v>
      </c>
      <c r="X318" s="32">
        <v>0.31769199999999997</v>
      </c>
      <c r="Y318" s="32">
        <v>0.7</v>
      </c>
      <c r="Z318" s="32">
        <v>1</v>
      </c>
      <c r="AA318" s="32">
        <v>36.299999999999997</v>
      </c>
      <c r="AB318" s="32">
        <v>91</v>
      </c>
      <c r="AC318" s="32">
        <v>19</v>
      </c>
      <c r="AD318" s="32">
        <v>8</v>
      </c>
      <c r="AE318" s="32">
        <v>0</v>
      </c>
      <c r="AF318" s="32">
        <v>0</v>
      </c>
      <c r="AG318" s="32">
        <v>9</v>
      </c>
    </row>
    <row r="319" spans="1:33">
      <c r="A319" s="32" t="s">
        <v>1336</v>
      </c>
      <c r="B319" s="32" t="s">
        <v>53</v>
      </c>
      <c r="C319" s="32" t="s">
        <v>1337</v>
      </c>
      <c r="D319" s="32" t="s">
        <v>1338</v>
      </c>
      <c r="E319" s="32" t="s">
        <v>1339</v>
      </c>
      <c r="F319" s="32" t="s">
        <v>1340</v>
      </c>
      <c r="G319" s="32" t="s">
        <v>300</v>
      </c>
      <c r="H319" s="32" t="s">
        <v>301</v>
      </c>
      <c r="I319" s="32" t="s">
        <v>198</v>
      </c>
      <c r="J319" s="32" t="s">
        <v>199</v>
      </c>
      <c r="K319" s="32">
        <v>2.910819</v>
      </c>
      <c r="L319" s="33">
        <v>1190</v>
      </c>
      <c r="M319" s="32">
        <v>356</v>
      </c>
      <c r="N319" s="32">
        <v>206</v>
      </c>
      <c r="O319" s="32">
        <v>307</v>
      </c>
      <c r="P319" s="32">
        <v>229</v>
      </c>
      <c r="Q319" s="32">
        <v>92</v>
      </c>
      <c r="R319" s="32">
        <v>2</v>
      </c>
      <c r="S319" s="32">
        <v>18.209499999999998</v>
      </c>
      <c r="T319" s="32">
        <v>2.8018700000000001</v>
      </c>
      <c r="U319" s="32">
        <v>0.89883703100000001</v>
      </c>
      <c r="V319" s="32">
        <v>2</v>
      </c>
      <c r="W319" s="32">
        <v>0.93421100000000001</v>
      </c>
      <c r="X319" s="32">
        <v>0.37142900000000001</v>
      </c>
      <c r="Y319" s="32">
        <v>0.6</v>
      </c>
      <c r="Z319" s="32">
        <v>1</v>
      </c>
      <c r="AA319" s="32">
        <v>65.599999999999994</v>
      </c>
      <c r="AB319" s="32">
        <v>197</v>
      </c>
      <c r="AC319" s="32">
        <v>12</v>
      </c>
      <c r="AD319" s="32">
        <v>6</v>
      </c>
      <c r="AE319" s="32">
        <v>0</v>
      </c>
      <c r="AF319" s="32">
        <v>0</v>
      </c>
      <c r="AG319" s="32" t="s">
        <v>200</v>
      </c>
    </row>
    <row r="320" spans="1:33">
      <c r="A320" s="32" t="s">
        <v>1341</v>
      </c>
      <c r="B320" s="32" t="s">
        <v>53</v>
      </c>
      <c r="C320" s="32" t="s">
        <v>1342</v>
      </c>
      <c r="D320" s="32" t="s">
        <v>1343</v>
      </c>
      <c r="E320" s="32" t="s">
        <v>1339</v>
      </c>
      <c r="F320" s="32" t="s">
        <v>1340</v>
      </c>
      <c r="G320" s="32" t="s">
        <v>300</v>
      </c>
      <c r="H320" s="32" t="s">
        <v>301</v>
      </c>
      <c r="I320" s="32" t="s">
        <v>198</v>
      </c>
      <c r="J320" s="32" t="s">
        <v>199</v>
      </c>
      <c r="K320" s="32">
        <v>2.8271709999999999</v>
      </c>
      <c r="L320" s="33">
        <v>2764</v>
      </c>
      <c r="M320" s="32">
        <v>734</v>
      </c>
      <c r="N320" s="32">
        <v>569</v>
      </c>
      <c r="O320" s="32">
        <v>761</v>
      </c>
      <c r="P320" s="32">
        <v>495</v>
      </c>
      <c r="Q320" s="32">
        <v>205</v>
      </c>
      <c r="R320" s="32">
        <v>4</v>
      </c>
      <c r="S320" s="32">
        <v>23.468599999999999</v>
      </c>
      <c r="T320" s="32">
        <v>14.5464</v>
      </c>
      <c r="U320" s="32">
        <v>1.166613755</v>
      </c>
      <c r="V320" s="32">
        <v>2</v>
      </c>
      <c r="W320" s="32">
        <v>0.92520999999999998</v>
      </c>
      <c r="X320" s="32">
        <v>0.28146100000000002</v>
      </c>
      <c r="Y320" s="32">
        <v>0.6</v>
      </c>
      <c r="Z320" s="32">
        <v>1</v>
      </c>
      <c r="AA320" s="32">
        <v>61.1</v>
      </c>
      <c r="AB320" s="32">
        <v>342</v>
      </c>
      <c r="AC320" s="32">
        <v>18</v>
      </c>
      <c r="AD320" s="32">
        <v>14</v>
      </c>
      <c r="AE320" s="32">
        <v>0</v>
      </c>
      <c r="AF320" s="32" t="s">
        <v>200</v>
      </c>
      <c r="AG320" s="32" t="s">
        <v>200</v>
      </c>
    </row>
    <row r="321" spans="1:33">
      <c r="A321" s="32" t="s">
        <v>1344</v>
      </c>
      <c r="B321" s="32" t="s">
        <v>53</v>
      </c>
      <c r="C321" s="32" t="s">
        <v>1345</v>
      </c>
      <c r="D321" s="32" t="s">
        <v>1346</v>
      </c>
      <c r="E321" s="32" t="s">
        <v>1347</v>
      </c>
      <c r="F321" s="32" t="s">
        <v>1348</v>
      </c>
      <c r="G321" s="32" t="s">
        <v>300</v>
      </c>
      <c r="H321" s="32" t="s">
        <v>301</v>
      </c>
      <c r="I321" s="32" t="s">
        <v>198</v>
      </c>
      <c r="J321" s="32" t="s">
        <v>199</v>
      </c>
      <c r="K321" s="32">
        <v>2.62635</v>
      </c>
      <c r="L321" s="33">
        <v>3036</v>
      </c>
      <c r="M321" s="32">
        <v>710</v>
      </c>
      <c r="N321" s="32">
        <v>673</v>
      </c>
      <c r="O321" s="32">
        <v>970</v>
      </c>
      <c r="P321" s="32">
        <v>498</v>
      </c>
      <c r="Q321" s="32">
        <v>185</v>
      </c>
      <c r="R321" s="32">
        <v>3</v>
      </c>
      <c r="S321" s="32">
        <v>16.383199999999999</v>
      </c>
      <c r="T321" s="32">
        <v>8.0348000000000006</v>
      </c>
      <c r="U321" s="32">
        <v>1.0080032029999999</v>
      </c>
      <c r="V321" s="32">
        <v>3</v>
      </c>
      <c r="W321" s="32">
        <v>0.907856</v>
      </c>
      <c r="X321" s="32">
        <v>8.6223999999999995E-2</v>
      </c>
      <c r="Y321" s="32">
        <v>0.62544599999999995</v>
      </c>
      <c r="Z321" s="32">
        <v>1</v>
      </c>
      <c r="AA321" s="32">
        <v>50.7</v>
      </c>
      <c r="AB321" s="32">
        <v>424</v>
      </c>
      <c r="AC321" s="32">
        <v>21</v>
      </c>
      <c r="AD321" s="32">
        <v>22</v>
      </c>
      <c r="AE321" s="32">
        <v>0</v>
      </c>
      <c r="AF321" s="32">
        <v>0</v>
      </c>
      <c r="AG321" s="32" t="s">
        <v>200</v>
      </c>
    </row>
    <row r="322" spans="1:33">
      <c r="A322" s="32" t="s">
        <v>1349</v>
      </c>
      <c r="B322" s="32" t="s">
        <v>53</v>
      </c>
      <c r="C322" s="32" t="s">
        <v>1350</v>
      </c>
      <c r="D322" s="32" t="s">
        <v>1351</v>
      </c>
      <c r="E322" s="32" t="s">
        <v>1347</v>
      </c>
      <c r="F322" s="32" t="s">
        <v>1348</v>
      </c>
      <c r="G322" s="32" t="s">
        <v>300</v>
      </c>
      <c r="H322" s="32" t="s">
        <v>301</v>
      </c>
      <c r="I322" s="32" t="s">
        <v>198</v>
      </c>
      <c r="J322" s="32" t="s">
        <v>199</v>
      </c>
      <c r="K322" s="32">
        <v>2.9803419999999998</v>
      </c>
      <c r="L322" s="33">
        <v>1948</v>
      </c>
      <c r="M322" s="32">
        <v>604</v>
      </c>
      <c r="N322" s="32">
        <v>391</v>
      </c>
      <c r="O322" s="32">
        <v>504</v>
      </c>
      <c r="P322" s="32">
        <v>315</v>
      </c>
      <c r="Q322" s="32">
        <v>134</v>
      </c>
      <c r="R322" s="32">
        <v>3</v>
      </c>
      <c r="S322" s="32">
        <v>16.030100000000001</v>
      </c>
      <c r="T322" s="32">
        <v>10.137700000000001</v>
      </c>
      <c r="U322" s="32">
        <v>1.1104711060000001</v>
      </c>
      <c r="V322" s="32">
        <v>2</v>
      </c>
      <c r="W322" s="32">
        <v>0.92735000000000001</v>
      </c>
      <c r="X322" s="32">
        <v>0.37816100000000002</v>
      </c>
      <c r="Y322" s="32">
        <v>0.68933699999999998</v>
      </c>
      <c r="Z322" s="32">
        <v>0.99072499999999997</v>
      </c>
      <c r="AA322" s="32">
        <v>70.900000000000006</v>
      </c>
      <c r="AB322" s="32">
        <v>258</v>
      </c>
      <c r="AC322" s="32">
        <v>12</v>
      </c>
      <c r="AD322" s="32">
        <v>8</v>
      </c>
      <c r="AE322" s="32">
        <v>0</v>
      </c>
      <c r="AF322" s="32">
        <v>0</v>
      </c>
      <c r="AG322" s="32" t="s">
        <v>200</v>
      </c>
    </row>
    <row r="323" spans="1:33">
      <c r="A323" s="32" t="s">
        <v>1352</v>
      </c>
      <c r="B323" s="32" t="s">
        <v>53</v>
      </c>
      <c r="C323" s="32" t="s">
        <v>1353</v>
      </c>
      <c r="D323" s="32" t="s">
        <v>1354</v>
      </c>
      <c r="E323" s="32" t="s">
        <v>1347</v>
      </c>
      <c r="F323" s="32" t="s">
        <v>1348</v>
      </c>
      <c r="G323" s="32" t="s">
        <v>300</v>
      </c>
      <c r="H323" s="32" t="s">
        <v>301</v>
      </c>
      <c r="I323" s="32" t="s">
        <v>198</v>
      </c>
      <c r="J323" s="32" t="s">
        <v>199</v>
      </c>
      <c r="K323" s="32">
        <v>2.8528989999999999</v>
      </c>
      <c r="L323" s="33">
        <v>2411</v>
      </c>
      <c r="M323" s="32">
        <v>676</v>
      </c>
      <c r="N323" s="32">
        <v>403</v>
      </c>
      <c r="O323" s="32">
        <v>640</v>
      </c>
      <c r="P323" s="32">
        <v>535</v>
      </c>
      <c r="Q323" s="32">
        <v>157</v>
      </c>
      <c r="R323" s="32">
        <v>2</v>
      </c>
      <c r="S323" s="32">
        <v>14.0564</v>
      </c>
      <c r="T323" s="32">
        <v>2.3294899999999998</v>
      </c>
      <c r="U323" s="32">
        <v>1.1252221499999999</v>
      </c>
      <c r="V323" s="32">
        <v>2</v>
      </c>
      <c r="W323" s="32">
        <v>0.92844199999999999</v>
      </c>
      <c r="X323" s="32">
        <v>0.316187</v>
      </c>
      <c r="Y323" s="32">
        <v>0.616788</v>
      </c>
      <c r="Z323" s="32">
        <v>1</v>
      </c>
      <c r="AA323" s="32">
        <v>65.900000000000006</v>
      </c>
      <c r="AB323" s="32">
        <v>420</v>
      </c>
      <c r="AC323" s="32">
        <v>28</v>
      </c>
      <c r="AD323" s="32">
        <v>15</v>
      </c>
      <c r="AE323" s="32" t="s">
        <v>200</v>
      </c>
      <c r="AF323" s="32">
        <v>0</v>
      </c>
      <c r="AG323" s="32" t="s">
        <v>200</v>
      </c>
    </row>
    <row r="324" spans="1:33">
      <c r="A324" s="32" t="s">
        <v>1355</v>
      </c>
      <c r="B324" s="32" t="s">
        <v>53</v>
      </c>
      <c r="C324" s="32" t="s">
        <v>1356</v>
      </c>
      <c r="D324" s="32" t="s">
        <v>1357</v>
      </c>
      <c r="E324" s="32" t="s">
        <v>994</v>
      </c>
      <c r="F324" s="32" t="s">
        <v>995</v>
      </c>
      <c r="G324" s="32" t="s">
        <v>300</v>
      </c>
      <c r="H324" s="32" t="s">
        <v>301</v>
      </c>
      <c r="I324" s="32" t="s">
        <v>198</v>
      </c>
      <c r="J324" s="32" t="s">
        <v>199</v>
      </c>
      <c r="K324" s="32">
        <v>2.961859</v>
      </c>
      <c r="L324" s="33">
        <v>1681</v>
      </c>
      <c r="M324" s="32">
        <v>426</v>
      </c>
      <c r="N324" s="32">
        <v>372</v>
      </c>
      <c r="O324" s="32">
        <v>404</v>
      </c>
      <c r="P324" s="32">
        <v>348</v>
      </c>
      <c r="Q324" s="32">
        <v>131</v>
      </c>
      <c r="R324" s="32">
        <v>5</v>
      </c>
      <c r="S324" s="32">
        <v>25.973600000000001</v>
      </c>
      <c r="T324" s="32">
        <v>13.954499999999999</v>
      </c>
      <c r="U324" s="32">
        <v>0.94573151</v>
      </c>
      <c r="V324" s="32">
        <v>2</v>
      </c>
      <c r="W324" s="32">
        <v>0.92275600000000002</v>
      </c>
      <c r="X324" s="32">
        <v>0.32103599999999999</v>
      </c>
      <c r="Y324" s="32">
        <v>0.7</v>
      </c>
      <c r="Z324" s="32">
        <v>1</v>
      </c>
      <c r="AA324" s="32">
        <v>78.900000000000006</v>
      </c>
      <c r="AB324" s="32">
        <v>302</v>
      </c>
      <c r="AC324" s="32">
        <v>6</v>
      </c>
      <c r="AD324" s="32">
        <v>11</v>
      </c>
      <c r="AE324" s="32" t="s">
        <v>200</v>
      </c>
      <c r="AF324" s="32">
        <v>0</v>
      </c>
      <c r="AG324" s="32">
        <v>0</v>
      </c>
    </row>
    <row r="325" spans="1:33">
      <c r="A325" s="32" t="s">
        <v>1358</v>
      </c>
      <c r="B325" s="32" t="s">
        <v>53</v>
      </c>
      <c r="C325" s="32" t="s">
        <v>1359</v>
      </c>
      <c r="D325" s="32" t="s">
        <v>1360</v>
      </c>
      <c r="E325" s="32" t="s">
        <v>1361</v>
      </c>
      <c r="F325" s="32" t="s">
        <v>1362</v>
      </c>
      <c r="G325" s="32" t="s">
        <v>300</v>
      </c>
      <c r="H325" s="32" t="s">
        <v>301</v>
      </c>
      <c r="I325" s="32" t="s">
        <v>198</v>
      </c>
      <c r="J325" s="32" t="s">
        <v>199</v>
      </c>
      <c r="K325" s="32">
        <v>3.1704349999999999</v>
      </c>
      <c r="L325" s="33">
        <v>2378</v>
      </c>
      <c r="M325" s="32">
        <v>648</v>
      </c>
      <c r="N325" s="32">
        <v>563</v>
      </c>
      <c r="O325" s="32">
        <v>811</v>
      </c>
      <c r="P325" s="32">
        <v>277</v>
      </c>
      <c r="Q325" s="32">
        <v>79</v>
      </c>
      <c r="R325" s="32">
        <v>4</v>
      </c>
      <c r="S325" s="32">
        <v>23.306999999999999</v>
      </c>
      <c r="T325" s="32">
        <v>10.424200000000001</v>
      </c>
      <c r="U325" s="32">
        <v>0.65766641299999995</v>
      </c>
      <c r="V325" s="32">
        <v>2</v>
      </c>
      <c r="W325" s="32">
        <v>0.96782599999999996</v>
      </c>
      <c r="X325" s="32">
        <v>0.56758600000000003</v>
      </c>
      <c r="Y325" s="32">
        <v>0.63545600000000002</v>
      </c>
      <c r="Z325" s="32">
        <v>1</v>
      </c>
      <c r="AA325" s="32">
        <v>72.099999999999994</v>
      </c>
      <c r="AB325" s="32">
        <v>340</v>
      </c>
      <c r="AC325" s="32">
        <v>18</v>
      </c>
      <c r="AD325" s="32">
        <v>31</v>
      </c>
      <c r="AE325" s="32">
        <v>0</v>
      </c>
      <c r="AF325" s="32" t="s">
        <v>200</v>
      </c>
      <c r="AG325" s="32" t="s">
        <v>200</v>
      </c>
    </row>
    <row r="326" spans="1:33">
      <c r="A326" s="32" t="s">
        <v>1363</v>
      </c>
      <c r="B326" s="32" t="s">
        <v>53</v>
      </c>
      <c r="C326" s="32" t="s">
        <v>1364</v>
      </c>
      <c r="D326" s="32" t="s">
        <v>1365</v>
      </c>
      <c r="E326" s="32" t="s">
        <v>994</v>
      </c>
      <c r="F326" s="32" t="s">
        <v>995</v>
      </c>
      <c r="G326" s="32" t="s">
        <v>300</v>
      </c>
      <c r="H326" s="32" t="s">
        <v>301</v>
      </c>
      <c r="I326" s="32" t="s">
        <v>198</v>
      </c>
      <c r="J326" s="32" t="s">
        <v>199</v>
      </c>
      <c r="K326" s="32">
        <v>2.8997000000000002</v>
      </c>
      <c r="L326" s="33">
        <v>5238</v>
      </c>
      <c r="M326" s="33">
        <v>1163</v>
      </c>
      <c r="N326" s="33">
        <v>1402</v>
      </c>
      <c r="O326" s="33">
        <v>1846</v>
      </c>
      <c r="P326" s="32">
        <v>640</v>
      </c>
      <c r="Q326" s="32">
        <v>187</v>
      </c>
      <c r="R326" s="32">
        <v>4</v>
      </c>
      <c r="S326" s="32">
        <v>27.543500000000002</v>
      </c>
      <c r="T326" s="32">
        <v>12.135999999999999</v>
      </c>
      <c r="U326" s="32">
        <v>0.9181106</v>
      </c>
      <c r="V326" s="32">
        <v>3</v>
      </c>
      <c r="W326" s="32">
        <v>0.92522499999999996</v>
      </c>
      <c r="X326" s="32">
        <v>0.32222200000000001</v>
      </c>
      <c r="Y326" s="32">
        <v>0.7</v>
      </c>
      <c r="Z326" s="32">
        <v>0.95120199999999999</v>
      </c>
      <c r="AA326" s="32">
        <v>73</v>
      </c>
      <c r="AB326" s="32">
        <v>1057</v>
      </c>
      <c r="AC326" s="32">
        <v>66</v>
      </c>
      <c r="AD326" s="32">
        <v>130</v>
      </c>
      <c r="AE326" s="32">
        <v>53</v>
      </c>
      <c r="AF326" s="32" t="s">
        <v>200</v>
      </c>
      <c r="AG326" s="32">
        <v>672</v>
      </c>
    </row>
    <row r="327" spans="1:33">
      <c r="A327" s="32" t="s">
        <v>1366</v>
      </c>
      <c r="B327" s="32" t="s">
        <v>46</v>
      </c>
      <c r="C327" s="32" t="s">
        <v>1367</v>
      </c>
      <c r="D327" s="32" t="s">
        <v>1368</v>
      </c>
      <c r="E327" s="32" t="s">
        <v>1369</v>
      </c>
      <c r="F327" s="32" t="s">
        <v>1370</v>
      </c>
      <c r="G327" s="32" t="s">
        <v>300</v>
      </c>
      <c r="H327" s="32" t="s">
        <v>301</v>
      </c>
      <c r="I327" s="32" t="s">
        <v>198</v>
      </c>
      <c r="J327" s="32" t="s">
        <v>199</v>
      </c>
      <c r="K327" s="32">
        <v>2.7894739999999998</v>
      </c>
      <c r="L327" s="33">
        <v>2723</v>
      </c>
      <c r="M327" s="32">
        <v>468</v>
      </c>
      <c r="N327" s="32">
        <v>619</v>
      </c>
      <c r="O327" s="33">
        <v>1006</v>
      </c>
      <c r="P327" s="32">
        <v>441</v>
      </c>
      <c r="Q327" s="32">
        <v>189</v>
      </c>
      <c r="R327" s="32">
        <v>2</v>
      </c>
      <c r="S327" s="32">
        <v>17.773800000000001</v>
      </c>
      <c r="T327" s="32">
        <v>1.8916299999999999</v>
      </c>
      <c r="U327" s="32">
        <v>0.90640685899999995</v>
      </c>
      <c r="V327" s="32">
        <v>3</v>
      </c>
      <c r="W327" s="32">
        <v>0.92105300000000001</v>
      </c>
      <c r="X327" s="32">
        <v>0.193387</v>
      </c>
      <c r="Y327" s="32">
        <v>0.7</v>
      </c>
      <c r="Z327" s="32">
        <v>0.98149399999999998</v>
      </c>
      <c r="AA327" s="32">
        <v>44.7</v>
      </c>
      <c r="AB327" s="32">
        <v>414</v>
      </c>
      <c r="AC327" s="32">
        <v>42</v>
      </c>
      <c r="AD327" s="32">
        <v>63</v>
      </c>
      <c r="AE327" s="32" t="s">
        <v>200</v>
      </c>
      <c r="AF327" s="32" t="s">
        <v>200</v>
      </c>
      <c r="AG327" s="32">
        <v>5</v>
      </c>
    </row>
    <row r="328" spans="1:33">
      <c r="A328" s="32" t="s">
        <v>980</v>
      </c>
      <c r="B328" s="32" t="s">
        <v>46</v>
      </c>
      <c r="C328" s="32" t="s">
        <v>981</v>
      </c>
      <c r="D328" s="32" t="s">
        <v>982</v>
      </c>
      <c r="E328" s="32" t="s">
        <v>983</v>
      </c>
      <c r="F328" s="32" t="s">
        <v>984</v>
      </c>
      <c r="G328" s="32" t="s">
        <v>300</v>
      </c>
      <c r="H328" s="32" t="s">
        <v>301</v>
      </c>
      <c r="I328" s="32" t="s">
        <v>198</v>
      </c>
      <c r="J328" s="32" t="s">
        <v>199</v>
      </c>
      <c r="K328" s="32">
        <v>2.9160949999999999</v>
      </c>
      <c r="L328" s="33">
        <v>2915</v>
      </c>
      <c r="M328" s="32">
        <v>424</v>
      </c>
      <c r="N328" s="32">
        <v>835</v>
      </c>
      <c r="O328" s="33">
        <v>1141</v>
      </c>
      <c r="P328" s="32">
        <v>423</v>
      </c>
      <c r="Q328" s="32">
        <v>92</v>
      </c>
      <c r="R328" s="32">
        <v>5</v>
      </c>
      <c r="S328" s="32">
        <v>28.653700000000001</v>
      </c>
      <c r="T328" s="32">
        <v>4.1451500000000001</v>
      </c>
      <c r="U328" s="32">
        <v>0.53820393</v>
      </c>
      <c r="V328" s="32">
        <v>5</v>
      </c>
      <c r="W328" s="32">
        <v>0.91635900000000003</v>
      </c>
      <c r="X328" s="32">
        <v>0.30133300000000002</v>
      </c>
      <c r="Y328" s="32">
        <v>0.7</v>
      </c>
      <c r="Z328" s="32">
        <v>1</v>
      </c>
      <c r="AA328" s="32">
        <v>24.5</v>
      </c>
      <c r="AB328" s="32">
        <v>363</v>
      </c>
      <c r="AC328" s="32">
        <v>33</v>
      </c>
      <c r="AD328" s="32">
        <v>22</v>
      </c>
      <c r="AE328" s="32" t="s">
        <v>200</v>
      </c>
      <c r="AF328" s="32">
        <v>0</v>
      </c>
      <c r="AG328" s="32">
        <v>5</v>
      </c>
    </row>
    <row r="329" spans="1:33">
      <c r="A329" s="32" t="s">
        <v>1371</v>
      </c>
      <c r="B329" s="32" t="s">
        <v>46</v>
      </c>
      <c r="C329" s="32" t="s">
        <v>1372</v>
      </c>
      <c r="D329" s="32" t="s">
        <v>1373</v>
      </c>
      <c r="E329" s="32" t="s">
        <v>983</v>
      </c>
      <c r="F329" s="32" t="s">
        <v>984</v>
      </c>
      <c r="G329" s="32" t="s">
        <v>300</v>
      </c>
      <c r="H329" s="32" t="s">
        <v>301</v>
      </c>
      <c r="I329" s="32" t="s">
        <v>198</v>
      </c>
      <c r="J329" s="32" t="s">
        <v>199</v>
      </c>
      <c r="K329" s="32">
        <v>2.97709</v>
      </c>
      <c r="L329" s="33">
        <v>2352</v>
      </c>
      <c r="M329" s="32">
        <v>322</v>
      </c>
      <c r="N329" s="32">
        <v>604</v>
      </c>
      <c r="O329" s="32">
        <v>991</v>
      </c>
      <c r="P329" s="32">
        <v>354</v>
      </c>
      <c r="Q329" s="32">
        <v>81</v>
      </c>
      <c r="R329" s="32">
        <v>2</v>
      </c>
      <c r="S329" s="32">
        <v>28.352</v>
      </c>
      <c r="T329" s="32">
        <v>3.2682099999999998</v>
      </c>
      <c r="U329" s="32">
        <v>0.69445243999999995</v>
      </c>
      <c r="V329" s="32">
        <v>4</v>
      </c>
      <c r="W329" s="32">
        <v>0.93735800000000002</v>
      </c>
      <c r="X329" s="32">
        <v>0.34192899999999998</v>
      </c>
      <c r="Y329" s="32">
        <v>0.7</v>
      </c>
      <c r="Z329" s="32">
        <v>1</v>
      </c>
      <c r="AA329" s="32">
        <v>35.299999999999997</v>
      </c>
      <c r="AB329" s="32">
        <v>315</v>
      </c>
      <c r="AC329" s="32">
        <v>36</v>
      </c>
      <c r="AD329" s="32">
        <v>87</v>
      </c>
      <c r="AE329" s="32">
        <v>43</v>
      </c>
      <c r="AF329" s="32" t="s">
        <v>200</v>
      </c>
      <c r="AG329" s="32">
        <v>27</v>
      </c>
    </row>
    <row r="330" spans="1:33">
      <c r="A330" s="32" t="s">
        <v>1374</v>
      </c>
      <c r="B330" s="32" t="s">
        <v>46</v>
      </c>
      <c r="C330" s="32" t="s">
        <v>1375</v>
      </c>
      <c r="D330" s="32" t="s">
        <v>1376</v>
      </c>
      <c r="E330" s="32" t="s">
        <v>983</v>
      </c>
      <c r="F330" s="32" t="s">
        <v>984</v>
      </c>
      <c r="G330" s="32" t="s">
        <v>300</v>
      </c>
      <c r="H330" s="32" t="s">
        <v>301</v>
      </c>
      <c r="I330" s="32" t="s">
        <v>198</v>
      </c>
      <c r="J330" s="32" t="s">
        <v>199</v>
      </c>
      <c r="K330" s="32">
        <v>2.9064290000000002</v>
      </c>
      <c r="L330" s="33">
        <v>1967</v>
      </c>
      <c r="M330" s="32">
        <v>328</v>
      </c>
      <c r="N330" s="32">
        <v>529</v>
      </c>
      <c r="O330" s="32">
        <v>620</v>
      </c>
      <c r="P330" s="32">
        <v>360</v>
      </c>
      <c r="Q330" s="32">
        <v>130</v>
      </c>
      <c r="R330" s="32">
        <v>3</v>
      </c>
      <c r="S330" s="32">
        <v>16.276499999999999</v>
      </c>
      <c r="T330" s="32">
        <v>7.8164899999999999</v>
      </c>
      <c r="U330" s="32">
        <v>0.81759338800000003</v>
      </c>
      <c r="V330" s="32">
        <v>3</v>
      </c>
      <c r="W330" s="32">
        <v>0.92571400000000004</v>
      </c>
      <c r="X330" s="32">
        <v>0.26978400000000002</v>
      </c>
      <c r="Y330" s="32">
        <v>0.7</v>
      </c>
      <c r="Z330" s="32">
        <v>1</v>
      </c>
      <c r="AA330" s="32">
        <v>41.8</v>
      </c>
      <c r="AB330" s="32">
        <v>307</v>
      </c>
      <c r="AC330" s="32">
        <v>15</v>
      </c>
      <c r="AD330" s="32">
        <v>10</v>
      </c>
      <c r="AE330" s="32">
        <v>0</v>
      </c>
      <c r="AF330" s="32">
        <v>0</v>
      </c>
      <c r="AG330" s="32" t="s">
        <v>200</v>
      </c>
    </row>
    <row r="331" spans="1:33">
      <c r="A331" s="32" t="s">
        <v>1377</v>
      </c>
      <c r="B331" s="32" t="s">
        <v>46</v>
      </c>
      <c r="C331" s="32" t="s">
        <v>1378</v>
      </c>
      <c r="D331" s="32" t="s">
        <v>1379</v>
      </c>
      <c r="E331" s="32" t="s">
        <v>1380</v>
      </c>
      <c r="F331" s="32" t="s">
        <v>1381</v>
      </c>
      <c r="G331" s="32" t="s">
        <v>655</v>
      </c>
      <c r="H331" s="32" t="s">
        <v>656</v>
      </c>
      <c r="I331" s="32" t="s">
        <v>198</v>
      </c>
      <c r="J331" s="32" t="s">
        <v>199</v>
      </c>
      <c r="K331" s="32">
        <v>2.8374640000000002</v>
      </c>
      <c r="L331" s="33">
        <v>2829</v>
      </c>
      <c r="M331" s="32">
        <v>474</v>
      </c>
      <c r="N331" s="32">
        <v>666</v>
      </c>
      <c r="O331" s="33">
        <v>1109</v>
      </c>
      <c r="P331" s="32">
        <v>488</v>
      </c>
      <c r="Q331" s="32">
        <v>92</v>
      </c>
      <c r="R331" s="32">
        <v>3</v>
      </c>
      <c r="S331" s="32">
        <v>16.4801</v>
      </c>
      <c r="T331" s="32">
        <v>2.2215600000000002</v>
      </c>
      <c r="U331" s="32">
        <v>0.83124036400000001</v>
      </c>
      <c r="V331" s="32">
        <v>2</v>
      </c>
      <c r="W331" s="32">
        <v>0.92543200000000003</v>
      </c>
      <c r="X331" s="32">
        <v>0.32550400000000002</v>
      </c>
      <c r="Y331" s="32">
        <v>0.7</v>
      </c>
      <c r="Z331" s="32">
        <v>0.88380099999999995</v>
      </c>
      <c r="AA331" s="32">
        <v>52.4</v>
      </c>
      <c r="AB331" s="32">
        <v>458</v>
      </c>
      <c r="AC331" s="32">
        <v>44</v>
      </c>
      <c r="AD331" s="32">
        <v>78</v>
      </c>
      <c r="AE331" s="32" t="s">
        <v>200</v>
      </c>
      <c r="AF331" s="32">
        <v>54</v>
      </c>
      <c r="AG331" s="32" t="s">
        <v>200</v>
      </c>
    </row>
    <row r="332" spans="1:33">
      <c r="A332" s="32" t="s">
        <v>1382</v>
      </c>
      <c r="B332" s="32" t="s">
        <v>58</v>
      </c>
      <c r="C332" s="32" t="s">
        <v>1383</v>
      </c>
      <c r="D332" s="32" t="s">
        <v>1384</v>
      </c>
      <c r="E332" s="32" t="s">
        <v>1385</v>
      </c>
      <c r="F332" s="32" t="s">
        <v>1386</v>
      </c>
      <c r="G332" s="32" t="s">
        <v>1387</v>
      </c>
      <c r="H332" s="32" t="s">
        <v>1388</v>
      </c>
      <c r="I332" s="32" t="s">
        <v>198</v>
      </c>
      <c r="J332" s="32" t="s">
        <v>199</v>
      </c>
      <c r="K332" s="32">
        <v>2.926634</v>
      </c>
      <c r="L332" s="33">
        <v>1830</v>
      </c>
      <c r="M332" s="32">
        <v>252</v>
      </c>
      <c r="N332" s="32">
        <v>557</v>
      </c>
      <c r="O332" s="32">
        <v>493</v>
      </c>
      <c r="P332" s="32">
        <v>355</v>
      </c>
      <c r="Q332" s="32">
        <v>173</v>
      </c>
      <c r="R332" s="32">
        <v>5</v>
      </c>
      <c r="S332" s="32">
        <v>31.1175</v>
      </c>
      <c r="T332" s="32">
        <v>16.560500000000001</v>
      </c>
      <c r="U332" s="32">
        <v>0.70905524799999997</v>
      </c>
      <c r="V332" s="32">
        <v>4</v>
      </c>
      <c r="W332" s="32">
        <v>0.93088199999999999</v>
      </c>
      <c r="X332" s="32">
        <v>0.34165299999999998</v>
      </c>
      <c r="Y332" s="32">
        <v>0.72922100000000001</v>
      </c>
      <c r="Z332" s="32">
        <v>0.95382100000000003</v>
      </c>
      <c r="AA332" s="32">
        <v>68.2</v>
      </c>
      <c r="AB332" s="32">
        <v>326</v>
      </c>
      <c r="AC332" s="32">
        <v>15</v>
      </c>
      <c r="AD332" s="32">
        <v>23</v>
      </c>
      <c r="AE332" s="32" t="s">
        <v>200</v>
      </c>
      <c r="AF332" s="32" t="s">
        <v>200</v>
      </c>
      <c r="AG332" s="32" t="s">
        <v>200</v>
      </c>
    </row>
    <row r="333" spans="1:33">
      <c r="A333" s="32" t="s">
        <v>1389</v>
      </c>
      <c r="B333" s="32" t="s">
        <v>58</v>
      </c>
      <c r="C333" s="32" t="s">
        <v>1390</v>
      </c>
      <c r="D333" s="32" t="s">
        <v>1391</v>
      </c>
      <c r="E333" s="32" t="s">
        <v>1392</v>
      </c>
      <c r="F333" s="32" t="s">
        <v>1393</v>
      </c>
      <c r="G333" s="32" t="s">
        <v>1387</v>
      </c>
      <c r="H333" s="32" t="s">
        <v>1388</v>
      </c>
      <c r="I333" s="32" t="s">
        <v>198</v>
      </c>
      <c r="J333" s="32" t="s">
        <v>199</v>
      </c>
      <c r="K333" s="32">
        <v>2.5191080000000001</v>
      </c>
      <c r="L333" s="33">
        <v>1916</v>
      </c>
      <c r="M333" s="32">
        <v>407</v>
      </c>
      <c r="N333" s="32">
        <v>346</v>
      </c>
      <c r="O333" s="32">
        <v>673</v>
      </c>
      <c r="P333" s="32">
        <v>374</v>
      </c>
      <c r="Q333" s="32">
        <v>116</v>
      </c>
      <c r="R333" s="32">
        <v>4</v>
      </c>
      <c r="S333" s="32">
        <v>22.409199999999998</v>
      </c>
      <c r="T333" s="32">
        <v>7.5321199999999999</v>
      </c>
      <c r="U333" s="32">
        <v>0.84131052699999997</v>
      </c>
      <c r="V333" s="32">
        <v>4</v>
      </c>
      <c r="W333" s="32">
        <v>0.914331</v>
      </c>
      <c r="X333" s="32">
        <v>0.12815499999999999</v>
      </c>
      <c r="Y333" s="32">
        <v>0.79675300000000004</v>
      </c>
      <c r="Z333" s="32">
        <v>0.7</v>
      </c>
      <c r="AA333" s="32">
        <v>53.7</v>
      </c>
      <c r="AB333" s="32">
        <v>388</v>
      </c>
      <c r="AC333" s="32">
        <v>13</v>
      </c>
      <c r="AD333" s="32">
        <v>32</v>
      </c>
      <c r="AE333" s="32">
        <v>0</v>
      </c>
      <c r="AF333" s="32" t="s">
        <v>200</v>
      </c>
      <c r="AG333" s="32">
        <v>0</v>
      </c>
    </row>
    <row r="334" spans="1:33">
      <c r="A334" s="32" t="s">
        <v>1394</v>
      </c>
      <c r="B334" s="32" t="s">
        <v>58</v>
      </c>
      <c r="C334" s="32" t="s">
        <v>1395</v>
      </c>
      <c r="D334" s="32" t="s">
        <v>1396</v>
      </c>
      <c r="E334" s="32" t="s">
        <v>1392</v>
      </c>
      <c r="F334" s="32" t="s">
        <v>1393</v>
      </c>
      <c r="G334" s="32" t="s">
        <v>1387</v>
      </c>
      <c r="H334" s="32" t="s">
        <v>1388</v>
      </c>
      <c r="I334" s="32" t="s">
        <v>198</v>
      </c>
      <c r="J334" s="32" t="s">
        <v>199</v>
      </c>
      <c r="K334" s="32">
        <v>2.6231270000000002</v>
      </c>
      <c r="L334" s="33">
        <v>1756</v>
      </c>
      <c r="M334" s="32">
        <v>352</v>
      </c>
      <c r="N334" s="32">
        <v>376</v>
      </c>
      <c r="O334" s="32">
        <v>455</v>
      </c>
      <c r="P334" s="32">
        <v>421</v>
      </c>
      <c r="Q334" s="32">
        <v>152</v>
      </c>
      <c r="R334" s="32">
        <v>4</v>
      </c>
      <c r="S334" s="32">
        <v>24.608000000000001</v>
      </c>
      <c r="T334" s="32">
        <v>2.7637200000000002</v>
      </c>
      <c r="U334" s="32">
        <v>1.1392409750000001</v>
      </c>
      <c r="V334" s="32">
        <v>2</v>
      </c>
      <c r="W334" s="32">
        <v>0.91734599999999999</v>
      </c>
      <c r="X334" s="32">
        <v>0.20638300000000001</v>
      </c>
      <c r="Y334" s="32">
        <v>0.8</v>
      </c>
      <c r="Z334" s="32">
        <v>0.72216400000000003</v>
      </c>
      <c r="AA334" s="32">
        <v>59.9</v>
      </c>
      <c r="AB334" s="32">
        <v>457</v>
      </c>
      <c r="AC334" s="32">
        <v>14</v>
      </c>
      <c r="AD334" s="32">
        <v>30</v>
      </c>
      <c r="AE334" s="32">
        <v>0</v>
      </c>
      <c r="AF334" s="32" t="s">
        <v>200</v>
      </c>
      <c r="AG334" s="32" t="s">
        <v>200</v>
      </c>
    </row>
    <row r="335" spans="1:33">
      <c r="A335" s="32" t="s">
        <v>1397</v>
      </c>
      <c r="B335" s="32" t="s">
        <v>58</v>
      </c>
      <c r="C335" s="32" t="s">
        <v>1398</v>
      </c>
      <c r="D335" s="32" t="s">
        <v>1399</v>
      </c>
      <c r="E335" s="32" t="s">
        <v>1400</v>
      </c>
      <c r="F335" s="32" t="s">
        <v>1401</v>
      </c>
      <c r="G335" s="32" t="s">
        <v>1387</v>
      </c>
      <c r="H335" s="32" t="s">
        <v>1388</v>
      </c>
      <c r="I335" s="32" t="s">
        <v>198</v>
      </c>
      <c r="J335" s="32" t="s">
        <v>199</v>
      </c>
      <c r="K335" s="32">
        <v>2.5106709999999999</v>
      </c>
      <c r="L335" s="33">
        <v>1758</v>
      </c>
      <c r="M335" s="32">
        <v>300</v>
      </c>
      <c r="N335" s="32">
        <v>345</v>
      </c>
      <c r="O335" s="32">
        <v>565</v>
      </c>
      <c r="P335" s="32">
        <v>366</v>
      </c>
      <c r="Q335" s="32">
        <v>182</v>
      </c>
      <c r="R335" s="32">
        <v>4</v>
      </c>
      <c r="S335" s="32">
        <v>23.459700000000002</v>
      </c>
      <c r="T335" s="32">
        <v>14.202299999999999</v>
      </c>
      <c r="U335" s="32">
        <v>0.790054166</v>
      </c>
      <c r="V335" s="32">
        <v>5</v>
      </c>
      <c r="W335" s="32">
        <v>0.90670700000000004</v>
      </c>
      <c r="X335" s="32">
        <v>0.14682799999999999</v>
      </c>
      <c r="Y335" s="32">
        <v>0.8</v>
      </c>
      <c r="Z335" s="32">
        <v>0.65138499999999999</v>
      </c>
      <c r="AA335" s="32">
        <v>50.1</v>
      </c>
      <c r="AB335" s="32">
        <v>412</v>
      </c>
      <c r="AC335" s="32">
        <v>9</v>
      </c>
      <c r="AD335" s="32">
        <v>35</v>
      </c>
      <c r="AE335" s="32">
        <v>0</v>
      </c>
      <c r="AF335" s="32">
        <v>0</v>
      </c>
      <c r="AG335" s="32">
        <v>0</v>
      </c>
    </row>
    <row r="336" spans="1:33">
      <c r="A336" s="32" t="s">
        <v>1402</v>
      </c>
      <c r="B336" s="32" t="s">
        <v>58</v>
      </c>
      <c r="C336" s="32" t="s">
        <v>1403</v>
      </c>
      <c r="D336" s="32" t="s">
        <v>1404</v>
      </c>
      <c r="E336" s="32" t="s">
        <v>1400</v>
      </c>
      <c r="F336" s="32" t="s">
        <v>1401</v>
      </c>
      <c r="G336" s="32" t="s">
        <v>1387</v>
      </c>
      <c r="H336" s="32" t="s">
        <v>1388</v>
      </c>
      <c r="I336" s="32" t="s">
        <v>198</v>
      </c>
      <c r="J336" s="32" t="s">
        <v>199</v>
      </c>
      <c r="K336" s="32">
        <v>2.7744849999999999</v>
      </c>
      <c r="L336" s="33">
        <v>2075</v>
      </c>
      <c r="M336" s="32">
        <v>415</v>
      </c>
      <c r="N336" s="32">
        <v>387</v>
      </c>
      <c r="O336" s="32">
        <v>700</v>
      </c>
      <c r="P336" s="32">
        <v>360</v>
      </c>
      <c r="Q336" s="32">
        <v>213</v>
      </c>
      <c r="R336" s="32">
        <v>4</v>
      </c>
      <c r="S336" s="32">
        <v>24.732199999999999</v>
      </c>
      <c r="T336" s="32">
        <v>14.9687</v>
      </c>
      <c r="U336" s="32">
        <v>0.59257330900000005</v>
      </c>
      <c r="V336" s="32">
        <v>6</v>
      </c>
      <c r="W336" s="32">
        <v>0.92036099999999998</v>
      </c>
      <c r="X336" s="32">
        <v>0.30520799999999998</v>
      </c>
      <c r="Y336" s="32">
        <v>0.8</v>
      </c>
      <c r="Z336" s="32">
        <v>0.71585699999999997</v>
      </c>
      <c r="AA336" s="32">
        <v>54.1</v>
      </c>
      <c r="AB336" s="32">
        <v>479</v>
      </c>
      <c r="AC336" s="32">
        <v>25</v>
      </c>
      <c r="AD336" s="32">
        <v>27</v>
      </c>
      <c r="AE336" s="32" t="s">
        <v>200</v>
      </c>
      <c r="AF336" s="32">
        <v>0</v>
      </c>
      <c r="AG336" s="32" t="s">
        <v>200</v>
      </c>
    </row>
    <row r="337" spans="1:33">
      <c r="A337" s="32" t="s">
        <v>1405</v>
      </c>
      <c r="B337" s="32" t="s">
        <v>58</v>
      </c>
      <c r="C337" s="32" t="s">
        <v>1406</v>
      </c>
      <c r="D337" s="32" t="s">
        <v>1407</v>
      </c>
      <c r="E337" s="32" t="s">
        <v>1385</v>
      </c>
      <c r="F337" s="32" t="s">
        <v>1386</v>
      </c>
      <c r="G337" s="32" t="s">
        <v>1387</v>
      </c>
      <c r="H337" s="32" t="s">
        <v>1388</v>
      </c>
      <c r="I337" s="32" t="s">
        <v>198</v>
      </c>
      <c r="J337" s="32" t="s">
        <v>199</v>
      </c>
      <c r="K337" s="32">
        <v>3.0296189999999998</v>
      </c>
      <c r="L337" s="33">
        <v>2426</v>
      </c>
      <c r="M337" s="32">
        <v>379</v>
      </c>
      <c r="N337" s="32">
        <v>546</v>
      </c>
      <c r="O337" s="32">
        <v>875</v>
      </c>
      <c r="P337" s="32">
        <v>423</v>
      </c>
      <c r="Q337" s="32">
        <v>203</v>
      </c>
      <c r="R337" s="32">
        <v>4</v>
      </c>
      <c r="S337" s="32">
        <v>27.2606</v>
      </c>
      <c r="T337" s="32">
        <v>1.93672</v>
      </c>
      <c r="U337" s="32">
        <v>0.67139122399999995</v>
      </c>
      <c r="V337" s="32">
        <v>4</v>
      </c>
      <c r="W337" s="32">
        <v>0.91624700000000003</v>
      </c>
      <c r="X337" s="32">
        <v>0.41008600000000001</v>
      </c>
      <c r="Y337" s="32">
        <v>0.70122200000000001</v>
      </c>
      <c r="Z337" s="32">
        <v>0.99360599999999999</v>
      </c>
      <c r="AA337" s="32">
        <v>58.9</v>
      </c>
      <c r="AB337" s="32">
        <v>475</v>
      </c>
      <c r="AC337" s="32">
        <v>28</v>
      </c>
      <c r="AD337" s="32">
        <v>25</v>
      </c>
      <c r="AE337" s="32">
        <v>0</v>
      </c>
      <c r="AF337" s="32" t="s">
        <v>200</v>
      </c>
      <c r="AG337" s="32" t="s">
        <v>200</v>
      </c>
    </row>
    <row r="338" spans="1:33">
      <c r="A338" s="32" t="s">
        <v>1408</v>
      </c>
      <c r="B338" s="32" t="s">
        <v>58</v>
      </c>
      <c r="C338" s="32" t="s">
        <v>1409</v>
      </c>
      <c r="D338" s="32" t="s">
        <v>1410</v>
      </c>
      <c r="E338" s="32" t="s">
        <v>1411</v>
      </c>
      <c r="F338" s="32" t="s">
        <v>1412</v>
      </c>
      <c r="G338" s="32" t="s">
        <v>1387</v>
      </c>
      <c r="H338" s="32" t="s">
        <v>1388</v>
      </c>
      <c r="I338" s="32" t="s">
        <v>198</v>
      </c>
      <c r="J338" s="32" t="s">
        <v>199</v>
      </c>
      <c r="K338" s="32">
        <v>2.6321479999999999</v>
      </c>
      <c r="L338" s="33">
        <v>1933</v>
      </c>
      <c r="M338" s="32">
        <v>341</v>
      </c>
      <c r="N338" s="32">
        <v>383</v>
      </c>
      <c r="O338" s="32">
        <v>613</v>
      </c>
      <c r="P338" s="32">
        <v>395</v>
      </c>
      <c r="Q338" s="32">
        <v>201</v>
      </c>
      <c r="R338" s="32">
        <v>4</v>
      </c>
      <c r="S338" s="32">
        <v>27.16</v>
      </c>
      <c r="T338" s="32">
        <v>3.4653</v>
      </c>
      <c r="U338" s="32">
        <v>0.910211938</v>
      </c>
      <c r="V338" s="32">
        <v>3</v>
      </c>
      <c r="W338" s="32">
        <v>0.91674100000000003</v>
      </c>
      <c r="X338" s="32">
        <v>0.38725900000000002</v>
      </c>
      <c r="Y338" s="32">
        <v>0.709673</v>
      </c>
      <c r="Z338" s="32">
        <v>0.60221899999999995</v>
      </c>
      <c r="AA338" s="32">
        <v>49.6</v>
      </c>
      <c r="AB338" s="32">
        <v>404</v>
      </c>
      <c r="AC338" s="32">
        <v>9</v>
      </c>
      <c r="AD338" s="32">
        <v>18</v>
      </c>
      <c r="AE338" s="32">
        <v>0</v>
      </c>
      <c r="AF338" s="32">
        <v>0</v>
      </c>
      <c r="AG338" s="32" t="s">
        <v>200</v>
      </c>
    </row>
    <row r="339" spans="1:33">
      <c r="A339" s="32" t="s">
        <v>1413</v>
      </c>
      <c r="B339" s="32" t="s">
        <v>58</v>
      </c>
      <c r="C339" s="32" t="s">
        <v>1414</v>
      </c>
      <c r="D339" s="32" t="s">
        <v>1415</v>
      </c>
      <c r="E339" s="32" t="s">
        <v>1416</v>
      </c>
      <c r="F339" s="32" t="s">
        <v>1417</v>
      </c>
      <c r="G339" s="32" t="s">
        <v>1387</v>
      </c>
      <c r="H339" s="32" t="s">
        <v>1388</v>
      </c>
      <c r="I339" s="32" t="s">
        <v>198</v>
      </c>
      <c r="J339" s="32" t="s">
        <v>199</v>
      </c>
      <c r="K339" s="32">
        <v>2.524966</v>
      </c>
      <c r="L339" s="33">
        <v>2304</v>
      </c>
      <c r="M339" s="32">
        <v>347</v>
      </c>
      <c r="N339" s="32">
        <v>521</v>
      </c>
      <c r="O339" s="32">
        <v>774</v>
      </c>
      <c r="P339" s="32">
        <v>485</v>
      </c>
      <c r="Q339" s="32">
        <v>177</v>
      </c>
      <c r="R339" s="32">
        <v>5</v>
      </c>
      <c r="S339" s="32">
        <v>34.276200000000003</v>
      </c>
      <c r="T339" s="32">
        <v>7.6195300000000001</v>
      </c>
      <c r="U339" s="32">
        <v>0.80240939499999997</v>
      </c>
      <c r="V339" s="32">
        <v>5</v>
      </c>
      <c r="W339" s="32">
        <v>0.91973199999999999</v>
      </c>
      <c r="X339" s="32">
        <v>0.23524700000000001</v>
      </c>
      <c r="Y339" s="32">
        <v>0.70508000000000004</v>
      </c>
      <c r="Z339" s="32">
        <v>0.67922800000000005</v>
      </c>
      <c r="AA339" s="32">
        <v>48.1</v>
      </c>
      <c r="AB339" s="32">
        <v>547</v>
      </c>
      <c r="AC339" s="32">
        <v>16</v>
      </c>
      <c r="AD339" s="32">
        <v>42</v>
      </c>
      <c r="AE339" s="32" t="s">
        <v>200</v>
      </c>
      <c r="AF339" s="32">
        <v>11</v>
      </c>
      <c r="AG339" s="32" t="s">
        <v>200</v>
      </c>
    </row>
    <row r="340" spans="1:33">
      <c r="A340" s="32" t="s">
        <v>1418</v>
      </c>
      <c r="B340" s="32" t="s">
        <v>58</v>
      </c>
      <c r="C340" s="32" t="s">
        <v>1419</v>
      </c>
      <c r="D340" s="32" t="s">
        <v>1420</v>
      </c>
      <c r="E340" s="32" t="s">
        <v>1416</v>
      </c>
      <c r="F340" s="32" t="s">
        <v>1417</v>
      </c>
      <c r="G340" s="32" t="s">
        <v>1387</v>
      </c>
      <c r="H340" s="32" t="s">
        <v>1388</v>
      </c>
      <c r="I340" s="32" t="s">
        <v>198</v>
      </c>
      <c r="J340" s="32" t="s">
        <v>199</v>
      </c>
      <c r="K340" s="32">
        <v>2.59741</v>
      </c>
      <c r="L340" s="33">
        <v>2350</v>
      </c>
      <c r="M340" s="32">
        <v>434</v>
      </c>
      <c r="N340" s="32">
        <v>428</v>
      </c>
      <c r="O340" s="32">
        <v>898</v>
      </c>
      <c r="P340" s="32">
        <v>417</v>
      </c>
      <c r="Q340" s="32">
        <v>173</v>
      </c>
      <c r="R340" s="32" t="s">
        <v>302</v>
      </c>
      <c r="S340" s="32">
        <v>34.759799999999998</v>
      </c>
      <c r="T340" s="32">
        <v>17.248000000000001</v>
      </c>
      <c r="U340" s="32">
        <v>0.850510023</v>
      </c>
      <c r="V340" s="32">
        <v>4</v>
      </c>
      <c r="W340" s="32">
        <v>0.91784200000000005</v>
      </c>
      <c r="X340" s="32">
        <v>0.238737</v>
      </c>
      <c r="Y340" s="32">
        <v>0.76172700000000004</v>
      </c>
      <c r="Z340" s="32">
        <v>0.69250699999999998</v>
      </c>
      <c r="AA340" s="32">
        <v>50.8</v>
      </c>
      <c r="AB340" s="32">
        <v>430</v>
      </c>
      <c r="AC340" s="32">
        <v>20</v>
      </c>
      <c r="AD340" s="32">
        <v>31</v>
      </c>
      <c r="AE340" s="32">
        <v>0</v>
      </c>
      <c r="AF340" s="32">
        <v>0</v>
      </c>
      <c r="AG340" s="32">
        <v>0</v>
      </c>
    </row>
    <row r="341" spans="1:33">
      <c r="A341" s="32" t="s">
        <v>1421</v>
      </c>
      <c r="B341" s="32" t="s">
        <v>58</v>
      </c>
      <c r="C341" s="32" t="s">
        <v>1422</v>
      </c>
      <c r="D341" s="32" t="s">
        <v>1423</v>
      </c>
      <c r="E341" s="32" t="s">
        <v>1400</v>
      </c>
      <c r="F341" s="32" t="s">
        <v>1401</v>
      </c>
      <c r="G341" s="32" t="s">
        <v>1387</v>
      </c>
      <c r="H341" s="32" t="s">
        <v>1388</v>
      </c>
      <c r="I341" s="32" t="s">
        <v>198</v>
      </c>
      <c r="J341" s="32" t="s">
        <v>199</v>
      </c>
      <c r="K341" s="32">
        <v>2.9107029999999998</v>
      </c>
      <c r="L341" s="33">
        <v>2200</v>
      </c>
      <c r="M341" s="32">
        <v>343</v>
      </c>
      <c r="N341" s="32">
        <v>557</v>
      </c>
      <c r="O341" s="32">
        <v>755</v>
      </c>
      <c r="P341" s="32">
        <v>356</v>
      </c>
      <c r="Q341" s="32">
        <v>189</v>
      </c>
      <c r="R341" s="32">
        <v>5</v>
      </c>
      <c r="S341" s="32">
        <v>28.0687</v>
      </c>
      <c r="T341" s="32">
        <v>21.7072</v>
      </c>
      <c r="U341" s="32">
        <v>0.62085304699999999</v>
      </c>
      <c r="V341" s="32">
        <v>4</v>
      </c>
      <c r="W341" s="32">
        <v>0.91773700000000002</v>
      </c>
      <c r="X341" s="32">
        <v>0.33518500000000001</v>
      </c>
      <c r="Y341" s="32">
        <v>0.77160099999999998</v>
      </c>
      <c r="Z341" s="32">
        <v>0.88190199999999996</v>
      </c>
      <c r="AA341" s="32">
        <v>62.4</v>
      </c>
      <c r="AB341" s="32">
        <v>436</v>
      </c>
      <c r="AC341" s="32">
        <v>20</v>
      </c>
      <c r="AD341" s="32">
        <v>16</v>
      </c>
      <c r="AE341" s="32" t="s">
        <v>200</v>
      </c>
      <c r="AF341" s="32" t="s">
        <v>200</v>
      </c>
      <c r="AG341" s="32" t="s">
        <v>200</v>
      </c>
    </row>
    <row r="342" spans="1:33">
      <c r="A342" s="32" t="s">
        <v>1424</v>
      </c>
      <c r="B342" s="32" t="s">
        <v>58</v>
      </c>
      <c r="C342" s="32" t="s">
        <v>1425</v>
      </c>
      <c r="D342" s="32" t="s">
        <v>1426</v>
      </c>
      <c r="E342" s="32" t="s">
        <v>1427</v>
      </c>
      <c r="F342" s="32" t="s">
        <v>1428</v>
      </c>
      <c r="G342" s="32" t="s">
        <v>1429</v>
      </c>
      <c r="H342" s="32" t="s">
        <v>1430</v>
      </c>
      <c r="I342" s="32" t="s">
        <v>198</v>
      </c>
      <c r="J342" s="32" t="s">
        <v>199</v>
      </c>
      <c r="K342" s="32">
        <v>2.2442129999999998</v>
      </c>
      <c r="L342" s="33">
        <v>1425</v>
      </c>
      <c r="M342" s="32">
        <v>227</v>
      </c>
      <c r="N342" s="32">
        <v>231</v>
      </c>
      <c r="O342" s="32">
        <v>342</v>
      </c>
      <c r="P342" s="32">
        <v>381</v>
      </c>
      <c r="Q342" s="32">
        <v>244</v>
      </c>
      <c r="R342" s="32">
        <v>3</v>
      </c>
      <c r="S342" s="32">
        <v>26.409800000000001</v>
      </c>
      <c r="T342" s="32">
        <v>4.3978999999999999</v>
      </c>
      <c r="U342" s="32">
        <v>0.74441095199999996</v>
      </c>
      <c r="V342" s="32">
        <v>8</v>
      </c>
      <c r="W342" s="32">
        <v>0.92025500000000005</v>
      </c>
      <c r="X342" s="32">
        <v>0.28587800000000002</v>
      </c>
      <c r="Y342" s="32">
        <v>0.7</v>
      </c>
      <c r="Z342" s="32">
        <v>0.355632</v>
      </c>
      <c r="AA342" s="32">
        <v>30.1</v>
      </c>
      <c r="AB342" s="32">
        <v>566</v>
      </c>
      <c r="AC342" s="32">
        <v>18</v>
      </c>
      <c r="AD342" s="32">
        <v>22</v>
      </c>
      <c r="AE342" s="32" t="s">
        <v>200</v>
      </c>
      <c r="AF342" s="32" t="s">
        <v>200</v>
      </c>
      <c r="AG342" s="32" t="s">
        <v>200</v>
      </c>
    </row>
    <row r="343" spans="1:33">
      <c r="A343" s="32" t="s">
        <v>1431</v>
      </c>
      <c r="B343" s="32" t="s">
        <v>58</v>
      </c>
      <c r="C343" s="32" t="s">
        <v>1432</v>
      </c>
      <c r="D343" s="32" t="s">
        <v>1433</v>
      </c>
      <c r="E343" s="32" t="s">
        <v>1434</v>
      </c>
      <c r="F343" s="32" t="s">
        <v>1435</v>
      </c>
      <c r="G343" s="32" t="s">
        <v>1429</v>
      </c>
      <c r="H343" s="32" t="s">
        <v>1430</v>
      </c>
      <c r="I343" s="32" t="s">
        <v>198</v>
      </c>
      <c r="J343" s="32" t="s">
        <v>199</v>
      </c>
      <c r="K343" s="32">
        <v>2.0454780000000001</v>
      </c>
      <c r="L343" s="33">
        <v>1516</v>
      </c>
      <c r="M343" s="32">
        <v>297</v>
      </c>
      <c r="N343" s="32">
        <v>206</v>
      </c>
      <c r="O343" s="32">
        <v>333</v>
      </c>
      <c r="P343" s="32">
        <v>396</v>
      </c>
      <c r="Q343" s="32">
        <v>284</v>
      </c>
      <c r="R343" s="32">
        <v>2</v>
      </c>
      <c r="S343" s="32">
        <v>17.277100000000001</v>
      </c>
      <c r="T343" s="32">
        <v>0</v>
      </c>
      <c r="U343" s="32">
        <v>0.944289924</v>
      </c>
      <c r="V343" s="32">
        <v>6</v>
      </c>
      <c r="W343" s="32">
        <v>0.90200599999999997</v>
      </c>
      <c r="X343" s="32">
        <v>0.123943</v>
      </c>
      <c r="Y343" s="32">
        <v>0.7</v>
      </c>
      <c r="Z343" s="32">
        <v>0.31479699999999999</v>
      </c>
      <c r="AA343" s="32">
        <v>26.3</v>
      </c>
      <c r="AB343" s="32">
        <v>626</v>
      </c>
      <c r="AC343" s="32">
        <v>39</v>
      </c>
      <c r="AD343" s="32">
        <v>34</v>
      </c>
      <c r="AE343" s="32" t="s">
        <v>200</v>
      </c>
      <c r="AF343" s="32">
        <v>0</v>
      </c>
      <c r="AG343" s="32" t="s">
        <v>200</v>
      </c>
    </row>
    <row r="344" spans="1:33">
      <c r="A344" s="32" t="s">
        <v>1436</v>
      </c>
      <c r="B344" s="32" t="s">
        <v>58</v>
      </c>
      <c r="C344" s="32" t="s">
        <v>1437</v>
      </c>
      <c r="D344" s="32" t="s">
        <v>1438</v>
      </c>
      <c r="E344" s="32" t="s">
        <v>1439</v>
      </c>
      <c r="F344" s="32" t="s">
        <v>1440</v>
      </c>
      <c r="G344" s="32" t="s">
        <v>1429</v>
      </c>
      <c r="H344" s="32" t="s">
        <v>1430</v>
      </c>
      <c r="I344" s="32" t="s">
        <v>198</v>
      </c>
      <c r="J344" s="32" t="s">
        <v>199</v>
      </c>
      <c r="K344" s="32">
        <v>2.0229339999999998</v>
      </c>
      <c r="L344" s="33">
        <v>1767</v>
      </c>
      <c r="M344" s="32">
        <v>226</v>
      </c>
      <c r="N344" s="32">
        <v>306</v>
      </c>
      <c r="O344" s="32">
        <v>552</v>
      </c>
      <c r="P344" s="32">
        <v>439</v>
      </c>
      <c r="Q344" s="32">
        <v>244</v>
      </c>
      <c r="R344" s="32">
        <v>4</v>
      </c>
      <c r="S344" s="32">
        <v>22.210699999999999</v>
      </c>
      <c r="T344" s="32">
        <v>11.5951</v>
      </c>
      <c r="U344" s="32">
        <v>0.84396641900000002</v>
      </c>
      <c r="V344" s="32">
        <v>9</v>
      </c>
      <c r="W344" s="32">
        <v>0.90270700000000004</v>
      </c>
      <c r="X344" s="32">
        <v>9.6317E-2</v>
      </c>
      <c r="Y344" s="32">
        <v>0.7</v>
      </c>
      <c r="Z344" s="32">
        <v>0.32253900000000002</v>
      </c>
      <c r="AA344" s="32">
        <v>25.1</v>
      </c>
      <c r="AB344" s="32">
        <v>633</v>
      </c>
      <c r="AC344" s="32">
        <v>14</v>
      </c>
      <c r="AD344" s="32">
        <v>23</v>
      </c>
      <c r="AE344" s="32">
        <v>0</v>
      </c>
      <c r="AF344" s="32" t="s">
        <v>200</v>
      </c>
      <c r="AG344" s="32" t="s">
        <v>200</v>
      </c>
    </row>
    <row r="345" spans="1:33">
      <c r="A345" s="32" t="s">
        <v>1441</v>
      </c>
      <c r="B345" s="32" t="s">
        <v>58</v>
      </c>
      <c r="C345" s="32" t="s">
        <v>1442</v>
      </c>
      <c r="D345" s="32" t="s">
        <v>1443</v>
      </c>
      <c r="E345" s="32" t="s">
        <v>1411</v>
      </c>
      <c r="F345" s="32" t="s">
        <v>1412</v>
      </c>
      <c r="G345" s="32" t="s">
        <v>1387</v>
      </c>
      <c r="H345" s="32" t="s">
        <v>1388</v>
      </c>
      <c r="I345" s="32" t="s">
        <v>198</v>
      </c>
      <c r="J345" s="32" t="s">
        <v>199</v>
      </c>
      <c r="K345" s="32">
        <v>2.252329</v>
      </c>
      <c r="L345" s="33">
        <v>1691</v>
      </c>
      <c r="M345" s="32">
        <v>336</v>
      </c>
      <c r="N345" s="32">
        <v>301</v>
      </c>
      <c r="O345" s="32">
        <v>480</v>
      </c>
      <c r="P345" s="32">
        <v>388</v>
      </c>
      <c r="Q345" s="32">
        <v>186</v>
      </c>
      <c r="R345" s="32">
        <v>2</v>
      </c>
      <c r="S345" s="32">
        <v>19.4709</v>
      </c>
      <c r="T345" s="32">
        <v>0</v>
      </c>
      <c r="U345" s="32">
        <v>0.99082593799999996</v>
      </c>
      <c r="V345" s="32">
        <v>4</v>
      </c>
      <c r="W345" s="32">
        <v>0.90493000000000001</v>
      </c>
      <c r="X345" s="32">
        <v>0.26119900000000001</v>
      </c>
      <c r="Y345" s="32">
        <v>0.7</v>
      </c>
      <c r="Z345" s="32">
        <v>0.38725700000000002</v>
      </c>
      <c r="AA345" s="32">
        <v>38.1</v>
      </c>
      <c r="AB345" s="32">
        <v>423</v>
      </c>
      <c r="AC345" s="32">
        <v>19</v>
      </c>
      <c r="AD345" s="32">
        <v>22</v>
      </c>
      <c r="AE345" s="32">
        <v>0</v>
      </c>
      <c r="AF345" s="32">
        <v>0</v>
      </c>
      <c r="AG345" s="32">
        <v>0</v>
      </c>
    </row>
    <row r="346" spans="1:33">
      <c r="A346" s="32" t="s">
        <v>1444</v>
      </c>
      <c r="B346" s="32" t="s">
        <v>58</v>
      </c>
      <c r="C346" s="32" t="s">
        <v>1445</v>
      </c>
      <c r="D346" s="32" t="s">
        <v>1446</v>
      </c>
      <c r="E346" s="32" t="s">
        <v>1427</v>
      </c>
      <c r="F346" s="32" t="s">
        <v>1428</v>
      </c>
      <c r="G346" s="32" t="s">
        <v>1429</v>
      </c>
      <c r="H346" s="32" t="s">
        <v>1430</v>
      </c>
      <c r="I346" s="32" t="s">
        <v>198</v>
      </c>
      <c r="J346" s="32" t="s">
        <v>199</v>
      </c>
      <c r="K346" s="32">
        <v>2.1398799999999998</v>
      </c>
      <c r="L346" s="33">
        <v>1229</v>
      </c>
      <c r="M346" s="32">
        <v>272</v>
      </c>
      <c r="N346" s="32">
        <v>159</v>
      </c>
      <c r="O346" s="32">
        <v>196</v>
      </c>
      <c r="P346" s="32">
        <v>384</v>
      </c>
      <c r="Q346" s="32">
        <v>218</v>
      </c>
      <c r="R346" s="32" t="s">
        <v>225</v>
      </c>
      <c r="S346" s="32">
        <v>11.091900000000001</v>
      </c>
      <c r="T346" s="32">
        <v>0</v>
      </c>
      <c r="U346" s="32">
        <v>0.76755962700000002</v>
      </c>
      <c r="V346" s="32">
        <v>9</v>
      </c>
      <c r="W346" s="32">
        <v>0.90382700000000005</v>
      </c>
      <c r="X346" s="32">
        <v>0.27355400000000002</v>
      </c>
      <c r="Y346" s="32">
        <v>0.7</v>
      </c>
      <c r="Z346" s="32">
        <v>0.258629</v>
      </c>
      <c r="AA346" s="32">
        <v>28.7</v>
      </c>
      <c r="AB346" s="32">
        <v>521</v>
      </c>
      <c r="AC346" s="32">
        <v>9</v>
      </c>
      <c r="AD346" s="32">
        <v>15</v>
      </c>
      <c r="AE346" s="32" t="s">
        <v>200</v>
      </c>
      <c r="AF346" s="32" t="s">
        <v>200</v>
      </c>
      <c r="AG346" s="32" t="s">
        <v>200</v>
      </c>
    </row>
    <row r="347" spans="1:33">
      <c r="A347" s="32" t="s">
        <v>1447</v>
      </c>
      <c r="B347" s="32" t="s">
        <v>58</v>
      </c>
      <c r="C347" s="32" t="s">
        <v>1448</v>
      </c>
      <c r="D347" s="32" t="s">
        <v>1449</v>
      </c>
      <c r="E347" s="32" t="s">
        <v>1439</v>
      </c>
      <c r="F347" s="32" t="s">
        <v>1440</v>
      </c>
      <c r="G347" s="32" t="s">
        <v>1429</v>
      </c>
      <c r="H347" s="32" t="s">
        <v>1430</v>
      </c>
      <c r="I347" s="32" t="s">
        <v>198</v>
      </c>
      <c r="J347" s="32" t="s">
        <v>199</v>
      </c>
      <c r="K347" s="32">
        <v>2.189387</v>
      </c>
      <c r="L347" s="33">
        <v>2080</v>
      </c>
      <c r="M347" s="32">
        <v>337</v>
      </c>
      <c r="N347" s="32">
        <v>431</v>
      </c>
      <c r="O347" s="32">
        <v>628</v>
      </c>
      <c r="P347" s="32">
        <v>417</v>
      </c>
      <c r="Q347" s="32">
        <v>267</v>
      </c>
      <c r="R347" s="32">
        <v>4</v>
      </c>
      <c r="S347" s="32">
        <v>25.072800000000001</v>
      </c>
      <c r="T347" s="32">
        <v>7.0510900000000003</v>
      </c>
      <c r="U347" s="32">
        <v>0.78928152799999995</v>
      </c>
      <c r="V347" s="32">
        <v>8</v>
      </c>
      <c r="W347" s="32">
        <v>0.90749800000000003</v>
      </c>
      <c r="X347" s="32">
        <v>0.22820799999999999</v>
      </c>
      <c r="Y347" s="32">
        <v>0.7</v>
      </c>
      <c r="Z347" s="32">
        <v>0.35828500000000002</v>
      </c>
      <c r="AA347" s="32">
        <v>27.6</v>
      </c>
      <c r="AB347" s="32">
        <v>621</v>
      </c>
      <c r="AC347" s="32">
        <v>22</v>
      </c>
      <c r="AD347" s="32">
        <v>43</v>
      </c>
      <c r="AE347" s="32" t="s">
        <v>200</v>
      </c>
      <c r="AF347" s="32" t="s">
        <v>200</v>
      </c>
      <c r="AG347" s="32" t="s">
        <v>200</v>
      </c>
    </row>
    <row r="348" spans="1:33">
      <c r="A348" s="32" t="s">
        <v>1450</v>
      </c>
      <c r="B348" s="32" t="s">
        <v>58</v>
      </c>
      <c r="C348" s="32" t="s">
        <v>1451</v>
      </c>
      <c r="D348" s="32" t="s">
        <v>1452</v>
      </c>
      <c r="E348" s="32" t="s">
        <v>1427</v>
      </c>
      <c r="F348" s="32" t="s">
        <v>1428</v>
      </c>
      <c r="G348" s="32" t="s">
        <v>1429</v>
      </c>
      <c r="H348" s="32" t="s">
        <v>1430</v>
      </c>
      <c r="I348" s="32" t="s">
        <v>198</v>
      </c>
      <c r="J348" s="32" t="s">
        <v>199</v>
      </c>
      <c r="K348" s="32">
        <v>2.0817570000000001</v>
      </c>
      <c r="L348" s="33">
        <v>1604</v>
      </c>
      <c r="M348" s="32">
        <v>311</v>
      </c>
      <c r="N348" s="32">
        <v>258</v>
      </c>
      <c r="O348" s="32">
        <v>318</v>
      </c>
      <c r="P348" s="32">
        <v>448</v>
      </c>
      <c r="Q348" s="32">
        <v>269</v>
      </c>
      <c r="R348" s="32">
        <v>2</v>
      </c>
      <c r="S348" s="32">
        <v>24.132400000000001</v>
      </c>
      <c r="T348" s="32">
        <v>4.4566400000000002</v>
      </c>
      <c r="U348" s="32">
        <v>0.83312887800000002</v>
      </c>
      <c r="V348" s="32">
        <v>8</v>
      </c>
      <c r="W348" s="32">
        <v>0.90648600000000001</v>
      </c>
      <c r="X348" s="32">
        <v>0.19104499999999999</v>
      </c>
      <c r="Y348" s="32">
        <v>0.7</v>
      </c>
      <c r="Z348" s="32">
        <v>0.28290399999999999</v>
      </c>
      <c r="AA348" s="32">
        <v>31.1</v>
      </c>
      <c r="AB348" s="32">
        <v>597</v>
      </c>
      <c r="AC348" s="32">
        <v>8</v>
      </c>
      <c r="AD348" s="32">
        <v>14</v>
      </c>
      <c r="AE348" s="32">
        <v>0</v>
      </c>
      <c r="AF348" s="32">
        <v>0</v>
      </c>
      <c r="AG348" s="32">
        <v>7</v>
      </c>
    </row>
    <row r="349" spans="1:33">
      <c r="A349" s="32" t="s">
        <v>1453</v>
      </c>
      <c r="B349" s="32" t="s">
        <v>58</v>
      </c>
      <c r="C349" s="32" t="s">
        <v>1454</v>
      </c>
      <c r="D349" s="32" t="s">
        <v>1455</v>
      </c>
      <c r="E349" s="32" t="s">
        <v>1380</v>
      </c>
      <c r="F349" s="32" t="s">
        <v>1381</v>
      </c>
      <c r="G349" s="32" t="s">
        <v>655</v>
      </c>
      <c r="H349" s="32" t="s">
        <v>656</v>
      </c>
      <c r="I349" s="32" t="s">
        <v>198</v>
      </c>
      <c r="J349" s="32" t="s">
        <v>199</v>
      </c>
      <c r="K349" s="32">
        <v>2.8678840000000001</v>
      </c>
      <c r="L349" s="33">
        <v>1334</v>
      </c>
      <c r="M349" s="32">
        <v>261</v>
      </c>
      <c r="N349" s="32">
        <v>192</v>
      </c>
      <c r="O349" s="32">
        <v>316</v>
      </c>
      <c r="P349" s="32">
        <v>363</v>
      </c>
      <c r="Q349" s="32">
        <v>202</v>
      </c>
      <c r="R349" s="32">
        <v>2</v>
      </c>
      <c r="S349" s="32">
        <v>0</v>
      </c>
      <c r="T349" s="32">
        <v>0</v>
      </c>
      <c r="U349" s="32">
        <v>0</v>
      </c>
      <c r="V349" s="32">
        <v>1</v>
      </c>
      <c r="W349" s="32">
        <v>0.92859999999999998</v>
      </c>
      <c r="X349" s="32">
        <v>0.45876800000000001</v>
      </c>
      <c r="Y349" s="32">
        <v>0.7</v>
      </c>
      <c r="Z349" s="32">
        <v>0.78409200000000001</v>
      </c>
      <c r="AA349" s="32">
        <v>57.2</v>
      </c>
      <c r="AB349" s="32">
        <v>271</v>
      </c>
      <c r="AC349" s="32">
        <v>16</v>
      </c>
      <c r="AD349" s="32">
        <v>21</v>
      </c>
      <c r="AE349" s="32">
        <v>11</v>
      </c>
      <c r="AF349" s="32">
        <v>0</v>
      </c>
      <c r="AG349" s="32" t="s">
        <v>200</v>
      </c>
    </row>
    <row r="350" spans="1:33">
      <c r="A350" s="32" t="s">
        <v>1456</v>
      </c>
      <c r="B350" s="32" t="s">
        <v>58</v>
      </c>
      <c r="C350" s="32" t="s">
        <v>1457</v>
      </c>
      <c r="D350" s="32" t="s">
        <v>1458</v>
      </c>
      <c r="E350" s="32" t="s">
        <v>1439</v>
      </c>
      <c r="F350" s="32" t="s">
        <v>1440</v>
      </c>
      <c r="G350" s="32" t="s">
        <v>1429</v>
      </c>
      <c r="H350" s="32" t="s">
        <v>1430</v>
      </c>
      <c r="I350" s="32" t="s">
        <v>198</v>
      </c>
      <c r="J350" s="32" t="s">
        <v>199</v>
      </c>
      <c r="K350" s="32">
        <v>2.2944789999999999</v>
      </c>
      <c r="L350" s="33">
        <v>1574</v>
      </c>
      <c r="M350" s="32">
        <v>272</v>
      </c>
      <c r="N350" s="32">
        <v>207</v>
      </c>
      <c r="O350" s="32">
        <v>395</v>
      </c>
      <c r="P350" s="32">
        <v>381</v>
      </c>
      <c r="Q350" s="32">
        <v>319</v>
      </c>
      <c r="R350" s="32">
        <v>4</v>
      </c>
      <c r="S350" s="32">
        <v>21.0136</v>
      </c>
      <c r="T350" s="32">
        <v>8.1461199999999998</v>
      </c>
      <c r="U350" s="32">
        <v>0.81875346000000004</v>
      </c>
      <c r="V350" s="32">
        <v>7</v>
      </c>
      <c r="W350" s="32">
        <v>0.90817999999999999</v>
      </c>
      <c r="X350" s="32">
        <v>0.25925900000000002</v>
      </c>
      <c r="Y350" s="32">
        <v>0.7</v>
      </c>
      <c r="Z350" s="32">
        <v>0.41547899999999999</v>
      </c>
      <c r="AA350" s="32">
        <v>22</v>
      </c>
      <c r="AB350" s="32">
        <v>519</v>
      </c>
      <c r="AC350" s="32">
        <v>13</v>
      </c>
      <c r="AD350" s="32">
        <v>26</v>
      </c>
      <c r="AE350" s="32" t="s">
        <v>200</v>
      </c>
      <c r="AF350" s="32">
        <v>0</v>
      </c>
      <c r="AG350" s="32" t="s">
        <v>200</v>
      </c>
    </row>
    <row r="351" spans="1:33">
      <c r="A351" s="32" t="s">
        <v>1459</v>
      </c>
      <c r="B351" s="32" t="s">
        <v>102</v>
      </c>
      <c r="C351" s="32" t="s">
        <v>1460</v>
      </c>
      <c r="D351" s="32" t="s">
        <v>1461</v>
      </c>
      <c r="E351" s="32" t="s">
        <v>237</v>
      </c>
      <c r="F351" s="32" t="s">
        <v>238</v>
      </c>
      <c r="G351" s="32" t="s">
        <v>196</v>
      </c>
      <c r="H351" s="32" t="s">
        <v>197</v>
      </c>
      <c r="I351" s="32" t="s">
        <v>198</v>
      </c>
      <c r="J351" s="32" t="s">
        <v>199</v>
      </c>
      <c r="K351" s="32">
        <v>2.463603</v>
      </c>
      <c r="L351" s="33">
        <v>2119</v>
      </c>
      <c r="M351" s="32">
        <v>668</v>
      </c>
      <c r="N351" s="32">
        <v>402</v>
      </c>
      <c r="O351" s="32">
        <v>495</v>
      </c>
      <c r="P351" s="32">
        <v>417</v>
      </c>
      <c r="Q351" s="32">
        <v>137</v>
      </c>
      <c r="R351" s="32">
        <v>4</v>
      </c>
      <c r="S351" s="32">
        <v>27.228400000000001</v>
      </c>
      <c r="T351" s="32">
        <v>2.0571700000000002</v>
      </c>
      <c r="U351" s="32">
        <v>1.3438244210000001</v>
      </c>
      <c r="V351" s="32">
        <v>1</v>
      </c>
      <c r="W351" s="32">
        <v>0.9</v>
      </c>
      <c r="X351" s="32">
        <v>0.201455</v>
      </c>
      <c r="Y351" s="32">
        <v>0.801369</v>
      </c>
      <c r="Z351" s="32">
        <v>0.55419700000000005</v>
      </c>
      <c r="AA351" s="32">
        <v>59.9</v>
      </c>
      <c r="AB351" s="32">
        <v>461</v>
      </c>
      <c r="AC351" s="32">
        <v>10</v>
      </c>
      <c r="AD351" s="32">
        <v>38</v>
      </c>
      <c r="AE351" s="32">
        <v>7</v>
      </c>
      <c r="AF351" s="32" t="s">
        <v>200</v>
      </c>
      <c r="AG351" s="32" t="s">
        <v>200</v>
      </c>
    </row>
    <row r="352" spans="1:33">
      <c r="A352" s="32" t="s">
        <v>1462</v>
      </c>
      <c r="B352" s="32" t="s">
        <v>102</v>
      </c>
      <c r="C352" s="32" t="s">
        <v>1463</v>
      </c>
      <c r="D352" s="32" t="s">
        <v>1464</v>
      </c>
      <c r="E352" s="32" t="s">
        <v>1465</v>
      </c>
      <c r="F352" s="32" t="s">
        <v>1466</v>
      </c>
      <c r="G352" s="32" t="s">
        <v>196</v>
      </c>
      <c r="H352" s="32" t="s">
        <v>197</v>
      </c>
      <c r="I352" s="32" t="s">
        <v>198</v>
      </c>
      <c r="J352" s="32" t="s">
        <v>199</v>
      </c>
      <c r="K352" s="32">
        <v>2.7381150000000001</v>
      </c>
      <c r="L352" s="33">
        <v>1644</v>
      </c>
      <c r="M352" s="32">
        <v>419</v>
      </c>
      <c r="N352" s="32">
        <v>308</v>
      </c>
      <c r="O352" s="32">
        <v>360</v>
      </c>
      <c r="P352" s="32">
        <v>398</v>
      </c>
      <c r="Q352" s="32">
        <v>159</v>
      </c>
      <c r="R352" s="32" t="s">
        <v>225</v>
      </c>
      <c r="S352" s="32">
        <v>9.40395</v>
      </c>
      <c r="T352" s="32">
        <v>0</v>
      </c>
      <c r="U352" s="32">
        <v>1.0561101909999999</v>
      </c>
      <c r="V352" s="32">
        <v>2</v>
      </c>
      <c r="W352" s="32">
        <v>0.872664</v>
      </c>
      <c r="X352" s="32">
        <v>0.26118200000000003</v>
      </c>
      <c r="Y352" s="32">
        <v>0.8</v>
      </c>
      <c r="Z352" s="32">
        <v>0.79897799999999997</v>
      </c>
      <c r="AA352" s="32">
        <v>64.5</v>
      </c>
      <c r="AB352" s="32">
        <v>515</v>
      </c>
      <c r="AC352" s="32">
        <v>19</v>
      </c>
      <c r="AD352" s="32">
        <v>317</v>
      </c>
      <c r="AE352" s="32">
        <v>244</v>
      </c>
      <c r="AF352" s="32">
        <v>5</v>
      </c>
      <c r="AG352" s="32">
        <v>32</v>
      </c>
    </row>
    <row r="353" spans="1:33">
      <c r="A353" s="32" t="s">
        <v>1467</v>
      </c>
      <c r="B353" s="32" t="s">
        <v>102</v>
      </c>
      <c r="C353" s="32" t="s">
        <v>1468</v>
      </c>
      <c r="D353" s="32" t="s">
        <v>1469</v>
      </c>
      <c r="E353" s="32" t="s">
        <v>1470</v>
      </c>
      <c r="F353" s="32" t="s">
        <v>1471</v>
      </c>
      <c r="G353" s="32" t="s">
        <v>196</v>
      </c>
      <c r="H353" s="32" t="s">
        <v>197</v>
      </c>
      <c r="I353" s="32" t="s">
        <v>198</v>
      </c>
      <c r="J353" s="32" t="s">
        <v>199</v>
      </c>
      <c r="K353" s="32">
        <v>2.6560609999999998</v>
      </c>
      <c r="L353" s="33">
        <v>2106</v>
      </c>
      <c r="M353" s="32">
        <v>486</v>
      </c>
      <c r="N353" s="32">
        <v>419</v>
      </c>
      <c r="O353" s="32">
        <v>495</v>
      </c>
      <c r="P353" s="32">
        <v>536</v>
      </c>
      <c r="Q353" s="32">
        <v>170</v>
      </c>
      <c r="R353" s="32">
        <v>3</v>
      </c>
      <c r="S353" s="32">
        <v>29.331299999999999</v>
      </c>
      <c r="T353" s="32">
        <v>3.7633999999999999</v>
      </c>
      <c r="U353" s="32">
        <v>1.053124333</v>
      </c>
      <c r="V353" s="32">
        <v>2</v>
      </c>
      <c r="W353" s="32">
        <v>0.91060600000000003</v>
      </c>
      <c r="X353" s="32">
        <v>0.29287299999999999</v>
      </c>
      <c r="Y353" s="32">
        <v>0.8</v>
      </c>
      <c r="Z353" s="32">
        <v>0.63720399999999999</v>
      </c>
      <c r="AA353" s="32">
        <v>65.099999999999994</v>
      </c>
      <c r="AB353" s="32">
        <v>531</v>
      </c>
      <c r="AC353" s="32">
        <v>22</v>
      </c>
      <c r="AD353" s="32">
        <v>42</v>
      </c>
      <c r="AE353" s="32">
        <v>14</v>
      </c>
      <c r="AF353" s="32" t="s">
        <v>200</v>
      </c>
      <c r="AG353" s="32" t="s">
        <v>200</v>
      </c>
    </row>
    <row r="354" spans="1:33">
      <c r="A354" s="32" t="s">
        <v>1472</v>
      </c>
      <c r="B354" s="32" t="s">
        <v>102</v>
      </c>
      <c r="C354" s="32" t="s">
        <v>1473</v>
      </c>
      <c r="D354" s="32" t="s">
        <v>1474</v>
      </c>
      <c r="E354" s="32" t="s">
        <v>1475</v>
      </c>
      <c r="F354" s="32" t="s">
        <v>1476</v>
      </c>
      <c r="G354" s="32" t="s">
        <v>196</v>
      </c>
      <c r="H354" s="32" t="s">
        <v>197</v>
      </c>
      <c r="I354" s="32" t="s">
        <v>198</v>
      </c>
      <c r="J354" s="32" t="s">
        <v>199</v>
      </c>
      <c r="K354" s="32">
        <v>2.6737950000000001</v>
      </c>
      <c r="L354" s="33">
        <v>1904</v>
      </c>
      <c r="M354" s="32">
        <v>477</v>
      </c>
      <c r="N354" s="32">
        <v>350</v>
      </c>
      <c r="O354" s="32">
        <v>486</v>
      </c>
      <c r="P354" s="32">
        <v>451</v>
      </c>
      <c r="Q354" s="32">
        <v>140</v>
      </c>
      <c r="R354" s="32">
        <v>3</v>
      </c>
      <c r="S354" s="32">
        <v>14.9946</v>
      </c>
      <c r="T354" s="32">
        <v>5.7056100000000001</v>
      </c>
      <c r="U354" s="32">
        <v>1.058228985</v>
      </c>
      <c r="V354" s="32">
        <v>2</v>
      </c>
      <c r="W354" s="32">
        <v>0.91069199999999995</v>
      </c>
      <c r="X354" s="32">
        <v>0.40168799999999999</v>
      </c>
      <c r="Y354" s="32">
        <v>0.8</v>
      </c>
      <c r="Z354" s="32">
        <v>0.54414200000000001</v>
      </c>
      <c r="AA354" s="32">
        <v>56.8</v>
      </c>
      <c r="AB354" s="32">
        <v>413</v>
      </c>
      <c r="AC354" s="32">
        <v>11</v>
      </c>
      <c r="AD354" s="32">
        <v>28</v>
      </c>
      <c r="AE354" s="32">
        <v>0</v>
      </c>
      <c r="AF354" s="32">
        <v>0</v>
      </c>
      <c r="AG354" s="32" t="s">
        <v>200</v>
      </c>
    </row>
    <row r="355" spans="1:33">
      <c r="A355" s="32" t="s">
        <v>244</v>
      </c>
      <c r="B355" s="32" t="s">
        <v>102</v>
      </c>
      <c r="C355" s="32" t="s">
        <v>245</v>
      </c>
      <c r="D355" s="32" t="s">
        <v>246</v>
      </c>
      <c r="E355" s="32" t="s">
        <v>242</v>
      </c>
      <c r="F355" s="32" t="s">
        <v>243</v>
      </c>
      <c r="G355" s="32" t="s">
        <v>196</v>
      </c>
      <c r="H355" s="32" t="s">
        <v>197</v>
      </c>
      <c r="I355" s="32" t="s">
        <v>198</v>
      </c>
      <c r="J355" s="32" t="s">
        <v>199</v>
      </c>
      <c r="K355" s="32">
        <v>2.3251119999999998</v>
      </c>
      <c r="L355" s="33">
        <v>1607</v>
      </c>
      <c r="M355" s="32">
        <v>324</v>
      </c>
      <c r="N355" s="32">
        <v>324</v>
      </c>
      <c r="O355" s="32">
        <v>320</v>
      </c>
      <c r="P355" s="32">
        <v>414</v>
      </c>
      <c r="Q355" s="32">
        <v>225</v>
      </c>
      <c r="R355" s="32">
        <v>2</v>
      </c>
      <c r="S355" s="32">
        <v>12.7486</v>
      </c>
      <c r="T355" s="32">
        <v>0</v>
      </c>
      <c r="U355" s="32">
        <v>0.95515237600000003</v>
      </c>
      <c r="V355" s="32">
        <v>4</v>
      </c>
      <c r="W355" s="32">
        <v>0.91494799999999998</v>
      </c>
      <c r="X355" s="32">
        <v>0.242814</v>
      </c>
      <c r="Y355" s="32">
        <v>0.80073700000000003</v>
      </c>
      <c r="Z355" s="32">
        <v>0.39299600000000001</v>
      </c>
      <c r="AA355" s="32">
        <v>47.9</v>
      </c>
      <c r="AB355" s="32">
        <v>560</v>
      </c>
      <c r="AC355" s="32">
        <v>23</v>
      </c>
      <c r="AD355" s="32">
        <v>40</v>
      </c>
      <c r="AE355" s="32">
        <v>0</v>
      </c>
      <c r="AF355" s="32">
        <v>0</v>
      </c>
      <c r="AG355" s="32" t="s">
        <v>200</v>
      </c>
    </row>
    <row r="356" spans="1:33">
      <c r="A356" s="32" t="s">
        <v>1477</v>
      </c>
      <c r="B356" s="32" t="s">
        <v>102</v>
      </c>
      <c r="C356" s="32" t="s">
        <v>1478</v>
      </c>
      <c r="D356" s="32" t="s">
        <v>1479</v>
      </c>
      <c r="E356" s="32" t="s">
        <v>1470</v>
      </c>
      <c r="F356" s="32" t="s">
        <v>1471</v>
      </c>
      <c r="G356" s="32" t="s">
        <v>196</v>
      </c>
      <c r="H356" s="32" t="s">
        <v>197</v>
      </c>
      <c r="I356" s="32" t="s">
        <v>198</v>
      </c>
      <c r="J356" s="32" t="s">
        <v>199</v>
      </c>
      <c r="K356" s="32">
        <v>2.692777</v>
      </c>
      <c r="L356" s="33">
        <v>1851</v>
      </c>
      <c r="M356" s="32">
        <v>506</v>
      </c>
      <c r="N356" s="32">
        <v>368</v>
      </c>
      <c r="O356" s="32">
        <v>446</v>
      </c>
      <c r="P356" s="32">
        <v>439</v>
      </c>
      <c r="Q356" s="32">
        <v>92</v>
      </c>
      <c r="R356" s="32">
        <v>4</v>
      </c>
      <c r="S356" s="32">
        <v>25.159199999999998</v>
      </c>
      <c r="T356" s="32">
        <v>12.6357</v>
      </c>
      <c r="U356" s="32">
        <v>1.052217036</v>
      </c>
      <c r="V356" s="32">
        <v>2</v>
      </c>
      <c r="W356" s="32">
        <v>0.91715599999999997</v>
      </c>
      <c r="X356" s="32">
        <v>0.28437499999999999</v>
      </c>
      <c r="Y356" s="32">
        <v>0.8</v>
      </c>
      <c r="Z356" s="32">
        <v>0.690971</v>
      </c>
      <c r="AA356" s="32">
        <v>64.5</v>
      </c>
      <c r="AB356" s="32">
        <v>389</v>
      </c>
      <c r="AC356" s="32">
        <v>14</v>
      </c>
      <c r="AD356" s="32">
        <v>40</v>
      </c>
      <c r="AE356" s="32">
        <v>0</v>
      </c>
      <c r="AF356" s="32">
        <v>0</v>
      </c>
      <c r="AG356" s="32" t="s">
        <v>200</v>
      </c>
    </row>
    <row r="357" spans="1:33">
      <c r="A357" s="32" t="s">
        <v>1480</v>
      </c>
      <c r="B357" s="32" t="s">
        <v>102</v>
      </c>
      <c r="C357" s="32" t="s">
        <v>1481</v>
      </c>
      <c r="D357" s="32" t="s">
        <v>1482</v>
      </c>
      <c r="E357" s="32" t="s">
        <v>1470</v>
      </c>
      <c r="F357" s="32" t="s">
        <v>1471</v>
      </c>
      <c r="G357" s="32" t="s">
        <v>196</v>
      </c>
      <c r="H357" s="32" t="s">
        <v>197</v>
      </c>
      <c r="I357" s="32" t="s">
        <v>198</v>
      </c>
      <c r="J357" s="32" t="s">
        <v>199</v>
      </c>
      <c r="K357" s="32">
        <v>2.816802</v>
      </c>
      <c r="L357" s="33">
        <v>2365</v>
      </c>
      <c r="M357" s="32">
        <v>650</v>
      </c>
      <c r="N357" s="32">
        <v>441</v>
      </c>
      <c r="O357" s="32">
        <v>525</v>
      </c>
      <c r="P357" s="32">
        <v>543</v>
      </c>
      <c r="Q357" s="32">
        <v>206</v>
      </c>
      <c r="R357" s="32" t="s">
        <v>225</v>
      </c>
      <c r="S357" s="32">
        <v>21.219200000000001</v>
      </c>
      <c r="T357" s="32">
        <v>0</v>
      </c>
      <c r="U357" s="32">
        <v>0.99152910699999997</v>
      </c>
      <c r="V357" s="32">
        <v>2</v>
      </c>
      <c r="W357" s="32">
        <v>0.90060899999999999</v>
      </c>
      <c r="X357" s="32">
        <v>0.32389899999999999</v>
      </c>
      <c r="Y357" s="32">
        <v>0.8</v>
      </c>
      <c r="Z357" s="32">
        <v>0.79991900000000005</v>
      </c>
      <c r="AA357" s="32">
        <v>58.5</v>
      </c>
      <c r="AB357" s="32">
        <v>629</v>
      </c>
      <c r="AC357" s="32">
        <v>26</v>
      </c>
      <c r="AD357" s="32">
        <v>247</v>
      </c>
      <c r="AE357" s="32">
        <v>71</v>
      </c>
      <c r="AF357" s="32">
        <v>23</v>
      </c>
      <c r="AG357" s="32">
        <v>25</v>
      </c>
    </row>
    <row r="358" spans="1:33">
      <c r="A358" s="32" t="s">
        <v>1483</v>
      </c>
      <c r="B358" s="32" t="s">
        <v>102</v>
      </c>
      <c r="C358" s="32" t="s">
        <v>1484</v>
      </c>
      <c r="D358" s="32" t="s">
        <v>1485</v>
      </c>
      <c r="E358" s="32" t="s">
        <v>606</v>
      </c>
      <c r="F358" s="32" t="s">
        <v>607</v>
      </c>
      <c r="G358" s="32" t="s">
        <v>196</v>
      </c>
      <c r="H358" s="32" t="s">
        <v>197</v>
      </c>
      <c r="I358" s="32" t="s">
        <v>198</v>
      </c>
      <c r="J358" s="32" t="s">
        <v>199</v>
      </c>
      <c r="K358" s="32">
        <v>2.488699</v>
      </c>
      <c r="L358" s="33">
        <v>1707</v>
      </c>
      <c r="M358" s="32">
        <v>350</v>
      </c>
      <c r="N358" s="32">
        <v>379</v>
      </c>
      <c r="O358" s="32">
        <v>339</v>
      </c>
      <c r="P358" s="32">
        <v>406</v>
      </c>
      <c r="Q358" s="32">
        <v>233</v>
      </c>
      <c r="R358" s="32">
        <v>2</v>
      </c>
      <c r="S358" s="32">
        <v>15.6366</v>
      </c>
      <c r="T358" s="32">
        <v>0</v>
      </c>
      <c r="U358" s="32">
        <v>0.988152115</v>
      </c>
      <c r="V358" s="32">
        <v>2</v>
      </c>
      <c r="W358" s="32">
        <v>0.910381</v>
      </c>
      <c r="X358" s="32">
        <v>0.30651</v>
      </c>
      <c r="Y358" s="32">
        <v>0.8</v>
      </c>
      <c r="Z358" s="32">
        <v>0.48517100000000002</v>
      </c>
      <c r="AA358" s="32">
        <v>52.2</v>
      </c>
      <c r="AB358" s="32">
        <v>551</v>
      </c>
      <c r="AC358" s="32">
        <v>11</v>
      </c>
      <c r="AD358" s="32">
        <v>42</v>
      </c>
      <c r="AE358" s="32">
        <v>7</v>
      </c>
      <c r="AF358" s="32">
        <v>0</v>
      </c>
      <c r="AG358" s="32" t="s">
        <v>200</v>
      </c>
    </row>
    <row r="359" spans="1:33">
      <c r="A359" s="32" t="s">
        <v>1486</v>
      </c>
      <c r="B359" s="32" t="s">
        <v>102</v>
      </c>
      <c r="C359" s="32" t="s">
        <v>1487</v>
      </c>
      <c r="D359" s="32" t="s">
        <v>1488</v>
      </c>
      <c r="E359" s="32" t="s">
        <v>1475</v>
      </c>
      <c r="F359" s="32" t="s">
        <v>1476</v>
      </c>
      <c r="G359" s="32" t="s">
        <v>196</v>
      </c>
      <c r="H359" s="32" t="s">
        <v>197</v>
      </c>
      <c r="I359" s="32" t="s">
        <v>198</v>
      </c>
      <c r="J359" s="32" t="s">
        <v>199</v>
      </c>
      <c r="K359" s="32">
        <v>2.4927860000000002</v>
      </c>
      <c r="L359" s="33">
        <v>2319</v>
      </c>
      <c r="M359" s="32">
        <v>587</v>
      </c>
      <c r="N359" s="32">
        <v>452</v>
      </c>
      <c r="O359" s="32">
        <v>597</v>
      </c>
      <c r="P359" s="32">
        <v>505</v>
      </c>
      <c r="Q359" s="32">
        <v>178</v>
      </c>
      <c r="R359" s="32">
        <v>2</v>
      </c>
      <c r="S359" s="32">
        <v>10.140599999999999</v>
      </c>
      <c r="T359" s="32">
        <v>2.4158200000000001</v>
      </c>
      <c r="U359" s="32">
        <v>1.198310397</v>
      </c>
      <c r="V359" s="32">
        <v>1</v>
      </c>
      <c r="W359" s="32">
        <v>0.910945</v>
      </c>
      <c r="X359" s="32">
        <v>0.28472900000000001</v>
      </c>
      <c r="Y359" s="32">
        <v>0.8</v>
      </c>
      <c r="Z359" s="32">
        <v>0.51280800000000004</v>
      </c>
      <c r="AA359" s="32">
        <v>63.4</v>
      </c>
      <c r="AB359" s="32">
        <v>504</v>
      </c>
      <c r="AC359" s="32">
        <v>9</v>
      </c>
      <c r="AD359" s="32">
        <v>23</v>
      </c>
      <c r="AE359" s="32">
        <v>0</v>
      </c>
      <c r="AF359" s="32">
        <v>0</v>
      </c>
      <c r="AG359" s="32">
        <v>0</v>
      </c>
    </row>
    <row r="360" spans="1:33">
      <c r="A360" s="32" t="s">
        <v>1489</v>
      </c>
      <c r="B360" s="32" t="s">
        <v>102</v>
      </c>
      <c r="C360" s="32" t="s">
        <v>1490</v>
      </c>
      <c r="D360" s="32" t="s">
        <v>1491</v>
      </c>
      <c r="E360" s="32" t="s">
        <v>1492</v>
      </c>
      <c r="F360" s="32" t="s">
        <v>1493</v>
      </c>
      <c r="G360" s="32" t="s">
        <v>1429</v>
      </c>
      <c r="H360" s="32" t="s">
        <v>1430</v>
      </c>
      <c r="I360" s="32" t="s">
        <v>198</v>
      </c>
      <c r="J360" s="32" t="s">
        <v>199</v>
      </c>
      <c r="K360" s="32">
        <v>2.1248130000000001</v>
      </c>
      <c r="L360" s="33">
        <v>1677</v>
      </c>
      <c r="M360" s="32">
        <v>316</v>
      </c>
      <c r="N360" s="32">
        <v>257</v>
      </c>
      <c r="O360" s="32">
        <v>420</v>
      </c>
      <c r="P360" s="32">
        <v>469</v>
      </c>
      <c r="Q360" s="32">
        <v>215</v>
      </c>
      <c r="R360" s="32" t="s">
        <v>225</v>
      </c>
      <c r="S360" s="32">
        <v>6.35</v>
      </c>
      <c r="T360" s="32">
        <v>3.06846</v>
      </c>
      <c r="U360" s="32">
        <v>0.75914362099999999</v>
      </c>
      <c r="V360" s="32">
        <v>9</v>
      </c>
      <c r="W360" s="32">
        <v>0.89813399999999999</v>
      </c>
      <c r="X360" s="32">
        <v>0.207955</v>
      </c>
      <c r="Y360" s="32">
        <v>0.7</v>
      </c>
      <c r="Z360" s="32">
        <v>0.32155</v>
      </c>
      <c r="AA360" s="32">
        <v>19.600000000000001</v>
      </c>
      <c r="AB360" s="32">
        <v>675</v>
      </c>
      <c r="AC360" s="32">
        <v>36</v>
      </c>
      <c r="AD360" s="32">
        <v>34</v>
      </c>
      <c r="AE360" s="32">
        <v>0</v>
      </c>
      <c r="AF360" s="32">
        <v>0</v>
      </c>
      <c r="AG360" s="32">
        <v>7</v>
      </c>
    </row>
    <row r="361" spans="1:33">
      <c r="A361" s="32" t="s">
        <v>1494</v>
      </c>
      <c r="B361" s="32" t="s">
        <v>102</v>
      </c>
      <c r="C361" s="32" t="s">
        <v>1495</v>
      </c>
      <c r="D361" s="32" t="s">
        <v>1496</v>
      </c>
      <c r="E361" s="32" t="s">
        <v>1492</v>
      </c>
      <c r="F361" s="32" t="s">
        <v>1493</v>
      </c>
      <c r="G361" s="32" t="s">
        <v>1429</v>
      </c>
      <c r="H361" s="32" t="s">
        <v>1430</v>
      </c>
      <c r="I361" s="32" t="s">
        <v>198</v>
      </c>
      <c r="J361" s="32" t="s">
        <v>199</v>
      </c>
      <c r="K361" s="32">
        <v>2.4437139999999999</v>
      </c>
      <c r="L361" s="33">
        <v>1756</v>
      </c>
      <c r="M361" s="32">
        <v>373</v>
      </c>
      <c r="N361" s="32">
        <v>281</v>
      </c>
      <c r="O361" s="32">
        <v>532</v>
      </c>
      <c r="P361" s="32">
        <v>323</v>
      </c>
      <c r="Q361" s="32">
        <v>247</v>
      </c>
      <c r="R361" s="32">
        <v>2</v>
      </c>
      <c r="S361" s="32">
        <v>15.762499999999999</v>
      </c>
      <c r="T361" s="32">
        <v>0</v>
      </c>
      <c r="U361" s="32">
        <v>0.80017341900000005</v>
      </c>
      <c r="V361" s="32">
        <v>6</v>
      </c>
      <c r="W361" s="32">
        <v>0.90831700000000004</v>
      </c>
      <c r="X361" s="32">
        <v>0.40919499999999998</v>
      </c>
      <c r="Y361" s="32">
        <v>0.7</v>
      </c>
      <c r="Z361" s="32">
        <v>0.41070699999999999</v>
      </c>
      <c r="AA361" s="32">
        <v>33.1</v>
      </c>
      <c r="AB361" s="32">
        <v>463</v>
      </c>
      <c r="AC361" s="32">
        <v>23</v>
      </c>
      <c r="AD361" s="32">
        <v>17</v>
      </c>
      <c r="AE361" s="32">
        <v>0</v>
      </c>
      <c r="AF361" s="32">
        <v>0</v>
      </c>
      <c r="AG361" s="32">
        <v>6</v>
      </c>
    </row>
    <row r="362" spans="1:33">
      <c r="A362" s="32" t="s">
        <v>1497</v>
      </c>
      <c r="B362" s="32" t="s">
        <v>102</v>
      </c>
      <c r="C362" s="32" t="s">
        <v>1498</v>
      </c>
      <c r="D362" s="32" t="s">
        <v>1499</v>
      </c>
      <c r="E362" s="32" t="s">
        <v>1492</v>
      </c>
      <c r="F362" s="32" t="s">
        <v>1493</v>
      </c>
      <c r="G362" s="32" t="s">
        <v>1429</v>
      </c>
      <c r="H362" s="32" t="s">
        <v>1430</v>
      </c>
      <c r="I362" s="32" t="s">
        <v>198</v>
      </c>
      <c r="J362" s="32" t="s">
        <v>199</v>
      </c>
      <c r="K362" s="32">
        <v>2.4520430000000002</v>
      </c>
      <c r="L362" s="33">
        <v>1919</v>
      </c>
      <c r="M362" s="32">
        <v>306</v>
      </c>
      <c r="N362" s="32">
        <v>367</v>
      </c>
      <c r="O362" s="32">
        <v>538</v>
      </c>
      <c r="P362" s="32">
        <v>472</v>
      </c>
      <c r="Q362" s="32">
        <v>236</v>
      </c>
      <c r="R362" s="32">
        <v>2</v>
      </c>
      <c r="S362" s="32">
        <v>16.027899999999999</v>
      </c>
      <c r="T362" s="32">
        <v>0</v>
      </c>
      <c r="U362" s="32">
        <v>0.65159812900000003</v>
      </c>
      <c r="V362" s="32">
        <v>8</v>
      </c>
      <c r="W362" s="32">
        <v>0.92131399999999997</v>
      </c>
      <c r="X362" s="32">
        <v>0.42998199999999998</v>
      </c>
      <c r="Y362" s="32">
        <v>0.7</v>
      </c>
      <c r="Z362" s="32">
        <v>0.41469</v>
      </c>
      <c r="AA362" s="32">
        <v>26.4</v>
      </c>
      <c r="AB362" s="32">
        <v>644</v>
      </c>
      <c r="AC362" s="32">
        <v>13</v>
      </c>
      <c r="AD362" s="32">
        <v>32</v>
      </c>
      <c r="AE362" s="32" t="s">
        <v>200</v>
      </c>
      <c r="AF362" s="32" t="s">
        <v>200</v>
      </c>
      <c r="AG362" s="32" t="s">
        <v>200</v>
      </c>
    </row>
    <row r="363" spans="1:33">
      <c r="A363" s="32" t="s">
        <v>1500</v>
      </c>
      <c r="B363" s="32" t="s">
        <v>102</v>
      </c>
      <c r="C363" s="32" t="s">
        <v>1501</v>
      </c>
      <c r="D363" s="32" t="s">
        <v>1502</v>
      </c>
      <c r="E363" s="32" t="s">
        <v>1492</v>
      </c>
      <c r="F363" s="32" t="s">
        <v>1493</v>
      </c>
      <c r="G363" s="32" t="s">
        <v>1429</v>
      </c>
      <c r="H363" s="32" t="s">
        <v>1430</v>
      </c>
      <c r="I363" s="32" t="s">
        <v>198</v>
      </c>
      <c r="J363" s="32" t="s">
        <v>199</v>
      </c>
      <c r="K363" s="32">
        <v>2.406971</v>
      </c>
      <c r="L363" s="33">
        <v>2633</v>
      </c>
      <c r="M363" s="32">
        <v>516</v>
      </c>
      <c r="N363" s="32">
        <v>504</v>
      </c>
      <c r="O363" s="32">
        <v>873</v>
      </c>
      <c r="P363" s="32">
        <v>514</v>
      </c>
      <c r="Q363" s="32">
        <v>226</v>
      </c>
      <c r="R363" s="32">
        <v>3</v>
      </c>
      <c r="S363" s="32">
        <v>17.468</v>
      </c>
      <c r="T363" s="32">
        <v>0</v>
      </c>
      <c r="U363" s="32">
        <v>0.64665408800000002</v>
      </c>
      <c r="V363" s="32">
        <v>8</v>
      </c>
      <c r="W363" s="32">
        <v>0.91039300000000001</v>
      </c>
      <c r="X363" s="32">
        <v>0.34642899999999999</v>
      </c>
      <c r="Y363" s="32">
        <v>0.7</v>
      </c>
      <c r="Z363" s="32">
        <v>0.45571099999999998</v>
      </c>
      <c r="AA363" s="32">
        <v>31.5</v>
      </c>
      <c r="AB363" s="32">
        <v>737</v>
      </c>
      <c r="AC363" s="32">
        <v>14</v>
      </c>
      <c r="AD363" s="32">
        <v>37</v>
      </c>
      <c r="AE363" s="32" t="s">
        <v>200</v>
      </c>
      <c r="AF363" s="32" t="s">
        <v>200</v>
      </c>
      <c r="AG363" s="32">
        <v>8</v>
      </c>
    </row>
    <row r="364" spans="1:33">
      <c r="A364" s="32" t="s">
        <v>1503</v>
      </c>
      <c r="B364" s="32" t="s">
        <v>102</v>
      </c>
      <c r="C364" s="32" t="s">
        <v>1504</v>
      </c>
      <c r="D364" s="32" t="s">
        <v>1505</v>
      </c>
      <c r="E364" s="32" t="s">
        <v>1506</v>
      </c>
      <c r="F364" s="32" t="s">
        <v>1507</v>
      </c>
      <c r="G364" s="32" t="s">
        <v>1429</v>
      </c>
      <c r="H364" s="32" t="s">
        <v>1430</v>
      </c>
      <c r="I364" s="32" t="s">
        <v>198</v>
      </c>
      <c r="J364" s="32" t="s">
        <v>199</v>
      </c>
      <c r="K364" s="32">
        <v>2.5128529999999998</v>
      </c>
      <c r="L364" s="33">
        <v>1729</v>
      </c>
      <c r="M364" s="32">
        <v>335</v>
      </c>
      <c r="N364" s="32">
        <v>271</v>
      </c>
      <c r="O364" s="32">
        <v>394</v>
      </c>
      <c r="P364" s="32">
        <v>504</v>
      </c>
      <c r="Q364" s="32">
        <v>225</v>
      </c>
      <c r="R364" s="32" t="s">
        <v>225</v>
      </c>
      <c r="S364" s="32">
        <v>7.1638000000000002</v>
      </c>
      <c r="T364" s="32">
        <v>0</v>
      </c>
      <c r="U364" s="32">
        <v>0.67741024400000005</v>
      </c>
      <c r="V364" s="32">
        <v>7</v>
      </c>
      <c r="W364" s="32">
        <v>0.88855899999999999</v>
      </c>
      <c r="X364" s="32">
        <v>0.44704199999999999</v>
      </c>
      <c r="Y364" s="32">
        <v>0.7</v>
      </c>
      <c r="Z364" s="32">
        <v>0.47067999999999999</v>
      </c>
      <c r="AA364" s="32">
        <v>24.2</v>
      </c>
      <c r="AB364" s="32">
        <v>667</v>
      </c>
      <c r="AC364" s="32">
        <v>15</v>
      </c>
      <c r="AD364" s="32">
        <v>69</v>
      </c>
      <c r="AE364" s="32">
        <v>0</v>
      </c>
      <c r="AF364" s="32" t="s">
        <v>200</v>
      </c>
      <c r="AG364" s="32">
        <v>6</v>
      </c>
    </row>
    <row r="365" spans="1:33">
      <c r="A365" s="32" t="s">
        <v>1508</v>
      </c>
      <c r="B365" s="32" t="s">
        <v>102</v>
      </c>
      <c r="C365" s="32" t="s">
        <v>1509</v>
      </c>
      <c r="D365" s="32" t="s">
        <v>1510</v>
      </c>
      <c r="E365" s="32" t="s">
        <v>1506</v>
      </c>
      <c r="F365" s="32" t="s">
        <v>1507</v>
      </c>
      <c r="G365" s="32" t="s">
        <v>1429</v>
      </c>
      <c r="H365" s="32" t="s">
        <v>1430</v>
      </c>
      <c r="I365" s="32" t="s">
        <v>198</v>
      </c>
      <c r="J365" s="32" t="s">
        <v>199</v>
      </c>
      <c r="K365" s="32">
        <v>2.5658020000000001</v>
      </c>
      <c r="L365" s="33">
        <v>1957</v>
      </c>
      <c r="M365" s="32">
        <v>396</v>
      </c>
      <c r="N365" s="32">
        <v>420</v>
      </c>
      <c r="O365" s="32">
        <v>520</v>
      </c>
      <c r="P365" s="32">
        <v>440</v>
      </c>
      <c r="Q365" s="32">
        <v>181</v>
      </c>
      <c r="R365" s="32">
        <v>2</v>
      </c>
      <c r="S365" s="32">
        <v>15.539</v>
      </c>
      <c r="T365" s="32">
        <v>0</v>
      </c>
      <c r="U365" s="32">
        <v>0.54404835299999998</v>
      </c>
      <c r="V365" s="32">
        <v>9</v>
      </c>
      <c r="W365" s="32">
        <v>0.91755699999999996</v>
      </c>
      <c r="X365" s="32">
        <v>0.47488599999999997</v>
      </c>
      <c r="Y365" s="32">
        <v>0.7</v>
      </c>
      <c r="Z365" s="32">
        <v>0.47450399999999998</v>
      </c>
      <c r="AA365" s="32">
        <v>27.3</v>
      </c>
      <c r="AB365" s="32">
        <v>636</v>
      </c>
      <c r="AC365" s="32">
        <v>21</v>
      </c>
      <c r="AD365" s="32">
        <v>77</v>
      </c>
      <c r="AE365" s="32">
        <v>12</v>
      </c>
      <c r="AF365" s="32">
        <v>0</v>
      </c>
      <c r="AG365" s="32" t="s">
        <v>200</v>
      </c>
    </row>
    <row r="366" spans="1:33">
      <c r="A366" s="32" t="s">
        <v>1511</v>
      </c>
      <c r="B366" s="32" t="s">
        <v>102</v>
      </c>
      <c r="C366" s="32" t="s">
        <v>1512</v>
      </c>
      <c r="D366" s="32" t="s">
        <v>1513</v>
      </c>
      <c r="E366" s="32" t="s">
        <v>1514</v>
      </c>
      <c r="F366" s="32" t="s">
        <v>1515</v>
      </c>
      <c r="G366" s="32" t="s">
        <v>1387</v>
      </c>
      <c r="H366" s="32" t="s">
        <v>1388</v>
      </c>
      <c r="I366" s="32" t="s">
        <v>198</v>
      </c>
      <c r="J366" s="32" t="s">
        <v>199</v>
      </c>
      <c r="K366" s="32">
        <v>2.338041</v>
      </c>
      <c r="L366" s="33">
        <v>1876</v>
      </c>
      <c r="M366" s="32">
        <v>399</v>
      </c>
      <c r="N366" s="32">
        <v>298</v>
      </c>
      <c r="O366" s="32">
        <v>441</v>
      </c>
      <c r="P366" s="32">
        <v>497</v>
      </c>
      <c r="Q366" s="32">
        <v>241</v>
      </c>
      <c r="R366" s="32">
        <v>2</v>
      </c>
      <c r="S366" s="32">
        <v>9.7033199999999997</v>
      </c>
      <c r="T366" s="32">
        <v>3.33311</v>
      </c>
      <c r="U366" s="32">
        <v>0.80329769100000004</v>
      </c>
      <c r="V366" s="32">
        <v>6</v>
      </c>
      <c r="W366" s="32">
        <v>0.900891</v>
      </c>
      <c r="X366" s="32">
        <v>0.181371</v>
      </c>
      <c r="Y366" s="32">
        <v>0.8</v>
      </c>
      <c r="Z366" s="32">
        <v>0.43908000000000003</v>
      </c>
      <c r="AA366" s="32">
        <v>36.6</v>
      </c>
      <c r="AB366" s="32">
        <v>633</v>
      </c>
      <c r="AC366" s="32">
        <v>19</v>
      </c>
      <c r="AD366" s="32">
        <v>43</v>
      </c>
      <c r="AE366" s="32">
        <v>0</v>
      </c>
      <c r="AF366" s="32">
        <v>0</v>
      </c>
      <c r="AG366" s="32" t="s">
        <v>200</v>
      </c>
    </row>
    <row r="367" spans="1:33">
      <c r="A367" s="32" t="s">
        <v>1516</v>
      </c>
      <c r="B367" s="32" t="s">
        <v>102</v>
      </c>
      <c r="C367" s="32" t="s">
        <v>1517</v>
      </c>
      <c r="D367" s="32" t="s">
        <v>1518</v>
      </c>
      <c r="E367" s="32" t="s">
        <v>1514</v>
      </c>
      <c r="F367" s="32" t="s">
        <v>1515</v>
      </c>
      <c r="G367" s="32" t="s">
        <v>1387</v>
      </c>
      <c r="H367" s="32" t="s">
        <v>1388</v>
      </c>
      <c r="I367" s="32" t="s">
        <v>198</v>
      </c>
      <c r="J367" s="32" t="s">
        <v>199</v>
      </c>
      <c r="K367" s="32">
        <v>2.4888469999999998</v>
      </c>
      <c r="L367" s="33">
        <v>1912</v>
      </c>
      <c r="M367" s="32">
        <v>516</v>
      </c>
      <c r="N367" s="32">
        <v>307</v>
      </c>
      <c r="O367" s="32">
        <v>454</v>
      </c>
      <c r="P367" s="32">
        <v>460</v>
      </c>
      <c r="Q367" s="32">
        <v>175</v>
      </c>
      <c r="R367" s="32">
        <v>2</v>
      </c>
      <c r="S367" s="32">
        <v>12.744199999999999</v>
      </c>
      <c r="T367" s="32">
        <v>0</v>
      </c>
      <c r="U367" s="32">
        <v>0.95195714300000001</v>
      </c>
      <c r="V367" s="32">
        <v>3</v>
      </c>
      <c r="W367" s="32">
        <v>0.91398900000000005</v>
      </c>
      <c r="X367" s="32">
        <v>0.27181899999999998</v>
      </c>
      <c r="Y367" s="32">
        <v>0.8</v>
      </c>
      <c r="Z367" s="32">
        <v>0.50274099999999999</v>
      </c>
      <c r="AA367" s="32">
        <v>59.8</v>
      </c>
      <c r="AB367" s="32">
        <v>552</v>
      </c>
      <c r="AC367" s="32">
        <v>18</v>
      </c>
      <c r="AD367" s="32">
        <v>47</v>
      </c>
      <c r="AE367" s="32" t="s">
        <v>200</v>
      </c>
      <c r="AF367" s="32">
        <v>0</v>
      </c>
      <c r="AG367" s="32" t="s">
        <v>200</v>
      </c>
    </row>
    <row r="368" spans="1:33">
      <c r="A368" s="32" t="s">
        <v>1519</v>
      </c>
      <c r="B368" s="32" t="s">
        <v>102</v>
      </c>
      <c r="C368" s="32" t="s">
        <v>1520</v>
      </c>
      <c r="D368" s="32" t="s">
        <v>1521</v>
      </c>
      <c r="E368" s="32" t="s">
        <v>1522</v>
      </c>
      <c r="F368" s="32" t="s">
        <v>1523</v>
      </c>
      <c r="G368" s="32" t="s">
        <v>1387</v>
      </c>
      <c r="H368" s="32" t="s">
        <v>1388</v>
      </c>
      <c r="I368" s="32" t="s">
        <v>198</v>
      </c>
      <c r="J368" s="32" t="s">
        <v>199</v>
      </c>
      <c r="K368" s="32">
        <v>2.2439640000000001</v>
      </c>
      <c r="L368" s="33">
        <v>1933</v>
      </c>
      <c r="M368" s="32">
        <v>471</v>
      </c>
      <c r="N368" s="32">
        <v>312</v>
      </c>
      <c r="O368" s="32">
        <v>491</v>
      </c>
      <c r="P368" s="32">
        <v>485</v>
      </c>
      <c r="Q368" s="32">
        <v>174</v>
      </c>
      <c r="R368" s="32">
        <v>2</v>
      </c>
      <c r="S368" s="32">
        <v>8.5909999999999993</v>
      </c>
      <c r="T368" s="32">
        <v>3.76817</v>
      </c>
      <c r="U368" s="32">
        <v>0.98097865500000003</v>
      </c>
      <c r="V368" s="32">
        <v>5</v>
      </c>
      <c r="W368" s="32">
        <v>0.90751700000000002</v>
      </c>
      <c r="X368" s="32">
        <v>0.14072399999999999</v>
      </c>
      <c r="Y368" s="32">
        <v>0.779358</v>
      </c>
      <c r="Z368" s="32">
        <v>0.43302499999999999</v>
      </c>
      <c r="AA368" s="32">
        <v>54.2</v>
      </c>
      <c r="AB368" s="32">
        <v>548</v>
      </c>
      <c r="AC368" s="32">
        <v>17</v>
      </c>
      <c r="AD368" s="32">
        <v>27</v>
      </c>
      <c r="AE368" s="32" t="s">
        <v>200</v>
      </c>
      <c r="AF368" s="32">
        <v>0</v>
      </c>
      <c r="AG368" s="32" t="s">
        <v>200</v>
      </c>
    </row>
    <row r="369" spans="1:33">
      <c r="A369" s="32" t="s">
        <v>1524</v>
      </c>
      <c r="B369" s="32" t="s">
        <v>102</v>
      </c>
      <c r="C369" s="32" t="s">
        <v>1525</v>
      </c>
      <c r="D369" s="32" t="s">
        <v>1526</v>
      </c>
      <c r="E369" s="32" t="s">
        <v>1522</v>
      </c>
      <c r="F369" s="32" t="s">
        <v>1523</v>
      </c>
      <c r="G369" s="32" t="s">
        <v>1387</v>
      </c>
      <c r="H369" s="32" t="s">
        <v>1388</v>
      </c>
      <c r="I369" s="32" t="s">
        <v>198</v>
      </c>
      <c r="J369" s="32" t="s">
        <v>199</v>
      </c>
      <c r="K369" s="32">
        <v>2.317005</v>
      </c>
      <c r="L369" s="33">
        <v>1841</v>
      </c>
      <c r="M369" s="32">
        <v>431</v>
      </c>
      <c r="N369" s="32">
        <v>270</v>
      </c>
      <c r="O369" s="32">
        <v>423</v>
      </c>
      <c r="P369" s="32">
        <v>490</v>
      </c>
      <c r="Q369" s="32">
        <v>227</v>
      </c>
      <c r="R369" s="32" t="s">
        <v>225</v>
      </c>
      <c r="S369" s="32">
        <v>5.8510099999999996</v>
      </c>
      <c r="T369" s="32">
        <v>0</v>
      </c>
      <c r="U369" s="32">
        <v>0.85837263799999997</v>
      </c>
      <c r="V369" s="32">
        <v>5</v>
      </c>
      <c r="W369" s="32">
        <v>0.88060400000000005</v>
      </c>
      <c r="X369" s="32">
        <v>0.35324299999999997</v>
      </c>
      <c r="Y369" s="32">
        <v>0.74779499999999999</v>
      </c>
      <c r="Z369" s="32">
        <v>0.32988699999999999</v>
      </c>
      <c r="AA369" s="32">
        <v>40.799999999999997</v>
      </c>
      <c r="AB369" s="32">
        <v>727</v>
      </c>
      <c r="AC369" s="32">
        <v>25</v>
      </c>
      <c r="AD369" s="32">
        <v>40</v>
      </c>
      <c r="AE369" s="32">
        <v>0</v>
      </c>
      <c r="AF369" s="32" t="s">
        <v>200</v>
      </c>
      <c r="AG369" s="32">
        <v>7</v>
      </c>
    </row>
    <row r="370" spans="1:33">
      <c r="A370" s="32" t="s">
        <v>1527</v>
      </c>
      <c r="B370" s="32" t="s">
        <v>102</v>
      </c>
      <c r="C370" s="32" t="s">
        <v>1528</v>
      </c>
      <c r="D370" s="32" t="s">
        <v>1529</v>
      </c>
      <c r="E370" s="32" t="s">
        <v>1530</v>
      </c>
      <c r="F370" s="32" t="s">
        <v>1531</v>
      </c>
      <c r="G370" s="32" t="s">
        <v>1387</v>
      </c>
      <c r="H370" s="32" t="s">
        <v>1388</v>
      </c>
      <c r="I370" s="32" t="s">
        <v>198</v>
      </c>
      <c r="J370" s="32" t="s">
        <v>199</v>
      </c>
      <c r="K370" s="32">
        <v>2.2369599999999998</v>
      </c>
      <c r="L370" s="33">
        <v>2047</v>
      </c>
      <c r="M370" s="32">
        <v>485</v>
      </c>
      <c r="N370" s="32">
        <v>313</v>
      </c>
      <c r="O370" s="32">
        <v>464</v>
      </c>
      <c r="P370" s="32">
        <v>554</v>
      </c>
      <c r="Q370" s="32">
        <v>231</v>
      </c>
      <c r="R370" s="32">
        <v>2</v>
      </c>
      <c r="S370" s="32">
        <v>12.0807</v>
      </c>
      <c r="T370" s="32">
        <v>5.2800700000000003</v>
      </c>
      <c r="U370" s="32">
        <v>0.84713777999999995</v>
      </c>
      <c r="V370" s="32">
        <v>6</v>
      </c>
      <c r="W370" s="32">
        <v>0.89232900000000004</v>
      </c>
      <c r="X370" s="32">
        <v>0.145429</v>
      </c>
      <c r="Y370" s="32">
        <v>0.8</v>
      </c>
      <c r="Z370" s="32">
        <v>0.408333</v>
      </c>
      <c r="AA370" s="32">
        <v>27.9</v>
      </c>
      <c r="AB370" s="32">
        <v>696</v>
      </c>
      <c r="AC370" s="32">
        <v>16</v>
      </c>
      <c r="AD370" s="32">
        <v>63</v>
      </c>
      <c r="AE370" s="32">
        <v>15</v>
      </c>
      <c r="AF370" s="32" t="s">
        <v>200</v>
      </c>
      <c r="AG370" s="32">
        <v>9</v>
      </c>
    </row>
    <row r="371" spans="1:33">
      <c r="A371" s="32" t="s">
        <v>1532</v>
      </c>
      <c r="B371" s="32" t="s">
        <v>102</v>
      </c>
      <c r="C371" s="32" t="s">
        <v>1533</v>
      </c>
      <c r="D371" s="32" t="s">
        <v>1534</v>
      </c>
      <c r="E371" s="32" t="s">
        <v>1530</v>
      </c>
      <c r="F371" s="32" t="s">
        <v>1531</v>
      </c>
      <c r="G371" s="32" t="s">
        <v>1387</v>
      </c>
      <c r="H371" s="32" t="s">
        <v>1388</v>
      </c>
      <c r="I371" s="32" t="s">
        <v>198</v>
      </c>
      <c r="J371" s="32" t="s">
        <v>199</v>
      </c>
      <c r="K371" s="32">
        <v>2.204863</v>
      </c>
      <c r="L371" s="33">
        <v>1677</v>
      </c>
      <c r="M371" s="32">
        <v>369</v>
      </c>
      <c r="N371" s="32">
        <v>257</v>
      </c>
      <c r="O371" s="32">
        <v>365</v>
      </c>
      <c r="P371" s="32">
        <v>444</v>
      </c>
      <c r="Q371" s="32">
        <v>242</v>
      </c>
      <c r="R371" s="32">
        <v>2</v>
      </c>
      <c r="S371" s="32">
        <v>8.6602800000000002</v>
      </c>
      <c r="T371" s="32">
        <v>2.0047299999999999</v>
      </c>
      <c r="U371" s="32">
        <v>0.865687121</v>
      </c>
      <c r="V371" s="32">
        <v>6</v>
      </c>
      <c r="W371" s="32">
        <v>0.89635299999999996</v>
      </c>
      <c r="X371" s="32">
        <v>0.150534</v>
      </c>
      <c r="Y371" s="32">
        <v>0.8</v>
      </c>
      <c r="Z371" s="32">
        <v>0.35206700000000002</v>
      </c>
      <c r="AA371" s="32">
        <v>25.1</v>
      </c>
      <c r="AB371" s="32">
        <v>710</v>
      </c>
      <c r="AC371" s="32">
        <v>32</v>
      </c>
      <c r="AD371" s="32">
        <v>52</v>
      </c>
      <c r="AE371" s="32">
        <v>0</v>
      </c>
      <c r="AF371" s="32">
        <v>0</v>
      </c>
      <c r="AG371" s="32">
        <v>9</v>
      </c>
    </row>
    <row r="372" spans="1:33">
      <c r="A372" s="32" t="s">
        <v>1535</v>
      </c>
      <c r="B372" s="32" t="s">
        <v>102</v>
      </c>
      <c r="C372" s="32" t="s">
        <v>1536</v>
      </c>
      <c r="D372" s="32" t="s">
        <v>1537</v>
      </c>
      <c r="E372" s="32" t="s">
        <v>1538</v>
      </c>
      <c r="F372" s="32" t="s">
        <v>1539</v>
      </c>
      <c r="G372" s="32" t="s">
        <v>1387</v>
      </c>
      <c r="H372" s="32" t="s">
        <v>1388</v>
      </c>
      <c r="I372" s="32" t="s">
        <v>198</v>
      </c>
      <c r="J372" s="32" t="s">
        <v>199</v>
      </c>
      <c r="K372" s="32">
        <v>2.3520020000000001</v>
      </c>
      <c r="L372" s="33">
        <v>1805</v>
      </c>
      <c r="M372" s="32">
        <v>501</v>
      </c>
      <c r="N372" s="32">
        <v>352</v>
      </c>
      <c r="O372" s="32">
        <v>368</v>
      </c>
      <c r="P372" s="32">
        <v>422</v>
      </c>
      <c r="Q372" s="32">
        <v>162</v>
      </c>
      <c r="R372" s="32" t="s">
        <v>225</v>
      </c>
      <c r="S372" s="32">
        <v>7.3880100000000004</v>
      </c>
      <c r="T372" s="32">
        <v>0</v>
      </c>
      <c r="U372" s="32">
        <v>1.374956587</v>
      </c>
      <c r="V372" s="32">
        <v>1</v>
      </c>
      <c r="W372" s="32">
        <v>0.86773400000000001</v>
      </c>
      <c r="X372" s="32">
        <v>0.225968</v>
      </c>
      <c r="Y372" s="32">
        <v>0.8</v>
      </c>
      <c r="Z372" s="32">
        <v>0.45907399999999998</v>
      </c>
      <c r="AA372" s="32">
        <v>59.1</v>
      </c>
      <c r="AB372" s="32">
        <v>510</v>
      </c>
      <c r="AC372" s="32">
        <v>17</v>
      </c>
      <c r="AD372" s="32">
        <v>43</v>
      </c>
      <c r="AE372" s="32" t="s">
        <v>200</v>
      </c>
      <c r="AF372" s="32" t="s">
        <v>200</v>
      </c>
      <c r="AG372" s="32">
        <v>0</v>
      </c>
    </row>
    <row r="373" spans="1:33">
      <c r="A373" s="32" t="s">
        <v>1540</v>
      </c>
      <c r="B373" s="32" t="s">
        <v>102</v>
      </c>
      <c r="C373" s="32" t="s">
        <v>1541</v>
      </c>
      <c r="D373" s="32" t="s">
        <v>1542</v>
      </c>
      <c r="E373" s="32" t="s">
        <v>1538</v>
      </c>
      <c r="F373" s="32" t="s">
        <v>1539</v>
      </c>
      <c r="G373" s="32" t="s">
        <v>1387</v>
      </c>
      <c r="H373" s="32" t="s">
        <v>1388</v>
      </c>
      <c r="I373" s="32" t="s">
        <v>198</v>
      </c>
      <c r="J373" s="32" t="s">
        <v>199</v>
      </c>
      <c r="K373" s="32">
        <v>2.3834710000000001</v>
      </c>
      <c r="L373" s="33">
        <v>2394</v>
      </c>
      <c r="M373" s="32">
        <v>670</v>
      </c>
      <c r="N373" s="32">
        <v>392</v>
      </c>
      <c r="O373" s="32">
        <v>674</v>
      </c>
      <c r="P373" s="32">
        <v>513</v>
      </c>
      <c r="Q373" s="32">
        <v>145</v>
      </c>
      <c r="R373" s="32">
        <v>2</v>
      </c>
      <c r="S373" s="32">
        <v>12.1584</v>
      </c>
      <c r="T373" s="32">
        <v>0</v>
      </c>
      <c r="U373" s="32">
        <v>1.038347854</v>
      </c>
      <c r="V373" s="32">
        <v>3</v>
      </c>
      <c r="W373" s="32">
        <v>0.91083599999999998</v>
      </c>
      <c r="X373" s="32">
        <v>0.20533100000000001</v>
      </c>
      <c r="Y373" s="32">
        <v>0.79798500000000006</v>
      </c>
      <c r="Z373" s="32">
        <v>0.47106199999999998</v>
      </c>
      <c r="AA373" s="32">
        <v>48.2</v>
      </c>
      <c r="AB373" s="32">
        <v>680</v>
      </c>
      <c r="AC373" s="32">
        <v>34</v>
      </c>
      <c r="AD373" s="32">
        <v>72</v>
      </c>
      <c r="AE373" s="32" t="s">
        <v>200</v>
      </c>
      <c r="AF373" s="32" t="s">
        <v>200</v>
      </c>
      <c r="AG373" s="32" t="s">
        <v>200</v>
      </c>
    </row>
    <row r="374" spans="1:33">
      <c r="A374" s="32" t="s">
        <v>1543</v>
      </c>
      <c r="B374" s="32" t="s">
        <v>102</v>
      </c>
      <c r="C374" s="32" t="s">
        <v>1544</v>
      </c>
      <c r="D374" s="32" t="s">
        <v>1545</v>
      </c>
      <c r="E374" s="32" t="s">
        <v>1546</v>
      </c>
      <c r="F374" s="32" t="s">
        <v>1547</v>
      </c>
      <c r="G374" s="32" t="s">
        <v>1387</v>
      </c>
      <c r="H374" s="32" t="s">
        <v>1388</v>
      </c>
      <c r="I374" s="32" t="s">
        <v>198</v>
      </c>
      <c r="J374" s="32" t="s">
        <v>199</v>
      </c>
      <c r="K374" s="32">
        <v>2.478685</v>
      </c>
      <c r="L374" s="33">
        <v>1760</v>
      </c>
      <c r="M374" s="32">
        <v>413</v>
      </c>
      <c r="N374" s="32">
        <v>312</v>
      </c>
      <c r="O374" s="32">
        <v>402</v>
      </c>
      <c r="P374" s="32">
        <v>417</v>
      </c>
      <c r="Q374" s="32">
        <v>216</v>
      </c>
      <c r="R374" s="32" t="s">
        <v>225</v>
      </c>
      <c r="S374" s="32">
        <v>7.8735400000000002</v>
      </c>
      <c r="T374" s="32">
        <v>0</v>
      </c>
      <c r="U374" s="32">
        <v>0.94007065700000003</v>
      </c>
      <c r="V374" s="32">
        <v>4</v>
      </c>
      <c r="W374" s="32">
        <v>0.88886500000000002</v>
      </c>
      <c r="X374" s="32">
        <v>0.27324799999999999</v>
      </c>
      <c r="Y374" s="32">
        <v>0.8</v>
      </c>
      <c r="Z374" s="32">
        <v>0.519872</v>
      </c>
      <c r="AA374" s="32">
        <v>42.2</v>
      </c>
      <c r="AB374" s="32">
        <v>808</v>
      </c>
      <c r="AC374" s="32">
        <v>35</v>
      </c>
      <c r="AD374" s="32">
        <v>126</v>
      </c>
      <c r="AE374" s="32">
        <v>10</v>
      </c>
      <c r="AF374" s="32" t="s">
        <v>200</v>
      </c>
      <c r="AG374" s="32">
        <v>18</v>
      </c>
    </row>
    <row r="375" spans="1:33">
      <c r="A375" s="32" t="s">
        <v>1548</v>
      </c>
      <c r="B375" s="32" t="s">
        <v>102</v>
      </c>
      <c r="C375" s="32" t="s">
        <v>1549</v>
      </c>
      <c r="D375" s="32" t="s">
        <v>1550</v>
      </c>
      <c r="E375" s="32" t="s">
        <v>1546</v>
      </c>
      <c r="F375" s="32" t="s">
        <v>1547</v>
      </c>
      <c r="G375" s="32" t="s">
        <v>1387</v>
      </c>
      <c r="H375" s="32" t="s">
        <v>1388</v>
      </c>
      <c r="I375" s="32" t="s">
        <v>198</v>
      </c>
      <c r="J375" s="32" t="s">
        <v>199</v>
      </c>
      <c r="K375" s="32">
        <v>2.5242279999999999</v>
      </c>
      <c r="L375" s="33">
        <v>1729</v>
      </c>
      <c r="M375" s="32">
        <v>413</v>
      </c>
      <c r="N375" s="32">
        <v>286</v>
      </c>
      <c r="O375" s="32">
        <v>386</v>
      </c>
      <c r="P375" s="32">
        <v>427</v>
      </c>
      <c r="Q375" s="32">
        <v>217</v>
      </c>
      <c r="R375" s="32">
        <v>2</v>
      </c>
      <c r="S375" s="32">
        <v>13.5061</v>
      </c>
      <c r="T375" s="32">
        <v>2.97959</v>
      </c>
      <c r="U375" s="32">
        <v>0.96454819999999997</v>
      </c>
      <c r="V375" s="32">
        <v>3</v>
      </c>
      <c r="W375" s="32">
        <v>0.90308600000000006</v>
      </c>
      <c r="X375" s="32">
        <v>0.27662500000000001</v>
      </c>
      <c r="Y375" s="32">
        <v>0.8</v>
      </c>
      <c r="Z375" s="32">
        <v>0.53436499999999998</v>
      </c>
      <c r="AA375" s="32">
        <v>49.6</v>
      </c>
      <c r="AB375" s="32">
        <v>615</v>
      </c>
      <c r="AC375" s="32">
        <v>16</v>
      </c>
      <c r="AD375" s="32">
        <v>84</v>
      </c>
      <c r="AE375" s="32">
        <v>0</v>
      </c>
      <c r="AF375" s="32">
        <v>24</v>
      </c>
      <c r="AG375" s="32">
        <v>5</v>
      </c>
    </row>
    <row r="376" spans="1:33">
      <c r="A376" s="32" t="s">
        <v>1551</v>
      </c>
      <c r="B376" s="32" t="s">
        <v>102</v>
      </c>
      <c r="C376" s="32" t="s">
        <v>1552</v>
      </c>
      <c r="D376" s="32" t="s">
        <v>1553</v>
      </c>
      <c r="E376" s="32" t="s">
        <v>1546</v>
      </c>
      <c r="F376" s="32" t="s">
        <v>1547</v>
      </c>
      <c r="G376" s="32" t="s">
        <v>1387</v>
      </c>
      <c r="H376" s="32" t="s">
        <v>1388</v>
      </c>
      <c r="I376" s="32" t="s">
        <v>198</v>
      </c>
      <c r="J376" s="32" t="s">
        <v>199</v>
      </c>
      <c r="K376" s="32">
        <v>2.680939</v>
      </c>
      <c r="L376" s="33">
        <v>1656</v>
      </c>
      <c r="M376" s="32">
        <v>382</v>
      </c>
      <c r="N376" s="32">
        <v>350</v>
      </c>
      <c r="O376" s="32">
        <v>264</v>
      </c>
      <c r="P376" s="32">
        <v>432</v>
      </c>
      <c r="Q376" s="32">
        <v>228</v>
      </c>
      <c r="R376" s="32" t="s">
        <v>214</v>
      </c>
      <c r="S376" s="32">
        <v>8.0537500000000009</v>
      </c>
      <c r="T376" s="32">
        <v>0</v>
      </c>
      <c r="U376" s="32">
        <v>1.061591975</v>
      </c>
      <c r="V376" s="32">
        <v>2</v>
      </c>
      <c r="W376" s="32">
        <v>0.91294500000000001</v>
      </c>
      <c r="X376" s="32">
        <v>0.38347599999999998</v>
      </c>
      <c r="Y376" s="32">
        <v>0.8</v>
      </c>
      <c r="Z376" s="32">
        <v>0.58937700000000004</v>
      </c>
      <c r="AA376" s="32">
        <v>54.1</v>
      </c>
      <c r="AB376" s="32">
        <v>478</v>
      </c>
      <c r="AC376" s="32">
        <v>14</v>
      </c>
      <c r="AD376" s="32">
        <v>54</v>
      </c>
      <c r="AE376" s="32" t="s">
        <v>200</v>
      </c>
      <c r="AF376" s="32">
        <v>0</v>
      </c>
      <c r="AG376" s="32" t="s">
        <v>200</v>
      </c>
    </row>
    <row r="377" spans="1:33">
      <c r="A377" s="32" t="s">
        <v>1554</v>
      </c>
      <c r="B377" s="32" t="s">
        <v>102</v>
      </c>
      <c r="C377" s="32" t="s">
        <v>1555</v>
      </c>
      <c r="D377" s="32" t="s">
        <v>1556</v>
      </c>
      <c r="E377" s="32" t="s">
        <v>1475</v>
      </c>
      <c r="F377" s="32" t="s">
        <v>1476</v>
      </c>
      <c r="G377" s="32" t="s">
        <v>196</v>
      </c>
      <c r="H377" s="32" t="s">
        <v>197</v>
      </c>
      <c r="I377" s="32" t="s">
        <v>198</v>
      </c>
      <c r="J377" s="32" t="s">
        <v>199</v>
      </c>
      <c r="K377" s="32">
        <v>2.4395020000000001</v>
      </c>
      <c r="L377" s="33">
        <v>2304</v>
      </c>
      <c r="M377" s="32">
        <v>666</v>
      </c>
      <c r="N377" s="32">
        <v>439</v>
      </c>
      <c r="O377" s="32">
        <v>474</v>
      </c>
      <c r="P377" s="32">
        <v>499</v>
      </c>
      <c r="Q377" s="32">
        <v>226</v>
      </c>
      <c r="R377" s="32">
        <v>3</v>
      </c>
      <c r="S377" s="32">
        <v>21.678799999999999</v>
      </c>
      <c r="T377" s="32">
        <v>4.1806099999999997</v>
      </c>
      <c r="U377" s="32">
        <v>0.99340886699999997</v>
      </c>
      <c r="V377" s="32">
        <v>3</v>
      </c>
      <c r="W377" s="32">
        <v>0.904478</v>
      </c>
      <c r="X377" s="32">
        <v>8.9709999999999998E-2</v>
      </c>
      <c r="Y377" s="32">
        <v>0.8</v>
      </c>
      <c r="Z377" s="32">
        <v>0.64610000000000001</v>
      </c>
      <c r="AA377" s="32">
        <v>61</v>
      </c>
      <c r="AB377" s="32">
        <v>726</v>
      </c>
      <c r="AC377" s="32">
        <v>14</v>
      </c>
      <c r="AD377" s="32">
        <v>90</v>
      </c>
      <c r="AE377" s="32" t="s">
        <v>200</v>
      </c>
      <c r="AF377" s="32">
        <v>0</v>
      </c>
      <c r="AG377" s="32">
        <v>67</v>
      </c>
    </row>
    <row r="378" spans="1:33">
      <c r="A378" s="32" t="s">
        <v>1557</v>
      </c>
      <c r="B378" s="32" t="s">
        <v>60</v>
      </c>
      <c r="C378" s="32" t="s">
        <v>1558</v>
      </c>
      <c r="D378" s="32" t="s">
        <v>1559</v>
      </c>
      <c r="E378" s="32" t="s">
        <v>1560</v>
      </c>
      <c r="F378" s="32" t="s">
        <v>1561</v>
      </c>
      <c r="G378" s="32" t="s">
        <v>1429</v>
      </c>
      <c r="H378" s="32" t="s">
        <v>1430</v>
      </c>
      <c r="I378" s="32" t="s">
        <v>198</v>
      </c>
      <c r="J378" s="32" t="s">
        <v>199</v>
      </c>
      <c r="K378" s="32">
        <v>2.2332779999999999</v>
      </c>
      <c r="L378" s="33">
        <v>2081</v>
      </c>
      <c r="M378" s="32">
        <v>418</v>
      </c>
      <c r="N378" s="32">
        <v>448</v>
      </c>
      <c r="O378" s="32">
        <v>508</v>
      </c>
      <c r="P378" s="32">
        <v>430</v>
      </c>
      <c r="Q378" s="32">
        <v>277</v>
      </c>
      <c r="R378" s="32">
        <v>3</v>
      </c>
      <c r="S378" s="32">
        <v>23.181799999999999</v>
      </c>
      <c r="T378" s="32">
        <v>6.07864</v>
      </c>
      <c r="U378" s="32">
        <v>0.81265240100000002</v>
      </c>
      <c r="V378" s="32">
        <v>7</v>
      </c>
      <c r="W378" s="32">
        <v>0.90931799999999996</v>
      </c>
      <c r="X378" s="32">
        <v>0.21122099999999999</v>
      </c>
      <c r="Y378" s="32">
        <v>0.7</v>
      </c>
      <c r="Z378" s="32">
        <v>0.402314</v>
      </c>
      <c r="AA378" s="32">
        <v>72.3</v>
      </c>
      <c r="AB378" s="32">
        <v>617</v>
      </c>
      <c r="AC378" s="32">
        <v>9</v>
      </c>
      <c r="AD378" s="32">
        <v>35</v>
      </c>
      <c r="AE378" s="32" t="s">
        <v>200</v>
      </c>
      <c r="AF378" s="32" t="s">
        <v>200</v>
      </c>
      <c r="AG378" s="32" t="s">
        <v>200</v>
      </c>
    </row>
    <row r="379" spans="1:33">
      <c r="A379" s="32" t="s">
        <v>1562</v>
      </c>
      <c r="B379" s="32" t="s">
        <v>60</v>
      </c>
      <c r="C379" s="32" t="s">
        <v>1563</v>
      </c>
      <c r="D379" s="32" t="s">
        <v>1564</v>
      </c>
      <c r="E379" s="32" t="s">
        <v>1560</v>
      </c>
      <c r="F379" s="32" t="s">
        <v>1561</v>
      </c>
      <c r="G379" s="32" t="s">
        <v>1429</v>
      </c>
      <c r="H379" s="32" t="s">
        <v>1430</v>
      </c>
      <c r="I379" s="32" t="s">
        <v>198</v>
      </c>
      <c r="J379" s="32" t="s">
        <v>199</v>
      </c>
      <c r="K379" s="32">
        <v>2.1454710000000001</v>
      </c>
      <c r="L379" s="33">
        <v>1499</v>
      </c>
      <c r="M379" s="32">
        <v>278</v>
      </c>
      <c r="N379" s="32">
        <v>271</v>
      </c>
      <c r="O379" s="32">
        <v>248</v>
      </c>
      <c r="P379" s="32">
        <v>425</v>
      </c>
      <c r="Q379" s="32">
        <v>277</v>
      </c>
      <c r="R379" s="32">
        <v>3</v>
      </c>
      <c r="S379" s="32">
        <v>18.060199999999998</v>
      </c>
      <c r="T379" s="32">
        <v>3.99275</v>
      </c>
      <c r="U379" s="32">
        <v>0.83276638999999997</v>
      </c>
      <c r="V379" s="32">
        <v>7</v>
      </c>
      <c r="W379" s="32">
        <v>0.90090599999999998</v>
      </c>
      <c r="X379" s="32">
        <v>0.19747700000000001</v>
      </c>
      <c r="Y379" s="32">
        <v>0.7</v>
      </c>
      <c r="Z379" s="32">
        <v>0.34748200000000001</v>
      </c>
      <c r="AA379" s="32">
        <v>69.3</v>
      </c>
      <c r="AB379" s="32">
        <v>649</v>
      </c>
      <c r="AC379" s="32">
        <v>11</v>
      </c>
      <c r="AD379" s="32">
        <v>15</v>
      </c>
      <c r="AE379" s="32">
        <v>0</v>
      </c>
      <c r="AF379" s="32">
        <v>0</v>
      </c>
      <c r="AG379" s="32" t="s">
        <v>200</v>
      </c>
    </row>
    <row r="380" spans="1:33">
      <c r="A380" s="32" t="s">
        <v>1565</v>
      </c>
      <c r="B380" s="32" t="s">
        <v>60</v>
      </c>
      <c r="C380" s="32" t="s">
        <v>1566</v>
      </c>
      <c r="D380" s="32" t="s">
        <v>1567</v>
      </c>
      <c r="E380" s="32" t="s">
        <v>1568</v>
      </c>
      <c r="F380" s="32" t="s">
        <v>1569</v>
      </c>
      <c r="G380" s="32" t="s">
        <v>1429</v>
      </c>
      <c r="H380" s="32" t="s">
        <v>1430</v>
      </c>
      <c r="I380" s="32" t="s">
        <v>198</v>
      </c>
      <c r="J380" s="32" t="s">
        <v>199</v>
      </c>
      <c r="K380" s="32">
        <v>2.1926909999999999</v>
      </c>
      <c r="L380" s="33">
        <v>1782</v>
      </c>
      <c r="M380" s="32">
        <v>436</v>
      </c>
      <c r="N380" s="32">
        <v>251</v>
      </c>
      <c r="O380" s="32">
        <v>557</v>
      </c>
      <c r="P380" s="32">
        <v>326</v>
      </c>
      <c r="Q380" s="32">
        <v>212</v>
      </c>
      <c r="R380" s="32">
        <v>3</v>
      </c>
      <c r="S380" s="32">
        <v>19.686900000000001</v>
      </c>
      <c r="T380" s="32">
        <v>10.2621</v>
      </c>
      <c r="U380" s="32">
        <v>0.82905287699999997</v>
      </c>
      <c r="V380" s="32">
        <v>6</v>
      </c>
      <c r="W380" s="32">
        <v>0.90980099999999997</v>
      </c>
      <c r="X380" s="32">
        <v>0.22991600000000001</v>
      </c>
      <c r="Y380" s="32">
        <v>0.7</v>
      </c>
      <c r="Z380" s="32">
        <v>0.354576</v>
      </c>
      <c r="AA380" s="32">
        <v>70.599999999999994</v>
      </c>
      <c r="AB380" s="32">
        <v>464</v>
      </c>
      <c r="AC380" s="32">
        <v>13</v>
      </c>
      <c r="AD380" s="32">
        <v>27</v>
      </c>
      <c r="AE380" s="32">
        <v>0</v>
      </c>
      <c r="AF380" s="32" t="s">
        <v>200</v>
      </c>
      <c r="AG380" s="32" t="s">
        <v>200</v>
      </c>
    </row>
    <row r="381" spans="1:33">
      <c r="A381" s="32" t="s">
        <v>1570</v>
      </c>
      <c r="B381" s="32" t="s">
        <v>60</v>
      </c>
      <c r="C381" s="32" t="s">
        <v>1571</v>
      </c>
      <c r="D381" s="32" t="s">
        <v>1572</v>
      </c>
      <c r="E381" s="32" t="s">
        <v>1573</v>
      </c>
      <c r="F381" s="32" t="s">
        <v>1574</v>
      </c>
      <c r="G381" s="32" t="s">
        <v>1429</v>
      </c>
      <c r="H381" s="32" t="s">
        <v>1430</v>
      </c>
      <c r="I381" s="32" t="s">
        <v>198</v>
      </c>
      <c r="J381" s="32" t="s">
        <v>199</v>
      </c>
      <c r="K381" s="32">
        <v>2.3634400000000002</v>
      </c>
      <c r="L381" s="33">
        <v>1698</v>
      </c>
      <c r="M381" s="32">
        <v>313</v>
      </c>
      <c r="N381" s="32">
        <v>366</v>
      </c>
      <c r="O381" s="32">
        <v>314</v>
      </c>
      <c r="P381" s="32">
        <v>407</v>
      </c>
      <c r="Q381" s="32">
        <v>298</v>
      </c>
      <c r="R381" s="32">
        <v>2</v>
      </c>
      <c r="S381" s="32">
        <v>10.707599999999999</v>
      </c>
      <c r="T381" s="32">
        <v>1.9986999999999999</v>
      </c>
      <c r="U381" s="32">
        <v>0.67812825300000001</v>
      </c>
      <c r="V381" s="32">
        <v>8</v>
      </c>
      <c r="W381" s="32">
        <v>0.892544</v>
      </c>
      <c r="X381" s="32">
        <v>0.40690900000000002</v>
      </c>
      <c r="Y381" s="32">
        <v>0.7</v>
      </c>
      <c r="Z381" s="32">
        <v>0.37262899999999999</v>
      </c>
      <c r="AA381" s="32">
        <v>68.099999999999994</v>
      </c>
      <c r="AB381" s="32">
        <v>733</v>
      </c>
      <c r="AC381" s="32">
        <v>14</v>
      </c>
      <c r="AD381" s="32">
        <v>106</v>
      </c>
      <c r="AE381" s="32">
        <v>8</v>
      </c>
      <c r="AF381" s="32" t="s">
        <v>200</v>
      </c>
      <c r="AG381" s="32">
        <v>8</v>
      </c>
    </row>
    <row r="382" spans="1:33">
      <c r="A382" s="32" t="s">
        <v>1575</v>
      </c>
      <c r="B382" s="32" t="s">
        <v>60</v>
      </c>
      <c r="C382" s="32" t="s">
        <v>1576</v>
      </c>
      <c r="D382" s="32" t="s">
        <v>1577</v>
      </c>
      <c r="E382" s="32" t="s">
        <v>1573</v>
      </c>
      <c r="F382" s="32" t="s">
        <v>1574</v>
      </c>
      <c r="G382" s="32" t="s">
        <v>1429</v>
      </c>
      <c r="H382" s="32" t="s">
        <v>1430</v>
      </c>
      <c r="I382" s="32" t="s">
        <v>198</v>
      </c>
      <c r="J382" s="32" t="s">
        <v>199</v>
      </c>
      <c r="K382" s="32">
        <v>1.9578949999999999</v>
      </c>
      <c r="L382" s="33">
        <v>1608</v>
      </c>
      <c r="M382" s="32">
        <v>323</v>
      </c>
      <c r="N382" s="32">
        <v>300</v>
      </c>
      <c r="O382" s="32">
        <v>289</v>
      </c>
      <c r="P382" s="32">
        <v>442</v>
      </c>
      <c r="Q382" s="32">
        <v>254</v>
      </c>
      <c r="R382" s="32" t="s">
        <v>225</v>
      </c>
      <c r="S382" s="32">
        <v>5.6116299999999999</v>
      </c>
      <c r="T382" s="32">
        <v>0</v>
      </c>
      <c r="U382" s="32">
        <v>0.88360216999999996</v>
      </c>
      <c r="V382" s="32">
        <v>8</v>
      </c>
      <c r="W382" s="32">
        <v>0.82556399999999996</v>
      </c>
      <c r="X382" s="32">
        <v>0.13207099999999999</v>
      </c>
      <c r="Y382" s="32">
        <v>0.7</v>
      </c>
      <c r="Z382" s="32">
        <v>0.29875299999999999</v>
      </c>
      <c r="AA382" s="32">
        <v>70</v>
      </c>
      <c r="AB382" s="32">
        <v>719</v>
      </c>
      <c r="AC382" s="32">
        <v>8</v>
      </c>
      <c r="AD382" s="32">
        <v>36</v>
      </c>
      <c r="AE382" s="32" t="s">
        <v>200</v>
      </c>
      <c r="AF382" s="32">
        <v>0</v>
      </c>
      <c r="AG382" s="32" t="s">
        <v>200</v>
      </c>
    </row>
    <row r="383" spans="1:33">
      <c r="A383" s="32" t="s">
        <v>1578</v>
      </c>
      <c r="B383" s="32" t="s">
        <v>60</v>
      </c>
      <c r="C383" s="32" t="s">
        <v>1579</v>
      </c>
      <c r="D383" s="32" t="s">
        <v>1580</v>
      </c>
      <c r="E383" s="32" t="s">
        <v>1573</v>
      </c>
      <c r="F383" s="32" t="s">
        <v>1574</v>
      </c>
      <c r="G383" s="32" t="s">
        <v>1429</v>
      </c>
      <c r="H383" s="32" t="s">
        <v>1430</v>
      </c>
      <c r="I383" s="32" t="s">
        <v>198</v>
      </c>
      <c r="J383" s="32" t="s">
        <v>199</v>
      </c>
      <c r="K383" s="32">
        <v>1.892261</v>
      </c>
      <c r="L383" s="33">
        <v>1690</v>
      </c>
      <c r="M383" s="32">
        <v>315</v>
      </c>
      <c r="N383" s="32">
        <v>292</v>
      </c>
      <c r="O383" s="32">
        <v>363</v>
      </c>
      <c r="P383" s="32">
        <v>463</v>
      </c>
      <c r="Q383" s="32">
        <v>257</v>
      </c>
      <c r="R383" s="32" t="s">
        <v>225</v>
      </c>
      <c r="S383" s="32">
        <v>5.7082699999999997</v>
      </c>
      <c r="T383" s="32">
        <v>2.0689500000000001</v>
      </c>
      <c r="U383" s="32">
        <v>0.92089183399999996</v>
      </c>
      <c r="V383" s="32">
        <v>8</v>
      </c>
      <c r="W383" s="32">
        <v>0.83095600000000003</v>
      </c>
      <c r="X383" s="32">
        <v>6.9431999999999994E-2</v>
      </c>
      <c r="Y383" s="32">
        <v>0.7</v>
      </c>
      <c r="Z383" s="32">
        <v>0.29174299999999997</v>
      </c>
      <c r="AA383" s="32">
        <v>67.599999999999994</v>
      </c>
      <c r="AB383" s="32">
        <v>791</v>
      </c>
      <c r="AC383" s="32">
        <v>13</v>
      </c>
      <c r="AD383" s="32">
        <v>41</v>
      </c>
      <c r="AE383" s="32">
        <v>0</v>
      </c>
      <c r="AF383" s="32" t="s">
        <v>200</v>
      </c>
      <c r="AG383" s="32" t="s">
        <v>200</v>
      </c>
    </row>
    <row r="384" spans="1:33">
      <c r="A384" s="32" t="s">
        <v>1581</v>
      </c>
      <c r="B384" s="32" t="s">
        <v>60</v>
      </c>
      <c r="C384" s="32" t="s">
        <v>1582</v>
      </c>
      <c r="D384" s="32" t="s">
        <v>1583</v>
      </c>
      <c r="E384" s="32" t="s">
        <v>1573</v>
      </c>
      <c r="F384" s="32" t="s">
        <v>1574</v>
      </c>
      <c r="G384" s="32" t="s">
        <v>1429</v>
      </c>
      <c r="H384" s="32" t="s">
        <v>1430</v>
      </c>
      <c r="I384" s="32" t="s">
        <v>198</v>
      </c>
      <c r="J384" s="32" t="s">
        <v>199</v>
      </c>
      <c r="K384" s="32">
        <v>2.1877680000000002</v>
      </c>
      <c r="L384" s="33">
        <v>1879</v>
      </c>
      <c r="M384" s="32">
        <v>345</v>
      </c>
      <c r="N384" s="32">
        <v>363</v>
      </c>
      <c r="O384" s="32">
        <v>339</v>
      </c>
      <c r="P384" s="32">
        <v>498</v>
      </c>
      <c r="Q384" s="32">
        <v>334</v>
      </c>
      <c r="R384" s="32" t="s">
        <v>225</v>
      </c>
      <c r="S384" s="32">
        <v>10.6836</v>
      </c>
      <c r="T384" s="32">
        <v>0</v>
      </c>
      <c r="U384" s="32">
        <v>0.87431543099999998</v>
      </c>
      <c r="V384" s="32">
        <v>6</v>
      </c>
      <c r="W384" s="32">
        <v>0.86623700000000003</v>
      </c>
      <c r="X384" s="32">
        <v>0.302788</v>
      </c>
      <c r="Y384" s="32">
        <v>0.7</v>
      </c>
      <c r="Z384" s="32">
        <v>0.320158</v>
      </c>
      <c r="AA384" s="32">
        <v>62.2</v>
      </c>
      <c r="AB384" s="32">
        <v>799</v>
      </c>
      <c r="AC384" s="32">
        <v>10</v>
      </c>
      <c r="AD384" s="32">
        <v>100</v>
      </c>
      <c r="AE384" s="32">
        <v>10</v>
      </c>
      <c r="AF384" s="32" t="s">
        <v>200</v>
      </c>
      <c r="AG384" s="32" t="s">
        <v>200</v>
      </c>
    </row>
    <row r="385" spans="1:33">
      <c r="A385" s="32" t="s">
        <v>1584</v>
      </c>
      <c r="B385" s="32" t="s">
        <v>60</v>
      </c>
      <c r="C385" s="32" t="s">
        <v>1585</v>
      </c>
      <c r="D385" s="32" t="s">
        <v>1586</v>
      </c>
      <c r="E385" s="32" t="s">
        <v>1587</v>
      </c>
      <c r="F385" s="32" t="s">
        <v>1588</v>
      </c>
      <c r="G385" s="32" t="s">
        <v>1429</v>
      </c>
      <c r="H385" s="32" t="s">
        <v>1430</v>
      </c>
      <c r="I385" s="32" t="s">
        <v>198</v>
      </c>
      <c r="J385" s="32" t="s">
        <v>199</v>
      </c>
      <c r="K385" s="32">
        <v>1.965606</v>
      </c>
      <c r="L385" s="33">
        <v>1487</v>
      </c>
      <c r="M385" s="32">
        <v>254</v>
      </c>
      <c r="N385" s="32">
        <v>277</v>
      </c>
      <c r="O385" s="32">
        <v>246</v>
      </c>
      <c r="P385" s="32">
        <v>402</v>
      </c>
      <c r="Q385" s="32">
        <v>308</v>
      </c>
      <c r="R385" s="32" t="s">
        <v>225</v>
      </c>
      <c r="S385" s="32">
        <v>6.4472199999999997</v>
      </c>
      <c r="T385" s="32">
        <v>0</v>
      </c>
      <c r="U385" s="32">
        <v>0.87772399400000001</v>
      </c>
      <c r="V385" s="32">
        <v>8</v>
      </c>
      <c r="W385" s="32">
        <v>0.82621199999999995</v>
      </c>
      <c r="X385" s="32">
        <v>0.18195500000000001</v>
      </c>
      <c r="Y385" s="32">
        <v>0.7</v>
      </c>
      <c r="Z385" s="32">
        <v>0.26057399999999997</v>
      </c>
      <c r="AA385" s="32">
        <v>57.6</v>
      </c>
      <c r="AB385" s="32">
        <v>727</v>
      </c>
      <c r="AC385" s="32">
        <v>10</v>
      </c>
      <c r="AD385" s="32">
        <v>42</v>
      </c>
      <c r="AE385" s="32" t="s">
        <v>200</v>
      </c>
      <c r="AF385" s="32" t="s">
        <v>200</v>
      </c>
      <c r="AG385" s="32">
        <v>6</v>
      </c>
    </row>
    <row r="386" spans="1:33">
      <c r="A386" s="32" t="s">
        <v>1589</v>
      </c>
      <c r="B386" s="32" t="s">
        <v>60</v>
      </c>
      <c r="C386" s="32" t="s">
        <v>1590</v>
      </c>
      <c r="D386" s="32" t="s">
        <v>1591</v>
      </c>
      <c r="E386" s="32" t="s">
        <v>1506</v>
      </c>
      <c r="F386" s="32" t="s">
        <v>1507</v>
      </c>
      <c r="G386" s="32" t="s">
        <v>1429</v>
      </c>
      <c r="H386" s="32" t="s">
        <v>1430</v>
      </c>
      <c r="I386" s="32" t="s">
        <v>198</v>
      </c>
      <c r="J386" s="32" t="s">
        <v>199</v>
      </c>
      <c r="K386" s="32">
        <v>2.5371169999999998</v>
      </c>
      <c r="L386" s="33">
        <v>2083</v>
      </c>
      <c r="M386" s="32">
        <v>517</v>
      </c>
      <c r="N386" s="32">
        <v>308</v>
      </c>
      <c r="O386" s="32">
        <v>484</v>
      </c>
      <c r="P386" s="32">
        <v>467</v>
      </c>
      <c r="Q386" s="32">
        <v>307</v>
      </c>
      <c r="R386" s="32" t="s">
        <v>214</v>
      </c>
      <c r="S386" s="32">
        <v>7.1774199999999997</v>
      </c>
      <c r="T386" s="32">
        <v>0</v>
      </c>
      <c r="U386" s="32">
        <v>0.605833277</v>
      </c>
      <c r="V386" s="32">
        <v>7</v>
      </c>
      <c r="W386" s="32">
        <v>0.863367</v>
      </c>
      <c r="X386" s="32">
        <v>0.64079399999999997</v>
      </c>
      <c r="Y386" s="32">
        <v>0.7</v>
      </c>
      <c r="Z386" s="32">
        <v>0.33849899999999999</v>
      </c>
      <c r="AA386" s="32">
        <v>49.5</v>
      </c>
      <c r="AB386" s="32">
        <v>866</v>
      </c>
      <c r="AC386" s="32">
        <v>22</v>
      </c>
      <c r="AD386" s="32">
        <v>43</v>
      </c>
      <c r="AE386" s="32" t="s">
        <v>200</v>
      </c>
      <c r="AF386" s="32" t="s">
        <v>200</v>
      </c>
      <c r="AG386" s="32">
        <v>11</v>
      </c>
    </row>
    <row r="387" spans="1:33">
      <c r="A387" s="32" t="s">
        <v>1592</v>
      </c>
      <c r="B387" s="32" t="s">
        <v>61</v>
      </c>
      <c r="C387" s="32" t="s">
        <v>1593</v>
      </c>
      <c r="D387" s="32" t="s">
        <v>1594</v>
      </c>
      <c r="E387" s="32" t="s">
        <v>1573</v>
      </c>
      <c r="F387" s="32" t="s">
        <v>1574</v>
      </c>
      <c r="G387" s="32" t="s">
        <v>1429</v>
      </c>
      <c r="H387" s="32" t="s">
        <v>1430</v>
      </c>
      <c r="I387" s="32" t="s">
        <v>198</v>
      </c>
      <c r="J387" s="32" t="s">
        <v>199</v>
      </c>
      <c r="K387" s="32">
        <v>2.3005930000000001</v>
      </c>
      <c r="L387" s="33">
        <v>1719</v>
      </c>
      <c r="M387" s="32">
        <v>360</v>
      </c>
      <c r="N387" s="32">
        <v>302</v>
      </c>
      <c r="O387" s="32">
        <v>410</v>
      </c>
      <c r="P387" s="32">
        <v>393</v>
      </c>
      <c r="Q387" s="32">
        <v>254</v>
      </c>
      <c r="R387" s="32">
        <v>3</v>
      </c>
      <c r="S387" s="32">
        <v>15.9367</v>
      </c>
      <c r="T387" s="32">
        <v>7.7105399999999999</v>
      </c>
      <c r="U387" s="32">
        <v>0.73513567000000002</v>
      </c>
      <c r="V387" s="32">
        <v>6</v>
      </c>
      <c r="W387" s="32">
        <v>0.91706200000000004</v>
      </c>
      <c r="X387" s="32">
        <v>0.35450500000000001</v>
      </c>
      <c r="Y387" s="32">
        <v>0.7</v>
      </c>
      <c r="Z387" s="32">
        <v>0.32532899999999998</v>
      </c>
      <c r="AA387" s="32">
        <v>74.599999999999994</v>
      </c>
      <c r="AB387" s="32">
        <v>584</v>
      </c>
      <c r="AC387" s="32">
        <v>6</v>
      </c>
      <c r="AD387" s="32">
        <v>25</v>
      </c>
      <c r="AE387" s="32">
        <v>0</v>
      </c>
      <c r="AF387" s="32">
        <v>0</v>
      </c>
      <c r="AG387" s="32" t="s">
        <v>200</v>
      </c>
    </row>
    <row r="388" spans="1:33">
      <c r="A388" s="32" t="s">
        <v>1570</v>
      </c>
      <c r="B388" s="32" t="s">
        <v>61</v>
      </c>
      <c r="C388" s="32" t="s">
        <v>1571</v>
      </c>
      <c r="D388" s="32" t="s">
        <v>1572</v>
      </c>
      <c r="E388" s="32" t="s">
        <v>1573</v>
      </c>
      <c r="F388" s="32" t="s">
        <v>1574</v>
      </c>
      <c r="G388" s="32" t="s">
        <v>1429</v>
      </c>
      <c r="H388" s="32" t="s">
        <v>1430</v>
      </c>
      <c r="I388" s="32" t="s">
        <v>198</v>
      </c>
      <c r="J388" s="32" t="s">
        <v>199</v>
      </c>
      <c r="K388" s="32">
        <v>2.3634400000000002</v>
      </c>
      <c r="L388" s="33">
        <v>1698</v>
      </c>
      <c r="M388" s="32">
        <v>313</v>
      </c>
      <c r="N388" s="32">
        <v>366</v>
      </c>
      <c r="O388" s="32">
        <v>314</v>
      </c>
      <c r="P388" s="32">
        <v>407</v>
      </c>
      <c r="Q388" s="32">
        <v>298</v>
      </c>
      <c r="R388" s="32">
        <v>2</v>
      </c>
      <c r="S388" s="32">
        <v>10.707599999999999</v>
      </c>
      <c r="T388" s="32">
        <v>1.9986999999999999</v>
      </c>
      <c r="U388" s="32">
        <v>0.67812825300000001</v>
      </c>
      <c r="V388" s="32">
        <v>8</v>
      </c>
      <c r="W388" s="32">
        <v>0.892544</v>
      </c>
      <c r="X388" s="32">
        <v>0.40690900000000002</v>
      </c>
      <c r="Y388" s="32">
        <v>0.7</v>
      </c>
      <c r="Z388" s="32">
        <v>0.37262899999999999</v>
      </c>
      <c r="AA388" s="32">
        <v>68.099999999999994</v>
      </c>
      <c r="AB388" s="32">
        <v>733</v>
      </c>
      <c r="AC388" s="32">
        <v>14</v>
      </c>
      <c r="AD388" s="32">
        <v>106</v>
      </c>
      <c r="AE388" s="32">
        <v>8</v>
      </c>
      <c r="AF388" s="32" t="s">
        <v>200</v>
      </c>
      <c r="AG388" s="32">
        <v>8</v>
      </c>
    </row>
    <row r="389" spans="1:33">
      <c r="A389" s="32" t="s">
        <v>1595</v>
      </c>
      <c r="B389" s="32" t="s">
        <v>61</v>
      </c>
      <c r="C389" s="32" t="s">
        <v>1596</v>
      </c>
      <c r="D389" s="32" t="s">
        <v>1597</v>
      </c>
      <c r="E389" s="32" t="s">
        <v>1427</v>
      </c>
      <c r="F389" s="32" t="s">
        <v>1428</v>
      </c>
      <c r="G389" s="32" t="s">
        <v>1429</v>
      </c>
      <c r="H389" s="32" t="s">
        <v>1430</v>
      </c>
      <c r="I389" s="32" t="s">
        <v>198</v>
      </c>
      <c r="J389" s="32" t="s">
        <v>199</v>
      </c>
      <c r="K389" s="32">
        <v>2.2856320000000001</v>
      </c>
      <c r="L389" s="33">
        <v>1565</v>
      </c>
      <c r="M389" s="32">
        <v>359</v>
      </c>
      <c r="N389" s="32">
        <v>195</v>
      </c>
      <c r="O389" s="32">
        <v>335</v>
      </c>
      <c r="P389" s="32">
        <v>410</v>
      </c>
      <c r="Q389" s="32">
        <v>266</v>
      </c>
      <c r="R389" s="32" t="s">
        <v>225</v>
      </c>
      <c r="S389" s="32">
        <v>15.8424</v>
      </c>
      <c r="T389" s="32">
        <v>0</v>
      </c>
      <c r="U389" s="32">
        <v>0.72840865600000004</v>
      </c>
      <c r="V389" s="32">
        <v>9</v>
      </c>
      <c r="W389" s="32">
        <v>0.91195800000000005</v>
      </c>
      <c r="X389" s="32">
        <v>0.36589100000000002</v>
      </c>
      <c r="Y389" s="32">
        <v>0.7</v>
      </c>
      <c r="Z389" s="32">
        <v>0.30230299999999999</v>
      </c>
      <c r="AA389" s="32">
        <v>31</v>
      </c>
      <c r="AB389" s="32">
        <v>611</v>
      </c>
      <c r="AC389" s="32">
        <v>24</v>
      </c>
      <c r="AD389" s="32">
        <v>24</v>
      </c>
      <c r="AE389" s="32">
        <v>0</v>
      </c>
      <c r="AF389" s="32">
        <v>0</v>
      </c>
      <c r="AG389" s="32" t="s">
        <v>200</v>
      </c>
    </row>
    <row r="390" spans="1:33">
      <c r="A390" s="32" t="s">
        <v>1444</v>
      </c>
      <c r="B390" s="32" t="s">
        <v>61</v>
      </c>
      <c r="C390" s="32" t="s">
        <v>1445</v>
      </c>
      <c r="D390" s="32" t="s">
        <v>1446</v>
      </c>
      <c r="E390" s="32" t="s">
        <v>1427</v>
      </c>
      <c r="F390" s="32" t="s">
        <v>1428</v>
      </c>
      <c r="G390" s="32" t="s">
        <v>1429</v>
      </c>
      <c r="H390" s="32" t="s">
        <v>1430</v>
      </c>
      <c r="I390" s="32" t="s">
        <v>198</v>
      </c>
      <c r="J390" s="32" t="s">
        <v>199</v>
      </c>
      <c r="K390" s="32">
        <v>2.1398799999999998</v>
      </c>
      <c r="L390" s="33">
        <v>1229</v>
      </c>
      <c r="M390" s="32">
        <v>272</v>
      </c>
      <c r="N390" s="32">
        <v>159</v>
      </c>
      <c r="O390" s="32">
        <v>196</v>
      </c>
      <c r="P390" s="32">
        <v>384</v>
      </c>
      <c r="Q390" s="32">
        <v>218</v>
      </c>
      <c r="R390" s="32" t="s">
        <v>225</v>
      </c>
      <c r="S390" s="32">
        <v>11.091900000000001</v>
      </c>
      <c r="T390" s="32">
        <v>0</v>
      </c>
      <c r="U390" s="32">
        <v>0.76755962700000002</v>
      </c>
      <c r="V390" s="32">
        <v>9</v>
      </c>
      <c r="W390" s="32">
        <v>0.90382700000000005</v>
      </c>
      <c r="X390" s="32">
        <v>0.27355400000000002</v>
      </c>
      <c r="Y390" s="32">
        <v>0.7</v>
      </c>
      <c r="Z390" s="32">
        <v>0.258629</v>
      </c>
      <c r="AA390" s="32">
        <v>28.7</v>
      </c>
      <c r="AB390" s="32">
        <v>521</v>
      </c>
      <c r="AC390" s="32">
        <v>9</v>
      </c>
      <c r="AD390" s="32">
        <v>15</v>
      </c>
      <c r="AE390" s="32" t="s">
        <v>200</v>
      </c>
      <c r="AF390" s="32" t="s">
        <v>200</v>
      </c>
      <c r="AG390" s="32" t="s">
        <v>200</v>
      </c>
    </row>
    <row r="391" spans="1:33">
      <c r="A391" s="32" t="s">
        <v>1598</v>
      </c>
      <c r="B391" s="32" t="s">
        <v>61</v>
      </c>
      <c r="C391" s="32" t="s">
        <v>1599</v>
      </c>
      <c r="D391" s="32" t="s">
        <v>1600</v>
      </c>
      <c r="E391" s="32" t="s">
        <v>1506</v>
      </c>
      <c r="F391" s="32" t="s">
        <v>1507</v>
      </c>
      <c r="G391" s="32" t="s">
        <v>1429</v>
      </c>
      <c r="H391" s="32" t="s">
        <v>1430</v>
      </c>
      <c r="I391" s="32" t="s">
        <v>198</v>
      </c>
      <c r="J391" s="32" t="s">
        <v>199</v>
      </c>
      <c r="K391" s="32">
        <v>2.6413129999999998</v>
      </c>
      <c r="L391" s="33">
        <v>2237</v>
      </c>
      <c r="M391" s="32">
        <v>484</v>
      </c>
      <c r="N391" s="32">
        <v>355</v>
      </c>
      <c r="O391" s="32">
        <v>669</v>
      </c>
      <c r="P391" s="32">
        <v>500</v>
      </c>
      <c r="Q391" s="32">
        <v>229</v>
      </c>
      <c r="R391" s="32">
        <v>2</v>
      </c>
      <c r="S391" s="32">
        <v>15.0755</v>
      </c>
      <c r="T391" s="32">
        <v>0</v>
      </c>
      <c r="U391" s="32">
        <v>0.59445393000000002</v>
      </c>
      <c r="V391" s="32">
        <v>7</v>
      </c>
      <c r="W391" s="32">
        <v>0.91850100000000001</v>
      </c>
      <c r="X391" s="32">
        <v>0.596136</v>
      </c>
      <c r="Y391" s="32">
        <v>0.7</v>
      </c>
      <c r="Z391" s="32">
        <v>0.42418600000000001</v>
      </c>
      <c r="AA391" s="32">
        <v>28</v>
      </c>
      <c r="AB391" s="32">
        <v>658</v>
      </c>
      <c r="AC391" s="32">
        <v>34</v>
      </c>
      <c r="AD391" s="32">
        <v>62</v>
      </c>
      <c r="AE391" s="32" t="s">
        <v>200</v>
      </c>
      <c r="AF391" s="32" t="s">
        <v>200</v>
      </c>
      <c r="AG391" s="32" t="s">
        <v>200</v>
      </c>
    </row>
    <row r="392" spans="1:33">
      <c r="A392" s="32"/>
      <c r="B392" s="32"/>
      <c r="C392" s="32"/>
      <c r="D392" s="32"/>
      <c r="E392" s="32"/>
      <c r="F392" s="32"/>
      <c r="G392" s="32"/>
      <c r="H392" s="32"/>
      <c r="I392" s="32"/>
      <c r="J392" s="32"/>
      <c r="K392" s="32"/>
      <c r="L392" s="33"/>
      <c r="M392" s="32"/>
      <c r="N392" s="32"/>
      <c r="O392" s="32"/>
      <c r="P392" s="32"/>
      <c r="Q392" s="32"/>
      <c r="R392" s="32"/>
      <c r="S392" s="32"/>
      <c r="T392" s="32"/>
      <c r="U392" s="32"/>
      <c r="V392" s="32"/>
      <c r="W392" s="32"/>
      <c r="X392" s="32"/>
      <c r="Y392" s="32"/>
      <c r="Z392" s="32"/>
      <c r="AA392" s="32">
        <f t="shared" ref="AA392:AB392" si="0">MEDIAN(AA387:AA391)</f>
        <v>31</v>
      </c>
      <c r="AB392" s="32">
        <f t="shared" si="0"/>
        <v>611</v>
      </c>
      <c r="AC392" s="32"/>
      <c r="AD392" s="32"/>
      <c r="AE392" s="32"/>
      <c r="AF392" s="32"/>
      <c r="AG392" s="32"/>
    </row>
    <row r="393" spans="1:33">
      <c r="A393" s="32" t="s">
        <v>1601</v>
      </c>
      <c r="B393" s="32" t="s">
        <v>62</v>
      </c>
      <c r="C393" s="32" t="s">
        <v>1602</v>
      </c>
      <c r="D393" s="32" t="s">
        <v>1603</v>
      </c>
      <c r="E393" s="32" t="s">
        <v>1604</v>
      </c>
      <c r="F393" s="32" t="s">
        <v>1605</v>
      </c>
      <c r="G393" s="32" t="s">
        <v>1606</v>
      </c>
      <c r="H393" s="32" t="s">
        <v>1607</v>
      </c>
      <c r="I393" s="32" t="s">
        <v>198</v>
      </c>
      <c r="J393" s="32" t="s">
        <v>199</v>
      </c>
      <c r="K393" s="32">
        <v>1.9754989999999999</v>
      </c>
      <c r="L393" s="33">
        <v>1764</v>
      </c>
      <c r="M393" s="32">
        <v>394</v>
      </c>
      <c r="N393" s="32">
        <v>251</v>
      </c>
      <c r="O393" s="32">
        <v>346</v>
      </c>
      <c r="P393" s="32">
        <v>379</v>
      </c>
      <c r="Q393" s="32">
        <v>394</v>
      </c>
      <c r="R393" s="32" t="s">
        <v>225</v>
      </c>
      <c r="S393" s="32">
        <v>5.8212599999999997</v>
      </c>
      <c r="T393" s="32">
        <v>0</v>
      </c>
      <c r="U393" s="32">
        <v>1.1280449109999999</v>
      </c>
      <c r="V393" s="32">
        <v>4</v>
      </c>
      <c r="W393" s="32">
        <v>0.81850900000000004</v>
      </c>
      <c r="X393" s="32">
        <v>0.16684599999999999</v>
      </c>
      <c r="Y393" s="32">
        <v>0.68124200000000001</v>
      </c>
      <c r="Z393" s="32">
        <v>0.3</v>
      </c>
      <c r="AA393" s="32">
        <v>36.1</v>
      </c>
      <c r="AB393" s="32">
        <v>697</v>
      </c>
      <c r="AC393" s="32">
        <v>9</v>
      </c>
      <c r="AD393" s="32">
        <v>40</v>
      </c>
      <c r="AE393" s="32" t="s">
        <v>200</v>
      </c>
      <c r="AF393" s="32">
        <v>0</v>
      </c>
      <c r="AG393" s="32">
        <v>5</v>
      </c>
    </row>
    <row r="394" spans="1:33">
      <c r="A394" s="32" t="s">
        <v>1608</v>
      </c>
      <c r="B394" s="32" t="s">
        <v>62</v>
      </c>
      <c r="C394" s="32" t="s">
        <v>1609</v>
      </c>
      <c r="D394" s="32" t="s">
        <v>1610</v>
      </c>
      <c r="E394" s="32" t="s">
        <v>1604</v>
      </c>
      <c r="F394" s="32" t="s">
        <v>1605</v>
      </c>
      <c r="G394" s="32" t="s">
        <v>1606</v>
      </c>
      <c r="H394" s="32" t="s">
        <v>1607</v>
      </c>
      <c r="I394" s="32" t="s">
        <v>198</v>
      </c>
      <c r="J394" s="32" t="s">
        <v>199</v>
      </c>
      <c r="K394" s="32">
        <v>2.0065710000000001</v>
      </c>
      <c r="L394" s="33">
        <v>2396</v>
      </c>
      <c r="M394" s="32">
        <v>754</v>
      </c>
      <c r="N394" s="32">
        <v>426</v>
      </c>
      <c r="O394" s="32">
        <v>565</v>
      </c>
      <c r="P394" s="32">
        <v>457</v>
      </c>
      <c r="Q394" s="32">
        <v>194</v>
      </c>
      <c r="R394" s="32" t="s">
        <v>225</v>
      </c>
      <c r="S394" s="32">
        <v>7.3129099999999996</v>
      </c>
      <c r="T394" s="32">
        <v>3.66018</v>
      </c>
      <c r="U394" s="32">
        <v>1.3457158950000001</v>
      </c>
      <c r="V394" s="32">
        <v>2</v>
      </c>
      <c r="W394" s="32">
        <v>0.81983300000000003</v>
      </c>
      <c r="X394" s="32">
        <v>0.208255</v>
      </c>
      <c r="Y394" s="32">
        <v>0.7</v>
      </c>
      <c r="Z394" s="32">
        <v>0.27024799999999999</v>
      </c>
      <c r="AA394" s="32">
        <v>34.299999999999997</v>
      </c>
      <c r="AB394" s="32">
        <v>709</v>
      </c>
      <c r="AC394" s="32">
        <v>28</v>
      </c>
      <c r="AD394" s="32">
        <v>57</v>
      </c>
      <c r="AE394" s="32" t="s">
        <v>200</v>
      </c>
      <c r="AF394" s="32" t="s">
        <v>200</v>
      </c>
      <c r="AG394" s="32" t="s">
        <v>200</v>
      </c>
    </row>
    <row r="395" spans="1:33">
      <c r="A395" s="32" t="s">
        <v>1611</v>
      </c>
      <c r="B395" s="32" t="s">
        <v>62</v>
      </c>
      <c r="C395" s="32" t="s">
        <v>1612</v>
      </c>
      <c r="D395" s="32" t="s">
        <v>1613</v>
      </c>
      <c r="E395" s="32" t="s">
        <v>1614</v>
      </c>
      <c r="F395" s="32" t="s">
        <v>1615</v>
      </c>
      <c r="G395" s="32" t="s">
        <v>1606</v>
      </c>
      <c r="H395" s="32" t="s">
        <v>1607</v>
      </c>
      <c r="I395" s="32" t="s">
        <v>198</v>
      </c>
      <c r="J395" s="32" t="s">
        <v>199</v>
      </c>
      <c r="K395" s="32">
        <v>1.95749</v>
      </c>
      <c r="L395" s="33">
        <v>1810</v>
      </c>
      <c r="M395" s="32">
        <v>383</v>
      </c>
      <c r="N395" s="32">
        <v>347</v>
      </c>
      <c r="O395" s="32">
        <v>397</v>
      </c>
      <c r="P395" s="32">
        <v>408</v>
      </c>
      <c r="Q395" s="32">
        <v>275</v>
      </c>
      <c r="R395" s="32" t="s">
        <v>225</v>
      </c>
      <c r="S395" s="32">
        <v>8.0245300000000004</v>
      </c>
      <c r="T395" s="32">
        <v>0</v>
      </c>
      <c r="U395" s="32">
        <v>1.111977915</v>
      </c>
      <c r="V395" s="32">
        <v>4</v>
      </c>
      <c r="W395" s="32">
        <v>0.81931100000000001</v>
      </c>
      <c r="X395" s="32">
        <v>0.24587400000000001</v>
      </c>
      <c r="Y395" s="32">
        <v>0.67187600000000003</v>
      </c>
      <c r="Z395" s="32">
        <v>0.22264900000000001</v>
      </c>
      <c r="AA395" s="32">
        <v>50.2</v>
      </c>
      <c r="AB395" s="32">
        <v>709</v>
      </c>
      <c r="AC395" s="32">
        <v>12</v>
      </c>
      <c r="AD395" s="32">
        <v>49</v>
      </c>
      <c r="AE395" s="32" t="s">
        <v>200</v>
      </c>
      <c r="AF395" s="32">
        <v>5</v>
      </c>
      <c r="AG395" s="32" t="s">
        <v>200</v>
      </c>
    </row>
    <row r="396" spans="1:33">
      <c r="A396" s="32" t="s">
        <v>1616</v>
      </c>
      <c r="B396" s="32" t="s">
        <v>62</v>
      </c>
      <c r="C396" s="32" t="s">
        <v>1617</v>
      </c>
      <c r="D396" s="32" t="s">
        <v>1618</v>
      </c>
      <c r="E396" s="32" t="s">
        <v>1619</v>
      </c>
      <c r="F396" s="32" t="s">
        <v>1620</v>
      </c>
      <c r="G396" s="32" t="s">
        <v>1621</v>
      </c>
      <c r="H396" s="32" t="s">
        <v>1622</v>
      </c>
      <c r="I396" s="32" t="s">
        <v>198</v>
      </c>
      <c r="J396" s="32" t="s">
        <v>199</v>
      </c>
      <c r="K396" s="32">
        <v>1.939729</v>
      </c>
      <c r="L396" s="33">
        <v>1933</v>
      </c>
      <c r="M396" s="32">
        <v>449</v>
      </c>
      <c r="N396" s="32">
        <v>322</v>
      </c>
      <c r="O396" s="32">
        <v>502</v>
      </c>
      <c r="P396" s="32">
        <v>441</v>
      </c>
      <c r="Q396" s="32">
        <v>219</v>
      </c>
      <c r="R396" s="32">
        <v>2</v>
      </c>
      <c r="S396" s="32">
        <v>28.441500000000001</v>
      </c>
      <c r="T396" s="32">
        <v>0</v>
      </c>
      <c r="U396" s="32">
        <v>1.076194433</v>
      </c>
      <c r="V396" s="32">
        <v>5</v>
      </c>
      <c r="W396" s="32">
        <v>0.81657999999999997</v>
      </c>
      <c r="X396" s="32">
        <v>0.194357</v>
      </c>
      <c r="Y396" s="32">
        <v>0.60124999999999995</v>
      </c>
      <c r="Z396" s="32">
        <v>0.33520800000000001</v>
      </c>
      <c r="AA396" s="32">
        <v>17.7</v>
      </c>
      <c r="AB396" s="32">
        <v>678</v>
      </c>
      <c r="AC396" s="32">
        <v>19</v>
      </c>
      <c r="AD396" s="32">
        <v>54</v>
      </c>
      <c r="AE396" s="32">
        <v>10</v>
      </c>
      <c r="AF396" s="32" t="s">
        <v>200</v>
      </c>
      <c r="AG396" s="32">
        <v>6</v>
      </c>
    </row>
    <row r="397" spans="1:33">
      <c r="A397" s="32" t="s">
        <v>1623</v>
      </c>
      <c r="B397" s="32" t="s">
        <v>62</v>
      </c>
      <c r="C397" s="32" t="s">
        <v>1624</v>
      </c>
      <c r="D397" s="32" t="s">
        <v>1625</v>
      </c>
      <c r="E397" s="32" t="s">
        <v>1619</v>
      </c>
      <c r="F397" s="32" t="s">
        <v>1620</v>
      </c>
      <c r="G397" s="32" t="s">
        <v>1621</v>
      </c>
      <c r="H397" s="32" t="s">
        <v>1622</v>
      </c>
      <c r="I397" s="32" t="s">
        <v>198</v>
      </c>
      <c r="J397" s="32" t="s">
        <v>199</v>
      </c>
      <c r="K397" s="32">
        <v>1.967862</v>
      </c>
      <c r="L397" s="33">
        <v>1634</v>
      </c>
      <c r="M397" s="32">
        <v>343</v>
      </c>
      <c r="N397" s="32">
        <v>274</v>
      </c>
      <c r="O397" s="32">
        <v>382</v>
      </c>
      <c r="P397" s="32">
        <v>375</v>
      </c>
      <c r="Q397" s="32">
        <v>260</v>
      </c>
      <c r="R397" s="32">
        <v>2</v>
      </c>
      <c r="S397" s="32">
        <v>16.8687</v>
      </c>
      <c r="T397" s="32">
        <v>2.5489899999999999</v>
      </c>
      <c r="U397" s="32">
        <v>1.0229067329999999</v>
      </c>
      <c r="V397" s="32">
        <v>5</v>
      </c>
      <c r="W397" s="32">
        <v>0.826295</v>
      </c>
      <c r="X397" s="32">
        <v>0.155228</v>
      </c>
      <c r="Y397" s="32">
        <v>0.61118499999999998</v>
      </c>
      <c r="Z397" s="32">
        <v>0.38758300000000001</v>
      </c>
      <c r="AA397" s="32">
        <v>12.8</v>
      </c>
      <c r="AB397" s="32">
        <v>644</v>
      </c>
      <c r="AC397" s="32">
        <v>12</v>
      </c>
      <c r="AD397" s="32">
        <v>54</v>
      </c>
      <c r="AE397" s="32">
        <v>0</v>
      </c>
      <c r="AF397" s="32" t="s">
        <v>200</v>
      </c>
      <c r="AG397" s="32">
        <v>6</v>
      </c>
    </row>
    <row r="398" spans="1:33">
      <c r="A398" s="32" t="s">
        <v>1626</v>
      </c>
      <c r="B398" s="32" t="s">
        <v>62</v>
      </c>
      <c r="C398" s="32" t="s">
        <v>1627</v>
      </c>
      <c r="D398" s="32" t="s">
        <v>1628</v>
      </c>
      <c r="E398" s="32" t="s">
        <v>1629</v>
      </c>
      <c r="F398" s="32" t="s">
        <v>1630</v>
      </c>
      <c r="G398" s="32" t="s">
        <v>1621</v>
      </c>
      <c r="H398" s="32" t="s">
        <v>1622</v>
      </c>
      <c r="I398" s="32" t="s">
        <v>198</v>
      </c>
      <c r="J398" s="32" t="s">
        <v>199</v>
      </c>
      <c r="K398" s="32">
        <v>1.8383529999999999</v>
      </c>
      <c r="L398" s="33">
        <v>1865</v>
      </c>
      <c r="M398" s="32">
        <v>273</v>
      </c>
      <c r="N398" s="32">
        <v>318</v>
      </c>
      <c r="O398" s="32">
        <v>284</v>
      </c>
      <c r="P398" s="32">
        <v>437</v>
      </c>
      <c r="Q398" s="32">
        <v>553</v>
      </c>
      <c r="R398" s="32" t="s">
        <v>225</v>
      </c>
      <c r="S398" s="32">
        <v>5.2432699999999999</v>
      </c>
      <c r="T398" s="32">
        <v>0</v>
      </c>
      <c r="U398" s="32">
        <v>1.031790244</v>
      </c>
      <c r="V398" s="32">
        <v>6</v>
      </c>
      <c r="W398" s="32">
        <v>0.806894</v>
      </c>
      <c r="X398" s="32">
        <v>0.192637</v>
      </c>
      <c r="Y398" s="32">
        <v>0.63183</v>
      </c>
      <c r="Z398" s="32">
        <v>0.20999300000000001</v>
      </c>
      <c r="AA398" s="32">
        <v>21.6</v>
      </c>
      <c r="AB398" s="32">
        <v>1245</v>
      </c>
      <c r="AC398" s="32">
        <v>48</v>
      </c>
      <c r="AD398" s="32">
        <v>110</v>
      </c>
      <c r="AE398" s="32">
        <v>0</v>
      </c>
      <c r="AF398" s="32" t="s">
        <v>200</v>
      </c>
      <c r="AG398" s="32" t="s">
        <v>200</v>
      </c>
    </row>
    <row r="399" spans="1:33">
      <c r="A399" s="32" t="s">
        <v>1631</v>
      </c>
      <c r="B399" s="32" t="s">
        <v>62</v>
      </c>
      <c r="C399" s="32" t="s">
        <v>1632</v>
      </c>
      <c r="D399" s="32" t="s">
        <v>1633</v>
      </c>
      <c r="E399" s="32" t="s">
        <v>1629</v>
      </c>
      <c r="F399" s="32" t="s">
        <v>1630</v>
      </c>
      <c r="G399" s="32" t="s">
        <v>1621</v>
      </c>
      <c r="H399" s="32" t="s">
        <v>1622</v>
      </c>
      <c r="I399" s="32" t="s">
        <v>198</v>
      </c>
      <c r="J399" s="32" t="s">
        <v>199</v>
      </c>
      <c r="K399" s="32">
        <v>1.999098</v>
      </c>
      <c r="L399" s="33">
        <v>1879</v>
      </c>
      <c r="M399" s="32">
        <v>424</v>
      </c>
      <c r="N399" s="32">
        <v>380</v>
      </c>
      <c r="O399" s="32">
        <v>437</v>
      </c>
      <c r="P399" s="32">
        <v>456</v>
      </c>
      <c r="Q399" s="32">
        <v>182</v>
      </c>
      <c r="R399" s="32" t="s">
        <v>214</v>
      </c>
      <c r="S399" s="32">
        <v>7.0266900000000003</v>
      </c>
      <c r="T399" s="32">
        <v>0</v>
      </c>
      <c r="U399" s="32">
        <v>1.03917997</v>
      </c>
      <c r="V399" s="32">
        <v>4</v>
      </c>
      <c r="W399" s="32">
        <v>0.80756399999999995</v>
      </c>
      <c r="X399" s="32">
        <v>0.30180800000000002</v>
      </c>
      <c r="Y399" s="32">
        <v>0.68312499999999998</v>
      </c>
      <c r="Z399" s="32">
        <v>0.208458</v>
      </c>
      <c r="AA399" s="32">
        <v>23.4</v>
      </c>
      <c r="AB399" s="32">
        <v>801</v>
      </c>
      <c r="AC399" s="32">
        <v>42</v>
      </c>
      <c r="AD399" s="32">
        <v>109</v>
      </c>
      <c r="AE399" s="32">
        <v>16</v>
      </c>
      <c r="AF399" s="32" t="s">
        <v>200</v>
      </c>
      <c r="AG399" s="32">
        <v>9</v>
      </c>
    </row>
    <row r="400" spans="1:33">
      <c r="A400" s="32" t="s">
        <v>1634</v>
      </c>
      <c r="B400" s="32" t="s">
        <v>62</v>
      </c>
      <c r="C400" s="32" t="s">
        <v>1635</v>
      </c>
      <c r="D400" s="32" t="s">
        <v>1636</v>
      </c>
      <c r="E400" s="32" t="s">
        <v>1637</v>
      </c>
      <c r="F400" s="32" t="s">
        <v>1638</v>
      </c>
      <c r="G400" s="32" t="s">
        <v>1621</v>
      </c>
      <c r="H400" s="32" t="s">
        <v>1622</v>
      </c>
      <c r="I400" s="32" t="s">
        <v>198</v>
      </c>
      <c r="J400" s="32" t="s">
        <v>199</v>
      </c>
      <c r="K400" s="32">
        <v>1.8223579999999999</v>
      </c>
      <c r="L400" s="33">
        <v>1670</v>
      </c>
      <c r="M400" s="32">
        <v>422</v>
      </c>
      <c r="N400" s="32">
        <v>288</v>
      </c>
      <c r="O400" s="32">
        <v>353</v>
      </c>
      <c r="P400" s="32">
        <v>384</v>
      </c>
      <c r="Q400" s="32">
        <v>223</v>
      </c>
      <c r="R400" s="32" t="s">
        <v>225</v>
      </c>
      <c r="S400" s="32">
        <v>6.8334599999999996</v>
      </c>
      <c r="T400" s="32">
        <v>2.6378699999999999</v>
      </c>
      <c r="U400" s="32">
        <v>1.2632405630000001</v>
      </c>
      <c r="V400" s="32">
        <v>3</v>
      </c>
      <c r="W400" s="32">
        <v>0.80689100000000002</v>
      </c>
      <c r="X400" s="32">
        <v>0.197214</v>
      </c>
      <c r="Y400" s="32">
        <v>0.6</v>
      </c>
      <c r="Z400" s="32">
        <v>0.202297</v>
      </c>
      <c r="AA400" s="32">
        <v>15.8</v>
      </c>
      <c r="AB400" s="32">
        <v>629</v>
      </c>
      <c r="AC400" s="32">
        <v>18</v>
      </c>
      <c r="AD400" s="32">
        <v>55</v>
      </c>
      <c r="AE400" s="32">
        <v>0</v>
      </c>
      <c r="AF400" s="32">
        <v>0</v>
      </c>
      <c r="AG400" s="32" t="s">
        <v>200</v>
      </c>
    </row>
    <row r="401" spans="1:33">
      <c r="A401" s="32" t="s">
        <v>1639</v>
      </c>
      <c r="B401" s="32" t="s">
        <v>62</v>
      </c>
      <c r="C401" s="32" t="s">
        <v>1640</v>
      </c>
      <c r="D401" s="32" t="s">
        <v>1641</v>
      </c>
      <c r="E401" s="32" t="s">
        <v>1642</v>
      </c>
      <c r="F401" s="32" t="s">
        <v>1643</v>
      </c>
      <c r="G401" s="32" t="s">
        <v>1621</v>
      </c>
      <c r="H401" s="32" t="s">
        <v>1622</v>
      </c>
      <c r="I401" s="32" t="s">
        <v>198</v>
      </c>
      <c r="J401" s="32" t="s">
        <v>199</v>
      </c>
      <c r="K401" s="32">
        <v>2.192504</v>
      </c>
      <c r="L401" s="33">
        <v>2707</v>
      </c>
      <c r="M401" s="32">
        <v>483</v>
      </c>
      <c r="N401" s="32">
        <v>516</v>
      </c>
      <c r="O401" s="32">
        <v>902</v>
      </c>
      <c r="P401" s="32">
        <v>528</v>
      </c>
      <c r="Q401" s="32">
        <v>278</v>
      </c>
      <c r="R401" s="32" t="s">
        <v>225</v>
      </c>
      <c r="S401" s="32">
        <v>15.5456</v>
      </c>
      <c r="T401" s="32">
        <v>0</v>
      </c>
      <c r="U401" s="32">
        <v>0.84526498999999999</v>
      </c>
      <c r="V401" s="32">
        <v>6</v>
      </c>
      <c r="W401" s="32">
        <v>0.81327400000000005</v>
      </c>
      <c r="X401" s="32">
        <v>0.25518999999999997</v>
      </c>
      <c r="Y401" s="32">
        <v>0.618649</v>
      </c>
      <c r="Z401" s="32">
        <v>0.50826400000000005</v>
      </c>
      <c r="AA401" s="32">
        <v>10.9</v>
      </c>
      <c r="AB401" s="32">
        <v>1419</v>
      </c>
      <c r="AC401" s="32">
        <v>21</v>
      </c>
      <c r="AD401" s="32">
        <v>263</v>
      </c>
      <c r="AE401" s="32">
        <v>47</v>
      </c>
      <c r="AF401" s="32">
        <v>5</v>
      </c>
      <c r="AG401" s="32">
        <v>6</v>
      </c>
    </row>
    <row r="402" spans="1:33">
      <c r="A402" s="32" t="s">
        <v>1644</v>
      </c>
      <c r="B402" s="32" t="s">
        <v>62</v>
      </c>
      <c r="C402" s="32" t="s">
        <v>1645</v>
      </c>
      <c r="D402" s="32" t="s">
        <v>1646</v>
      </c>
      <c r="E402" s="32" t="s">
        <v>1642</v>
      </c>
      <c r="F402" s="32" t="s">
        <v>1643</v>
      </c>
      <c r="G402" s="32" t="s">
        <v>1621</v>
      </c>
      <c r="H402" s="32" t="s">
        <v>1622</v>
      </c>
      <c r="I402" s="32" t="s">
        <v>198</v>
      </c>
      <c r="J402" s="32" t="s">
        <v>199</v>
      </c>
      <c r="K402" s="32">
        <v>1.8868940000000001</v>
      </c>
      <c r="L402" s="33">
        <v>1567</v>
      </c>
      <c r="M402" s="32">
        <v>284</v>
      </c>
      <c r="N402" s="32">
        <v>238</v>
      </c>
      <c r="O402" s="32">
        <v>289</v>
      </c>
      <c r="P402" s="32">
        <v>439</v>
      </c>
      <c r="Q402" s="32">
        <v>317</v>
      </c>
      <c r="R402" s="32">
        <v>2</v>
      </c>
      <c r="S402" s="32">
        <v>10.4124</v>
      </c>
      <c r="T402" s="32">
        <v>2.16614</v>
      </c>
      <c r="U402" s="32">
        <v>0.99211808499999998</v>
      </c>
      <c r="V402" s="32">
        <v>7</v>
      </c>
      <c r="W402" s="32">
        <v>0.80691000000000002</v>
      </c>
      <c r="X402" s="32">
        <v>0.24976200000000001</v>
      </c>
      <c r="Y402" s="32">
        <v>0.6</v>
      </c>
      <c r="Z402" s="32">
        <v>0.23269999999999999</v>
      </c>
      <c r="AA402" s="32">
        <v>9.1</v>
      </c>
      <c r="AB402" s="32">
        <v>800</v>
      </c>
      <c r="AC402" s="32">
        <v>21</v>
      </c>
      <c r="AD402" s="32">
        <v>94</v>
      </c>
      <c r="AE402" s="32">
        <v>10</v>
      </c>
      <c r="AF402" s="32" t="s">
        <v>200</v>
      </c>
      <c r="AG402" s="32">
        <v>6</v>
      </c>
    </row>
    <row r="403" spans="1:33">
      <c r="A403" s="32" t="s">
        <v>1647</v>
      </c>
      <c r="B403" s="32" t="s">
        <v>62</v>
      </c>
      <c r="C403" s="32" t="s">
        <v>1648</v>
      </c>
      <c r="D403" s="32" t="s">
        <v>1649</v>
      </c>
      <c r="E403" s="32" t="s">
        <v>1637</v>
      </c>
      <c r="F403" s="32" t="s">
        <v>1638</v>
      </c>
      <c r="G403" s="32" t="s">
        <v>1621</v>
      </c>
      <c r="H403" s="32" t="s">
        <v>1622</v>
      </c>
      <c r="I403" s="32" t="s">
        <v>198</v>
      </c>
      <c r="J403" s="32" t="s">
        <v>199</v>
      </c>
      <c r="K403" s="32">
        <v>1.9131359999999999</v>
      </c>
      <c r="L403" s="33">
        <v>1964</v>
      </c>
      <c r="M403" s="32">
        <v>477</v>
      </c>
      <c r="N403" s="32">
        <v>325</v>
      </c>
      <c r="O403" s="32">
        <v>456</v>
      </c>
      <c r="P403" s="32">
        <v>489</v>
      </c>
      <c r="Q403" s="32">
        <v>217</v>
      </c>
      <c r="R403" s="32">
        <v>2</v>
      </c>
      <c r="S403" s="32">
        <v>10.5296</v>
      </c>
      <c r="T403" s="32">
        <v>1.78016</v>
      </c>
      <c r="U403" s="32">
        <v>1.0921770639999999</v>
      </c>
      <c r="V403" s="32">
        <v>5</v>
      </c>
      <c r="W403" s="32">
        <v>0.80733200000000005</v>
      </c>
      <c r="X403" s="32">
        <v>0.11364100000000001</v>
      </c>
      <c r="Y403" s="32">
        <v>0.67713400000000001</v>
      </c>
      <c r="Z403" s="32">
        <v>0.30040899999999998</v>
      </c>
      <c r="AA403" s="32">
        <v>12.2</v>
      </c>
      <c r="AB403" s="32">
        <v>759</v>
      </c>
      <c r="AC403" s="32">
        <v>32</v>
      </c>
      <c r="AD403" s="32">
        <v>65</v>
      </c>
      <c r="AE403" s="32" t="s">
        <v>200</v>
      </c>
      <c r="AF403" s="32" t="s">
        <v>200</v>
      </c>
      <c r="AG403" s="32" t="s">
        <v>200</v>
      </c>
    </row>
    <row r="404" spans="1:33">
      <c r="A404" s="32" t="s">
        <v>1650</v>
      </c>
      <c r="B404" s="32" t="s">
        <v>62</v>
      </c>
      <c r="C404" s="32" t="s">
        <v>1651</v>
      </c>
      <c r="D404" s="32" t="s">
        <v>1652</v>
      </c>
      <c r="E404" s="32" t="s">
        <v>1642</v>
      </c>
      <c r="F404" s="32" t="s">
        <v>1643</v>
      </c>
      <c r="G404" s="32" t="s">
        <v>1621</v>
      </c>
      <c r="H404" s="32" t="s">
        <v>1622</v>
      </c>
      <c r="I404" s="32" t="s">
        <v>198</v>
      </c>
      <c r="J404" s="32" t="s">
        <v>199</v>
      </c>
      <c r="K404" s="32">
        <v>1.912447</v>
      </c>
      <c r="L404" s="33">
        <v>1863</v>
      </c>
      <c r="M404" s="32">
        <v>331</v>
      </c>
      <c r="N404" s="32">
        <v>289</v>
      </c>
      <c r="O404" s="32">
        <v>378</v>
      </c>
      <c r="P404" s="32">
        <v>452</v>
      </c>
      <c r="Q404" s="32">
        <v>413</v>
      </c>
      <c r="R404" s="32">
        <v>2</v>
      </c>
      <c r="S404" s="32">
        <v>13.6715</v>
      </c>
      <c r="T404" s="32">
        <v>3.64201</v>
      </c>
      <c r="U404" s="32">
        <v>0.95115380999999999</v>
      </c>
      <c r="V404" s="32">
        <v>8</v>
      </c>
      <c r="W404" s="32">
        <v>0.81054899999999996</v>
      </c>
      <c r="X404" s="32">
        <v>0.12811800000000001</v>
      </c>
      <c r="Y404" s="32">
        <v>0.62986200000000003</v>
      </c>
      <c r="Z404" s="32">
        <v>0.34867399999999998</v>
      </c>
      <c r="AA404" s="32">
        <v>10</v>
      </c>
      <c r="AB404" s="32">
        <v>879</v>
      </c>
      <c r="AC404" s="32">
        <v>25</v>
      </c>
      <c r="AD404" s="32">
        <v>50</v>
      </c>
      <c r="AE404" s="32">
        <v>8</v>
      </c>
      <c r="AF404" s="32" t="s">
        <v>200</v>
      </c>
      <c r="AG404" s="32">
        <v>11</v>
      </c>
    </row>
    <row r="405" spans="1:33">
      <c r="A405" s="32" t="s">
        <v>1653</v>
      </c>
      <c r="B405" s="32" t="s">
        <v>62</v>
      </c>
      <c r="C405" s="32" t="s">
        <v>1654</v>
      </c>
      <c r="D405" s="32" t="s">
        <v>1655</v>
      </c>
      <c r="E405" s="32" t="s">
        <v>1656</v>
      </c>
      <c r="F405" s="32" t="s">
        <v>1657</v>
      </c>
      <c r="G405" s="32" t="s">
        <v>1621</v>
      </c>
      <c r="H405" s="32" t="s">
        <v>1622</v>
      </c>
      <c r="I405" s="32" t="s">
        <v>198</v>
      </c>
      <c r="J405" s="32" t="s">
        <v>199</v>
      </c>
      <c r="K405" s="32">
        <v>2.1608969999999998</v>
      </c>
      <c r="L405" s="33">
        <v>1814</v>
      </c>
      <c r="M405" s="32">
        <v>375</v>
      </c>
      <c r="N405" s="32">
        <v>329</v>
      </c>
      <c r="O405" s="32">
        <v>359</v>
      </c>
      <c r="P405" s="32">
        <v>429</v>
      </c>
      <c r="Q405" s="32">
        <v>322</v>
      </c>
      <c r="R405" s="32" t="s">
        <v>225</v>
      </c>
      <c r="S405" s="32">
        <v>8.1021800000000006</v>
      </c>
      <c r="T405" s="32">
        <v>0</v>
      </c>
      <c r="U405" s="32">
        <v>1.2646309309999999</v>
      </c>
      <c r="V405" s="32">
        <v>2</v>
      </c>
      <c r="W405" s="32">
        <v>0.81183099999999997</v>
      </c>
      <c r="X405" s="32">
        <v>0.157337</v>
      </c>
      <c r="Y405" s="32">
        <v>0.63651000000000002</v>
      </c>
      <c r="Z405" s="32">
        <v>0.542466</v>
      </c>
      <c r="AA405" s="32">
        <v>14.2</v>
      </c>
      <c r="AB405" s="32">
        <v>683</v>
      </c>
      <c r="AC405" s="32">
        <v>17</v>
      </c>
      <c r="AD405" s="32">
        <v>109</v>
      </c>
      <c r="AE405" s="32" t="s">
        <v>200</v>
      </c>
      <c r="AF405" s="32" t="s">
        <v>200</v>
      </c>
      <c r="AG405" s="32">
        <v>9</v>
      </c>
    </row>
    <row r="406" spans="1:33">
      <c r="A406" s="32" t="s">
        <v>1658</v>
      </c>
      <c r="B406" s="32" t="s">
        <v>62</v>
      </c>
      <c r="C406" s="32" t="s">
        <v>1659</v>
      </c>
      <c r="D406" s="32" t="s">
        <v>1660</v>
      </c>
      <c r="E406" s="32" t="s">
        <v>1656</v>
      </c>
      <c r="F406" s="32" t="s">
        <v>1657</v>
      </c>
      <c r="G406" s="32" t="s">
        <v>1621</v>
      </c>
      <c r="H406" s="32" t="s">
        <v>1622</v>
      </c>
      <c r="I406" s="32" t="s">
        <v>198</v>
      </c>
      <c r="J406" s="32" t="s">
        <v>199</v>
      </c>
      <c r="K406" s="32">
        <v>1.8256650000000001</v>
      </c>
      <c r="L406" s="33">
        <v>1870</v>
      </c>
      <c r="M406" s="32">
        <v>482</v>
      </c>
      <c r="N406" s="32">
        <v>322</v>
      </c>
      <c r="O406" s="32">
        <v>386</v>
      </c>
      <c r="P406" s="32">
        <v>424</v>
      </c>
      <c r="Q406" s="32">
        <v>256</v>
      </c>
      <c r="R406" s="32" t="s">
        <v>214</v>
      </c>
      <c r="S406" s="32">
        <v>7.4704899999999999</v>
      </c>
      <c r="T406" s="32">
        <v>0</v>
      </c>
      <c r="U406" s="32">
        <v>1.2369357750000001</v>
      </c>
      <c r="V406" s="32">
        <v>4</v>
      </c>
      <c r="W406" s="32">
        <v>0.80408500000000005</v>
      </c>
      <c r="X406" s="32">
        <v>0.19375000000000001</v>
      </c>
      <c r="Y406" s="32">
        <v>0.67507700000000004</v>
      </c>
      <c r="Z406" s="32">
        <v>0.14888199999999999</v>
      </c>
      <c r="AA406" s="32">
        <v>16.3</v>
      </c>
      <c r="AB406" s="32">
        <v>709</v>
      </c>
      <c r="AC406" s="32">
        <v>23</v>
      </c>
      <c r="AD406" s="32">
        <v>98</v>
      </c>
      <c r="AE406" s="32">
        <v>11</v>
      </c>
      <c r="AF406" s="32" t="s">
        <v>200</v>
      </c>
      <c r="AG406" s="32">
        <v>9</v>
      </c>
    </row>
    <row r="407" spans="1:33">
      <c r="A407" s="32" t="s">
        <v>1661</v>
      </c>
      <c r="B407" s="32" t="s">
        <v>62</v>
      </c>
      <c r="C407" s="32" t="s">
        <v>1662</v>
      </c>
      <c r="D407" s="32" t="s">
        <v>1663</v>
      </c>
      <c r="E407" s="32" t="s">
        <v>1664</v>
      </c>
      <c r="F407" s="32" t="s">
        <v>1665</v>
      </c>
      <c r="G407" s="32" t="s">
        <v>1621</v>
      </c>
      <c r="H407" s="32" t="s">
        <v>1622</v>
      </c>
      <c r="I407" s="32" t="s">
        <v>198</v>
      </c>
      <c r="J407" s="32" t="s">
        <v>199</v>
      </c>
      <c r="K407" s="32">
        <v>1.748407</v>
      </c>
      <c r="L407" s="33">
        <v>1766</v>
      </c>
      <c r="M407" s="32">
        <v>386</v>
      </c>
      <c r="N407" s="32">
        <v>268</v>
      </c>
      <c r="O407" s="32">
        <v>409</v>
      </c>
      <c r="P407" s="32">
        <v>428</v>
      </c>
      <c r="Q407" s="32">
        <v>275</v>
      </c>
      <c r="R407" s="32">
        <v>2</v>
      </c>
      <c r="S407" s="32">
        <v>11.4076</v>
      </c>
      <c r="T407" s="32">
        <v>0</v>
      </c>
      <c r="U407" s="32">
        <v>1.0223589799999999</v>
      </c>
      <c r="V407" s="32">
        <v>8</v>
      </c>
      <c r="W407" s="32">
        <v>0.80318599999999996</v>
      </c>
      <c r="X407" s="32">
        <v>8.3393999999999996E-2</v>
      </c>
      <c r="Y407" s="32">
        <v>0.6</v>
      </c>
      <c r="Z407" s="32">
        <v>0.25960800000000001</v>
      </c>
      <c r="AA407" s="32">
        <v>14.1</v>
      </c>
      <c r="AB407" s="32">
        <v>804</v>
      </c>
      <c r="AC407" s="32">
        <v>30</v>
      </c>
      <c r="AD407" s="32">
        <v>89</v>
      </c>
      <c r="AE407" s="32">
        <v>0</v>
      </c>
      <c r="AF407" s="32" t="s">
        <v>200</v>
      </c>
      <c r="AG407" s="32" t="s">
        <v>200</v>
      </c>
    </row>
    <row r="408" spans="1:33">
      <c r="A408" s="32" t="s">
        <v>1666</v>
      </c>
      <c r="B408" s="32" t="s">
        <v>62</v>
      </c>
      <c r="C408" s="32" t="s">
        <v>1667</v>
      </c>
      <c r="D408" s="32" t="s">
        <v>1668</v>
      </c>
      <c r="E408" s="32" t="s">
        <v>1619</v>
      </c>
      <c r="F408" s="32" t="s">
        <v>1620</v>
      </c>
      <c r="G408" s="32" t="s">
        <v>1621</v>
      </c>
      <c r="H408" s="32" t="s">
        <v>1622</v>
      </c>
      <c r="I408" s="32" t="s">
        <v>198</v>
      </c>
      <c r="J408" s="32" t="s">
        <v>199</v>
      </c>
      <c r="K408" s="32">
        <v>1.8086679999999999</v>
      </c>
      <c r="L408" s="33">
        <v>1752</v>
      </c>
      <c r="M408" s="32">
        <v>332</v>
      </c>
      <c r="N408" s="32">
        <v>287</v>
      </c>
      <c r="O408" s="32">
        <v>378</v>
      </c>
      <c r="P408" s="32">
        <v>429</v>
      </c>
      <c r="Q408" s="32">
        <v>326</v>
      </c>
      <c r="R408" s="32" t="s">
        <v>225</v>
      </c>
      <c r="S408" s="32">
        <v>10.0808</v>
      </c>
      <c r="T408" s="32">
        <v>0</v>
      </c>
      <c r="U408" s="32">
        <v>1.0080349740000001</v>
      </c>
      <c r="V408" s="32">
        <v>6</v>
      </c>
      <c r="W408" s="32">
        <v>0.80793800000000005</v>
      </c>
      <c r="X408" s="32">
        <v>0.12981799999999999</v>
      </c>
      <c r="Y408" s="32">
        <v>0.60536400000000001</v>
      </c>
      <c r="Z408" s="32">
        <v>0.25572699999999998</v>
      </c>
      <c r="AA408" s="32">
        <v>13.3</v>
      </c>
      <c r="AB408" s="32">
        <v>772</v>
      </c>
      <c r="AC408" s="32">
        <v>22</v>
      </c>
      <c r="AD408" s="32">
        <v>145</v>
      </c>
      <c r="AE408" s="32">
        <v>0</v>
      </c>
      <c r="AF408" s="32">
        <v>0</v>
      </c>
      <c r="AG408" s="32">
        <v>13</v>
      </c>
    </row>
    <row r="409" spans="1:33">
      <c r="A409" s="32" t="s">
        <v>1669</v>
      </c>
      <c r="B409" s="32" t="s">
        <v>62</v>
      </c>
      <c r="C409" s="32" t="s">
        <v>1670</v>
      </c>
      <c r="D409" s="32" t="s">
        <v>1671</v>
      </c>
      <c r="E409" s="32" t="s">
        <v>1619</v>
      </c>
      <c r="F409" s="32" t="s">
        <v>1620</v>
      </c>
      <c r="G409" s="32" t="s">
        <v>1621</v>
      </c>
      <c r="H409" s="32" t="s">
        <v>1622</v>
      </c>
      <c r="I409" s="32" t="s">
        <v>198</v>
      </c>
      <c r="J409" s="32" t="s">
        <v>199</v>
      </c>
      <c r="K409" s="32">
        <v>1.870179</v>
      </c>
      <c r="L409" s="33">
        <v>1992</v>
      </c>
      <c r="M409" s="32">
        <v>472</v>
      </c>
      <c r="N409" s="32">
        <v>317</v>
      </c>
      <c r="O409" s="32">
        <v>422</v>
      </c>
      <c r="P409" s="32">
        <v>477</v>
      </c>
      <c r="Q409" s="32">
        <v>304</v>
      </c>
      <c r="R409" s="32" t="s">
        <v>214</v>
      </c>
      <c r="S409" s="32">
        <v>6.17136</v>
      </c>
      <c r="T409" s="32">
        <v>0</v>
      </c>
      <c r="U409" s="32">
        <v>1.071391531</v>
      </c>
      <c r="V409" s="32">
        <v>5</v>
      </c>
      <c r="W409" s="32">
        <v>0.80844499999999997</v>
      </c>
      <c r="X409" s="32">
        <v>0.22345000000000001</v>
      </c>
      <c r="Y409" s="32">
        <v>0.66522700000000001</v>
      </c>
      <c r="Z409" s="32">
        <v>0.163548</v>
      </c>
      <c r="AA409" s="32">
        <v>15.3</v>
      </c>
      <c r="AB409" s="32">
        <v>747</v>
      </c>
      <c r="AC409" s="32">
        <v>38</v>
      </c>
      <c r="AD409" s="32">
        <v>79</v>
      </c>
      <c r="AE409" s="32" t="s">
        <v>200</v>
      </c>
      <c r="AF409" s="32" t="s">
        <v>200</v>
      </c>
      <c r="AG409" s="32">
        <v>9</v>
      </c>
    </row>
    <row r="410" spans="1:33">
      <c r="A410" s="32" t="s">
        <v>1672</v>
      </c>
      <c r="B410" s="32" t="s">
        <v>62</v>
      </c>
      <c r="C410" s="32" t="s">
        <v>1673</v>
      </c>
      <c r="D410" s="32" t="s">
        <v>1674</v>
      </c>
      <c r="E410" s="32" t="s">
        <v>1675</v>
      </c>
      <c r="F410" s="32" t="s">
        <v>1676</v>
      </c>
      <c r="G410" s="32" t="s">
        <v>1621</v>
      </c>
      <c r="H410" s="32" t="s">
        <v>1622</v>
      </c>
      <c r="I410" s="32" t="s">
        <v>198</v>
      </c>
      <c r="J410" s="32" t="s">
        <v>199</v>
      </c>
      <c r="K410" s="32">
        <v>1.820031</v>
      </c>
      <c r="L410" s="33">
        <v>1695</v>
      </c>
      <c r="M410" s="32">
        <v>239</v>
      </c>
      <c r="N410" s="32">
        <v>231</v>
      </c>
      <c r="O410" s="32">
        <v>229</v>
      </c>
      <c r="P410" s="32">
        <v>502</v>
      </c>
      <c r="Q410" s="32">
        <v>494</v>
      </c>
      <c r="R410" s="32" t="s">
        <v>214</v>
      </c>
      <c r="S410" s="32">
        <v>4.4518599999999999</v>
      </c>
      <c r="T410" s="32">
        <v>0</v>
      </c>
      <c r="U410" s="32">
        <v>0.95315646399999998</v>
      </c>
      <c r="V410" s="32">
        <v>7</v>
      </c>
      <c r="W410" s="32">
        <v>0.808365</v>
      </c>
      <c r="X410" s="32">
        <v>0.184669</v>
      </c>
      <c r="Y410" s="32">
        <v>0.67731600000000003</v>
      </c>
      <c r="Z410" s="32">
        <v>0.151696</v>
      </c>
      <c r="AA410" s="32">
        <v>8.3000000000000007</v>
      </c>
      <c r="AB410" s="32">
        <v>972</v>
      </c>
      <c r="AC410" s="32">
        <v>20</v>
      </c>
      <c r="AD410" s="32">
        <v>79</v>
      </c>
      <c r="AE410" s="32" t="s">
        <v>200</v>
      </c>
      <c r="AF410" s="32" t="s">
        <v>200</v>
      </c>
      <c r="AG410" s="32">
        <v>40</v>
      </c>
    </row>
    <row r="411" spans="1:33">
      <c r="A411" s="32" t="s">
        <v>1677</v>
      </c>
      <c r="B411" s="32" t="s">
        <v>62</v>
      </c>
      <c r="C411" s="32" t="s">
        <v>1678</v>
      </c>
      <c r="D411" s="32" t="s">
        <v>1679</v>
      </c>
      <c r="E411" s="32" t="s">
        <v>1675</v>
      </c>
      <c r="F411" s="32" t="s">
        <v>1676</v>
      </c>
      <c r="G411" s="32" t="s">
        <v>1621</v>
      </c>
      <c r="H411" s="32" t="s">
        <v>1622</v>
      </c>
      <c r="I411" s="32" t="s">
        <v>198</v>
      </c>
      <c r="J411" s="32" t="s">
        <v>199</v>
      </c>
      <c r="K411" s="32">
        <v>1.767755</v>
      </c>
      <c r="L411" s="33">
        <v>1636</v>
      </c>
      <c r="M411" s="32">
        <v>309</v>
      </c>
      <c r="N411" s="32">
        <v>249</v>
      </c>
      <c r="O411" s="32">
        <v>280</v>
      </c>
      <c r="P411" s="32">
        <v>408</v>
      </c>
      <c r="Q411" s="32">
        <v>390</v>
      </c>
      <c r="R411" s="32" t="s">
        <v>225</v>
      </c>
      <c r="S411" s="32">
        <v>7.0854799999999996</v>
      </c>
      <c r="T411" s="32">
        <v>0</v>
      </c>
      <c r="U411" s="32">
        <v>1.038063639</v>
      </c>
      <c r="V411" s="32">
        <v>7</v>
      </c>
      <c r="W411" s="32">
        <v>0.80530599999999997</v>
      </c>
      <c r="X411" s="32">
        <v>5.6438000000000002E-2</v>
      </c>
      <c r="Y411" s="32">
        <v>0.69684900000000005</v>
      </c>
      <c r="Z411" s="32">
        <v>0.2</v>
      </c>
      <c r="AA411" s="32">
        <v>6.8</v>
      </c>
      <c r="AB411" s="32">
        <v>832</v>
      </c>
      <c r="AC411" s="32">
        <v>12</v>
      </c>
      <c r="AD411" s="32">
        <v>74</v>
      </c>
      <c r="AE411" s="32" t="s">
        <v>200</v>
      </c>
      <c r="AF411" s="32">
        <v>0</v>
      </c>
      <c r="AG411" s="32">
        <v>5</v>
      </c>
    </row>
    <row r="412" spans="1:33">
      <c r="A412" s="32" t="s">
        <v>1680</v>
      </c>
      <c r="B412" s="32" t="s">
        <v>62</v>
      </c>
      <c r="C412" s="32" t="s">
        <v>1681</v>
      </c>
      <c r="D412" s="32" t="s">
        <v>1682</v>
      </c>
      <c r="E412" s="32" t="s">
        <v>1683</v>
      </c>
      <c r="F412" s="32" t="s">
        <v>1684</v>
      </c>
      <c r="G412" s="32" t="s">
        <v>1621</v>
      </c>
      <c r="H412" s="32" t="s">
        <v>1622</v>
      </c>
      <c r="I412" s="32" t="s">
        <v>198</v>
      </c>
      <c r="J412" s="32" t="s">
        <v>199</v>
      </c>
      <c r="K412" s="32">
        <v>1.876887</v>
      </c>
      <c r="L412" s="33">
        <v>1315</v>
      </c>
      <c r="M412" s="32">
        <v>183</v>
      </c>
      <c r="N412" s="32">
        <v>215</v>
      </c>
      <c r="O412" s="32">
        <v>166</v>
      </c>
      <c r="P412" s="32">
        <v>352</v>
      </c>
      <c r="Q412" s="32">
        <v>399</v>
      </c>
      <c r="R412" s="32" t="s">
        <v>225</v>
      </c>
      <c r="S412" s="32">
        <v>10.2355</v>
      </c>
      <c r="T412" s="32">
        <v>0</v>
      </c>
      <c r="U412" s="32">
        <v>0.93119892299999996</v>
      </c>
      <c r="V412" s="32">
        <v>7</v>
      </c>
      <c r="W412" s="32">
        <v>0.80636799999999997</v>
      </c>
      <c r="X412" s="32">
        <v>0.239731</v>
      </c>
      <c r="Y412" s="32">
        <v>0.600607</v>
      </c>
      <c r="Z412" s="32">
        <v>0.22853799999999999</v>
      </c>
      <c r="AA412" s="32">
        <v>9.8000000000000007</v>
      </c>
      <c r="AB412" s="32">
        <v>757</v>
      </c>
      <c r="AC412" s="32">
        <v>14</v>
      </c>
      <c r="AD412" s="32">
        <v>79</v>
      </c>
      <c r="AE412" s="32">
        <v>9</v>
      </c>
      <c r="AF412" s="32">
        <v>0</v>
      </c>
      <c r="AG412" s="32">
        <v>12</v>
      </c>
    </row>
    <row r="413" spans="1:33">
      <c r="A413" s="32" t="s">
        <v>1685</v>
      </c>
      <c r="B413" s="32" t="s">
        <v>62</v>
      </c>
      <c r="C413" s="32" t="s">
        <v>1686</v>
      </c>
      <c r="D413" s="32" t="s">
        <v>1687</v>
      </c>
      <c r="E413" s="32" t="s">
        <v>1664</v>
      </c>
      <c r="F413" s="32" t="s">
        <v>1665</v>
      </c>
      <c r="G413" s="32" t="s">
        <v>1621</v>
      </c>
      <c r="H413" s="32" t="s">
        <v>1622</v>
      </c>
      <c r="I413" s="32" t="s">
        <v>198</v>
      </c>
      <c r="J413" s="32" t="s">
        <v>199</v>
      </c>
      <c r="K413" s="32">
        <v>1.8723650000000001</v>
      </c>
      <c r="L413" s="33">
        <v>1368</v>
      </c>
      <c r="M413" s="32">
        <v>283</v>
      </c>
      <c r="N413" s="32">
        <v>209</v>
      </c>
      <c r="O413" s="32">
        <v>275</v>
      </c>
      <c r="P413" s="32">
        <v>350</v>
      </c>
      <c r="Q413" s="32">
        <v>251</v>
      </c>
      <c r="R413" s="32">
        <v>2</v>
      </c>
      <c r="S413" s="32">
        <v>13.514099999999999</v>
      </c>
      <c r="T413" s="32">
        <v>0</v>
      </c>
      <c r="U413" s="32">
        <v>0.96493851399999997</v>
      </c>
      <c r="V413" s="32">
        <v>7</v>
      </c>
      <c r="W413" s="32">
        <v>0.81510000000000005</v>
      </c>
      <c r="X413" s="32">
        <v>0.15920699999999999</v>
      </c>
      <c r="Y413" s="32">
        <v>0.64617599999999997</v>
      </c>
      <c r="Z413" s="32">
        <v>0.24263499999999999</v>
      </c>
      <c r="AA413" s="32">
        <v>13.3</v>
      </c>
      <c r="AB413" s="32">
        <v>582</v>
      </c>
      <c r="AC413" s="32">
        <v>9</v>
      </c>
      <c r="AD413" s="32">
        <v>74</v>
      </c>
      <c r="AE413" s="32" t="s">
        <v>200</v>
      </c>
      <c r="AF413" s="32">
        <v>0</v>
      </c>
      <c r="AG413" s="32">
        <v>5</v>
      </c>
    </row>
    <row r="414" spans="1:33">
      <c r="A414" s="32" t="s">
        <v>1688</v>
      </c>
      <c r="B414" s="32" t="s">
        <v>62</v>
      </c>
      <c r="C414" s="32" t="s">
        <v>1689</v>
      </c>
      <c r="D414" s="32" t="s">
        <v>1690</v>
      </c>
      <c r="E414" s="32" t="s">
        <v>1675</v>
      </c>
      <c r="F414" s="32" t="s">
        <v>1676</v>
      </c>
      <c r="G414" s="32" t="s">
        <v>1621</v>
      </c>
      <c r="H414" s="32" t="s">
        <v>1622</v>
      </c>
      <c r="I414" s="32" t="s">
        <v>198</v>
      </c>
      <c r="J414" s="32" t="s">
        <v>199</v>
      </c>
      <c r="K414" s="32">
        <v>1.7026619999999999</v>
      </c>
      <c r="L414" s="33">
        <v>1615</v>
      </c>
      <c r="M414" s="32">
        <v>294</v>
      </c>
      <c r="N414" s="32">
        <v>229</v>
      </c>
      <c r="O414" s="32">
        <v>231</v>
      </c>
      <c r="P414" s="32">
        <v>450</v>
      </c>
      <c r="Q414" s="32">
        <v>411</v>
      </c>
      <c r="R414" s="32" t="s">
        <v>225</v>
      </c>
      <c r="S414" s="32">
        <v>8.6023999999999994</v>
      </c>
      <c r="T414" s="32">
        <v>0</v>
      </c>
      <c r="U414" s="32">
        <v>0.95511593699999997</v>
      </c>
      <c r="V414" s="32">
        <v>10</v>
      </c>
      <c r="W414" s="32">
        <v>0.8</v>
      </c>
      <c r="X414" s="32">
        <v>0</v>
      </c>
      <c r="Y414" s="32">
        <v>0.689469</v>
      </c>
      <c r="Z414" s="32">
        <v>0.21266599999999999</v>
      </c>
      <c r="AA414" s="32">
        <v>8.9</v>
      </c>
      <c r="AB414" s="32">
        <v>855</v>
      </c>
      <c r="AC414" s="32">
        <v>27</v>
      </c>
      <c r="AD414" s="32">
        <v>73</v>
      </c>
      <c r="AE414" s="32" t="s">
        <v>200</v>
      </c>
      <c r="AF414" s="32" t="s">
        <v>200</v>
      </c>
      <c r="AG414" s="32">
        <v>20</v>
      </c>
    </row>
    <row r="415" spans="1:33">
      <c r="A415" s="32" t="s">
        <v>1691</v>
      </c>
      <c r="B415" s="32" t="s">
        <v>62</v>
      </c>
      <c r="C415" s="32" t="s">
        <v>1692</v>
      </c>
      <c r="D415" s="32" t="s">
        <v>1693</v>
      </c>
      <c r="E415" s="32" t="s">
        <v>1664</v>
      </c>
      <c r="F415" s="32" t="s">
        <v>1665</v>
      </c>
      <c r="G415" s="32" t="s">
        <v>1621</v>
      </c>
      <c r="H415" s="32" t="s">
        <v>1622</v>
      </c>
      <c r="I415" s="32" t="s">
        <v>198</v>
      </c>
      <c r="J415" s="32" t="s">
        <v>199</v>
      </c>
      <c r="K415" s="32">
        <v>1.9073640000000001</v>
      </c>
      <c r="L415" s="33">
        <v>1426</v>
      </c>
      <c r="M415" s="32">
        <v>289</v>
      </c>
      <c r="N415" s="32">
        <v>211</v>
      </c>
      <c r="O415" s="32">
        <v>280</v>
      </c>
      <c r="P415" s="32">
        <v>389</v>
      </c>
      <c r="Q415" s="32">
        <v>257</v>
      </c>
      <c r="R415" s="32">
        <v>3</v>
      </c>
      <c r="S415" s="32">
        <v>18.342099999999999</v>
      </c>
      <c r="T415" s="32">
        <v>7.9461199999999996</v>
      </c>
      <c r="U415" s="32">
        <v>0.87908903100000002</v>
      </c>
      <c r="V415" s="32">
        <v>8</v>
      </c>
      <c r="W415" s="32">
        <v>0.81781999999999999</v>
      </c>
      <c r="X415" s="32">
        <v>0.10764700000000001</v>
      </c>
      <c r="Y415" s="32">
        <v>0.69896800000000003</v>
      </c>
      <c r="Z415" s="32">
        <v>0.29853200000000002</v>
      </c>
      <c r="AA415" s="32">
        <v>11.7</v>
      </c>
      <c r="AB415" s="32">
        <v>632</v>
      </c>
      <c r="AC415" s="32">
        <v>21</v>
      </c>
      <c r="AD415" s="32">
        <v>55</v>
      </c>
      <c r="AE415" s="32" t="s">
        <v>200</v>
      </c>
      <c r="AF415" s="32" t="s">
        <v>200</v>
      </c>
      <c r="AG415" s="32">
        <v>5</v>
      </c>
    </row>
    <row r="416" spans="1:33">
      <c r="A416" s="32" t="s">
        <v>1694</v>
      </c>
      <c r="B416" s="32" t="s">
        <v>62</v>
      </c>
      <c r="C416" s="32" t="s">
        <v>1695</v>
      </c>
      <c r="D416" s="32" t="s">
        <v>1696</v>
      </c>
      <c r="E416" s="32" t="s">
        <v>1697</v>
      </c>
      <c r="F416" s="32" t="s">
        <v>1698</v>
      </c>
      <c r="G416" s="32" t="s">
        <v>1621</v>
      </c>
      <c r="H416" s="32" t="s">
        <v>1622</v>
      </c>
      <c r="I416" s="32" t="s">
        <v>198</v>
      </c>
      <c r="J416" s="32" t="s">
        <v>199</v>
      </c>
      <c r="K416" s="32">
        <v>2.069858</v>
      </c>
      <c r="L416" s="33">
        <v>1698</v>
      </c>
      <c r="M416" s="32">
        <v>317</v>
      </c>
      <c r="N416" s="32">
        <v>266</v>
      </c>
      <c r="O416" s="32">
        <v>360</v>
      </c>
      <c r="P416" s="32">
        <v>448</v>
      </c>
      <c r="Q416" s="32">
        <v>307</v>
      </c>
      <c r="R416" s="32" t="s">
        <v>225</v>
      </c>
      <c r="S416" s="32">
        <v>9.4396900000000006</v>
      </c>
      <c r="T416" s="32">
        <v>0</v>
      </c>
      <c r="U416" s="32">
        <v>0.80246522200000003</v>
      </c>
      <c r="V416" s="32">
        <v>9</v>
      </c>
      <c r="W416" s="32">
        <v>0.81737599999999999</v>
      </c>
      <c r="X416" s="32">
        <v>0.15309500000000001</v>
      </c>
      <c r="Y416" s="32">
        <v>0.6</v>
      </c>
      <c r="Z416" s="32">
        <v>0.50472799999999995</v>
      </c>
      <c r="AA416" s="32">
        <v>11.8</v>
      </c>
      <c r="AB416" s="32">
        <v>785</v>
      </c>
      <c r="AC416" s="32">
        <v>11</v>
      </c>
      <c r="AD416" s="32">
        <v>44</v>
      </c>
      <c r="AE416" s="32" t="s">
        <v>200</v>
      </c>
      <c r="AF416" s="32" t="s">
        <v>200</v>
      </c>
      <c r="AG416" s="32">
        <v>5</v>
      </c>
    </row>
    <row r="417" spans="1:33">
      <c r="A417" s="32" t="s">
        <v>1699</v>
      </c>
      <c r="B417" s="32" t="s">
        <v>62</v>
      </c>
      <c r="C417" s="32" t="s">
        <v>1700</v>
      </c>
      <c r="D417" s="32" t="s">
        <v>1701</v>
      </c>
      <c r="E417" s="32" t="s">
        <v>1702</v>
      </c>
      <c r="F417" s="32" t="s">
        <v>1703</v>
      </c>
      <c r="G417" s="32" t="s">
        <v>1429</v>
      </c>
      <c r="H417" s="32" t="s">
        <v>1430</v>
      </c>
      <c r="I417" s="32" t="s">
        <v>198</v>
      </c>
      <c r="J417" s="32" t="s">
        <v>199</v>
      </c>
      <c r="K417" s="32">
        <v>2.02251</v>
      </c>
      <c r="L417" s="33">
        <v>1754</v>
      </c>
      <c r="M417" s="32">
        <v>350</v>
      </c>
      <c r="N417" s="32">
        <v>363</v>
      </c>
      <c r="O417" s="32">
        <v>400</v>
      </c>
      <c r="P417" s="32">
        <v>424</v>
      </c>
      <c r="Q417" s="32">
        <v>217</v>
      </c>
      <c r="R417" s="32">
        <v>2</v>
      </c>
      <c r="S417" s="32">
        <v>12.684799999999999</v>
      </c>
      <c r="T417" s="32">
        <v>0</v>
      </c>
      <c r="U417" s="32">
        <v>0.91653514300000005</v>
      </c>
      <c r="V417" s="32">
        <v>6</v>
      </c>
      <c r="W417" s="32">
        <v>0.83777500000000005</v>
      </c>
      <c r="X417" s="32">
        <v>0.21638499999999999</v>
      </c>
      <c r="Y417" s="32">
        <v>0.7</v>
      </c>
      <c r="Z417" s="32">
        <v>0.25013000000000002</v>
      </c>
      <c r="AA417" s="32">
        <v>69.400000000000006</v>
      </c>
      <c r="AB417" s="32">
        <v>610</v>
      </c>
      <c r="AC417" s="32">
        <v>24</v>
      </c>
      <c r="AD417" s="32">
        <v>28</v>
      </c>
      <c r="AE417" s="32">
        <v>0</v>
      </c>
      <c r="AF417" s="32" t="s">
        <v>200</v>
      </c>
      <c r="AG417" s="32" t="s">
        <v>200</v>
      </c>
    </row>
    <row r="418" spans="1:33">
      <c r="A418" s="32" t="s">
        <v>1704</v>
      </c>
      <c r="B418" s="32" t="s">
        <v>62</v>
      </c>
      <c r="C418" s="32" t="s">
        <v>1705</v>
      </c>
      <c r="D418" s="32" t="s">
        <v>1706</v>
      </c>
      <c r="E418" s="32" t="s">
        <v>1702</v>
      </c>
      <c r="F418" s="32" t="s">
        <v>1703</v>
      </c>
      <c r="G418" s="32" t="s">
        <v>1429</v>
      </c>
      <c r="H418" s="32" t="s">
        <v>1430</v>
      </c>
      <c r="I418" s="32" t="s">
        <v>198</v>
      </c>
      <c r="J418" s="32" t="s">
        <v>199</v>
      </c>
      <c r="K418" s="32">
        <v>1.7946</v>
      </c>
      <c r="L418" s="33">
        <v>1858</v>
      </c>
      <c r="M418" s="32">
        <v>384</v>
      </c>
      <c r="N418" s="32">
        <v>419</v>
      </c>
      <c r="O418" s="32">
        <v>374</v>
      </c>
      <c r="P418" s="32">
        <v>461</v>
      </c>
      <c r="Q418" s="32">
        <v>220</v>
      </c>
      <c r="R418" s="32">
        <v>2</v>
      </c>
      <c r="S418" s="32">
        <v>12.430300000000001</v>
      </c>
      <c r="T418" s="32">
        <v>0</v>
      </c>
      <c r="U418" s="32">
        <v>1.120877398</v>
      </c>
      <c r="V418" s="32">
        <v>6</v>
      </c>
      <c r="W418" s="32">
        <v>0.80464400000000003</v>
      </c>
      <c r="X418" s="32">
        <v>1.8630000000000001E-2</v>
      </c>
      <c r="Y418" s="32">
        <v>0.7</v>
      </c>
      <c r="Z418" s="32">
        <v>0.267957</v>
      </c>
      <c r="AA418" s="32">
        <v>63.1</v>
      </c>
      <c r="AB418" s="32">
        <v>603</v>
      </c>
      <c r="AC418" s="32">
        <v>24</v>
      </c>
      <c r="AD418" s="32">
        <v>23</v>
      </c>
      <c r="AE418" s="32">
        <v>0</v>
      </c>
      <c r="AF418" s="32" t="s">
        <v>200</v>
      </c>
      <c r="AG418" s="32">
        <v>0</v>
      </c>
    </row>
    <row r="419" spans="1:33">
      <c r="A419" s="32" t="s">
        <v>1707</v>
      </c>
      <c r="B419" s="32" t="s">
        <v>62</v>
      </c>
      <c r="C419" s="32" t="s">
        <v>1708</v>
      </c>
      <c r="D419" s="32" t="s">
        <v>1709</v>
      </c>
      <c r="E419" s="32" t="s">
        <v>1710</v>
      </c>
      <c r="F419" s="32" t="s">
        <v>1711</v>
      </c>
      <c r="G419" s="32" t="s">
        <v>1429</v>
      </c>
      <c r="H419" s="32" t="s">
        <v>1430</v>
      </c>
      <c r="I419" s="32" t="s">
        <v>198</v>
      </c>
      <c r="J419" s="32" t="s">
        <v>199</v>
      </c>
      <c r="K419" s="32">
        <v>2.1411630000000001</v>
      </c>
      <c r="L419" s="33">
        <v>1610</v>
      </c>
      <c r="M419" s="32">
        <v>341</v>
      </c>
      <c r="N419" s="32">
        <v>267</v>
      </c>
      <c r="O419" s="32">
        <v>382</v>
      </c>
      <c r="P419" s="32">
        <v>370</v>
      </c>
      <c r="Q419" s="32">
        <v>250</v>
      </c>
      <c r="R419" s="32">
        <v>2</v>
      </c>
      <c r="S419" s="32">
        <v>10.9321</v>
      </c>
      <c r="T419" s="32">
        <v>2.2746</v>
      </c>
      <c r="U419" s="32">
        <v>0.84307863299999997</v>
      </c>
      <c r="V419" s="32">
        <v>7</v>
      </c>
      <c r="W419" s="32">
        <v>0.89977600000000002</v>
      </c>
      <c r="X419" s="32">
        <v>0.146756</v>
      </c>
      <c r="Y419" s="32">
        <v>0.7</v>
      </c>
      <c r="Z419" s="32">
        <v>0.378104</v>
      </c>
      <c r="AA419" s="32">
        <v>70.8</v>
      </c>
      <c r="AB419" s="32">
        <v>608</v>
      </c>
      <c r="AC419" s="32">
        <v>7</v>
      </c>
      <c r="AD419" s="32">
        <v>24</v>
      </c>
      <c r="AE419" s="32" t="s">
        <v>200</v>
      </c>
      <c r="AF419" s="32">
        <v>0</v>
      </c>
      <c r="AG419" s="32" t="s">
        <v>200</v>
      </c>
    </row>
    <row r="420" spans="1:33">
      <c r="A420" s="32" t="s">
        <v>1712</v>
      </c>
      <c r="B420" s="32" t="s">
        <v>62</v>
      </c>
      <c r="C420" s="32" t="s">
        <v>1713</v>
      </c>
      <c r="D420" s="32" t="s">
        <v>1714</v>
      </c>
      <c r="E420" s="32" t="s">
        <v>1710</v>
      </c>
      <c r="F420" s="32" t="s">
        <v>1711</v>
      </c>
      <c r="G420" s="32" t="s">
        <v>1429</v>
      </c>
      <c r="H420" s="32" t="s">
        <v>1430</v>
      </c>
      <c r="I420" s="32" t="s">
        <v>198</v>
      </c>
      <c r="J420" s="32" t="s">
        <v>199</v>
      </c>
      <c r="K420" s="32">
        <v>2.1398350000000002</v>
      </c>
      <c r="L420" s="33">
        <v>2930</v>
      </c>
      <c r="M420" s="32">
        <v>727</v>
      </c>
      <c r="N420" s="32">
        <v>490</v>
      </c>
      <c r="O420" s="32">
        <v>942</v>
      </c>
      <c r="P420" s="32">
        <v>535</v>
      </c>
      <c r="Q420" s="32">
        <v>236</v>
      </c>
      <c r="R420" s="32">
        <v>3</v>
      </c>
      <c r="S420" s="32">
        <v>14.374599999999999</v>
      </c>
      <c r="T420" s="32">
        <v>4.8605799999999997</v>
      </c>
      <c r="U420" s="32">
        <v>0.98097724100000006</v>
      </c>
      <c r="V420" s="32">
        <v>5</v>
      </c>
      <c r="W420" s="32">
        <v>0.87843400000000005</v>
      </c>
      <c r="X420" s="32">
        <v>0.165241</v>
      </c>
      <c r="Y420" s="32">
        <v>0.7</v>
      </c>
      <c r="Z420" s="32">
        <v>0.38459399999999999</v>
      </c>
      <c r="AA420" s="32">
        <v>67.7</v>
      </c>
      <c r="AB420" s="32">
        <v>779</v>
      </c>
      <c r="AC420" s="32">
        <v>20</v>
      </c>
      <c r="AD420" s="32">
        <v>39</v>
      </c>
      <c r="AE420" s="32">
        <v>0</v>
      </c>
      <c r="AF420" s="32">
        <v>0</v>
      </c>
      <c r="AG420" s="32">
        <v>6</v>
      </c>
    </row>
    <row r="421" spans="1:33">
      <c r="A421" s="32" t="s">
        <v>1715</v>
      </c>
      <c r="B421" s="32" t="s">
        <v>62</v>
      </c>
      <c r="C421" s="32" t="s">
        <v>1716</v>
      </c>
      <c r="D421" s="32" t="s">
        <v>1717</v>
      </c>
      <c r="E421" s="32" t="s">
        <v>1568</v>
      </c>
      <c r="F421" s="32" t="s">
        <v>1569</v>
      </c>
      <c r="G421" s="32" t="s">
        <v>1429</v>
      </c>
      <c r="H421" s="32" t="s">
        <v>1430</v>
      </c>
      <c r="I421" s="32" t="s">
        <v>198</v>
      </c>
      <c r="J421" s="32" t="s">
        <v>199</v>
      </c>
      <c r="K421" s="32">
        <v>2.1618339999999998</v>
      </c>
      <c r="L421" s="33">
        <v>2096</v>
      </c>
      <c r="M421" s="32">
        <v>408</v>
      </c>
      <c r="N421" s="32">
        <v>420</v>
      </c>
      <c r="O421" s="32">
        <v>575</v>
      </c>
      <c r="P421" s="32">
        <v>441</v>
      </c>
      <c r="Q421" s="32">
        <v>252</v>
      </c>
      <c r="R421" s="32">
        <v>3</v>
      </c>
      <c r="S421" s="32">
        <v>21.939800000000002</v>
      </c>
      <c r="T421" s="32">
        <v>8.7837499999999995</v>
      </c>
      <c r="U421" s="32">
        <v>0.83120894400000001</v>
      </c>
      <c r="V421" s="32">
        <v>7</v>
      </c>
      <c r="W421" s="32">
        <v>0.90810199999999996</v>
      </c>
      <c r="X421" s="32">
        <v>0.20256399999999999</v>
      </c>
      <c r="Y421" s="32">
        <v>0.7</v>
      </c>
      <c r="Z421" s="32">
        <v>0.35337600000000002</v>
      </c>
      <c r="AA421" s="32">
        <v>73.2</v>
      </c>
      <c r="AB421" s="32">
        <v>593</v>
      </c>
      <c r="AC421" s="32">
        <v>5</v>
      </c>
      <c r="AD421" s="32">
        <v>23</v>
      </c>
      <c r="AE421" s="32">
        <v>0</v>
      </c>
      <c r="AF421" s="32">
        <v>0</v>
      </c>
      <c r="AG421" s="32" t="s">
        <v>200</v>
      </c>
    </row>
    <row r="422" spans="1:33">
      <c r="A422" s="32" t="s">
        <v>1718</v>
      </c>
      <c r="B422" s="32" t="s">
        <v>62</v>
      </c>
      <c r="C422" s="32" t="s">
        <v>1719</v>
      </c>
      <c r="D422" s="32" t="s">
        <v>1720</v>
      </c>
      <c r="E422" s="32" t="s">
        <v>1721</v>
      </c>
      <c r="F422" s="32" t="s">
        <v>1722</v>
      </c>
      <c r="G422" s="32" t="s">
        <v>1429</v>
      </c>
      <c r="H422" s="32" t="s">
        <v>1430</v>
      </c>
      <c r="I422" s="32" t="s">
        <v>198</v>
      </c>
      <c r="J422" s="32" t="s">
        <v>199</v>
      </c>
      <c r="K422" s="32">
        <v>1.9626110000000001</v>
      </c>
      <c r="L422" s="33">
        <v>1882</v>
      </c>
      <c r="M422" s="32">
        <v>424</v>
      </c>
      <c r="N422" s="32">
        <v>303</v>
      </c>
      <c r="O422" s="32">
        <v>367</v>
      </c>
      <c r="P422" s="32">
        <v>445</v>
      </c>
      <c r="Q422" s="32">
        <v>343</v>
      </c>
      <c r="R422" s="32">
        <v>2</v>
      </c>
      <c r="S422" s="32">
        <v>9.2218400000000003</v>
      </c>
      <c r="T422" s="32">
        <v>0</v>
      </c>
      <c r="U422" s="32">
        <v>1.017724267</v>
      </c>
      <c r="V422" s="32">
        <v>6</v>
      </c>
      <c r="W422" s="32">
        <v>0.83606199999999997</v>
      </c>
      <c r="X422" s="32">
        <v>0.16600400000000001</v>
      </c>
      <c r="Y422" s="32">
        <v>0.7</v>
      </c>
      <c r="Z422" s="32">
        <v>0.28084199999999998</v>
      </c>
      <c r="AA422" s="32">
        <v>45.2</v>
      </c>
      <c r="AB422" s="32">
        <v>772</v>
      </c>
      <c r="AC422" s="32">
        <v>21</v>
      </c>
      <c r="AD422" s="32">
        <v>54</v>
      </c>
      <c r="AE422" s="32">
        <v>5</v>
      </c>
      <c r="AF422" s="32" t="s">
        <v>200</v>
      </c>
      <c r="AG422" s="32" t="s">
        <v>200</v>
      </c>
    </row>
    <row r="423" spans="1:33">
      <c r="A423" s="32" t="s">
        <v>1723</v>
      </c>
      <c r="B423" s="32" t="s">
        <v>62</v>
      </c>
      <c r="C423" s="32" t="s">
        <v>1724</v>
      </c>
      <c r="D423" s="32" t="s">
        <v>1725</v>
      </c>
      <c r="E423" s="32" t="s">
        <v>1721</v>
      </c>
      <c r="F423" s="32" t="s">
        <v>1722</v>
      </c>
      <c r="G423" s="32" t="s">
        <v>1429</v>
      </c>
      <c r="H423" s="32" t="s">
        <v>1430</v>
      </c>
      <c r="I423" s="32" t="s">
        <v>198</v>
      </c>
      <c r="J423" s="32" t="s">
        <v>199</v>
      </c>
      <c r="K423" s="32">
        <v>1.770923</v>
      </c>
      <c r="L423" s="33">
        <v>1707</v>
      </c>
      <c r="M423" s="32">
        <v>418</v>
      </c>
      <c r="N423" s="32">
        <v>364</v>
      </c>
      <c r="O423" s="32">
        <v>313</v>
      </c>
      <c r="P423" s="32">
        <v>431</v>
      </c>
      <c r="Q423" s="32">
        <v>181</v>
      </c>
      <c r="R423" s="32" t="s">
        <v>214</v>
      </c>
      <c r="S423" s="32">
        <v>4.1488399999999999</v>
      </c>
      <c r="T423" s="32">
        <v>0</v>
      </c>
      <c r="U423" s="32">
        <v>1.091876157</v>
      </c>
      <c r="V423" s="32">
        <v>6</v>
      </c>
      <c r="W423" s="32">
        <v>0.80098199999999997</v>
      </c>
      <c r="X423" s="32">
        <v>3.96E-3</v>
      </c>
      <c r="Y423" s="32">
        <v>0.66693100000000005</v>
      </c>
      <c r="Z423" s="32">
        <v>0.3</v>
      </c>
      <c r="AA423" s="32">
        <v>52.2</v>
      </c>
      <c r="AB423" s="32">
        <v>753</v>
      </c>
      <c r="AC423" s="32">
        <v>15</v>
      </c>
      <c r="AD423" s="32">
        <v>47</v>
      </c>
      <c r="AE423" s="32" t="s">
        <v>200</v>
      </c>
      <c r="AF423" s="32">
        <v>0</v>
      </c>
      <c r="AG423" s="32" t="s">
        <v>200</v>
      </c>
    </row>
    <row r="424" spans="1:33">
      <c r="A424" s="32" t="s">
        <v>1726</v>
      </c>
      <c r="B424" s="32" t="s">
        <v>62</v>
      </c>
      <c r="C424" s="32" t="s">
        <v>1727</v>
      </c>
      <c r="D424" s="32" t="s">
        <v>1728</v>
      </c>
      <c r="E424" s="32" t="s">
        <v>1729</v>
      </c>
      <c r="F424" s="32" t="s">
        <v>1730</v>
      </c>
      <c r="G424" s="32" t="s">
        <v>1429</v>
      </c>
      <c r="H424" s="32" t="s">
        <v>1430</v>
      </c>
      <c r="I424" s="32" t="s">
        <v>198</v>
      </c>
      <c r="J424" s="32" t="s">
        <v>199</v>
      </c>
      <c r="K424" s="32">
        <v>1.9079269999999999</v>
      </c>
      <c r="L424" s="33">
        <v>2144</v>
      </c>
      <c r="M424" s="32">
        <v>508</v>
      </c>
      <c r="N424" s="32">
        <v>460</v>
      </c>
      <c r="O424" s="32">
        <v>421</v>
      </c>
      <c r="P424" s="32">
        <v>501</v>
      </c>
      <c r="Q424" s="32">
        <v>254</v>
      </c>
      <c r="R424" s="32" t="s">
        <v>225</v>
      </c>
      <c r="S424" s="32">
        <v>12.1501</v>
      </c>
      <c r="T424" s="32">
        <v>0</v>
      </c>
      <c r="U424" s="32">
        <v>1.0483425099999999</v>
      </c>
      <c r="V424" s="32">
        <v>6</v>
      </c>
      <c r="W424" s="32">
        <v>0.84792699999999999</v>
      </c>
      <c r="X424" s="32">
        <v>0.12776100000000001</v>
      </c>
      <c r="Y424" s="32">
        <v>0.7</v>
      </c>
      <c r="Z424" s="32">
        <v>0.25265399999999999</v>
      </c>
      <c r="AA424" s="32">
        <v>71.099999999999994</v>
      </c>
      <c r="AB424" s="32">
        <v>718</v>
      </c>
      <c r="AC424" s="32">
        <v>18</v>
      </c>
      <c r="AD424" s="32">
        <v>42</v>
      </c>
      <c r="AE424" s="32">
        <v>0</v>
      </c>
      <c r="AF424" s="32" t="s">
        <v>200</v>
      </c>
      <c r="AG424" s="32" t="s">
        <v>200</v>
      </c>
    </row>
    <row r="425" spans="1:33">
      <c r="A425" s="32" t="s">
        <v>1731</v>
      </c>
      <c r="B425" s="32" t="s">
        <v>62</v>
      </c>
      <c r="C425" s="32" t="s">
        <v>1732</v>
      </c>
      <c r="D425" s="32" t="s">
        <v>1733</v>
      </c>
      <c r="E425" s="32" t="s">
        <v>1734</v>
      </c>
      <c r="F425" s="32" t="s">
        <v>1735</v>
      </c>
      <c r="G425" s="32" t="s">
        <v>1429</v>
      </c>
      <c r="H425" s="32" t="s">
        <v>1430</v>
      </c>
      <c r="I425" s="32" t="s">
        <v>198</v>
      </c>
      <c r="J425" s="32" t="s">
        <v>199</v>
      </c>
      <c r="K425" s="32">
        <v>2.1679270000000002</v>
      </c>
      <c r="L425" s="33">
        <v>2880</v>
      </c>
      <c r="M425" s="32">
        <v>567</v>
      </c>
      <c r="N425" s="32">
        <v>654</v>
      </c>
      <c r="O425" s="32">
        <v>834</v>
      </c>
      <c r="P425" s="32">
        <v>518</v>
      </c>
      <c r="Q425" s="32">
        <v>307</v>
      </c>
      <c r="R425" s="32">
        <v>3</v>
      </c>
      <c r="S425" s="32">
        <v>20.354900000000001</v>
      </c>
      <c r="T425" s="32">
        <v>4.1866199999999996</v>
      </c>
      <c r="U425" s="32">
        <v>0.83033534600000003</v>
      </c>
      <c r="V425" s="32">
        <v>7</v>
      </c>
      <c r="W425" s="32">
        <v>0.91089299999999995</v>
      </c>
      <c r="X425" s="32">
        <v>0.182583</v>
      </c>
      <c r="Y425" s="32">
        <v>0.7</v>
      </c>
      <c r="Z425" s="32">
        <v>0.39145400000000002</v>
      </c>
      <c r="AA425" s="32">
        <v>73.900000000000006</v>
      </c>
      <c r="AB425" s="32">
        <v>859</v>
      </c>
      <c r="AC425" s="32">
        <v>8</v>
      </c>
      <c r="AD425" s="32">
        <v>40</v>
      </c>
      <c r="AE425" s="32">
        <v>0</v>
      </c>
      <c r="AF425" s="32">
        <v>0</v>
      </c>
      <c r="AG425" s="32">
        <v>14</v>
      </c>
    </row>
    <row r="426" spans="1:33">
      <c r="A426" s="32" t="s">
        <v>1736</v>
      </c>
      <c r="B426" s="32" t="s">
        <v>62</v>
      </c>
      <c r="C426" s="32" t="s">
        <v>1737</v>
      </c>
      <c r="D426" s="32" t="s">
        <v>1738</v>
      </c>
      <c r="E426" s="32" t="s">
        <v>1729</v>
      </c>
      <c r="F426" s="32" t="s">
        <v>1730</v>
      </c>
      <c r="G426" s="32" t="s">
        <v>1429</v>
      </c>
      <c r="H426" s="32" t="s">
        <v>1430</v>
      </c>
      <c r="I426" s="32" t="s">
        <v>198</v>
      </c>
      <c r="J426" s="32" t="s">
        <v>199</v>
      </c>
      <c r="K426" s="32">
        <v>2.0430299999999999</v>
      </c>
      <c r="L426" s="33">
        <v>2205</v>
      </c>
      <c r="M426" s="32">
        <v>528</v>
      </c>
      <c r="N426" s="32">
        <v>419</v>
      </c>
      <c r="O426" s="32">
        <v>530</v>
      </c>
      <c r="P426" s="32">
        <v>505</v>
      </c>
      <c r="Q426" s="32">
        <v>223</v>
      </c>
      <c r="R426" s="32">
        <v>3</v>
      </c>
      <c r="S426" s="32">
        <v>15.6076</v>
      </c>
      <c r="T426" s="32">
        <v>5.25265</v>
      </c>
      <c r="U426" s="32">
        <v>0.94355042099999997</v>
      </c>
      <c r="V426" s="32">
        <v>7</v>
      </c>
      <c r="W426" s="32">
        <v>0.89252500000000001</v>
      </c>
      <c r="X426" s="32">
        <v>9.8039000000000001E-2</v>
      </c>
      <c r="Y426" s="32">
        <v>0.7</v>
      </c>
      <c r="Z426" s="32">
        <v>0.36787900000000001</v>
      </c>
      <c r="AA426" s="32">
        <v>77.900000000000006</v>
      </c>
      <c r="AB426" s="32">
        <v>634</v>
      </c>
      <c r="AC426" s="32">
        <v>13</v>
      </c>
      <c r="AD426" s="32">
        <v>32</v>
      </c>
      <c r="AE426" s="32">
        <v>0</v>
      </c>
      <c r="AF426" s="32">
        <v>0</v>
      </c>
      <c r="AG426" s="32" t="s">
        <v>200</v>
      </c>
    </row>
    <row r="427" spans="1:33">
      <c r="A427" s="32" t="s">
        <v>1739</v>
      </c>
      <c r="B427" s="32" t="s">
        <v>62</v>
      </c>
      <c r="C427" s="32" t="s">
        <v>1740</v>
      </c>
      <c r="D427" s="32" t="s">
        <v>1741</v>
      </c>
      <c r="E427" s="32" t="s">
        <v>1734</v>
      </c>
      <c r="F427" s="32" t="s">
        <v>1735</v>
      </c>
      <c r="G427" s="32" t="s">
        <v>1429</v>
      </c>
      <c r="H427" s="32" t="s">
        <v>1430</v>
      </c>
      <c r="I427" s="32" t="s">
        <v>198</v>
      </c>
      <c r="J427" s="32" t="s">
        <v>199</v>
      </c>
      <c r="K427" s="32">
        <v>2.0824180000000001</v>
      </c>
      <c r="L427" s="33">
        <v>2122</v>
      </c>
      <c r="M427" s="32">
        <v>541</v>
      </c>
      <c r="N427" s="32">
        <v>432</v>
      </c>
      <c r="O427" s="32">
        <v>425</v>
      </c>
      <c r="P427" s="32">
        <v>537</v>
      </c>
      <c r="Q427" s="32">
        <v>187</v>
      </c>
      <c r="R427" s="32">
        <v>3</v>
      </c>
      <c r="S427" s="32">
        <v>14.2864</v>
      </c>
      <c r="T427" s="32">
        <v>3.3590399999999998</v>
      </c>
      <c r="U427" s="32">
        <v>0.86973402799999999</v>
      </c>
      <c r="V427" s="32">
        <v>6</v>
      </c>
      <c r="W427" s="32">
        <v>0.90737800000000002</v>
      </c>
      <c r="X427" s="32">
        <v>8.1689999999999999E-2</v>
      </c>
      <c r="Y427" s="32">
        <v>0.7</v>
      </c>
      <c r="Z427" s="32">
        <v>0.40078200000000003</v>
      </c>
      <c r="AA427" s="32">
        <v>81.3</v>
      </c>
      <c r="AB427" s="32">
        <v>709</v>
      </c>
      <c r="AC427" s="32">
        <v>9</v>
      </c>
      <c r="AD427" s="32">
        <v>111</v>
      </c>
      <c r="AE427" s="32">
        <v>70</v>
      </c>
      <c r="AF427" s="32">
        <v>105</v>
      </c>
      <c r="AG427" s="32">
        <v>23</v>
      </c>
    </row>
    <row r="428" spans="1:33">
      <c r="A428" s="32" t="s">
        <v>1742</v>
      </c>
      <c r="B428" s="32" t="s">
        <v>62</v>
      </c>
      <c r="C428" s="32" t="s">
        <v>1743</v>
      </c>
      <c r="D428" s="32" t="s">
        <v>1744</v>
      </c>
      <c r="E428" s="32" t="s">
        <v>1745</v>
      </c>
      <c r="F428" s="32" t="s">
        <v>1746</v>
      </c>
      <c r="G428" s="32" t="s">
        <v>1429</v>
      </c>
      <c r="H428" s="32" t="s">
        <v>1430</v>
      </c>
      <c r="I428" s="32" t="s">
        <v>198</v>
      </c>
      <c r="J428" s="32" t="s">
        <v>199</v>
      </c>
      <c r="K428" s="32">
        <v>1.9515579999999999</v>
      </c>
      <c r="L428" s="33">
        <v>3070</v>
      </c>
      <c r="M428" s="32">
        <v>753</v>
      </c>
      <c r="N428" s="32">
        <v>666</v>
      </c>
      <c r="O428" s="32">
        <v>831</v>
      </c>
      <c r="P428" s="32">
        <v>607</v>
      </c>
      <c r="Q428" s="32">
        <v>213</v>
      </c>
      <c r="R428" s="32">
        <v>2</v>
      </c>
      <c r="S428" s="32">
        <v>9.9413099999999996</v>
      </c>
      <c r="T428" s="32">
        <v>2.12249</v>
      </c>
      <c r="U428" s="32">
        <v>1.063527661</v>
      </c>
      <c r="V428" s="32">
        <v>6</v>
      </c>
      <c r="W428" s="32">
        <v>0.81648200000000004</v>
      </c>
      <c r="X428" s="32">
        <v>9.3762999999999999E-2</v>
      </c>
      <c r="Y428" s="32">
        <v>0.7</v>
      </c>
      <c r="Z428" s="32">
        <v>0.34516599999999997</v>
      </c>
      <c r="AA428" s="32">
        <v>66.2</v>
      </c>
      <c r="AB428" s="32">
        <v>837</v>
      </c>
      <c r="AC428" s="32">
        <v>14</v>
      </c>
      <c r="AD428" s="32">
        <v>46</v>
      </c>
      <c r="AE428" s="32" t="s">
        <v>200</v>
      </c>
      <c r="AF428" s="32">
        <v>5</v>
      </c>
      <c r="AG428" s="32">
        <v>9</v>
      </c>
    </row>
    <row r="429" spans="1:33">
      <c r="A429" s="32" t="s">
        <v>1747</v>
      </c>
      <c r="B429" s="32" t="s">
        <v>106</v>
      </c>
      <c r="C429" s="32" t="s">
        <v>1748</v>
      </c>
      <c r="D429" s="32" t="s">
        <v>1749</v>
      </c>
      <c r="E429" s="32" t="s">
        <v>1750</v>
      </c>
      <c r="F429" s="32" t="s">
        <v>1751</v>
      </c>
      <c r="G429" s="32" t="s">
        <v>1606</v>
      </c>
      <c r="H429" s="32" t="s">
        <v>1607</v>
      </c>
      <c r="I429" s="32" t="s">
        <v>198</v>
      </c>
      <c r="J429" s="32" t="s">
        <v>199</v>
      </c>
      <c r="K429" s="32">
        <v>2.6302829999999999</v>
      </c>
      <c r="L429" s="33">
        <v>1597</v>
      </c>
      <c r="M429" s="32">
        <v>510</v>
      </c>
      <c r="N429" s="32">
        <v>309</v>
      </c>
      <c r="O429" s="32">
        <v>402</v>
      </c>
      <c r="P429" s="32">
        <v>325</v>
      </c>
      <c r="Q429" s="32">
        <v>51</v>
      </c>
      <c r="R429" s="32">
        <v>2</v>
      </c>
      <c r="S429" s="32">
        <v>30.9406</v>
      </c>
      <c r="T429" s="32">
        <v>0</v>
      </c>
      <c r="U429" s="32">
        <v>0.97327461400000004</v>
      </c>
      <c r="V429" s="32">
        <v>2</v>
      </c>
      <c r="W429" s="32">
        <v>0.91381000000000001</v>
      </c>
      <c r="X429" s="32">
        <v>0.435585</v>
      </c>
      <c r="Y429" s="32">
        <v>0.62868900000000005</v>
      </c>
      <c r="Z429" s="32">
        <v>0.65825100000000003</v>
      </c>
      <c r="AA429" s="32">
        <v>68.599999999999994</v>
      </c>
      <c r="AB429" s="32">
        <v>489</v>
      </c>
      <c r="AC429" s="32">
        <v>8</v>
      </c>
      <c r="AD429" s="32">
        <v>61</v>
      </c>
      <c r="AE429" s="32" t="s">
        <v>200</v>
      </c>
      <c r="AF429" s="32">
        <v>0</v>
      </c>
      <c r="AG429" s="32" t="s">
        <v>200</v>
      </c>
    </row>
    <row r="430" spans="1:33">
      <c r="A430" s="32" t="s">
        <v>1752</v>
      </c>
      <c r="B430" s="32" t="s">
        <v>106</v>
      </c>
      <c r="C430" s="32" t="s">
        <v>1753</v>
      </c>
      <c r="D430" s="32" t="s">
        <v>1754</v>
      </c>
      <c r="E430" s="32" t="s">
        <v>1755</v>
      </c>
      <c r="F430" s="32" t="s">
        <v>1756</v>
      </c>
      <c r="G430" s="32" t="s">
        <v>1757</v>
      </c>
      <c r="H430" s="32" t="s">
        <v>1758</v>
      </c>
      <c r="I430" s="32" t="s">
        <v>198</v>
      </c>
      <c r="J430" s="32" t="s">
        <v>199</v>
      </c>
      <c r="K430" s="32">
        <v>2.8865400000000001</v>
      </c>
      <c r="L430" s="33">
        <v>1758</v>
      </c>
      <c r="M430" s="32">
        <v>430</v>
      </c>
      <c r="N430" s="32">
        <v>329</v>
      </c>
      <c r="O430" s="32">
        <v>406</v>
      </c>
      <c r="P430" s="32">
        <v>428</v>
      </c>
      <c r="Q430" s="32">
        <v>165</v>
      </c>
      <c r="R430" s="32" t="s">
        <v>225</v>
      </c>
      <c r="S430" s="32">
        <v>8.6355799999999991</v>
      </c>
      <c r="T430" s="32">
        <v>0</v>
      </c>
      <c r="U430" s="32">
        <v>1.009003995</v>
      </c>
      <c r="V430" s="32">
        <v>2</v>
      </c>
      <c r="W430" s="32">
        <v>0.91594699999999996</v>
      </c>
      <c r="X430" s="32">
        <v>0.41168700000000003</v>
      </c>
      <c r="Y430" s="32">
        <v>0.7</v>
      </c>
      <c r="Z430" s="32">
        <v>0.85018300000000002</v>
      </c>
      <c r="AA430" s="32">
        <v>66.5</v>
      </c>
      <c r="AB430" s="32">
        <v>465</v>
      </c>
      <c r="AC430" s="32">
        <v>42</v>
      </c>
      <c r="AD430" s="32">
        <v>252</v>
      </c>
      <c r="AE430" s="32">
        <v>37</v>
      </c>
      <c r="AF430" s="32">
        <v>18</v>
      </c>
      <c r="AG430" s="32">
        <v>37</v>
      </c>
    </row>
    <row r="431" spans="1:33">
      <c r="A431" s="32" t="s">
        <v>1759</v>
      </c>
      <c r="B431" s="32" t="s">
        <v>106</v>
      </c>
      <c r="C431" s="32" t="s">
        <v>1760</v>
      </c>
      <c r="D431" s="32" t="s">
        <v>1761</v>
      </c>
      <c r="E431" s="32" t="s">
        <v>1762</v>
      </c>
      <c r="F431" s="32" t="s">
        <v>1763</v>
      </c>
      <c r="G431" s="32" t="s">
        <v>1757</v>
      </c>
      <c r="H431" s="32" t="s">
        <v>1758</v>
      </c>
      <c r="I431" s="32" t="s">
        <v>198</v>
      </c>
      <c r="J431" s="32" t="s">
        <v>199</v>
      </c>
      <c r="K431" s="32">
        <v>2.5081500000000001</v>
      </c>
      <c r="L431" s="33">
        <v>2036</v>
      </c>
      <c r="M431" s="32">
        <v>599</v>
      </c>
      <c r="N431" s="32">
        <v>323</v>
      </c>
      <c r="O431" s="32">
        <v>501</v>
      </c>
      <c r="P431" s="32">
        <v>419</v>
      </c>
      <c r="Q431" s="32">
        <v>194</v>
      </c>
      <c r="R431" s="32">
        <v>3</v>
      </c>
      <c r="S431" s="32">
        <v>29.437999999999999</v>
      </c>
      <c r="T431" s="32">
        <v>6.65571</v>
      </c>
      <c r="U431" s="32">
        <v>1.1148288150000001</v>
      </c>
      <c r="V431" s="32">
        <v>2</v>
      </c>
      <c r="W431" s="32">
        <v>0.91079299999999996</v>
      </c>
      <c r="X431" s="32">
        <v>0.36314600000000002</v>
      </c>
      <c r="Y431" s="32">
        <v>0.69551600000000002</v>
      </c>
      <c r="Z431" s="32">
        <v>0.54811500000000002</v>
      </c>
      <c r="AA431" s="32">
        <v>81.099999999999994</v>
      </c>
      <c r="AB431" s="32">
        <v>350</v>
      </c>
      <c r="AC431" s="32">
        <v>15</v>
      </c>
      <c r="AD431" s="32">
        <v>27</v>
      </c>
      <c r="AE431" s="32" t="s">
        <v>200</v>
      </c>
      <c r="AF431" s="32">
        <v>5</v>
      </c>
      <c r="AG431" s="32" t="s">
        <v>200</v>
      </c>
    </row>
    <row r="432" spans="1:33">
      <c r="A432" s="32" t="s">
        <v>1764</v>
      </c>
      <c r="B432" s="32" t="s">
        <v>106</v>
      </c>
      <c r="C432" s="32" t="s">
        <v>1765</v>
      </c>
      <c r="D432" s="32" t="s">
        <v>1766</v>
      </c>
      <c r="E432" s="32" t="s">
        <v>1767</v>
      </c>
      <c r="F432" s="32" t="s">
        <v>1768</v>
      </c>
      <c r="G432" s="32" t="s">
        <v>1757</v>
      </c>
      <c r="H432" s="32" t="s">
        <v>1758</v>
      </c>
      <c r="I432" s="32" t="s">
        <v>198</v>
      </c>
      <c r="J432" s="32" t="s">
        <v>199</v>
      </c>
      <c r="K432" s="32">
        <v>2.6850689999999999</v>
      </c>
      <c r="L432" s="33">
        <v>2189</v>
      </c>
      <c r="M432" s="32">
        <v>651</v>
      </c>
      <c r="N432" s="32">
        <v>439</v>
      </c>
      <c r="O432" s="32">
        <v>529</v>
      </c>
      <c r="P432" s="32">
        <v>414</v>
      </c>
      <c r="Q432" s="32">
        <v>156</v>
      </c>
      <c r="R432" s="32">
        <v>2</v>
      </c>
      <c r="S432" s="32">
        <v>30.415199999999999</v>
      </c>
      <c r="T432" s="32">
        <v>0</v>
      </c>
      <c r="U432" s="32">
        <v>1.1922111049999999</v>
      </c>
      <c r="V432" s="32">
        <v>2</v>
      </c>
      <c r="W432" s="32">
        <v>0.91355600000000003</v>
      </c>
      <c r="X432" s="32">
        <v>0.49960500000000002</v>
      </c>
      <c r="Y432" s="32">
        <v>0.66023600000000005</v>
      </c>
      <c r="Z432" s="32">
        <v>0.60551200000000005</v>
      </c>
      <c r="AA432" s="32">
        <v>79.8</v>
      </c>
      <c r="AB432" s="32">
        <v>479</v>
      </c>
      <c r="AC432" s="32">
        <v>7</v>
      </c>
      <c r="AD432" s="32">
        <v>19</v>
      </c>
      <c r="AE432" s="32">
        <v>0</v>
      </c>
      <c r="AF432" s="32" t="s">
        <v>200</v>
      </c>
      <c r="AG432" s="32">
        <v>0</v>
      </c>
    </row>
    <row r="433" spans="1:33">
      <c r="A433" s="32" t="s">
        <v>1769</v>
      </c>
      <c r="B433" s="32" t="s">
        <v>106</v>
      </c>
      <c r="C433" s="32" t="s">
        <v>1770</v>
      </c>
      <c r="D433" s="32" t="s">
        <v>1771</v>
      </c>
      <c r="E433" s="32" t="s">
        <v>1767</v>
      </c>
      <c r="F433" s="32" t="s">
        <v>1768</v>
      </c>
      <c r="G433" s="32" t="s">
        <v>1757</v>
      </c>
      <c r="H433" s="32" t="s">
        <v>1758</v>
      </c>
      <c r="I433" s="32" t="s">
        <v>198</v>
      </c>
      <c r="J433" s="32" t="s">
        <v>199</v>
      </c>
      <c r="K433" s="32">
        <v>2.3624000000000001</v>
      </c>
      <c r="L433" s="33">
        <v>2029</v>
      </c>
      <c r="M433" s="32">
        <v>618</v>
      </c>
      <c r="N433" s="32">
        <v>325</v>
      </c>
      <c r="O433" s="32">
        <v>483</v>
      </c>
      <c r="P433" s="32">
        <v>477</v>
      </c>
      <c r="Q433" s="32">
        <v>126</v>
      </c>
      <c r="R433" s="32" t="s">
        <v>214</v>
      </c>
      <c r="S433" s="32">
        <v>2.9922900000000001</v>
      </c>
      <c r="T433" s="32">
        <v>0</v>
      </c>
      <c r="U433" s="32">
        <v>1.103522669</v>
      </c>
      <c r="V433" s="32">
        <v>3</v>
      </c>
      <c r="W433" s="32">
        <v>0.90880000000000005</v>
      </c>
      <c r="X433" s="32">
        <v>0.38585199999999997</v>
      </c>
      <c r="Y433" s="32">
        <v>0.6</v>
      </c>
      <c r="Z433" s="32">
        <v>0.45648</v>
      </c>
      <c r="AA433" s="32">
        <v>80.2</v>
      </c>
      <c r="AB433" s="32">
        <v>497</v>
      </c>
      <c r="AC433" s="32">
        <v>8</v>
      </c>
      <c r="AD433" s="32">
        <v>32</v>
      </c>
      <c r="AE433" s="32" t="s">
        <v>200</v>
      </c>
      <c r="AF433" s="32">
        <v>0</v>
      </c>
      <c r="AG433" s="32" t="s">
        <v>200</v>
      </c>
    </row>
    <row r="434" spans="1:33">
      <c r="A434" s="32" t="s">
        <v>1772</v>
      </c>
      <c r="B434" s="32" t="s">
        <v>106</v>
      </c>
      <c r="C434" s="32" t="s">
        <v>1773</v>
      </c>
      <c r="D434" s="32" t="s">
        <v>1774</v>
      </c>
      <c r="E434" s="32" t="s">
        <v>1762</v>
      </c>
      <c r="F434" s="32" t="s">
        <v>1763</v>
      </c>
      <c r="G434" s="32" t="s">
        <v>1757</v>
      </c>
      <c r="H434" s="32" t="s">
        <v>1758</v>
      </c>
      <c r="I434" s="32" t="s">
        <v>198</v>
      </c>
      <c r="J434" s="32" t="s">
        <v>199</v>
      </c>
      <c r="K434" s="32">
        <v>2.0490119999999998</v>
      </c>
      <c r="L434" s="33">
        <v>1782</v>
      </c>
      <c r="M434" s="32">
        <v>504</v>
      </c>
      <c r="N434" s="32">
        <v>338</v>
      </c>
      <c r="O434" s="32">
        <v>397</v>
      </c>
      <c r="P434" s="32">
        <v>402</v>
      </c>
      <c r="Q434" s="32">
        <v>141</v>
      </c>
      <c r="R434" s="32" t="s">
        <v>225</v>
      </c>
      <c r="S434" s="32">
        <v>8.5242299999999993</v>
      </c>
      <c r="T434" s="32">
        <v>2.31602</v>
      </c>
      <c r="U434" s="32">
        <v>1.233037165</v>
      </c>
      <c r="V434" s="32">
        <v>3</v>
      </c>
      <c r="W434" s="32">
        <v>0.9</v>
      </c>
      <c r="X434" s="32">
        <v>3.5115E-2</v>
      </c>
      <c r="Y434" s="32">
        <v>0.60233499999999995</v>
      </c>
      <c r="Z434" s="32">
        <v>0.50941199999999998</v>
      </c>
      <c r="AA434" s="32">
        <v>80.2</v>
      </c>
      <c r="AB434" s="32">
        <v>361</v>
      </c>
      <c r="AC434" s="32">
        <v>25</v>
      </c>
      <c r="AD434" s="32">
        <v>17</v>
      </c>
      <c r="AE434" s="32">
        <v>0</v>
      </c>
      <c r="AF434" s="32">
        <v>0</v>
      </c>
      <c r="AG434" s="32" t="s">
        <v>200</v>
      </c>
    </row>
    <row r="435" spans="1:33">
      <c r="A435" s="32" t="s">
        <v>1775</v>
      </c>
      <c r="B435" s="32" t="s">
        <v>106</v>
      </c>
      <c r="C435" s="32" t="s">
        <v>1776</v>
      </c>
      <c r="D435" s="32" t="s">
        <v>1777</v>
      </c>
      <c r="E435" s="32" t="s">
        <v>1755</v>
      </c>
      <c r="F435" s="32" t="s">
        <v>1756</v>
      </c>
      <c r="G435" s="32" t="s">
        <v>1757</v>
      </c>
      <c r="H435" s="32" t="s">
        <v>1758</v>
      </c>
      <c r="I435" s="32" t="s">
        <v>198</v>
      </c>
      <c r="J435" s="32" t="s">
        <v>199</v>
      </c>
      <c r="K435" s="32">
        <v>2.6868560000000001</v>
      </c>
      <c r="L435" s="33">
        <v>1796</v>
      </c>
      <c r="M435" s="32">
        <v>521</v>
      </c>
      <c r="N435" s="32">
        <v>306</v>
      </c>
      <c r="O435" s="32">
        <v>438</v>
      </c>
      <c r="P435" s="32">
        <v>401</v>
      </c>
      <c r="Q435" s="32">
        <v>130</v>
      </c>
      <c r="R435" s="32">
        <v>2</v>
      </c>
      <c r="S435" s="32">
        <v>19.090299999999999</v>
      </c>
      <c r="T435" s="32">
        <v>5.1547000000000001</v>
      </c>
      <c r="U435" s="32">
        <v>0.946119822</v>
      </c>
      <c r="V435" s="32">
        <v>2</v>
      </c>
      <c r="W435" s="32">
        <v>0.912466</v>
      </c>
      <c r="X435" s="32">
        <v>0.42283399999999999</v>
      </c>
      <c r="Y435" s="32">
        <v>0.69411</v>
      </c>
      <c r="Z435" s="32">
        <v>0.64684900000000001</v>
      </c>
      <c r="AA435" s="32">
        <v>81.2</v>
      </c>
      <c r="AB435" s="32">
        <v>376</v>
      </c>
      <c r="AC435" s="32">
        <v>12</v>
      </c>
      <c r="AD435" s="32">
        <v>30</v>
      </c>
      <c r="AE435" s="32">
        <v>0</v>
      </c>
      <c r="AF435" s="32" t="s">
        <v>200</v>
      </c>
      <c r="AG435" s="32" t="s">
        <v>200</v>
      </c>
    </row>
    <row r="436" spans="1:33">
      <c r="A436" s="32" t="s">
        <v>1778</v>
      </c>
      <c r="B436" s="32" t="s">
        <v>106</v>
      </c>
      <c r="C436" s="32" t="s">
        <v>1779</v>
      </c>
      <c r="D436" s="32" t="s">
        <v>1780</v>
      </c>
      <c r="E436" s="32" t="s">
        <v>1755</v>
      </c>
      <c r="F436" s="32" t="s">
        <v>1756</v>
      </c>
      <c r="G436" s="32" t="s">
        <v>1757</v>
      </c>
      <c r="H436" s="32" t="s">
        <v>1758</v>
      </c>
      <c r="I436" s="32" t="s">
        <v>198</v>
      </c>
      <c r="J436" s="32" t="s">
        <v>199</v>
      </c>
      <c r="K436" s="32">
        <v>2.561169</v>
      </c>
      <c r="L436" s="33">
        <v>1832</v>
      </c>
      <c r="M436" s="32">
        <v>523</v>
      </c>
      <c r="N436" s="32">
        <v>371</v>
      </c>
      <c r="O436" s="32">
        <v>437</v>
      </c>
      <c r="P436" s="32">
        <v>382</v>
      </c>
      <c r="Q436" s="32">
        <v>119</v>
      </c>
      <c r="R436" s="32" t="s">
        <v>225</v>
      </c>
      <c r="S436" s="32">
        <v>7.6509299999999998</v>
      </c>
      <c r="T436" s="32">
        <v>0</v>
      </c>
      <c r="U436" s="32">
        <v>1.03035024</v>
      </c>
      <c r="V436" s="32">
        <v>3</v>
      </c>
      <c r="W436" s="32">
        <v>0.90519499999999997</v>
      </c>
      <c r="X436" s="32">
        <v>0.22312699999999999</v>
      </c>
      <c r="Y436" s="32">
        <v>0.7</v>
      </c>
      <c r="Z436" s="32">
        <v>0.73485599999999995</v>
      </c>
      <c r="AA436" s="32">
        <v>77.3</v>
      </c>
      <c r="AB436" s="32">
        <v>374</v>
      </c>
      <c r="AC436" s="32">
        <v>7</v>
      </c>
      <c r="AD436" s="32">
        <v>23</v>
      </c>
      <c r="AE436" s="32">
        <v>0</v>
      </c>
      <c r="AF436" s="32" t="s">
        <v>200</v>
      </c>
      <c r="AG436" s="32" t="s">
        <v>200</v>
      </c>
    </row>
    <row r="437" spans="1:33">
      <c r="A437" s="32" t="s">
        <v>1781</v>
      </c>
      <c r="B437" s="32" t="s">
        <v>106</v>
      </c>
      <c r="C437" s="32" t="s">
        <v>1782</v>
      </c>
      <c r="D437" s="32" t="s">
        <v>1783</v>
      </c>
      <c r="E437" s="32" t="s">
        <v>1784</v>
      </c>
      <c r="F437" s="32" t="s">
        <v>1785</v>
      </c>
      <c r="G437" s="32" t="s">
        <v>1757</v>
      </c>
      <c r="H437" s="32" t="s">
        <v>1758</v>
      </c>
      <c r="I437" s="32" t="s">
        <v>198</v>
      </c>
      <c r="J437" s="32" t="s">
        <v>199</v>
      </c>
      <c r="K437" s="32">
        <v>2.544702</v>
      </c>
      <c r="L437" s="33">
        <v>1788</v>
      </c>
      <c r="M437" s="32">
        <v>493</v>
      </c>
      <c r="N437" s="32">
        <v>280</v>
      </c>
      <c r="O437" s="32">
        <v>559</v>
      </c>
      <c r="P437" s="32">
        <v>318</v>
      </c>
      <c r="Q437" s="32">
        <v>138</v>
      </c>
      <c r="R437" s="32" t="s">
        <v>214</v>
      </c>
      <c r="S437" s="32">
        <v>16.286100000000001</v>
      </c>
      <c r="T437" s="32">
        <v>0</v>
      </c>
      <c r="U437" s="32">
        <v>0.92908146899999999</v>
      </c>
      <c r="V437" s="32">
        <v>3</v>
      </c>
      <c r="W437" s="32">
        <v>0.91026499999999999</v>
      </c>
      <c r="X437" s="32">
        <v>0.38871699999999998</v>
      </c>
      <c r="Y437" s="32">
        <v>0.68917099999999998</v>
      </c>
      <c r="Z437" s="32">
        <v>0.54713000000000001</v>
      </c>
      <c r="AA437" s="32">
        <v>81.400000000000006</v>
      </c>
      <c r="AB437" s="32">
        <v>401</v>
      </c>
      <c r="AC437" s="32">
        <v>5</v>
      </c>
      <c r="AD437" s="32">
        <v>27</v>
      </c>
      <c r="AE437" s="32">
        <v>0</v>
      </c>
      <c r="AF437" s="32">
        <v>0</v>
      </c>
      <c r="AG437" s="32" t="s">
        <v>200</v>
      </c>
    </row>
    <row r="438" spans="1:33">
      <c r="A438" s="32" t="s">
        <v>1786</v>
      </c>
      <c r="B438" s="32" t="s">
        <v>106</v>
      </c>
      <c r="C438" s="32" t="s">
        <v>1787</v>
      </c>
      <c r="D438" s="32" t="s">
        <v>1788</v>
      </c>
      <c r="E438" s="32" t="s">
        <v>1789</v>
      </c>
      <c r="F438" s="32" t="s">
        <v>1790</v>
      </c>
      <c r="G438" s="32" t="s">
        <v>1429</v>
      </c>
      <c r="H438" s="32" t="s">
        <v>1430</v>
      </c>
      <c r="I438" s="32" t="s">
        <v>198</v>
      </c>
      <c r="J438" s="32" t="s">
        <v>199</v>
      </c>
      <c r="K438" s="32">
        <v>2.170963</v>
      </c>
      <c r="L438" s="33">
        <v>1461</v>
      </c>
      <c r="M438" s="32">
        <v>338</v>
      </c>
      <c r="N438" s="32">
        <v>276</v>
      </c>
      <c r="O438" s="32">
        <v>329</v>
      </c>
      <c r="P438" s="32">
        <v>336</v>
      </c>
      <c r="Q438" s="32">
        <v>182</v>
      </c>
      <c r="R438" s="32" t="s">
        <v>214</v>
      </c>
      <c r="S438" s="32">
        <v>10.9557</v>
      </c>
      <c r="T438" s="32">
        <v>0</v>
      </c>
      <c r="U438" s="32">
        <v>0.90455596599999999</v>
      </c>
      <c r="V438" s="32">
        <v>7</v>
      </c>
      <c r="W438" s="32">
        <v>0.91195700000000002</v>
      </c>
      <c r="X438" s="32">
        <v>0.33010899999999999</v>
      </c>
      <c r="Y438" s="32">
        <v>0.7</v>
      </c>
      <c r="Z438" s="32">
        <v>0.237285</v>
      </c>
      <c r="AA438" s="32">
        <v>81.400000000000006</v>
      </c>
      <c r="AB438" s="32">
        <v>484</v>
      </c>
      <c r="AC438" s="32">
        <v>6</v>
      </c>
      <c r="AD438" s="32">
        <v>39</v>
      </c>
      <c r="AE438" s="32">
        <v>0</v>
      </c>
      <c r="AF438" s="32">
        <v>0</v>
      </c>
      <c r="AG438" s="32" t="s">
        <v>200</v>
      </c>
    </row>
    <row r="439" spans="1:33">
      <c r="A439" s="32" t="s">
        <v>1791</v>
      </c>
      <c r="B439" s="32" t="s">
        <v>106</v>
      </c>
      <c r="C439" s="32" t="s">
        <v>1792</v>
      </c>
      <c r="D439" s="32" t="s">
        <v>1793</v>
      </c>
      <c r="E439" s="32" t="s">
        <v>1789</v>
      </c>
      <c r="F439" s="32" t="s">
        <v>1790</v>
      </c>
      <c r="G439" s="32" t="s">
        <v>1429</v>
      </c>
      <c r="H439" s="32" t="s">
        <v>1430</v>
      </c>
      <c r="I439" s="32" t="s">
        <v>198</v>
      </c>
      <c r="J439" s="32" t="s">
        <v>199</v>
      </c>
      <c r="K439" s="32">
        <v>2.2199209999999998</v>
      </c>
      <c r="L439" s="33">
        <v>1609</v>
      </c>
      <c r="M439" s="32">
        <v>284</v>
      </c>
      <c r="N439" s="32">
        <v>330</v>
      </c>
      <c r="O439" s="32">
        <v>346</v>
      </c>
      <c r="P439" s="32">
        <v>430</v>
      </c>
      <c r="Q439" s="32">
        <v>219</v>
      </c>
      <c r="R439" s="32">
        <v>2</v>
      </c>
      <c r="S439" s="32">
        <v>11.9498</v>
      </c>
      <c r="T439" s="32">
        <v>0</v>
      </c>
      <c r="U439" s="32">
        <v>0.82333169699999997</v>
      </c>
      <c r="V439" s="32">
        <v>6</v>
      </c>
      <c r="W439" s="32">
        <v>0.90937000000000001</v>
      </c>
      <c r="X439" s="32">
        <v>0.32517499999999999</v>
      </c>
      <c r="Y439" s="32">
        <v>0.7</v>
      </c>
      <c r="Z439" s="32">
        <v>0.28700799999999999</v>
      </c>
      <c r="AA439" s="32">
        <v>78.3</v>
      </c>
      <c r="AB439" s="32">
        <v>681</v>
      </c>
      <c r="AC439" s="32">
        <v>14</v>
      </c>
      <c r="AD439" s="32">
        <v>48</v>
      </c>
      <c r="AE439" s="32" t="s">
        <v>200</v>
      </c>
      <c r="AF439" s="32" t="s">
        <v>200</v>
      </c>
      <c r="AG439" s="32" t="s">
        <v>200</v>
      </c>
    </row>
    <row r="440" spans="1:33">
      <c r="A440" s="32" t="s">
        <v>1794</v>
      </c>
      <c r="B440" s="32" t="s">
        <v>106</v>
      </c>
      <c r="C440" s="32" t="s">
        <v>1795</v>
      </c>
      <c r="D440" s="32" t="s">
        <v>1796</v>
      </c>
      <c r="E440" s="32" t="s">
        <v>1789</v>
      </c>
      <c r="F440" s="32" t="s">
        <v>1790</v>
      </c>
      <c r="G440" s="32" t="s">
        <v>1429</v>
      </c>
      <c r="H440" s="32" t="s">
        <v>1430</v>
      </c>
      <c r="I440" s="32" t="s">
        <v>198</v>
      </c>
      <c r="J440" s="32" t="s">
        <v>199</v>
      </c>
      <c r="K440" s="32">
        <v>1.9133549999999999</v>
      </c>
      <c r="L440" s="33">
        <v>1387</v>
      </c>
      <c r="M440" s="32">
        <v>221</v>
      </c>
      <c r="N440" s="32">
        <v>224</v>
      </c>
      <c r="O440" s="32">
        <v>304</v>
      </c>
      <c r="P440" s="32">
        <v>342</v>
      </c>
      <c r="Q440" s="32">
        <v>296</v>
      </c>
      <c r="R440" s="32">
        <v>3</v>
      </c>
      <c r="S440" s="32">
        <v>17.136199999999999</v>
      </c>
      <c r="T440" s="32">
        <v>3.8816899999999999</v>
      </c>
      <c r="U440" s="32">
        <v>1.0094896280000001</v>
      </c>
      <c r="V440" s="32">
        <v>6</v>
      </c>
      <c r="W440" s="32">
        <v>0.90206699999999995</v>
      </c>
      <c r="X440" s="32">
        <v>0</v>
      </c>
      <c r="Y440" s="32">
        <v>0.7</v>
      </c>
      <c r="Z440" s="32">
        <v>0.311392</v>
      </c>
      <c r="AA440" s="32">
        <v>77.900000000000006</v>
      </c>
      <c r="AB440" s="32">
        <v>559</v>
      </c>
      <c r="AC440" s="32">
        <v>11</v>
      </c>
      <c r="AD440" s="32">
        <v>23</v>
      </c>
      <c r="AE440" s="32">
        <v>0</v>
      </c>
      <c r="AF440" s="32">
        <v>0</v>
      </c>
      <c r="AG440" s="32">
        <v>6</v>
      </c>
    </row>
    <row r="441" spans="1:33">
      <c r="A441" s="32" t="s">
        <v>1797</v>
      </c>
      <c r="B441" s="32" t="s">
        <v>106</v>
      </c>
      <c r="C441" s="32" t="s">
        <v>1798</v>
      </c>
      <c r="D441" s="32" t="s">
        <v>1799</v>
      </c>
      <c r="E441" s="32" t="s">
        <v>1789</v>
      </c>
      <c r="F441" s="32" t="s">
        <v>1790</v>
      </c>
      <c r="G441" s="32" t="s">
        <v>1429</v>
      </c>
      <c r="H441" s="32" t="s">
        <v>1430</v>
      </c>
      <c r="I441" s="32" t="s">
        <v>198</v>
      </c>
      <c r="J441" s="32" t="s">
        <v>199</v>
      </c>
      <c r="K441" s="32">
        <v>1.90445</v>
      </c>
      <c r="L441" s="33">
        <v>1650</v>
      </c>
      <c r="M441" s="32">
        <v>378</v>
      </c>
      <c r="N441" s="32">
        <v>283</v>
      </c>
      <c r="O441" s="32">
        <v>417</v>
      </c>
      <c r="P441" s="32">
        <v>362</v>
      </c>
      <c r="Q441" s="32">
        <v>210</v>
      </c>
      <c r="R441" s="32">
        <v>3</v>
      </c>
      <c r="S441" s="32">
        <v>14.5128</v>
      </c>
      <c r="T441" s="32">
        <v>3.3934099999999998</v>
      </c>
      <c r="U441" s="32">
        <v>1.15001201</v>
      </c>
      <c r="V441" s="32">
        <v>4</v>
      </c>
      <c r="W441" s="32">
        <v>0.90183199999999997</v>
      </c>
      <c r="X441" s="32">
        <v>2.1159999999999998E-3</v>
      </c>
      <c r="Y441" s="32">
        <v>0.7</v>
      </c>
      <c r="Z441" s="32">
        <v>0.3</v>
      </c>
      <c r="AA441" s="32">
        <v>78.5</v>
      </c>
      <c r="AB441" s="32">
        <v>466</v>
      </c>
      <c r="AC441" s="32">
        <v>9</v>
      </c>
      <c r="AD441" s="32">
        <v>45</v>
      </c>
      <c r="AE441" s="32">
        <v>0</v>
      </c>
      <c r="AF441" s="32" t="s">
        <v>200</v>
      </c>
      <c r="AG441" s="32">
        <v>0</v>
      </c>
    </row>
    <row r="442" spans="1:33">
      <c r="A442" s="32" t="s">
        <v>1800</v>
      </c>
      <c r="B442" s="32" t="s">
        <v>106</v>
      </c>
      <c r="C442" s="32" t="s">
        <v>1801</v>
      </c>
      <c r="D442" s="32" t="s">
        <v>1802</v>
      </c>
      <c r="E442" s="32" t="s">
        <v>1789</v>
      </c>
      <c r="F442" s="32" t="s">
        <v>1790</v>
      </c>
      <c r="G442" s="32" t="s">
        <v>1429</v>
      </c>
      <c r="H442" s="32" t="s">
        <v>1430</v>
      </c>
      <c r="I442" s="32" t="s">
        <v>198</v>
      </c>
      <c r="J442" s="32" t="s">
        <v>199</v>
      </c>
      <c r="K442" s="32">
        <v>2.331928</v>
      </c>
      <c r="L442" s="33">
        <v>1674</v>
      </c>
      <c r="M442" s="32">
        <v>340</v>
      </c>
      <c r="N442" s="32">
        <v>338</v>
      </c>
      <c r="O442" s="32">
        <v>374</v>
      </c>
      <c r="P442" s="32">
        <v>406</v>
      </c>
      <c r="Q442" s="32">
        <v>216</v>
      </c>
      <c r="R442" s="32">
        <v>3</v>
      </c>
      <c r="S442" s="32">
        <v>13.1829</v>
      </c>
      <c r="T442" s="32">
        <v>0</v>
      </c>
      <c r="U442" s="32">
        <v>0.80578197699999998</v>
      </c>
      <c r="V442" s="32">
        <v>5</v>
      </c>
      <c r="W442" s="32">
        <v>0.91800800000000005</v>
      </c>
      <c r="X442" s="32">
        <v>0.36467500000000003</v>
      </c>
      <c r="Y442" s="32">
        <v>0.7</v>
      </c>
      <c r="Z442" s="32">
        <v>0.36185600000000001</v>
      </c>
      <c r="AA442" s="32">
        <v>79.900000000000006</v>
      </c>
      <c r="AB442" s="32">
        <v>656</v>
      </c>
      <c r="AC442" s="32">
        <v>12</v>
      </c>
      <c r="AD442" s="32">
        <v>20</v>
      </c>
      <c r="AE442" s="32">
        <v>0</v>
      </c>
      <c r="AF442" s="32">
        <v>0</v>
      </c>
      <c r="AG442" s="32" t="s">
        <v>200</v>
      </c>
    </row>
    <row r="443" spans="1:33">
      <c r="A443" s="32" t="s">
        <v>1803</v>
      </c>
      <c r="B443" s="32" t="s">
        <v>106</v>
      </c>
      <c r="C443" s="32" t="s">
        <v>1804</v>
      </c>
      <c r="D443" s="32" t="s">
        <v>1805</v>
      </c>
      <c r="E443" s="32" t="s">
        <v>1806</v>
      </c>
      <c r="F443" s="32" t="s">
        <v>1807</v>
      </c>
      <c r="G443" s="32" t="s">
        <v>1429</v>
      </c>
      <c r="H443" s="32" t="s">
        <v>1430</v>
      </c>
      <c r="I443" s="32" t="s">
        <v>198</v>
      </c>
      <c r="J443" s="32" t="s">
        <v>199</v>
      </c>
      <c r="K443" s="32">
        <v>2.7403</v>
      </c>
      <c r="L443" s="33">
        <v>3473</v>
      </c>
      <c r="M443" s="32">
        <v>937</v>
      </c>
      <c r="N443" s="32">
        <v>586</v>
      </c>
      <c r="O443" s="33">
        <v>1226</v>
      </c>
      <c r="P443" s="32">
        <v>528</v>
      </c>
      <c r="Q443" s="32">
        <v>196</v>
      </c>
      <c r="R443" s="32" t="s">
        <v>302</v>
      </c>
      <c r="S443" s="32">
        <v>39.769599999999997</v>
      </c>
      <c r="T443" s="32">
        <v>4.5785400000000003</v>
      </c>
      <c r="U443" s="32">
        <v>0.80619474099999999</v>
      </c>
      <c r="V443" s="32">
        <v>3</v>
      </c>
      <c r="W443" s="32">
        <v>0.92440500000000003</v>
      </c>
      <c r="X443" s="32">
        <v>0.50963700000000001</v>
      </c>
      <c r="Y443" s="32">
        <v>0.64856400000000003</v>
      </c>
      <c r="Z443" s="32">
        <v>0.66389900000000002</v>
      </c>
      <c r="AA443" s="32">
        <v>84.2</v>
      </c>
      <c r="AB443" s="32">
        <v>597</v>
      </c>
      <c r="AC443" s="32">
        <v>21</v>
      </c>
      <c r="AD443" s="32">
        <v>43</v>
      </c>
      <c r="AE443" s="32" t="s">
        <v>200</v>
      </c>
      <c r="AF443" s="32">
        <v>10</v>
      </c>
      <c r="AG443" s="32" t="s">
        <v>200</v>
      </c>
    </row>
    <row r="444" spans="1:33">
      <c r="A444" s="32" t="s">
        <v>1808</v>
      </c>
      <c r="B444" s="32" t="s">
        <v>106</v>
      </c>
      <c r="C444" s="32" t="s">
        <v>1809</v>
      </c>
      <c r="D444" s="32" t="s">
        <v>1810</v>
      </c>
      <c r="E444" s="32" t="s">
        <v>1806</v>
      </c>
      <c r="F444" s="32" t="s">
        <v>1807</v>
      </c>
      <c r="G444" s="32" t="s">
        <v>1429</v>
      </c>
      <c r="H444" s="32" t="s">
        <v>1430</v>
      </c>
      <c r="I444" s="32" t="s">
        <v>198</v>
      </c>
      <c r="J444" s="32" t="s">
        <v>199</v>
      </c>
      <c r="K444" s="32">
        <v>2.3076530000000002</v>
      </c>
      <c r="L444" s="33">
        <v>1857</v>
      </c>
      <c r="M444" s="32">
        <v>627</v>
      </c>
      <c r="N444" s="32">
        <v>314</v>
      </c>
      <c r="O444" s="32">
        <v>480</v>
      </c>
      <c r="P444" s="32">
        <v>263</v>
      </c>
      <c r="Q444" s="32">
        <v>173</v>
      </c>
      <c r="R444" s="32" t="s">
        <v>225</v>
      </c>
      <c r="S444" s="32">
        <v>5.5619800000000001</v>
      </c>
      <c r="T444" s="32">
        <v>0</v>
      </c>
      <c r="U444" s="32">
        <v>1.2237721079999999</v>
      </c>
      <c r="V444" s="32">
        <v>2</v>
      </c>
      <c r="W444" s="32">
        <v>0.91300999999999999</v>
      </c>
      <c r="X444" s="32">
        <v>0.32519100000000001</v>
      </c>
      <c r="Y444" s="32">
        <v>0.6</v>
      </c>
      <c r="Z444" s="32">
        <v>0.49488500000000002</v>
      </c>
      <c r="AA444" s="32">
        <v>76.3</v>
      </c>
      <c r="AB444" s="32">
        <v>337</v>
      </c>
      <c r="AC444" s="32">
        <v>14</v>
      </c>
      <c r="AD444" s="32">
        <v>7</v>
      </c>
      <c r="AE444" s="32">
        <v>0</v>
      </c>
      <c r="AF444" s="32">
        <v>0</v>
      </c>
      <c r="AG444" s="32" t="s">
        <v>200</v>
      </c>
    </row>
    <row r="445" spans="1:33">
      <c r="A445" s="32" t="s">
        <v>1811</v>
      </c>
      <c r="B445" s="32" t="s">
        <v>106</v>
      </c>
      <c r="C445" s="32" t="s">
        <v>1812</v>
      </c>
      <c r="D445" s="32" t="s">
        <v>1813</v>
      </c>
      <c r="E445" s="32" t="s">
        <v>1806</v>
      </c>
      <c r="F445" s="32" t="s">
        <v>1807</v>
      </c>
      <c r="G445" s="32" t="s">
        <v>1429</v>
      </c>
      <c r="H445" s="32" t="s">
        <v>1430</v>
      </c>
      <c r="I445" s="32" t="s">
        <v>198</v>
      </c>
      <c r="J445" s="32" t="s">
        <v>199</v>
      </c>
      <c r="K445" s="32">
        <v>2.1009739999999999</v>
      </c>
      <c r="L445" s="33">
        <v>1810</v>
      </c>
      <c r="M445" s="32">
        <v>428</v>
      </c>
      <c r="N445" s="32">
        <v>404</v>
      </c>
      <c r="O445" s="32">
        <v>475</v>
      </c>
      <c r="P445" s="32">
        <v>347</v>
      </c>
      <c r="Q445" s="32">
        <v>156</v>
      </c>
      <c r="R445" s="32">
        <v>2</v>
      </c>
      <c r="S445" s="32">
        <v>8.7993199999999998</v>
      </c>
      <c r="T445" s="32">
        <v>4.8769600000000004</v>
      </c>
      <c r="U445" s="32">
        <v>1.097661665</v>
      </c>
      <c r="V445" s="32">
        <v>4</v>
      </c>
      <c r="W445" s="32">
        <v>0.90454500000000004</v>
      </c>
      <c r="X445" s="32">
        <v>0.13941400000000001</v>
      </c>
      <c r="Y445" s="32">
        <v>0.6</v>
      </c>
      <c r="Z445" s="32">
        <v>0.45709699999999998</v>
      </c>
      <c r="AA445" s="32">
        <v>82.7</v>
      </c>
      <c r="AB445" s="32">
        <v>448</v>
      </c>
      <c r="AC445" s="32">
        <v>7</v>
      </c>
      <c r="AD445" s="32">
        <v>22</v>
      </c>
      <c r="AE445" s="32">
        <v>0</v>
      </c>
      <c r="AF445" s="32">
        <v>0</v>
      </c>
      <c r="AG445" s="32">
        <v>0</v>
      </c>
    </row>
    <row r="446" spans="1:33">
      <c r="A446" s="32" t="s">
        <v>1814</v>
      </c>
      <c r="B446" s="32" t="s">
        <v>106</v>
      </c>
      <c r="C446" s="32" t="s">
        <v>1815</v>
      </c>
      <c r="D446" s="32" t="s">
        <v>1816</v>
      </c>
      <c r="E446" s="32" t="s">
        <v>1817</v>
      </c>
      <c r="F446" s="32" t="s">
        <v>1818</v>
      </c>
      <c r="G446" s="32" t="s">
        <v>1429</v>
      </c>
      <c r="H446" s="32" t="s">
        <v>1430</v>
      </c>
      <c r="I446" s="32" t="s">
        <v>198</v>
      </c>
      <c r="J446" s="32" t="s">
        <v>199</v>
      </c>
      <c r="K446" s="32">
        <v>2.1098129999999999</v>
      </c>
      <c r="L446" s="33">
        <v>2015</v>
      </c>
      <c r="M446" s="32">
        <v>466</v>
      </c>
      <c r="N446" s="32">
        <v>395</v>
      </c>
      <c r="O446" s="32">
        <v>504</v>
      </c>
      <c r="P446" s="32">
        <v>449</v>
      </c>
      <c r="Q446" s="32">
        <v>201</v>
      </c>
      <c r="R446" s="32">
        <v>2</v>
      </c>
      <c r="S446" s="32">
        <v>15.9247</v>
      </c>
      <c r="T446" s="32">
        <v>0</v>
      </c>
      <c r="U446" s="32">
        <v>0.999292446</v>
      </c>
      <c r="V446" s="32">
        <v>5</v>
      </c>
      <c r="W446" s="32">
        <v>0.90934599999999999</v>
      </c>
      <c r="X446" s="32">
        <v>0.152425</v>
      </c>
      <c r="Y446" s="32">
        <v>0.7</v>
      </c>
      <c r="Z446" s="32">
        <v>0.356512</v>
      </c>
      <c r="AA446" s="32">
        <v>82.1</v>
      </c>
      <c r="AB446" s="32">
        <v>607</v>
      </c>
      <c r="AC446" s="32">
        <v>16</v>
      </c>
      <c r="AD446" s="32">
        <v>41</v>
      </c>
      <c r="AE446" s="32" t="s">
        <v>200</v>
      </c>
      <c r="AF446" s="32">
        <v>0</v>
      </c>
      <c r="AG446" s="32" t="s">
        <v>200</v>
      </c>
    </row>
    <row r="447" spans="1:33">
      <c r="A447" s="32" t="s">
        <v>1819</v>
      </c>
      <c r="B447" s="32" t="s">
        <v>106</v>
      </c>
      <c r="C447" s="32" t="s">
        <v>1820</v>
      </c>
      <c r="D447" s="32" t="s">
        <v>1821</v>
      </c>
      <c r="E447" s="32" t="s">
        <v>1817</v>
      </c>
      <c r="F447" s="32" t="s">
        <v>1818</v>
      </c>
      <c r="G447" s="32" t="s">
        <v>1429</v>
      </c>
      <c r="H447" s="32" t="s">
        <v>1430</v>
      </c>
      <c r="I447" s="32" t="s">
        <v>198</v>
      </c>
      <c r="J447" s="32" t="s">
        <v>199</v>
      </c>
      <c r="K447" s="32">
        <v>2.3653379999999999</v>
      </c>
      <c r="L447" s="33">
        <v>2243</v>
      </c>
      <c r="M447" s="32">
        <v>654</v>
      </c>
      <c r="N447" s="32">
        <v>390</v>
      </c>
      <c r="O447" s="32">
        <v>636</v>
      </c>
      <c r="P447" s="32">
        <v>388</v>
      </c>
      <c r="Q447" s="32">
        <v>175</v>
      </c>
      <c r="R447" s="32">
        <v>3</v>
      </c>
      <c r="S447" s="32">
        <v>29.4148</v>
      </c>
      <c r="T447" s="32">
        <v>0</v>
      </c>
      <c r="U447" s="32">
        <v>1.0134001020000001</v>
      </c>
      <c r="V447" s="32">
        <v>4</v>
      </c>
      <c r="W447" s="32">
        <v>0.90704399999999996</v>
      </c>
      <c r="X447" s="32">
        <v>0.33624500000000002</v>
      </c>
      <c r="Y447" s="32">
        <v>0.7</v>
      </c>
      <c r="Z447" s="32">
        <v>0.41680600000000001</v>
      </c>
      <c r="AA447" s="32">
        <v>77.599999999999994</v>
      </c>
      <c r="AB447" s="32">
        <v>490</v>
      </c>
      <c r="AC447" s="32">
        <v>17</v>
      </c>
      <c r="AD447" s="32">
        <v>28</v>
      </c>
      <c r="AE447" s="32" t="s">
        <v>200</v>
      </c>
      <c r="AF447" s="32">
        <v>0</v>
      </c>
      <c r="AG447" s="32" t="s">
        <v>200</v>
      </c>
    </row>
    <row r="448" spans="1:33">
      <c r="A448" s="32" t="s">
        <v>1822</v>
      </c>
      <c r="B448" s="32" t="s">
        <v>106</v>
      </c>
      <c r="C448" s="32" t="s">
        <v>1823</v>
      </c>
      <c r="D448" s="32" t="s">
        <v>1824</v>
      </c>
      <c r="E448" s="32" t="s">
        <v>1825</v>
      </c>
      <c r="F448" s="32" t="s">
        <v>1826</v>
      </c>
      <c r="G448" s="32" t="s">
        <v>1606</v>
      </c>
      <c r="H448" s="32" t="s">
        <v>1607</v>
      </c>
      <c r="I448" s="32" t="s">
        <v>198</v>
      </c>
      <c r="J448" s="32" t="s">
        <v>199</v>
      </c>
      <c r="K448" s="32">
        <v>2.8760050000000001</v>
      </c>
      <c r="L448" s="33">
        <v>2611</v>
      </c>
      <c r="M448" s="32">
        <v>809</v>
      </c>
      <c r="N448" s="32">
        <v>462</v>
      </c>
      <c r="O448" s="32">
        <v>854</v>
      </c>
      <c r="P448" s="32">
        <v>405</v>
      </c>
      <c r="Q448" s="32">
        <v>81</v>
      </c>
      <c r="R448" s="32">
        <v>2</v>
      </c>
      <c r="S448" s="32">
        <v>31.968699999999998</v>
      </c>
      <c r="T448" s="32">
        <v>0</v>
      </c>
      <c r="U448" s="32">
        <v>0.81489887100000002</v>
      </c>
      <c r="V448" s="32">
        <v>2</v>
      </c>
      <c r="W448" s="32">
        <v>0.91498199999999996</v>
      </c>
      <c r="X448" s="32">
        <v>0.354051</v>
      </c>
      <c r="Y448" s="32">
        <v>0.67490899999999998</v>
      </c>
      <c r="Z448" s="32">
        <v>0.95012099999999999</v>
      </c>
      <c r="AA448" s="32">
        <v>56.7</v>
      </c>
      <c r="AB448" s="32">
        <v>535</v>
      </c>
      <c r="AC448" s="32">
        <v>14</v>
      </c>
      <c r="AD448" s="32">
        <v>51</v>
      </c>
      <c r="AE448" s="32">
        <v>0</v>
      </c>
      <c r="AF448" s="32">
        <v>0</v>
      </c>
      <c r="AG448" s="32" t="s">
        <v>200</v>
      </c>
    </row>
    <row r="449" spans="1:33">
      <c r="A449" s="32" t="s">
        <v>1827</v>
      </c>
      <c r="B449" s="32" t="s">
        <v>96</v>
      </c>
      <c r="C449" s="32" t="s">
        <v>1828</v>
      </c>
      <c r="D449" s="32" t="s">
        <v>1829</v>
      </c>
      <c r="E449" s="32" t="s">
        <v>1475</v>
      </c>
      <c r="F449" s="32" t="s">
        <v>1476</v>
      </c>
      <c r="G449" s="32" t="s">
        <v>196</v>
      </c>
      <c r="H449" s="32" t="s">
        <v>197</v>
      </c>
      <c r="I449" s="32" t="s">
        <v>198</v>
      </c>
      <c r="J449" s="32" t="s">
        <v>199</v>
      </c>
      <c r="K449" s="32">
        <v>2.32226</v>
      </c>
      <c r="L449" s="33">
        <v>1765</v>
      </c>
      <c r="M449" s="32">
        <v>466</v>
      </c>
      <c r="N449" s="32">
        <v>347</v>
      </c>
      <c r="O449" s="32">
        <v>369</v>
      </c>
      <c r="P449" s="32">
        <v>421</v>
      </c>
      <c r="Q449" s="32">
        <v>162</v>
      </c>
      <c r="R449" s="32">
        <v>2</v>
      </c>
      <c r="S449" s="32">
        <v>10.494999999999999</v>
      </c>
      <c r="T449" s="32">
        <v>0</v>
      </c>
      <c r="U449" s="32">
        <v>1.1790594999999999</v>
      </c>
      <c r="V449" s="32">
        <v>2</v>
      </c>
      <c r="W449" s="32">
        <v>0.90256800000000004</v>
      </c>
      <c r="X449" s="32">
        <v>0.14099500000000001</v>
      </c>
      <c r="Y449" s="32">
        <v>0.8</v>
      </c>
      <c r="Z449" s="32">
        <v>0.47701500000000002</v>
      </c>
      <c r="AA449" s="32">
        <v>53.5</v>
      </c>
      <c r="AB449" s="32">
        <v>475</v>
      </c>
      <c r="AC449" s="32">
        <v>19</v>
      </c>
      <c r="AD449" s="32">
        <v>52</v>
      </c>
      <c r="AE449" s="32">
        <v>0</v>
      </c>
      <c r="AF449" s="32">
        <v>0</v>
      </c>
      <c r="AG449" s="32" t="s">
        <v>200</v>
      </c>
    </row>
    <row r="450" spans="1:33">
      <c r="A450" s="32" t="s">
        <v>634</v>
      </c>
      <c r="B450" s="32" t="s">
        <v>96</v>
      </c>
      <c r="C450" s="32" t="s">
        <v>635</v>
      </c>
      <c r="D450" s="32" t="s">
        <v>636</v>
      </c>
      <c r="E450" s="32" t="s">
        <v>606</v>
      </c>
      <c r="F450" s="32" t="s">
        <v>607</v>
      </c>
      <c r="G450" s="32" t="s">
        <v>196</v>
      </c>
      <c r="H450" s="32" t="s">
        <v>197</v>
      </c>
      <c r="I450" s="32" t="s">
        <v>198</v>
      </c>
      <c r="J450" s="32" t="s">
        <v>199</v>
      </c>
      <c r="K450" s="32">
        <v>2.2328589999999999</v>
      </c>
      <c r="L450" s="33">
        <v>1635</v>
      </c>
      <c r="M450" s="32">
        <v>326</v>
      </c>
      <c r="N450" s="32">
        <v>283</v>
      </c>
      <c r="O450" s="32">
        <v>366</v>
      </c>
      <c r="P450" s="32">
        <v>389</v>
      </c>
      <c r="Q450" s="32">
        <v>271</v>
      </c>
      <c r="R450" s="32">
        <v>2</v>
      </c>
      <c r="S450" s="32">
        <v>11.7408</v>
      </c>
      <c r="T450" s="32">
        <v>0</v>
      </c>
      <c r="U450" s="32">
        <v>0.86017451</v>
      </c>
      <c r="V450" s="32">
        <v>5</v>
      </c>
      <c r="W450" s="32">
        <v>0.90189600000000003</v>
      </c>
      <c r="X450" s="32">
        <v>0.10127</v>
      </c>
      <c r="Y450" s="32">
        <v>0.8</v>
      </c>
      <c r="Z450" s="32">
        <v>0.42369699999999999</v>
      </c>
      <c r="AA450" s="32">
        <v>41.5</v>
      </c>
      <c r="AB450" s="32">
        <v>660</v>
      </c>
      <c r="AC450" s="32">
        <v>16</v>
      </c>
      <c r="AD450" s="32">
        <v>48</v>
      </c>
      <c r="AE450" s="32">
        <v>0</v>
      </c>
      <c r="AF450" s="32" t="s">
        <v>200</v>
      </c>
      <c r="AG450" s="32">
        <v>14</v>
      </c>
    </row>
    <row r="451" spans="1:33">
      <c r="A451" s="32" t="s">
        <v>1483</v>
      </c>
      <c r="B451" s="32" t="s">
        <v>96</v>
      </c>
      <c r="C451" s="32" t="s">
        <v>1484</v>
      </c>
      <c r="D451" s="32" t="s">
        <v>1485</v>
      </c>
      <c r="E451" s="32" t="s">
        <v>606</v>
      </c>
      <c r="F451" s="32" t="s">
        <v>607</v>
      </c>
      <c r="G451" s="32" t="s">
        <v>196</v>
      </c>
      <c r="H451" s="32" t="s">
        <v>197</v>
      </c>
      <c r="I451" s="32" t="s">
        <v>198</v>
      </c>
      <c r="J451" s="32" t="s">
        <v>199</v>
      </c>
      <c r="K451" s="32">
        <v>2.488699</v>
      </c>
      <c r="L451" s="33">
        <v>1707</v>
      </c>
      <c r="M451" s="32">
        <v>350</v>
      </c>
      <c r="N451" s="32">
        <v>379</v>
      </c>
      <c r="O451" s="32">
        <v>339</v>
      </c>
      <c r="P451" s="32">
        <v>406</v>
      </c>
      <c r="Q451" s="32">
        <v>233</v>
      </c>
      <c r="R451" s="32">
        <v>2</v>
      </c>
      <c r="S451" s="32">
        <v>15.6366</v>
      </c>
      <c r="T451" s="32">
        <v>0</v>
      </c>
      <c r="U451" s="32">
        <v>0.988152115</v>
      </c>
      <c r="V451" s="32">
        <v>2</v>
      </c>
      <c r="W451" s="32">
        <v>0.910381</v>
      </c>
      <c r="X451" s="32">
        <v>0.30651</v>
      </c>
      <c r="Y451" s="32">
        <v>0.8</v>
      </c>
      <c r="Z451" s="32">
        <v>0.48517100000000002</v>
      </c>
      <c r="AA451" s="32">
        <v>52.2</v>
      </c>
      <c r="AB451" s="32">
        <v>551</v>
      </c>
      <c r="AC451" s="32">
        <v>11</v>
      </c>
      <c r="AD451" s="32">
        <v>42</v>
      </c>
      <c r="AE451" s="32">
        <v>7</v>
      </c>
      <c r="AF451" s="32">
        <v>0</v>
      </c>
      <c r="AG451" s="32" t="s">
        <v>200</v>
      </c>
    </row>
    <row r="452" spans="1:33">
      <c r="A452" s="32" t="s">
        <v>1830</v>
      </c>
      <c r="B452" s="32" t="s">
        <v>96</v>
      </c>
      <c r="C452" s="32" t="s">
        <v>1831</v>
      </c>
      <c r="D452" s="32" t="s">
        <v>1832</v>
      </c>
      <c r="E452" s="32" t="s">
        <v>1833</v>
      </c>
      <c r="F452" s="32" t="s">
        <v>1834</v>
      </c>
      <c r="G452" s="32" t="s">
        <v>655</v>
      </c>
      <c r="H452" s="32" t="s">
        <v>656</v>
      </c>
      <c r="I452" s="32" t="s">
        <v>198</v>
      </c>
      <c r="J452" s="32" t="s">
        <v>199</v>
      </c>
      <c r="K452" s="32">
        <v>2.7576809999999998</v>
      </c>
      <c r="L452" s="33">
        <v>1631</v>
      </c>
      <c r="M452" s="32">
        <v>554</v>
      </c>
      <c r="N452" s="32">
        <v>300</v>
      </c>
      <c r="O452" s="32">
        <v>393</v>
      </c>
      <c r="P452" s="32">
        <v>284</v>
      </c>
      <c r="Q452" s="32">
        <v>100</v>
      </c>
      <c r="R452" s="32">
        <v>5</v>
      </c>
      <c r="S452" s="32">
        <v>29.105599999999999</v>
      </c>
      <c r="T452" s="32">
        <v>14.0473</v>
      </c>
      <c r="U452" s="32">
        <v>0.73267090099999999</v>
      </c>
      <c r="V452" s="32">
        <v>3</v>
      </c>
      <c r="W452" s="32">
        <v>0.90840600000000005</v>
      </c>
      <c r="X452" s="32">
        <v>0.17674400000000001</v>
      </c>
      <c r="Y452" s="32">
        <v>0.8</v>
      </c>
      <c r="Z452" s="32">
        <v>0.86502900000000005</v>
      </c>
      <c r="AA452" s="32">
        <v>35.700000000000003</v>
      </c>
      <c r="AB452" s="32">
        <v>292</v>
      </c>
      <c r="AC452" s="32">
        <v>25</v>
      </c>
      <c r="AD452" s="32">
        <v>27</v>
      </c>
      <c r="AE452" s="32">
        <v>0</v>
      </c>
      <c r="AF452" s="32">
        <v>7</v>
      </c>
      <c r="AG452" s="32" t="s">
        <v>200</v>
      </c>
    </row>
    <row r="453" spans="1:33">
      <c r="A453" s="32" t="s">
        <v>1835</v>
      </c>
      <c r="B453" s="32" t="s">
        <v>96</v>
      </c>
      <c r="C453" s="32" t="s">
        <v>1836</v>
      </c>
      <c r="D453" s="32" t="s">
        <v>1837</v>
      </c>
      <c r="E453" s="32" t="s">
        <v>1838</v>
      </c>
      <c r="F453" s="32" t="s">
        <v>1839</v>
      </c>
      <c r="G453" s="32" t="s">
        <v>461</v>
      </c>
      <c r="H453" s="32" t="s">
        <v>462</v>
      </c>
      <c r="I453" s="32" t="s">
        <v>198</v>
      </c>
      <c r="J453" s="32" t="s">
        <v>199</v>
      </c>
      <c r="K453" s="32">
        <v>2.2643749999999998</v>
      </c>
      <c r="L453" s="33">
        <v>1676</v>
      </c>
      <c r="M453" s="32">
        <v>360</v>
      </c>
      <c r="N453" s="32">
        <v>280</v>
      </c>
      <c r="O453" s="32">
        <v>425</v>
      </c>
      <c r="P453" s="32">
        <v>433</v>
      </c>
      <c r="Q453" s="32">
        <v>178</v>
      </c>
      <c r="R453" s="32">
        <v>4</v>
      </c>
      <c r="S453" s="32">
        <v>23.0562</v>
      </c>
      <c r="T453" s="32">
        <v>10.901400000000001</v>
      </c>
      <c r="U453" s="32">
        <v>1.2400078969999999</v>
      </c>
      <c r="V453" s="32">
        <v>2</v>
      </c>
      <c r="W453" s="32">
        <v>0.90249999999999997</v>
      </c>
      <c r="X453" s="32">
        <v>4.4308E-2</v>
      </c>
      <c r="Y453" s="32">
        <v>0.8</v>
      </c>
      <c r="Z453" s="32">
        <v>0.51718799999999998</v>
      </c>
      <c r="AA453" s="32">
        <v>56.9</v>
      </c>
      <c r="AB453" s="32">
        <v>369</v>
      </c>
      <c r="AC453" s="32">
        <v>30</v>
      </c>
      <c r="AD453" s="32">
        <v>15</v>
      </c>
      <c r="AE453" s="32" t="s">
        <v>200</v>
      </c>
      <c r="AF453" s="32">
        <v>0</v>
      </c>
      <c r="AG453" s="32" t="s">
        <v>200</v>
      </c>
    </row>
    <row r="454" spans="1:33">
      <c r="A454" s="32" t="s">
        <v>1840</v>
      </c>
      <c r="B454" s="32" t="s">
        <v>96</v>
      </c>
      <c r="C454" s="32" t="s">
        <v>1841</v>
      </c>
      <c r="D454" s="32" t="s">
        <v>1842</v>
      </c>
      <c r="E454" s="32" t="s">
        <v>1838</v>
      </c>
      <c r="F454" s="32" t="s">
        <v>1839</v>
      </c>
      <c r="G454" s="32" t="s">
        <v>461</v>
      </c>
      <c r="H454" s="32" t="s">
        <v>462</v>
      </c>
      <c r="I454" s="32" t="s">
        <v>198</v>
      </c>
      <c r="J454" s="32" t="s">
        <v>199</v>
      </c>
      <c r="K454" s="32">
        <v>2.249438</v>
      </c>
      <c r="L454" s="33">
        <v>1568</v>
      </c>
      <c r="M454" s="32">
        <v>355</v>
      </c>
      <c r="N454" s="32">
        <v>258</v>
      </c>
      <c r="O454" s="32">
        <v>442</v>
      </c>
      <c r="P454" s="32">
        <v>362</v>
      </c>
      <c r="Q454" s="32">
        <v>151</v>
      </c>
      <c r="R454" s="32">
        <v>3</v>
      </c>
      <c r="S454" s="32">
        <v>20.843599999999999</v>
      </c>
      <c r="T454" s="32">
        <v>9.5514700000000001</v>
      </c>
      <c r="U454" s="32">
        <v>1.2541997149999999</v>
      </c>
      <c r="V454" s="32">
        <v>2</v>
      </c>
      <c r="W454" s="32">
        <v>0.90299600000000002</v>
      </c>
      <c r="X454" s="32">
        <v>5.1128E-2</v>
      </c>
      <c r="Y454" s="32">
        <v>0.8</v>
      </c>
      <c r="Z454" s="32">
        <v>0.51082099999999997</v>
      </c>
      <c r="AA454" s="32">
        <v>54.7</v>
      </c>
      <c r="AB454" s="32">
        <v>311</v>
      </c>
      <c r="AC454" s="32">
        <v>33</v>
      </c>
      <c r="AD454" s="32">
        <v>35</v>
      </c>
      <c r="AE454" s="32">
        <v>0</v>
      </c>
      <c r="AF454" s="32">
        <v>0</v>
      </c>
      <c r="AG454" s="32" t="s">
        <v>200</v>
      </c>
    </row>
    <row r="455" spans="1:33">
      <c r="A455" s="32" t="s">
        <v>1843</v>
      </c>
      <c r="B455" s="32" t="s">
        <v>96</v>
      </c>
      <c r="C455" s="32" t="s">
        <v>1844</v>
      </c>
      <c r="D455" s="32" t="s">
        <v>1845</v>
      </c>
      <c r="E455" s="32" t="s">
        <v>1838</v>
      </c>
      <c r="F455" s="32" t="s">
        <v>1839</v>
      </c>
      <c r="G455" s="32" t="s">
        <v>461</v>
      </c>
      <c r="H455" s="32" t="s">
        <v>462</v>
      </c>
      <c r="I455" s="32" t="s">
        <v>198</v>
      </c>
      <c r="J455" s="32" t="s">
        <v>199</v>
      </c>
      <c r="K455" s="32">
        <v>2.6271840000000002</v>
      </c>
      <c r="L455" s="33">
        <v>1955</v>
      </c>
      <c r="M455" s="32">
        <v>376</v>
      </c>
      <c r="N455" s="32">
        <v>368</v>
      </c>
      <c r="O455" s="32">
        <v>497</v>
      </c>
      <c r="P455" s="32">
        <v>522</v>
      </c>
      <c r="Q455" s="32">
        <v>192</v>
      </c>
      <c r="R455" s="32">
        <v>5</v>
      </c>
      <c r="S455" s="32">
        <v>26.557300000000001</v>
      </c>
      <c r="T455" s="32">
        <v>20.756399999999999</v>
      </c>
      <c r="U455" s="32">
        <v>1.1403254490000001</v>
      </c>
      <c r="V455" s="32">
        <v>2</v>
      </c>
      <c r="W455" s="32">
        <v>0.909223</v>
      </c>
      <c r="X455" s="32">
        <v>0.27044299999999999</v>
      </c>
      <c r="Y455" s="32">
        <v>0.8</v>
      </c>
      <c r="Z455" s="32">
        <v>0.65318600000000004</v>
      </c>
      <c r="AA455" s="32">
        <v>61.3</v>
      </c>
      <c r="AB455" s="32">
        <v>375</v>
      </c>
      <c r="AC455" s="32">
        <v>17</v>
      </c>
      <c r="AD455" s="32">
        <v>26</v>
      </c>
      <c r="AE455" s="32">
        <v>0</v>
      </c>
      <c r="AF455" s="32" t="s">
        <v>200</v>
      </c>
      <c r="AG455" s="32">
        <v>0</v>
      </c>
    </row>
    <row r="456" spans="1:33">
      <c r="A456" s="32" t="s">
        <v>1846</v>
      </c>
      <c r="B456" s="32" t="s">
        <v>96</v>
      </c>
      <c r="C456" s="32" t="s">
        <v>1847</v>
      </c>
      <c r="D456" s="32" t="s">
        <v>1848</v>
      </c>
      <c r="E456" s="32" t="s">
        <v>1838</v>
      </c>
      <c r="F456" s="32" t="s">
        <v>1839</v>
      </c>
      <c r="G456" s="32" t="s">
        <v>461</v>
      </c>
      <c r="H456" s="32" t="s">
        <v>462</v>
      </c>
      <c r="I456" s="32" t="s">
        <v>198</v>
      </c>
      <c r="J456" s="32" t="s">
        <v>199</v>
      </c>
      <c r="K456" s="32">
        <v>2.626655</v>
      </c>
      <c r="L456" s="33">
        <v>2410</v>
      </c>
      <c r="M456" s="32">
        <v>538</v>
      </c>
      <c r="N456" s="32">
        <v>549</v>
      </c>
      <c r="O456" s="32">
        <v>596</v>
      </c>
      <c r="P456" s="32">
        <v>539</v>
      </c>
      <c r="Q456" s="32">
        <v>188</v>
      </c>
      <c r="R456" s="32" t="s">
        <v>302</v>
      </c>
      <c r="S456" s="32">
        <v>43.615099999999998</v>
      </c>
      <c r="T456" s="32">
        <v>19.024799999999999</v>
      </c>
      <c r="U456" s="32">
        <v>1.144618006</v>
      </c>
      <c r="V456" s="32">
        <v>2</v>
      </c>
      <c r="W456" s="32">
        <v>0.90470399999999995</v>
      </c>
      <c r="X456" s="32">
        <v>0.25279699999999999</v>
      </c>
      <c r="Y456" s="32">
        <v>0.8</v>
      </c>
      <c r="Z456" s="32">
        <v>0.65087399999999995</v>
      </c>
      <c r="AA456" s="32">
        <v>59.8</v>
      </c>
      <c r="AB456" s="32">
        <v>441</v>
      </c>
      <c r="AC456" s="32">
        <v>37</v>
      </c>
      <c r="AD456" s="32">
        <v>44</v>
      </c>
      <c r="AE456" s="32" t="s">
        <v>200</v>
      </c>
      <c r="AF456" s="32" t="s">
        <v>200</v>
      </c>
      <c r="AG456" s="32" t="s">
        <v>200</v>
      </c>
    </row>
    <row r="457" spans="1:33">
      <c r="A457" s="32" t="s">
        <v>1849</v>
      </c>
      <c r="B457" s="32" t="s">
        <v>96</v>
      </c>
      <c r="C457" s="32" t="s">
        <v>1850</v>
      </c>
      <c r="D457" s="32" t="s">
        <v>1851</v>
      </c>
      <c r="E457" s="32" t="s">
        <v>1852</v>
      </c>
      <c r="F457" s="32" t="s">
        <v>1853</v>
      </c>
      <c r="G457" s="32" t="s">
        <v>461</v>
      </c>
      <c r="H457" s="32" t="s">
        <v>462</v>
      </c>
      <c r="I457" s="32" t="s">
        <v>198</v>
      </c>
      <c r="J457" s="32" t="s">
        <v>199</v>
      </c>
      <c r="K457" s="32">
        <v>2.6064859999999999</v>
      </c>
      <c r="L457" s="33">
        <v>1850</v>
      </c>
      <c r="M457" s="32">
        <v>458</v>
      </c>
      <c r="N457" s="32">
        <v>366</v>
      </c>
      <c r="O457" s="32">
        <v>485</v>
      </c>
      <c r="P457" s="32">
        <v>394</v>
      </c>
      <c r="Q457" s="32">
        <v>147</v>
      </c>
      <c r="R457" s="32" t="s">
        <v>302</v>
      </c>
      <c r="S457" s="32">
        <v>37.777000000000001</v>
      </c>
      <c r="T457" s="32">
        <v>23.104199999999999</v>
      </c>
      <c r="U457" s="32">
        <v>0.97795734099999998</v>
      </c>
      <c r="V457" s="32">
        <v>2</v>
      </c>
      <c r="W457" s="32">
        <v>0.90945900000000002</v>
      </c>
      <c r="X457" s="32">
        <v>0.25925900000000002</v>
      </c>
      <c r="Y457" s="32">
        <v>0.73941000000000001</v>
      </c>
      <c r="Z457" s="32">
        <v>0.70589800000000003</v>
      </c>
      <c r="AA457" s="32">
        <v>47.9</v>
      </c>
      <c r="AB457" s="32">
        <v>286</v>
      </c>
      <c r="AC457" s="32">
        <v>48</v>
      </c>
      <c r="AD457" s="32">
        <v>37</v>
      </c>
      <c r="AE457" s="32">
        <v>0</v>
      </c>
      <c r="AF457" s="32" t="s">
        <v>200</v>
      </c>
      <c r="AG457" s="32" t="s">
        <v>200</v>
      </c>
    </row>
    <row r="458" spans="1:33">
      <c r="A458" s="32" t="s">
        <v>1854</v>
      </c>
      <c r="B458" s="32" t="s">
        <v>96</v>
      </c>
      <c r="C458" s="32" t="s">
        <v>1855</v>
      </c>
      <c r="D458" s="32" t="s">
        <v>1856</v>
      </c>
      <c r="E458" s="32" t="s">
        <v>1852</v>
      </c>
      <c r="F458" s="32" t="s">
        <v>1853</v>
      </c>
      <c r="G458" s="32" t="s">
        <v>461</v>
      </c>
      <c r="H458" s="32" t="s">
        <v>462</v>
      </c>
      <c r="I458" s="32" t="s">
        <v>198</v>
      </c>
      <c r="J458" s="32" t="s">
        <v>199</v>
      </c>
      <c r="K458" s="32">
        <v>2.678547</v>
      </c>
      <c r="L458" s="33">
        <v>1811</v>
      </c>
      <c r="M458" s="32">
        <v>778</v>
      </c>
      <c r="N458" s="32">
        <v>294</v>
      </c>
      <c r="O458" s="32">
        <v>376</v>
      </c>
      <c r="P458" s="32">
        <v>249</v>
      </c>
      <c r="Q458" s="32">
        <v>114</v>
      </c>
      <c r="R458" s="32">
        <v>5</v>
      </c>
      <c r="S458" s="32">
        <v>32.173999999999999</v>
      </c>
      <c r="T458" s="32">
        <v>19.037800000000001</v>
      </c>
      <c r="U458" s="32">
        <v>0.74872532700000005</v>
      </c>
      <c r="V458" s="32">
        <v>4</v>
      </c>
      <c r="W458" s="32">
        <v>0.90519000000000005</v>
      </c>
      <c r="X458" s="32">
        <v>0.151203</v>
      </c>
      <c r="Y458" s="32">
        <v>0.8</v>
      </c>
      <c r="Z458" s="32">
        <v>0.83287199999999995</v>
      </c>
      <c r="AA458" s="32">
        <v>27.8</v>
      </c>
      <c r="AB458" s="32">
        <v>350</v>
      </c>
      <c r="AC458" s="32">
        <v>26</v>
      </c>
      <c r="AD458" s="32">
        <v>27</v>
      </c>
      <c r="AE458" s="32">
        <v>0</v>
      </c>
      <c r="AF458" s="32" t="s">
        <v>200</v>
      </c>
      <c r="AG458" s="32" t="s">
        <v>200</v>
      </c>
    </row>
    <row r="459" spans="1:33">
      <c r="A459" s="32" t="s">
        <v>1857</v>
      </c>
      <c r="B459" s="32" t="s">
        <v>96</v>
      </c>
      <c r="C459" s="32" t="s">
        <v>1858</v>
      </c>
      <c r="D459" s="32" t="s">
        <v>1859</v>
      </c>
      <c r="E459" s="32" t="s">
        <v>704</v>
      </c>
      <c r="F459" s="32" t="s">
        <v>705</v>
      </c>
      <c r="G459" s="32" t="s">
        <v>461</v>
      </c>
      <c r="H459" s="32" t="s">
        <v>462</v>
      </c>
      <c r="I459" s="32" t="s">
        <v>198</v>
      </c>
      <c r="J459" s="32" t="s">
        <v>199</v>
      </c>
      <c r="K459" s="32">
        <v>2.801736</v>
      </c>
      <c r="L459" s="33">
        <v>2073</v>
      </c>
      <c r="M459" s="32">
        <v>498</v>
      </c>
      <c r="N459" s="32">
        <v>410</v>
      </c>
      <c r="O459" s="32">
        <v>502</v>
      </c>
      <c r="P459" s="32">
        <v>505</v>
      </c>
      <c r="Q459" s="32">
        <v>158</v>
      </c>
      <c r="R459" s="32" t="s">
        <v>302</v>
      </c>
      <c r="S459" s="32">
        <v>48.674599999999998</v>
      </c>
      <c r="T459" s="32">
        <v>22.698599999999999</v>
      </c>
      <c r="U459" s="32">
        <v>1.0587726850000001</v>
      </c>
      <c r="V459" s="32">
        <v>1</v>
      </c>
      <c r="W459" s="32">
        <v>0.91423600000000005</v>
      </c>
      <c r="X459" s="32">
        <v>0.33263199999999998</v>
      </c>
      <c r="Y459" s="32">
        <v>0.76307400000000003</v>
      </c>
      <c r="Z459" s="32">
        <v>0.81337999999999999</v>
      </c>
      <c r="AA459" s="32">
        <v>62.4</v>
      </c>
      <c r="AB459" s="32">
        <v>360</v>
      </c>
      <c r="AC459" s="32">
        <v>26</v>
      </c>
      <c r="AD459" s="32">
        <v>24</v>
      </c>
      <c r="AE459" s="32">
        <v>0</v>
      </c>
      <c r="AF459" s="32" t="s">
        <v>200</v>
      </c>
      <c r="AG459" s="32" t="s">
        <v>200</v>
      </c>
    </row>
    <row r="460" spans="1:33">
      <c r="A460" s="32" t="s">
        <v>1860</v>
      </c>
      <c r="B460" s="32" t="s">
        <v>96</v>
      </c>
      <c r="C460" s="32" t="s">
        <v>1861</v>
      </c>
      <c r="D460" s="32" t="s">
        <v>1862</v>
      </c>
      <c r="E460" s="32" t="s">
        <v>709</v>
      </c>
      <c r="F460" s="32" t="s">
        <v>710</v>
      </c>
      <c r="G460" s="32" t="s">
        <v>461</v>
      </c>
      <c r="H460" s="32" t="s">
        <v>462</v>
      </c>
      <c r="I460" s="32" t="s">
        <v>198</v>
      </c>
      <c r="J460" s="32" t="s">
        <v>199</v>
      </c>
      <c r="K460" s="32">
        <v>2.581744</v>
      </c>
      <c r="L460" s="33">
        <v>2163</v>
      </c>
      <c r="M460" s="32">
        <v>314</v>
      </c>
      <c r="N460" s="32">
        <v>418</v>
      </c>
      <c r="O460" s="32">
        <v>611</v>
      </c>
      <c r="P460" s="32">
        <v>557</v>
      </c>
      <c r="Q460" s="32">
        <v>263</v>
      </c>
      <c r="R460" s="32" t="s">
        <v>302</v>
      </c>
      <c r="S460" s="32">
        <v>47.852400000000003</v>
      </c>
      <c r="T460" s="32">
        <v>13.125500000000001</v>
      </c>
      <c r="U460" s="32">
        <v>1.1264038810000001</v>
      </c>
      <c r="V460" s="32">
        <v>2</v>
      </c>
      <c r="W460" s="32">
        <v>0.91034499999999996</v>
      </c>
      <c r="X460" s="32">
        <v>0.24440000000000001</v>
      </c>
      <c r="Y460" s="32">
        <v>0.71740899999999996</v>
      </c>
      <c r="Z460" s="32">
        <v>0.709476</v>
      </c>
      <c r="AA460" s="32">
        <v>49.4</v>
      </c>
      <c r="AB460" s="32">
        <v>313</v>
      </c>
      <c r="AC460" s="32">
        <v>19</v>
      </c>
      <c r="AD460" s="32">
        <v>39</v>
      </c>
      <c r="AE460" s="32">
        <v>0</v>
      </c>
      <c r="AF460" s="32">
        <v>0</v>
      </c>
      <c r="AG460" s="32">
        <v>0</v>
      </c>
    </row>
    <row r="461" spans="1:33">
      <c r="A461" s="32" t="s">
        <v>1863</v>
      </c>
      <c r="B461" s="32" t="s">
        <v>96</v>
      </c>
      <c r="C461" s="32" t="s">
        <v>1864</v>
      </c>
      <c r="D461" s="32" t="s">
        <v>1865</v>
      </c>
      <c r="E461" s="32" t="s">
        <v>704</v>
      </c>
      <c r="F461" s="32" t="s">
        <v>705</v>
      </c>
      <c r="G461" s="32" t="s">
        <v>461</v>
      </c>
      <c r="H461" s="32" t="s">
        <v>462</v>
      </c>
      <c r="I461" s="32" t="s">
        <v>198</v>
      </c>
      <c r="J461" s="32" t="s">
        <v>199</v>
      </c>
      <c r="K461" s="32">
        <v>2.6492710000000002</v>
      </c>
      <c r="L461" s="33">
        <v>1673</v>
      </c>
      <c r="M461" s="32">
        <v>397</v>
      </c>
      <c r="N461" s="32">
        <v>323</v>
      </c>
      <c r="O461" s="32">
        <v>384</v>
      </c>
      <c r="P461" s="32">
        <v>424</v>
      </c>
      <c r="Q461" s="32">
        <v>145</v>
      </c>
      <c r="R461" s="32" t="s">
        <v>302</v>
      </c>
      <c r="S461" s="32">
        <v>42.6663</v>
      </c>
      <c r="T461" s="32">
        <v>29.892600000000002</v>
      </c>
      <c r="U461" s="32">
        <v>1.254761534</v>
      </c>
      <c r="V461" s="32">
        <v>1</v>
      </c>
      <c r="W461" s="32">
        <v>0.91661800000000004</v>
      </c>
      <c r="X461" s="32">
        <v>0.28562900000000002</v>
      </c>
      <c r="Y461" s="32">
        <v>0.7</v>
      </c>
      <c r="Z461" s="32">
        <v>0.75132699999999997</v>
      </c>
      <c r="AA461" s="32">
        <v>61.4</v>
      </c>
      <c r="AB461" s="32">
        <v>308</v>
      </c>
      <c r="AC461" s="32">
        <v>21</v>
      </c>
      <c r="AD461" s="32">
        <v>25</v>
      </c>
      <c r="AE461" s="32">
        <v>0</v>
      </c>
      <c r="AF461" s="32" t="s">
        <v>200</v>
      </c>
      <c r="AG461" s="32" t="s">
        <v>200</v>
      </c>
    </row>
    <row r="462" spans="1:33">
      <c r="A462" s="32" t="s">
        <v>701</v>
      </c>
      <c r="B462" s="32" t="s">
        <v>96</v>
      </c>
      <c r="C462" s="32" t="s">
        <v>702</v>
      </c>
      <c r="D462" s="32" t="s">
        <v>703</v>
      </c>
      <c r="E462" s="32" t="s">
        <v>704</v>
      </c>
      <c r="F462" s="32" t="s">
        <v>705</v>
      </c>
      <c r="G462" s="32" t="s">
        <v>461</v>
      </c>
      <c r="H462" s="32" t="s">
        <v>462</v>
      </c>
      <c r="I462" s="32" t="s">
        <v>198</v>
      </c>
      <c r="J462" s="32" t="s">
        <v>199</v>
      </c>
      <c r="K462" s="32">
        <v>2.5982889999999998</v>
      </c>
      <c r="L462" s="33">
        <v>2127</v>
      </c>
      <c r="M462" s="32">
        <v>366</v>
      </c>
      <c r="N462" s="32">
        <v>575</v>
      </c>
      <c r="O462" s="32">
        <v>466</v>
      </c>
      <c r="P462" s="32">
        <v>443</v>
      </c>
      <c r="Q462" s="32">
        <v>277</v>
      </c>
      <c r="R462" s="32" t="s">
        <v>302</v>
      </c>
      <c r="S462" s="32">
        <v>45.510899999999999</v>
      </c>
      <c r="T462" s="32">
        <v>23.158999999999999</v>
      </c>
      <c r="U462" s="32">
        <v>1.003836162</v>
      </c>
      <c r="V462" s="32">
        <v>2</v>
      </c>
      <c r="W462" s="32">
        <v>0.91216699999999995</v>
      </c>
      <c r="X462" s="32">
        <v>0.26233299999999998</v>
      </c>
      <c r="Y462" s="32">
        <v>0.7</v>
      </c>
      <c r="Z462" s="32">
        <v>0.73396600000000001</v>
      </c>
      <c r="AA462" s="32">
        <v>53.3</v>
      </c>
      <c r="AB462" s="32">
        <v>285</v>
      </c>
      <c r="AC462" s="32">
        <v>30</v>
      </c>
      <c r="AD462" s="32">
        <v>54</v>
      </c>
      <c r="AE462" s="32">
        <v>13</v>
      </c>
      <c r="AF462" s="32" t="s">
        <v>200</v>
      </c>
      <c r="AG462" s="32" t="s">
        <v>200</v>
      </c>
    </row>
    <row r="463" spans="1:33">
      <c r="A463" s="32" t="s">
        <v>1866</v>
      </c>
      <c r="B463" s="32" t="s">
        <v>96</v>
      </c>
      <c r="C463" s="32" t="s">
        <v>1867</v>
      </c>
      <c r="D463" s="32" t="s">
        <v>1868</v>
      </c>
      <c r="E463" s="32" t="s">
        <v>1869</v>
      </c>
      <c r="F463" s="32" t="s">
        <v>1870</v>
      </c>
      <c r="G463" s="32" t="s">
        <v>461</v>
      </c>
      <c r="H463" s="32" t="s">
        <v>462</v>
      </c>
      <c r="I463" s="32" t="s">
        <v>198</v>
      </c>
      <c r="J463" s="32" t="s">
        <v>199</v>
      </c>
      <c r="K463" s="32">
        <v>2.5497619999999999</v>
      </c>
      <c r="L463" s="33">
        <v>2293</v>
      </c>
      <c r="M463" s="32">
        <v>531</v>
      </c>
      <c r="N463" s="32">
        <v>596</v>
      </c>
      <c r="O463" s="32">
        <v>530</v>
      </c>
      <c r="P463" s="32">
        <v>503</v>
      </c>
      <c r="Q463" s="32">
        <v>133</v>
      </c>
      <c r="R463" s="32">
        <v>5</v>
      </c>
      <c r="S463" s="32">
        <v>28.644300000000001</v>
      </c>
      <c r="T463" s="32">
        <v>5.8740100000000002</v>
      </c>
      <c r="U463" s="32">
        <v>1.0712174539999999</v>
      </c>
      <c r="V463" s="32">
        <v>2</v>
      </c>
      <c r="W463" s="32">
        <v>0.90595199999999998</v>
      </c>
      <c r="X463" s="32">
        <v>0.13095200000000001</v>
      </c>
      <c r="Y463" s="32">
        <v>0.8</v>
      </c>
      <c r="Z463" s="32">
        <v>0.75023899999999999</v>
      </c>
      <c r="AA463" s="32">
        <v>53.1</v>
      </c>
      <c r="AB463" s="32">
        <v>432</v>
      </c>
      <c r="AC463" s="32">
        <v>25</v>
      </c>
      <c r="AD463" s="32">
        <v>24</v>
      </c>
      <c r="AE463" s="32">
        <v>0</v>
      </c>
      <c r="AF463" s="32" t="s">
        <v>200</v>
      </c>
      <c r="AG463" s="32" t="s">
        <v>200</v>
      </c>
    </row>
    <row r="464" spans="1:33">
      <c r="A464" s="32" t="s">
        <v>1871</v>
      </c>
      <c r="B464" s="32" t="s">
        <v>96</v>
      </c>
      <c r="C464" s="32" t="s">
        <v>1872</v>
      </c>
      <c r="D464" s="32" t="s">
        <v>1873</v>
      </c>
      <c r="E464" s="32" t="s">
        <v>1869</v>
      </c>
      <c r="F464" s="32" t="s">
        <v>1870</v>
      </c>
      <c r="G464" s="32" t="s">
        <v>461</v>
      </c>
      <c r="H464" s="32" t="s">
        <v>462</v>
      </c>
      <c r="I464" s="32" t="s">
        <v>198</v>
      </c>
      <c r="J464" s="32" t="s">
        <v>199</v>
      </c>
      <c r="K464" s="32">
        <v>2.7800500000000001</v>
      </c>
      <c r="L464" s="33">
        <v>1951</v>
      </c>
      <c r="M464" s="32">
        <v>354</v>
      </c>
      <c r="N464" s="32">
        <v>559</v>
      </c>
      <c r="O464" s="32">
        <v>352</v>
      </c>
      <c r="P464" s="32">
        <v>451</v>
      </c>
      <c r="Q464" s="32">
        <v>235</v>
      </c>
      <c r="R464" s="32" t="s">
        <v>302</v>
      </c>
      <c r="S464" s="32">
        <v>43.128799999999998</v>
      </c>
      <c r="T464" s="32">
        <v>20.9129</v>
      </c>
      <c r="U464" s="32">
        <v>1.1217718699999999</v>
      </c>
      <c r="V464" s="32">
        <v>1</v>
      </c>
      <c r="W464" s="32">
        <v>0.91022400000000003</v>
      </c>
      <c r="X464" s="32">
        <v>0.28010099999999999</v>
      </c>
      <c r="Y464" s="32">
        <v>0.8</v>
      </c>
      <c r="Z464" s="32">
        <v>0.79047599999999996</v>
      </c>
      <c r="AA464" s="32">
        <v>59.1</v>
      </c>
      <c r="AB464" s="32">
        <v>333</v>
      </c>
      <c r="AC464" s="32">
        <v>24</v>
      </c>
      <c r="AD464" s="32">
        <v>17</v>
      </c>
      <c r="AE464" s="32" t="s">
        <v>200</v>
      </c>
      <c r="AF464" s="32">
        <v>0</v>
      </c>
      <c r="AG464" s="32" t="s">
        <v>200</v>
      </c>
    </row>
    <row r="465" spans="1:33">
      <c r="A465" s="32" t="s">
        <v>1874</v>
      </c>
      <c r="B465" s="32" t="s">
        <v>96</v>
      </c>
      <c r="C465" s="32" t="s">
        <v>1875</v>
      </c>
      <c r="D465" s="32" t="s">
        <v>1876</v>
      </c>
      <c r="E465" s="32" t="s">
        <v>1877</v>
      </c>
      <c r="F465" s="32" t="s">
        <v>1878</v>
      </c>
      <c r="G465" s="32" t="s">
        <v>461</v>
      </c>
      <c r="H465" s="32" t="s">
        <v>462</v>
      </c>
      <c r="I465" s="32" t="s">
        <v>198</v>
      </c>
      <c r="J465" s="32" t="s">
        <v>199</v>
      </c>
      <c r="K465" s="32">
        <v>2.2096719999999999</v>
      </c>
      <c r="L465" s="33">
        <v>1826</v>
      </c>
      <c r="M465" s="32">
        <v>408</v>
      </c>
      <c r="N465" s="32">
        <v>349</v>
      </c>
      <c r="O465" s="32">
        <v>350</v>
      </c>
      <c r="P465" s="32">
        <v>489</v>
      </c>
      <c r="Q465" s="32">
        <v>230</v>
      </c>
      <c r="R465" s="32">
        <v>3</v>
      </c>
      <c r="S465" s="32">
        <v>15.036099999999999</v>
      </c>
      <c r="T465" s="32">
        <v>4.6349</v>
      </c>
      <c r="U465" s="32">
        <v>1.3837581510000001</v>
      </c>
      <c r="V465" s="32">
        <v>2</v>
      </c>
      <c r="W465" s="32">
        <v>0.90360700000000005</v>
      </c>
      <c r="X465" s="32">
        <v>9.5680000000000001E-2</v>
      </c>
      <c r="Y465" s="32">
        <v>0.78303699999999998</v>
      </c>
      <c r="Z465" s="32">
        <v>0.43567899999999998</v>
      </c>
      <c r="AA465" s="32">
        <v>50.4</v>
      </c>
      <c r="AB465" s="32">
        <v>485</v>
      </c>
      <c r="AC465" s="32">
        <v>24</v>
      </c>
      <c r="AD465" s="32">
        <v>38</v>
      </c>
      <c r="AE465" s="32">
        <v>0</v>
      </c>
      <c r="AF465" s="32" t="s">
        <v>200</v>
      </c>
      <c r="AG465" s="32" t="s">
        <v>200</v>
      </c>
    </row>
    <row r="466" spans="1:33">
      <c r="A466" s="32" t="s">
        <v>1879</v>
      </c>
      <c r="B466" s="32" t="s">
        <v>96</v>
      </c>
      <c r="C466" s="32" t="s">
        <v>1880</v>
      </c>
      <c r="D466" s="32" t="s">
        <v>1881</v>
      </c>
      <c r="E466" s="32" t="s">
        <v>1882</v>
      </c>
      <c r="F466" s="32" t="s">
        <v>1883</v>
      </c>
      <c r="G466" s="32" t="s">
        <v>461</v>
      </c>
      <c r="H466" s="32" t="s">
        <v>462</v>
      </c>
      <c r="I466" s="32" t="s">
        <v>198</v>
      </c>
      <c r="J466" s="32" t="s">
        <v>199</v>
      </c>
      <c r="K466" s="32">
        <v>2.2268249999999998</v>
      </c>
      <c r="L466" s="33">
        <v>1784</v>
      </c>
      <c r="M466" s="32">
        <v>390</v>
      </c>
      <c r="N466" s="32">
        <v>322</v>
      </c>
      <c r="O466" s="32">
        <v>365</v>
      </c>
      <c r="P466" s="32">
        <v>542</v>
      </c>
      <c r="Q466" s="32">
        <v>165</v>
      </c>
      <c r="R466" s="32">
        <v>2</v>
      </c>
      <c r="S466" s="32">
        <v>13.9123</v>
      </c>
      <c r="T466" s="32">
        <v>3.3740299999999999</v>
      </c>
      <c r="U466" s="32">
        <v>1.355592468</v>
      </c>
      <c r="V466" s="32">
        <v>1</v>
      </c>
      <c r="W466" s="32">
        <v>0.90777799999999997</v>
      </c>
      <c r="X466" s="32">
        <v>0.15721099999999999</v>
      </c>
      <c r="Y466" s="32">
        <v>0.75809499999999996</v>
      </c>
      <c r="Z466" s="32">
        <v>0.4</v>
      </c>
      <c r="AA466" s="32">
        <v>48</v>
      </c>
      <c r="AB466" s="32">
        <v>487</v>
      </c>
      <c r="AC466" s="32">
        <v>26</v>
      </c>
      <c r="AD466" s="32">
        <v>27</v>
      </c>
      <c r="AE466" s="32">
        <v>0</v>
      </c>
      <c r="AF466" s="32" t="s">
        <v>200</v>
      </c>
      <c r="AG466" s="32" t="s">
        <v>200</v>
      </c>
    </row>
    <row r="467" spans="1:33">
      <c r="A467" s="32" t="s">
        <v>1884</v>
      </c>
      <c r="B467" s="32" t="s">
        <v>96</v>
      </c>
      <c r="C467" s="32" t="s">
        <v>1885</v>
      </c>
      <c r="D467" s="32" t="s">
        <v>1886</v>
      </c>
      <c r="E467" s="32" t="s">
        <v>1877</v>
      </c>
      <c r="F467" s="32" t="s">
        <v>1878</v>
      </c>
      <c r="G467" s="32" t="s">
        <v>461</v>
      </c>
      <c r="H467" s="32" t="s">
        <v>462</v>
      </c>
      <c r="I467" s="32" t="s">
        <v>198</v>
      </c>
      <c r="J467" s="32" t="s">
        <v>199</v>
      </c>
      <c r="K467" s="32">
        <v>2.2356739999999999</v>
      </c>
      <c r="L467" s="33">
        <v>1565</v>
      </c>
      <c r="M467" s="32">
        <v>306</v>
      </c>
      <c r="N467" s="32">
        <v>313</v>
      </c>
      <c r="O467" s="32">
        <v>339</v>
      </c>
      <c r="P467" s="32">
        <v>463</v>
      </c>
      <c r="Q467" s="32">
        <v>144</v>
      </c>
      <c r="R467" s="32">
        <v>2</v>
      </c>
      <c r="S467" s="32">
        <v>14.6435</v>
      </c>
      <c r="T467" s="32">
        <v>4.37087</v>
      </c>
      <c r="U467" s="32">
        <v>1.3269571920000001</v>
      </c>
      <c r="V467" s="32">
        <v>2</v>
      </c>
      <c r="W467" s="32">
        <v>0.90224700000000002</v>
      </c>
      <c r="X467" s="32">
        <v>7.7272999999999994E-2</v>
      </c>
      <c r="Y467" s="32">
        <v>0.73938099999999995</v>
      </c>
      <c r="Z467" s="32">
        <v>0.51980300000000002</v>
      </c>
      <c r="AA467" s="32">
        <v>55.2</v>
      </c>
      <c r="AB467" s="32">
        <v>392</v>
      </c>
      <c r="AC467" s="32">
        <v>12</v>
      </c>
      <c r="AD467" s="32">
        <v>28</v>
      </c>
      <c r="AE467" s="32">
        <v>0</v>
      </c>
      <c r="AF467" s="32" t="s">
        <v>200</v>
      </c>
      <c r="AG467" s="32" t="s">
        <v>200</v>
      </c>
    </row>
    <row r="468" spans="1:33">
      <c r="A468" s="32" t="s">
        <v>1887</v>
      </c>
      <c r="B468" s="32" t="s">
        <v>96</v>
      </c>
      <c r="C468" s="32" t="s">
        <v>1888</v>
      </c>
      <c r="D468" s="32" t="s">
        <v>1889</v>
      </c>
      <c r="E468" s="32" t="s">
        <v>1877</v>
      </c>
      <c r="F468" s="32" t="s">
        <v>1878</v>
      </c>
      <c r="G468" s="32" t="s">
        <v>461</v>
      </c>
      <c r="H468" s="32" t="s">
        <v>462</v>
      </c>
      <c r="I468" s="32" t="s">
        <v>198</v>
      </c>
      <c r="J468" s="32" t="s">
        <v>199</v>
      </c>
      <c r="K468" s="32">
        <v>2.4962420000000001</v>
      </c>
      <c r="L468" s="33">
        <v>1576</v>
      </c>
      <c r="M468" s="32">
        <v>321</v>
      </c>
      <c r="N468" s="32">
        <v>306</v>
      </c>
      <c r="O468" s="32">
        <v>383</v>
      </c>
      <c r="P468" s="32">
        <v>412</v>
      </c>
      <c r="Q468" s="32">
        <v>154</v>
      </c>
      <c r="R468" s="32">
        <v>3</v>
      </c>
      <c r="S468" s="32">
        <v>20.627800000000001</v>
      </c>
      <c r="T468" s="32">
        <v>4.4247199999999998</v>
      </c>
      <c r="U468" s="32">
        <v>1.230113204</v>
      </c>
      <c r="V468" s="32">
        <v>1</v>
      </c>
      <c r="W468" s="32">
        <v>0.90569699999999997</v>
      </c>
      <c r="X468" s="32">
        <v>0.19467999999999999</v>
      </c>
      <c r="Y468" s="32">
        <v>0.77421300000000004</v>
      </c>
      <c r="Z468" s="32">
        <v>0.61719100000000005</v>
      </c>
      <c r="AA468" s="32">
        <v>54.5</v>
      </c>
      <c r="AB468" s="32">
        <v>408</v>
      </c>
      <c r="AC468" s="32">
        <v>23</v>
      </c>
      <c r="AD468" s="32">
        <v>21</v>
      </c>
      <c r="AE468" s="32">
        <v>0</v>
      </c>
      <c r="AF468" s="32">
        <v>0</v>
      </c>
      <c r="AG468" s="32" t="s">
        <v>200</v>
      </c>
    </row>
    <row r="469" spans="1:33">
      <c r="A469" s="32" t="s">
        <v>1890</v>
      </c>
      <c r="B469" s="32" t="s">
        <v>96</v>
      </c>
      <c r="C469" s="32" t="s">
        <v>1891</v>
      </c>
      <c r="D469" s="32" t="s">
        <v>1892</v>
      </c>
      <c r="E469" s="32" t="s">
        <v>1882</v>
      </c>
      <c r="F469" s="32" t="s">
        <v>1883</v>
      </c>
      <c r="G469" s="32" t="s">
        <v>461</v>
      </c>
      <c r="H469" s="32" t="s">
        <v>462</v>
      </c>
      <c r="I469" s="32" t="s">
        <v>198</v>
      </c>
      <c r="J469" s="32" t="s">
        <v>199</v>
      </c>
      <c r="K469" s="32">
        <v>2.197368</v>
      </c>
      <c r="L469" s="33">
        <v>1657</v>
      </c>
      <c r="M469" s="32">
        <v>383</v>
      </c>
      <c r="N469" s="32">
        <v>285</v>
      </c>
      <c r="O469" s="32">
        <v>351</v>
      </c>
      <c r="P469" s="32">
        <v>450</v>
      </c>
      <c r="Q469" s="32">
        <v>188</v>
      </c>
      <c r="R469" s="32">
        <v>3</v>
      </c>
      <c r="S469" s="32">
        <v>14.8873</v>
      </c>
      <c r="T469" s="32">
        <v>7.4841600000000001</v>
      </c>
      <c r="U469" s="32">
        <v>1.2592746880000001</v>
      </c>
      <c r="V469" s="32">
        <v>2</v>
      </c>
      <c r="W469" s="32">
        <v>0.90770700000000004</v>
      </c>
      <c r="X469" s="32">
        <v>0.17857100000000001</v>
      </c>
      <c r="Y469" s="32">
        <v>0.7</v>
      </c>
      <c r="Z469" s="32">
        <v>0.41160999999999998</v>
      </c>
      <c r="AA469" s="32">
        <v>49.4</v>
      </c>
      <c r="AB469" s="32">
        <v>442</v>
      </c>
      <c r="AC469" s="32">
        <v>13</v>
      </c>
      <c r="AD469" s="32">
        <v>20</v>
      </c>
      <c r="AE469" s="32">
        <v>0</v>
      </c>
      <c r="AF469" s="32" t="s">
        <v>200</v>
      </c>
      <c r="AG469" s="32">
        <v>6</v>
      </c>
    </row>
    <row r="470" spans="1:33">
      <c r="A470" s="32" t="s">
        <v>1893</v>
      </c>
      <c r="B470" s="32" t="s">
        <v>100</v>
      </c>
      <c r="C470" s="32" t="s">
        <v>1894</v>
      </c>
      <c r="D470" s="32" t="s">
        <v>1895</v>
      </c>
      <c r="E470" s="32" t="s">
        <v>1896</v>
      </c>
      <c r="F470" s="32" t="s">
        <v>1897</v>
      </c>
      <c r="G470" s="32" t="s">
        <v>1757</v>
      </c>
      <c r="H470" s="32" t="s">
        <v>1758</v>
      </c>
      <c r="I470" s="32" t="s">
        <v>198</v>
      </c>
      <c r="J470" s="32" t="s">
        <v>199</v>
      </c>
      <c r="K470" s="32">
        <v>2.4529740000000002</v>
      </c>
      <c r="L470" s="33">
        <v>1510</v>
      </c>
      <c r="M470" s="32">
        <v>326</v>
      </c>
      <c r="N470" s="32">
        <v>330</v>
      </c>
      <c r="O470" s="32">
        <v>347</v>
      </c>
      <c r="P470" s="32">
        <v>379</v>
      </c>
      <c r="Q470" s="32">
        <v>128</v>
      </c>
      <c r="R470" s="32" t="s">
        <v>225</v>
      </c>
      <c r="S470" s="32">
        <v>6.7894500000000004</v>
      </c>
      <c r="T470" s="32">
        <v>0</v>
      </c>
      <c r="U470" s="32">
        <v>1.0951835919999999</v>
      </c>
      <c r="V470" s="32">
        <v>2</v>
      </c>
      <c r="W470" s="32">
        <v>0.91912199999999999</v>
      </c>
      <c r="X470" s="32">
        <v>0.33019900000000002</v>
      </c>
      <c r="Y470" s="32">
        <v>0.60756100000000002</v>
      </c>
      <c r="Z470" s="32">
        <v>0.61218099999999998</v>
      </c>
      <c r="AA470" s="32">
        <v>64.7</v>
      </c>
      <c r="AB470" s="32">
        <v>456</v>
      </c>
      <c r="AC470" s="32">
        <v>7</v>
      </c>
      <c r="AD470" s="32">
        <v>26</v>
      </c>
      <c r="AE470" s="32">
        <v>0</v>
      </c>
      <c r="AF470" s="32">
        <v>0</v>
      </c>
      <c r="AG470" s="32">
        <v>0</v>
      </c>
    </row>
    <row r="471" spans="1:33">
      <c r="A471" s="32" t="s">
        <v>1898</v>
      </c>
      <c r="B471" s="32" t="s">
        <v>100</v>
      </c>
      <c r="C471" s="32" t="s">
        <v>1899</v>
      </c>
      <c r="D471" s="32" t="s">
        <v>1900</v>
      </c>
      <c r="E471" s="32" t="s">
        <v>1901</v>
      </c>
      <c r="F471" s="32" t="s">
        <v>1902</v>
      </c>
      <c r="G471" s="32" t="s">
        <v>1757</v>
      </c>
      <c r="H471" s="32" t="s">
        <v>1758</v>
      </c>
      <c r="I471" s="32" t="s">
        <v>198</v>
      </c>
      <c r="J471" s="32" t="s">
        <v>199</v>
      </c>
      <c r="K471" s="32">
        <v>2.7364199999999999</v>
      </c>
      <c r="L471" s="33">
        <v>2318</v>
      </c>
      <c r="M471" s="32">
        <v>465</v>
      </c>
      <c r="N471" s="32">
        <v>530</v>
      </c>
      <c r="O471" s="32">
        <v>615</v>
      </c>
      <c r="P471" s="32">
        <v>538</v>
      </c>
      <c r="Q471" s="32">
        <v>170</v>
      </c>
      <c r="R471" s="32">
        <v>5</v>
      </c>
      <c r="S471" s="32">
        <v>28.324200000000001</v>
      </c>
      <c r="T471" s="32">
        <v>14.378299999999999</v>
      </c>
      <c r="U471" s="32">
        <v>0.96949226300000002</v>
      </c>
      <c r="V471" s="32">
        <v>2</v>
      </c>
      <c r="W471" s="32">
        <v>0.91316900000000001</v>
      </c>
      <c r="X471" s="32">
        <v>0.23257700000000001</v>
      </c>
      <c r="Y471" s="32">
        <v>0.6</v>
      </c>
      <c r="Z471" s="32">
        <v>0.97883799999999999</v>
      </c>
      <c r="AA471" s="32">
        <v>61.5</v>
      </c>
      <c r="AB471" s="32">
        <v>395</v>
      </c>
      <c r="AC471" s="32">
        <v>41</v>
      </c>
      <c r="AD471" s="32">
        <v>44</v>
      </c>
      <c r="AE471" s="32">
        <v>0</v>
      </c>
      <c r="AF471" s="32" t="s">
        <v>200</v>
      </c>
      <c r="AG471" s="32" t="s">
        <v>200</v>
      </c>
    </row>
    <row r="472" spans="1:33">
      <c r="A472" s="32" t="s">
        <v>1903</v>
      </c>
      <c r="B472" s="32" t="s">
        <v>100</v>
      </c>
      <c r="C472" s="32" t="s">
        <v>1904</v>
      </c>
      <c r="D472" s="32" t="s">
        <v>1905</v>
      </c>
      <c r="E472" s="32" t="s">
        <v>1901</v>
      </c>
      <c r="F472" s="32" t="s">
        <v>1902</v>
      </c>
      <c r="G472" s="32" t="s">
        <v>1757</v>
      </c>
      <c r="H472" s="32" t="s">
        <v>1758</v>
      </c>
      <c r="I472" s="32" t="s">
        <v>198</v>
      </c>
      <c r="J472" s="32" t="s">
        <v>199</v>
      </c>
      <c r="K472" s="32">
        <v>2.8697870000000001</v>
      </c>
      <c r="L472" s="33">
        <v>2739</v>
      </c>
      <c r="M472" s="32">
        <v>521</v>
      </c>
      <c r="N472" s="32">
        <v>681</v>
      </c>
      <c r="O472" s="32">
        <v>848</v>
      </c>
      <c r="P472" s="32">
        <v>496</v>
      </c>
      <c r="Q472" s="32">
        <v>193</v>
      </c>
      <c r="R472" s="32">
        <v>5</v>
      </c>
      <c r="S472" s="32">
        <v>33.570399999999999</v>
      </c>
      <c r="T472" s="32">
        <v>13.938800000000001</v>
      </c>
      <c r="U472" s="32">
        <v>1.1372010859999999</v>
      </c>
      <c r="V472" s="32">
        <v>2</v>
      </c>
      <c r="W472" s="32">
        <v>0.93021299999999996</v>
      </c>
      <c r="X472" s="32">
        <v>0.32769599999999999</v>
      </c>
      <c r="Y472" s="32">
        <v>0.607128</v>
      </c>
      <c r="Z472" s="32">
        <v>0.99364399999999997</v>
      </c>
      <c r="AA472" s="32">
        <v>65</v>
      </c>
      <c r="AB472" s="32">
        <v>489</v>
      </c>
      <c r="AC472" s="32">
        <v>28</v>
      </c>
      <c r="AD472" s="32">
        <v>13</v>
      </c>
      <c r="AE472" s="32">
        <v>0</v>
      </c>
      <c r="AF472" s="32" t="s">
        <v>200</v>
      </c>
      <c r="AG472" s="32" t="s">
        <v>200</v>
      </c>
    </row>
    <row r="473" spans="1:33">
      <c r="A473" s="32" t="s">
        <v>1906</v>
      </c>
      <c r="B473" s="32" t="s">
        <v>100</v>
      </c>
      <c r="C473" s="32" t="s">
        <v>1907</v>
      </c>
      <c r="D473" s="32" t="s">
        <v>1908</v>
      </c>
      <c r="E473" s="32" t="s">
        <v>1909</v>
      </c>
      <c r="F473" s="32" t="s">
        <v>1910</v>
      </c>
      <c r="G473" s="32" t="s">
        <v>1757</v>
      </c>
      <c r="H473" s="32" t="s">
        <v>1758</v>
      </c>
      <c r="I473" s="32" t="s">
        <v>198</v>
      </c>
      <c r="J473" s="32" t="s">
        <v>199</v>
      </c>
      <c r="K473" s="32">
        <v>2.414253</v>
      </c>
      <c r="L473" s="33">
        <v>2592</v>
      </c>
      <c r="M473" s="32">
        <v>598</v>
      </c>
      <c r="N473" s="32">
        <v>510</v>
      </c>
      <c r="O473" s="32">
        <v>673</v>
      </c>
      <c r="P473" s="32">
        <v>571</v>
      </c>
      <c r="Q473" s="32">
        <v>240</v>
      </c>
      <c r="R473" s="32">
        <v>4</v>
      </c>
      <c r="S473" s="32">
        <v>20.0365</v>
      </c>
      <c r="T473" s="32">
        <v>13.9101</v>
      </c>
      <c r="U473" s="32">
        <v>1.0438801289999999</v>
      </c>
      <c r="V473" s="32">
        <v>2</v>
      </c>
      <c r="W473" s="32">
        <v>0.907586</v>
      </c>
      <c r="X473" s="32">
        <v>0.13950299999999999</v>
      </c>
      <c r="Y473" s="32">
        <v>0.6</v>
      </c>
      <c r="Z473" s="32">
        <v>0.77819000000000005</v>
      </c>
      <c r="AA473" s="32">
        <v>56.1</v>
      </c>
      <c r="AB473" s="32">
        <v>448</v>
      </c>
      <c r="AC473" s="32">
        <v>14</v>
      </c>
      <c r="AD473" s="32">
        <v>32</v>
      </c>
      <c r="AE473" s="32">
        <v>0</v>
      </c>
      <c r="AF473" s="32">
        <v>0</v>
      </c>
      <c r="AG473" s="32" t="s">
        <v>200</v>
      </c>
    </row>
    <row r="474" spans="1:33">
      <c r="A474" s="32" t="s">
        <v>1911</v>
      </c>
      <c r="B474" s="32" t="s">
        <v>100</v>
      </c>
      <c r="C474" s="32" t="s">
        <v>1912</v>
      </c>
      <c r="D474" s="32" t="s">
        <v>1913</v>
      </c>
      <c r="E474" s="32" t="s">
        <v>1909</v>
      </c>
      <c r="F474" s="32" t="s">
        <v>1910</v>
      </c>
      <c r="G474" s="32" t="s">
        <v>1757</v>
      </c>
      <c r="H474" s="32" t="s">
        <v>1758</v>
      </c>
      <c r="I474" s="32" t="s">
        <v>198</v>
      </c>
      <c r="J474" s="32" t="s">
        <v>199</v>
      </c>
      <c r="K474" s="32">
        <v>2.6167479999999999</v>
      </c>
      <c r="L474" s="33">
        <v>2323</v>
      </c>
      <c r="M474" s="32">
        <v>536</v>
      </c>
      <c r="N474" s="32">
        <v>502</v>
      </c>
      <c r="O474" s="32">
        <v>717</v>
      </c>
      <c r="P474" s="32">
        <v>401</v>
      </c>
      <c r="Q474" s="32">
        <v>167</v>
      </c>
      <c r="R474" s="32">
        <v>3</v>
      </c>
      <c r="S474" s="32">
        <v>19.767199999999999</v>
      </c>
      <c r="T474" s="32">
        <v>4.01708</v>
      </c>
      <c r="U474" s="32">
        <v>1.032278467</v>
      </c>
      <c r="V474" s="32">
        <v>2</v>
      </c>
      <c r="W474" s="32">
        <v>0.92087399999999997</v>
      </c>
      <c r="X474" s="32">
        <v>0.26274500000000001</v>
      </c>
      <c r="Y474" s="32">
        <v>0.6</v>
      </c>
      <c r="Z474" s="32">
        <v>0.85352799999999995</v>
      </c>
      <c r="AA474" s="32">
        <v>58.3</v>
      </c>
      <c r="AB474" s="32">
        <v>484</v>
      </c>
      <c r="AC474" s="32">
        <v>23</v>
      </c>
      <c r="AD474" s="32">
        <v>23</v>
      </c>
      <c r="AE474" s="32" t="s">
        <v>200</v>
      </c>
      <c r="AF474" s="32" t="s">
        <v>200</v>
      </c>
      <c r="AG474" s="32" t="s">
        <v>200</v>
      </c>
    </row>
    <row r="475" spans="1:33">
      <c r="A475" s="32" t="s">
        <v>1914</v>
      </c>
      <c r="B475" s="32" t="s">
        <v>100</v>
      </c>
      <c r="C475" s="32" t="s">
        <v>1915</v>
      </c>
      <c r="D475" s="32" t="s">
        <v>1916</v>
      </c>
      <c r="E475" s="32" t="s">
        <v>1909</v>
      </c>
      <c r="F475" s="32" t="s">
        <v>1910</v>
      </c>
      <c r="G475" s="32" t="s">
        <v>1757</v>
      </c>
      <c r="H475" s="32" t="s">
        <v>1758</v>
      </c>
      <c r="I475" s="32" t="s">
        <v>198</v>
      </c>
      <c r="J475" s="32" t="s">
        <v>199</v>
      </c>
      <c r="K475" s="32">
        <v>2.4787880000000002</v>
      </c>
      <c r="L475" s="33">
        <v>2228</v>
      </c>
      <c r="M475" s="32">
        <v>537</v>
      </c>
      <c r="N475" s="32">
        <v>458</v>
      </c>
      <c r="O475" s="32">
        <v>577</v>
      </c>
      <c r="P475" s="32">
        <v>460</v>
      </c>
      <c r="Q475" s="32">
        <v>196</v>
      </c>
      <c r="R475" s="32">
        <v>3</v>
      </c>
      <c r="S475" s="32">
        <v>16.551500000000001</v>
      </c>
      <c r="T475" s="32">
        <v>11.1099</v>
      </c>
      <c r="U475" s="32">
        <v>1.0720220549999999</v>
      </c>
      <c r="V475" s="32">
        <v>2</v>
      </c>
      <c r="W475" s="32">
        <v>0.90909099999999998</v>
      </c>
      <c r="X475" s="32">
        <v>0.16767699999999999</v>
      </c>
      <c r="Y475" s="32">
        <v>0.6</v>
      </c>
      <c r="Z475" s="32">
        <v>0.78495000000000004</v>
      </c>
      <c r="AA475" s="32">
        <v>41.5</v>
      </c>
      <c r="AB475" s="32">
        <v>409</v>
      </c>
      <c r="AC475" s="32">
        <v>25</v>
      </c>
      <c r="AD475" s="32">
        <v>19</v>
      </c>
      <c r="AE475" s="32" t="s">
        <v>200</v>
      </c>
      <c r="AF475" s="32">
        <v>0</v>
      </c>
      <c r="AG475" s="32" t="s">
        <v>200</v>
      </c>
    </row>
    <row r="476" spans="1:33">
      <c r="A476" s="32" t="s">
        <v>1917</v>
      </c>
      <c r="B476" s="32" t="s">
        <v>100</v>
      </c>
      <c r="C476" s="32" t="s">
        <v>1918</v>
      </c>
      <c r="D476" s="32" t="s">
        <v>1919</v>
      </c>
      <c r="E476" s="32" t="s">
        <v>1896</v>
      </c>
      <c r="F476" s="32" t="s">
        <v>1897</v>
      </c>
      <c r="G476" s="32" t="s">
        <v>1757</v>
      </c>
      <c r="H476" s="32" t="s">
        <v>1758</v>
      </c>
      <c r="I476" s="32" t="s">
        <v>198</v>
      </c>
      <c r="J476" s="32" t="s">
        <v>199</v>
      </c>
      <c r="K476" s="32">
        <v>2.444175</v>
      </c>
      <c r="L476" s="33">
        <v>1804</v>
      </c>
      <c r="M476" s="32">
        <v>427</v>
      </c>
      <c r="N476" s="32">
        <v>362</v>
      </c>
      <c r="O476" s="32">
        <v>395</v>
      </c>
      <c r="P476" s="32">
        <v>498</v>
      </c>
      <c r="Q476" s="32">
        <v>122</v>
      </c>
      <c r="R476" s="32">
        <v>2</v>
      </c>
      <c r="S476" s="32">
        <v>15.374499999999999</v>
      </c>
      <c r="T476" s="32">
        <v>6.4890299999999996</v>
      </c>
      <c r="U476" s="32">
        <v>1.1926518070000001</v>
      </c>
      <c r="V476" s="32">
        <v>2</v>
      </c>
      <c r="W476" s="32">
        <v>0.93082500000000001</v>
      </c>
      <c r="X476" s="32">
        <v>0.23848</v>
      </c>
      <c r="Y476" s="32">
        <v>0.6</v>
      </c>
      <c r="Z476" s="32">
        <v>0.70457800000000004</v>
      </c>
      <c r="AA476" s="32">
        <v>59.1</v>
      </c>
      <c r="AB476" s="32">
        <v>457</v>
      </c>
      <c r="AC476" s="32">
        <v>10</v>
      </c>
      <c r="AD476" s="32">
        <v>26</v>
      </c>
      <c r="AE476" s="32">
        <v>0</v>
      </c>
      <c r="AF476" s="32">
        <v>0</v>
      </c>
      <c r="AG476" s="32" t="s">
        <v>200</v>
      </c>
    </row>
    <row r="477" spans="1:33">
      <c r="A477" s="32" t="s">
        <v>1920</v>
      </c>
      <c r="B477" s="32" t="s">
        <v>100</v>
      </c>
      <c r="C477" s="32" t="s">
        <v>1921</v>
      </c>
      <c r="D477" s="32" t="s">
        <v>1922</v>
      </c>
      <c r="E477" s="32" t="s">
        <v>1923</v>
      </c>
      <c r="F477" s="32" t="s">
        <v>1924</v>
      </c>
      <c r="G477" s="32" t="s">
        <v>1757</v>
      </c>
      <c r="H477" s="32" t="s">
        <v>1758</v>
      </c>
      <c r="I477" s="32" t="s">
        <v>198</v>
      </c>
      <c r="J477" s="32" t="s">
        <v>199</v>
      </c>
      <c r="K477" s="32">
        <v>2.5218590000000001</v>
      </c>
      <c r="L477" s="33">
        <v>1609</v>
      </c>
      <c r="M477" s="32">
        <v>402</v>
      </c>
      <c r="N477" s="32">
        <v>322</v>
      </c>
      <c r="O477" s="32">
        <v>392</v>
      </c>
      <c r="P477" s="32">
        <v>400</v>
      </c>
      <c r="Q477" s="32">
        <v>93</v>
      </c>
      <c r="R477" s="32">
        <v>2</v>
      </c>
      <c r="S477" s="32">
        <v>13.3643</v>
      </c>
      <c r="T477" s="32">
        <v>5.2474800000000004</v>
      </c>
      <c r="U477" s="32">
        <v>1.2307382069999999</v>
      </c>
      <c r="V477" s="32">
        <v>1</v>
      </c>
      <c r="W477" s="32">
        <v>0.91595499999999996</v>
      </c>
      <c r="X477" s="32">
        <v>0.24521100000000001</v>
      </c>
      <c r="Y477" s="32">
        <v>0.6</v>
      </c>
      <c r="Z477" s="32">
        <v>0.76890899999999995</v>
      </c>
      <c r="AA477" s="32">
        <v>55.4</v>
      </c>
      <c r="AB477" s="32">
        <v>434</v>
      </c>
      <c r="AC477" s="32">
        <v>18</v>
      </c>
      <c r="AD477" s="32">
        <v>44</v>
      </c>
      <c r="AE477" s="32" t="s">
        <v>200</v>
      </c>
      <c r="AF477" s="32" t="s">
        <v>200</v>
      </c>
      <c r="AG477" s="32">
        <v>7</v>
      </c>
    </row>
    <row r="478" spans="1:33">
      <c r="A478" s="32" t="s">
        <v>1925</v>
      </c>
      <c r="B478" s="32" t="s">
        <v>100</v>
      </c>
      <c r="C478" s="32" t="s">
        <v>1926</v>
      </c>
      <c r="D478" s="32" t="s">
        <v>1927</v>
      </c>
      <c r="E478" s="32" t="s">
        <v>1896</v>
      </c>
      <c r="F478" s="32" t="s">
        <v>1897</v>
      </c>
      <c r="G478" s="32" t="s">
        <v>1757</v>
      </c>
      <c r="H478" s="32" t="s">
        <v>1758</v>
      </c>
      <c r="I478" s="32" t="s">
        <v>198</v>
      </c>
      <c r="J478" s="32" t="s">
        <v>199</v>
      </c>
      <c r="K478" s="32">
        <v>2.2099060000000001</v>
      </c>
      <c r="L478" s="33">
        <v>1673</v>
      </c>
      <c r="M478" s="32">
        <v>395</v>
      </c>
      <c r="N478" s="32">
        <v>271</v>
      </c>
      <c r="O478" s="32">
        <v>492</v>
      </c>
      <c r="P478" s="32">
        <v>379</v>
      </c>
      <c r="Q478" s="32">
        <v>136</v>
      </c>
      <c r="R478" s="32" t="s">
        <v>225</v>
      </c>
      <c r="S478" s="32">
        <v>7.9280799999999996</v>
      </c>
      <c r="T478" s="32">
        <v>0</v>
      </c>
      <c r="U478" s="32">
        <v>0.96574523899999998</v>
      </c>
      <c r="V478" s="32">
        <v>4</v>
      </c>
      <c r="W478" s="32">
        <v>0.90486</v>
      </c>
      <c r="X478" s="32">
        <v>8.1887000000000001E-2</v>
      </c>
      <c r="Y478" s="32">
        <v>0.6</v>
      </c>
      <c r="Z478" s="32">
        <v>0.63059699999999996</v>
      </c>
      <c r="AA478" s="32">
        <v>51</v>
      </c>
      <c r="AB478" s="32">
        <v>465</v>
      </c>
      <c r="AC478" s="32">
        <v>25</v>
      </c>
      <c r="AD478" s="32">
        <v>38</v>
      </c>
      <c r="AE478" s="32" t="s">
        <v>200</v>
      </c>
      <c r="AF478" s="32">
        <v>0</v>
      </c>
      <c r="AG478" s="32" t="s">
        <v>200</v>
      </c>
    </row>
    <row r="479" spans="1:33">
      <c r="A479" s="32" t="s">
        <v>1752</v>
      </c>
      <c r="B479" s="32" t="s">
        <v>100</v>
      </c>
      <c r="C479" s="32" t="s">
        <v>1753</v>
      </c>
      <c r="D479" s="32" t="s">
        <v>1754</v>
      </c>
      <c r="E479" s="32" t="s">
        <v>1755</v>
      </c>
      <c r="F479" s="32" t="s">
        <v>1756</v>
      </c>
      <c r="G479" s="32" t="s">
        <v>1757</v>
      </c>
      <c r="H479" s="32" t="s">
        <v>1758</v>
      </c>
      <c r="I479" s="32" t="s">
        <v>198</v>
      </c>
      <c r="J479" s="32" t="s">
        <v>199</v>
      </c>
      <c r="K479" s="32">
        <v>2.8865400000000001</v>
      </c>
      <c r="L479" s="33">
        <v>1758</v>
      </c>
      <c r="M479" s="32">
        <v>430</v>
      </c>
      <c r="N479" s="32">
        <v>329</v>
      </c>
      <c r="O479" s="32">
        <v>406</v>
      </c>
      <c r="P479" s="32">
        <v>428</v>
      </c>
      <c r="Q479" s="32">
        <v>165</v>
      </c>
      <c r="R479" s="32" t="s">
        <v>225</v>
      </c>
      <c r="S479" s="32">
        <v>8.6355799999999991</v>
      </c>
      <c r="T479" s="32">
        <v>0</v>
      </c>
      <c r="U479" s="32">
        <v>1.009003995</v>
      </c>
      <c r="V479" s="32">
        <v>2</v>
      </c>
      <c r="W479" s="32">
        <v>0.91594699999999996</v>
      </c>
      <c r="X479" s="32">
        <v>0.41168700000000003</v>
      </c>
      <c r="Y479" s="32">
        <v>0.7</v>
      </c>
      <c r="Z479" s="32">
        <v>0.85018300000000002</v>
      </c>
      <c r="AA479" s="32">
        <v>66.5</v>
      </c>
      <c r="AB479" s="32">
        <v>465</v>
      </c>
      <c r="AC479" s="32">
        <v>42</v>
      </c>
      <c r="AD479" s="32">
        <v>252</v>
      </c>
      <c r="AE479" s="32">
        <v>37</v>
      </c>
      <c r="AF479" s="32">
        <v>18</v>
      </c>
      <c r="AG479" s="32">
        <v>37</v>
      </c>
    </row>
    <row r="480" spans="1:33">
      <c r="A480" s="32" t="s">
        <v>1928</v>
      </c>
      <c r="B480" s="32" t="s">
        <v>100</v>
      </c>
      <c r="C480" s="32" t="s">
        <v>1929</v>
      </c>
      <c r="D480" s="32" t="s">
        <v>1930</v>
      </c>
      <c r="E480" s="32" t="s">
        <v>1755</v>
      </c>
      <c r="F480" s="32" t="s">
        <v>1756</v>
      </c>
      <c r="G480" s="32" t="s">
        <v>1757</v>
      </c>
      <c r="H480" s="32" t="s">
        <v>1758</v>
      </c>
      <c r="I480" s="32" t="s">
        <v>198</v>
      </c>
      <c r="J480" s="32" t="s">
        <v>199</v>
      </c>
      <c r="K480" s="32">
        <v>2.4699049999999998</v>
      </c>
      <c r="L480" s="33">
        <v>2058</v>
      </c>
      <c r="M480" s="32">
        <v>645</v>
      </c>
      <c r="N480" s="32">
        <v>336</v>
      </c>
      <c r="O480" s="32">
        <v>511</v>
      </c>
      <c r="P480" s="32">
        <v>434</v>
      </c>
      <c r="Q480" s="32">
        <v>132</v>
      </c>
      <c r="R480" s="32" t="s">
        <v>225</v>
      </c>
      <c r="S480" s="32">
        <v>10.5474</v>
      </c>
      <c r="T480" s="32">
        <v>2.0085999999999999</v>
      </c>
      <c r="U480" s="32">
        <v>0.93896919300000004</v>
      </c>
      <c r="V480" s="32">
        <v>3</v>
      </c>
      <c r="W480" s="32">
        <v>0.90400000000000003</v>
      </c>
      <c r="X480" s="32">
        <v>0.20077700000000001</v>
      </c>
      <c r="Y480" s="32">
        <v>0.7</v>
      </c>
      <c r="Z480" s="32">
        <v>0.65163800000000005</v>
      </c>
      <c r="AA480" s="32">
        <v>69</v>
      </c>
      <c r="AB480" s="32">
        <v>509</v>
      </c>
      <c r="AC480" s="32">
        <v>12</v>
      </c>
      <c r="AD480" s="32">
        <v>20</v>
      </c>
      <c r="AE480" s="32">
        <v>0</v>
      </c>
      <c r="AF480" s="32" t="s">
        <v>200</v>
      </c>
      <c r="AG480" s="32" t="s">
        <v>200</v>
      </c>
    </row>
    <row r="481" spans="1:33">
      <c r="A481" s="32" t="s">
        <v>1931</v>
      </c>
      <c r="B481" s="32" t="s">
        <v>100</v>
      </c>
      <c r="C481" s="32" t="s">
        <v>1932</v>
      </c>
      <c r="D481" s="32" t="s">
        <v>1933</v>
      </c>
      <c r="E481" s="32" t="s">
        <v>1934</v>
      </c>
      <c r="F481" s="32" t="s">
        <v>1935</v>
      </c>
      <c r="G481" s="32" t="s">
        <v>1757</v>
      </c>
      <c r="H481" s="32" t="s">
        <v>1758</v>
      </c>
      <c r="I481" s="32" t="s">
        <v>198</v>
      </c>
      <c r="J481" s="32" t="s">
        <v>199</v>
      </c>
      <c r="K481" s="32">
        <v>2.303159</v>
      </c>
      <c r="L481" s="33">
        <v>2411</v>
      </c>
      <c r="M481" s="32">
        <v>678</v>
      </c>
      <c r="N481" s="32">
        <v>448</v>
      </c>
      <c r="O481" s="32">
        <v>598</v>
      </c>
      <c r="P481" s="32">
        <v>511</v>
      </c>
      <c r="Q481" s="32">
        <v>176</v>
      </c>
      <c r="R481" s="32" t="s">
        <v>225</v>
      </c>
      <c r="S481" s="32">
        <v>6.0065799999999996</v>
      </c>
      <c r="T481" s="32">
        <v>0</v>
      </c>
      <c r="U481" s="32">
        <v>0.99942380399999997</v>
      </c>
      <c r="V481" s="32">
        <v>3</v>
      </c>
      <c r="W481" s="32">
        <v>0.90522000000000002</v>
      </c>
      <c r="X481" s="32">
        <v>0.176422</v>
      </c>
      <c r="Y481" s="32">
        <v>0.6</v>
      </c>
      <c r="Z481" s="32">
        <v>0.61267199999999999</v>
      </c>
      <c r="AA481" s="32">
        <v>69.3</v>
      </c>
      <c r="AB481" s="32">
        <v>593</v>
      </c>
      <c r="AC481" s="32">
        <v>14</v>
      </c>
      <c r="AD481" s="32">
        <v>29</v>
      </c>
      <c r="AE481" s="32">
        <v>0</v>
      </c>
      <c r="AF481" s="32" t="s">
        <v>200</v>
      </c>
      <c r="AG481" s="32" t="s">
        <v>200</v>
      </c>
    </row>
    <row r="482" spans="1:33">
      <c r="A482" s="32" t="s">
        <v>1936</v>
      </c>
      <c r="B482" s="32" t="s">
        <v>100</v>
      </c>
      <c r="C482" s="32" t="s">
        <v>1937</v>
      </c>
      <c r="D482" s="32" t="s">
        <v>1938</v>
      </c>
      <c r="E482" s="32" t="s">
        <v>1934</v>
      </c>
      <c r="F482" s="32" t="s">
        <v>1935</v>
      </c>
      <c r="G482" s="32" t="s">
        <v>1757</v>
      </c>
      <c r="H482" s="32" t="s">
        <v>1758</v>
      </c>
      <c r="I482" s="32" t="s">
        <v>198</v>
      </c>
      <c r="J482" s="32" t="s">
        <v>199</v>
      </c>
      <c r="K482" s="32">
        <v>2.619313</v>
      </c>
      <c r="L482" s="33">
        <v>2015</v>
      </c>
      <c r="M482" s="32">
        <v>543</v>
      </c>
      <c r="N482" s="32">
        <v>438</v>
      </c>
      <c r="O482" s="32">
        <v>443</v>
      </c>
      <c r="P482" s="32">
        <v>462</v>
      </c>
      <c r="Q482" s="32">
        <v>129</v>
      </c>
      <c r="R482" s="32">
        <v>2</v>
      </c>
      <c r="S482" s="32">
        <v>12.3043</v>
      </c>
      <c r="T482" s="32">
        <v>4.9329599999999996</v>
      </c>
      <c r="U482" s="32">
        <v>1.040766195</v>
      </c>
      <c r="V482" s="32">
        <v>2</v>
      </c>
      <c r="W482" s="32">
        <v>0.90540100000000001</v>
      </c>
      <c r="X482" s="32">
        <v>0.31223499999999998</v>
      </c>
      <c r="Y482" s="32">
        <v>0.69755699999999998</v>
      </c>
      <c r="Z482" s="32">
        <v>0.67544999999999999</v>
      </c>
      <c r="AA482" s="32">
        <v>62.8</v>
      </c>
      <c r="AB482" s="32">
        <v>433</v>
      </c>
      <c r="AC482" s="32">
        <v>15</v>
      </c>
      <c r="AD482" s="32">
        <v>21</v>
      </c>
      <c r="AE482" s="32">
        <v>0</v>
      </c>
      <c r="AF482" s="32">
        <v>0</v>
      </c>
      <c r="AG482" s="32" t="s">
        <v>200</v>
      </c>
    </row>
    <row r="483" spans="1:33">
      <c r="A483" s="32" t="s">
        <v>1939</v>
      </c>
      <c r="B483" s="32" t="s">
        <v>100</v>
      </c>
      <c r="C483" s="32" t="s">
        <v>1940</v>
      </c>
      <c r="D483" s="32" t="s">
        <v>1941</v>
      </c>
      <c r="E483" s="32" t="s">
        <v>1934</v>
      </c>
      <c r="F483" s="32" t="s">
        <v>1935</v>
      </c>
      <c r="G483" s="32" t="s">
        <v>1757</v>
      </c>
      <c r="H483" s="32" t="s">
        <v>1758</v>
      </c>
      <c r="I483" s="32" t="s">
        <v>198</v>
      </c>
      <c r="J483" s="32" t="s">
        <v>199</v>
      </c>
      <c r="K483" s="32">
        <v>2.283849</v>
      </c>
      <c r="L483" s="33">
        <v>2143</v>
      </c>
      <c r="M483" s="32">
        <v>615</v>
      </c>
      <c r="N483" s="32">
        <v>442</v>
      </c>
      <c r="O483" s="32">
        <v>494</v>
      </c>
      <c r="P483" s="32">
        <v>433</v>
      </c>
      <c r="Q483" s="32">
        <v>159</v>
      </c>
      <c r="R483" s="32" t="s">
        <v>225</v>
      </c>
      <c r="S483" s="32">
        <v>7.9779</v>
      </c>
      <c r="T483" s="32">
        <v>0</v>
      </c>
      <c r="U483" s="32">
        <v>0.96169580499999996</v>
      </c>
      <c r="V483" s="32">
        <v>3</v>
      </c>
      <c r="W483" s="32">
        <v>0.906416</v>
      </c>
      <c r="X483" s="32">
        <v>0.16165599999999999</v>
      </c>
      <c r="Y483" s="32">
        <v>0.61094099999999996</v>
      </c>
      <c r="Z483" s="32">
        <v>0.6</v>
      </c>
      <c r="AA483" s="32">
        <v>65.3</v>
      </c>
      <c r="AB483" s="32">
        <v>524</v>
      </c>
      <c r="AC483" s="32">
        <v>13</v>
      </c>
      <c r="AD483" s="32">
        <v>29</v>
      </c>
      <c r="AE483" s="32">
        <v>8</v>
      </c>
      <c r="AF483" s="32">
        <v>0</v>
      </c>
      <c r="AG483" s="32">
        <v>0</v>
      </c>
    </row>
    <row r="484" spans="1:33">
      <c r="A484" s="32" t="s">
        <v>1942</v>
      </c>
      <c r="B484" s="32" t="s">
        <v>100</v>
      </c>
      <c r="C484" s="32" t="s">
        <v>1943</v>
      </c>
      <c r="D484" s="32" t="s">
        <v>1944</v>
      </c>
      <c r="E484" s="32" t="s">
        <v>1909</v>
      </c>
      <c r="F484" s="32" t="s">
        <v>1910</v>
      </c>
      <c r="G484" s="32" t="s">
        <v>1757</v>
      </c>
      <c r="H484" s="32" t="s">
        <v>1758</v>
      </c>
      <c r="I484" s="32" t="s">
        <v>198</v>
      </c>
      <c r="J484" s="32" t="s">
        <v>199</v>
      </c>
      <c r="K484" s="32">
        <v>2.6441270000000001</v>
      </c>
      <c r="L484" s="33">
        <v>2364</v>
      </c>
      <c r="M484" s="32">
        <v>630</v>
      </c>
      <c r="N484" s="32">
        <v>440</v>
      </c>
      <c r="O484" s="32">
        <v>597</v>
      </c>
      <c r="P484" s="32">
        <v>548</v>
      </c>
      <c r="Q484" s="32">
        <v>149</v>
      </c>
      <c r="R484" s="32">
        <v>3</v>
      </c>
      <c r="S484" s="32">
        <v>14.9299</v>
      </c>
      <c r="T484" s="32">
        <v>5.9552399999999999</v>
      </c>
      <c r="U484" s="32">
        <v>0.91318144400000001</v>
      </c>
      <c r="V484" s="32">
        <v>2</v>
      </c>
      <c r="W484" s="32">
        <v>0.91730199999999995</v>
      </c>
      <c r="X484" s="32">
        <v>0.39434000000000002</v>
      </c>
      <c r="Y484" s="32">
        <v>0.6</v>
      </c>
      <c r="Z484" s="32">
        <v>0.70505499999999999</v>
      </c>
      <c r="AA484" s="32">
        <v>64.5</v>
      </c>
      <c r="AB484" s="32">
        <v>502</v>
      </c>
      <c r="AC484" s="32">
        <v>17</v>
      </c>
      <c r="AD484" s="32">
        <v>17</v>
      </c>
      <c r="AE484" s="32" t="s">
        <v>200</v>
      </c>
      <c r="AF484" s="32">
        <v>0</v>
      </c>
      <c r="AG484" s="32" t="s">
        <v>200</v>
      </c>
    </row>
    <row r="485" spans="1:33">
      <c r="A485" s="32" t="s">
        <v>1945</v>
      </c>
      <c r="B485" s="32" t="s">
        <v>100</v>
      </c>
      <c r="C485" s="32" t="s">
        <v>1946</v>
      </c>
      <c r="D485" s="32" t="s">
        <v>1947</v>
      </c>
      <c r="E485" s="32" t="s">
        <v>1948</v>
      </c>
      <c r="F485" s="32" t="s">
        <v>1949</v>
      </c>
      <c r="G485" s="32" t="s">
        <v>1757</v>
      </c>
      <c r="H485" s="32" t="s">
        <v>1758</v>
      </c>
      <c r="I485" s="32" t="s">
        <v>198</v>
      </c>
      <c r="J485" s="32" t="s">
        <v>199</v>
      </c>
      <c r="K485" s="32">
        <v>2.8210470000000001</v>
      </c>
      <c r="L485" s="33">
        <v>2821</v>
      </c>
      <c r="M485" s="32">
        <v>564</v>
      </c>
      <c r="N485" s="32">
        <v>875</v>
      </c>
      <c r="O485" s="32">
        <v>719</v>
      </c>
      <c r="P485" s="32">
        <v>454</v>
      </c>
      <c r="Q485" s="32">
        <v>209</v>
      </c>
      <c r="R485" s="32">
        <v>4</v>
      </c>
      <c r="S485" s="32">
        <v>34.854100000000003</v>
      </c>
      <c r="T485" s="32">
        <v>1.99583</v>
      </c>
      <c r="U485" s="32">
        <v>0.98411418100000003</v>
      </c>
      <c r="V485" s="32">
        <v>2</v>
      </c>
      <c r="W485" s="32">
        <v>0.93360500000000002</v>
      </c>
      <c r="X485" s="32">
        <v>0.30913299999999999</v>
      </c>
      <c r="Y485" s="32">
        <v>0.6</v>
      </c>
      <c r="Z485" s="32">
        <v>1</v>
      </c>
      <c r="AA485" s="32">
        <v>55.6</v>
      </c>
      <c r="AB485" s="32">
        <v>508</v>
      </c>
      <c r="AC485" s="32">
        <v>22</v>
      </c>
      <c r="AD485" s="32">
        <v>24</v>
      </c>
      <c r="AE485" s="32" t="s">
        <v>200</v>
      </c>
      <c r="AF485" s="32" t="s">
        <v>200</v>
      </c>
      <c r="AG485" s="32" t="s">
        <v>200</v>
      </c>
    </row>
    <row r="486" spans="1:33">
      <c r="A486" s="32" t="s">
        <v>1950</v>
      </c>
      <c r="B486" s="32" t="s">
        <v>101</v>
      </c>
      <c r="C486" s="32" t="s">
        <v>1951</v>
      </c>
      <c r="D486" s="32" t="s">
        <v>1952</v>
      </c>
      <c r="E486" s="32" t="s">
        <v>1953</v>
      </c>
      <c r="F486" s="32" t="s">
        <v>1954</v>
      </c>
      <c r="G486" s="32" t="s">
        <v>1757</v>
      </c>
      <c r="H486" s="32" t="s">
        <v>1758</v>
      </c>
      <c r="I486" s="32" t="s">
        <v>198</v>
      </c>
      <c r="J486" s="32" t="s">
        <v>199</v>
      </c>
      <c r="K486" s="32">
        <v>2.3135759999999999</v>
      </c>
      <c r="L486" s="33">
        <v>1684</v>
      </c>
      <c r="M486" s="32">
        <v>300</v>
      </c>
      <c r="N486" s="32">
        <v>359</v>
      </c>
      <c r="O486" s="32">
        <v>657</v>
      </c>
      <c r="P486" s="32">
        <v>321</v>
      </c>
      <c r="Q486" s="32">
        <v>47</v>
      </c>
      <c r="R486" s="32">
        <v>2</v>
      </c>
      <c r="S486" s="32">
        <v>10.327400000000001</v>
      </c>
      <c r="T486" s="32">
        <v>1.94587</v>
      </c>
      <c r="U486" s="32">
        <v>0.77485147600000004</v>
      </c>
      <c r="V486" s="32">
        <v>6</v>
      </c>
      <c r="W486" s="32">
        <v>0.894455</v>
      </c>
      <c r="X486" s="32">
        <v>0.18855</v>
      </c>
      <c r="Y486" s="32">
        <v>0.6</v>
      </c>
      <c r="Z486" s="32">
        <v>0.64597700000000002</v>
      </c>
      <c r="AA486" s="32">
        <v>47.9</v>
      </c>
      <c r="AB486" s="32">
        <v>384</v>
      </c>
      <c r="AC486" s="32">
        <v>22</v>
      </c>
      <c r="AD486" s="32">
        <v>16</v>
      </c>
      <c r="AE486" s="32">
        <v>0</v>
      </c>
      <c r="AF486" s="32" t="s">
        <v>200</v>
      </c>
      <c r="AG486" s="32">
        <v>20</v>
      </c>
    </row>
    <row r="487" spans="1:33">
      <c r="A487" s="32" t="s">
        <v>1955</v>
      </c>
      <c r="B487" s="32" t="s">
        <v>101</v>
      </c>
      <c r="C487" s="32" t="s">
        <v>1956</v>
      </c>
      <c r="D487" s="32" t="s">
        <v>1957</v>
      </c>
      <c r="E487" s="32" t="s">
        <v>1958</v>
      </c>
      <c r="F487" s="32" t="s">
        <v>1959</v>
      </c>
      <c r="G487" s="32" t="s">
        <v>1757</v>
      </c>
      <c r="H487" s="32" t="s">
        <v>1758</v>
      </c>
      <c r="I487" s="32" t="s">
        <v>198</v>
      </c>
      <c r="J487" s="32" t="s">
        <v>199</v>
      </c>
      <c r="K487" s="32">
        <v>2.4626670000000002</v>
      </c>
      <c r="L487" s="33">
        <v>1300</v>
      </c>
      <c r="M487" s="32">
        <v>294</v>
      </c>
      <c r="N487" s="32">
        <v>253</v>
      </c>
      <c r="O487" s="32">
        <v>298</v>
      </c>
      <c r="P487" s="32">
        <v>352</v>
      </c>
      <c r="Q487" s="32">
        <v>103</v>
      </c>
      <c r="R487" s="32">
        <v>2</v>
      </c>
      <c r="S487" s="32">
        <v>14.884</v>
      </c>
      <c r="T487" s="32">
        <v>2.0290499999999998</v>
      </c>
      <c r="U487" s="32">
        <v>1.1648278990000001</v>
      </c>
      <c r="V487" s="32">
        <v>2</v>
      </c>
      <c r="W487" s="32">
        <v>0.90239999999999998</v>
      </c>
      <c r="X487" s="32">
        <v>0.13850299999999999</v>
      </c>
      <c r="Y487" s="32">
        <v>0.6</v>
      </c>
      <c r="Z487" s="32">
        <v>0.81260100000000002</v>
      </c>
      <c r="AA487" s="32">
        <v>61.9</v>
      </c>
      <c r="AB487" s="32">
        <v>364</v>
      </c>
      <c r="AC487" s="32">
        <v>10</v>
      </c>
      <c r="AD487" s="32">
        <v>15</v>
      </c>
      <c r="AE487" s="32" t="s">
        <v>200</v>
      </c>
      <c r="AF487" s="32">
        <v>0</v>
      </c>
      <c r="AG487" s="32">
        <v>0</v>
      </c>
    </row>
    <row r="488" spans="1:33">
      <c r="A488" s="32" t="s">
        <v>1960</v>
      </c>
      <c r="B488" s="32" t="s">
        <v>101</v>
      </c>
      <c r="C488" s="32" t="s">
        <v>1961</v>
      </c>
      <c r="D488" s="32" t="s">
        <v>1962</v>
      </c>
      <c r="E488" s="32" t="s">
        <v>1958</v>
      </c>
      <c r="F488" s="32" t="s">
        <v>1959</v>
      </c>
      <c r="G488" s="32" t="s">
        <v>1757</v>
      </c>
      <c r="H488" s="32" t="s">
        <v>1758</v>
      </c>
      <c r="I488" s="32" t="s">
        <v>198</v>
      </c>
      <c r="J488" s="32" t="s">
        <v>199</v>
      </c>
      <c r="K488" s="32">
        <v>2.6591580000000001</v>
      </c>
      <c r="L488" s="33">
        <v>2229</v>
      </c>
      <c r="M488" s="32">
        <v>361</v>
      </c>
      <c r="N488" s="32">
        <v>741</v>
      </c>
      <c r="O488" s="32">
        <v>551</v>
      </c>
      <c r="P488" s="32">
        <v>425</v>
      </c>
      <c r="Q488" s="32">
        <v>151</v>
      </c>
      <c r="R488" s="32">
        <v>3</v>
      </c>
      <c r="S488" s="32">
        <v>15.2971</v>
      </c>
      <c r="T488" s="32">
        <v>6.61808</v>
      </c>
      <c r="U488" s="32">
        <v>0.68647460299999996</v>
      </c>
      <c r="V488" s="32">
        <v>4</v>
      </c>
      <c r="W488" s="32">
        <v>0.90507400000000005</v>
      </c>
      <c r="X488" s="32">
        <v>0.35365600000000003</v>
      </c>
      <c r="Y488" s="32">
        <v>0.6</v>
      </c>
      <c r="Z488" s="32">
        <v>0.79033500000000001</v>
      </c>
      <c r="AA488" s="32">
        <v>50</v>
      </c>
      <c r="AB488" s="32">
        <v>506</v>
      </c>
      <c r="AC488" s="32">
        <v>13</v>
      </c>
      <c r="AD488" s="32">
        <v>29</v>
      </c>
      <c r="AE488" s="32">
        <v>0</v>
      </c>
      <c r="AF488" s="32" t="s">
        <v>200</v>
      </c>
      <c r="AG488" s="32" t="s">
        <v>200</v>
      </c>
    </row>
    <row r="489" spans="1:33">
      <c r="A489" s="32" t="s">
        <v>1963</v>
      </c>
      <c r="B489" s="32" t="s">
        <v>101</v>
      </c>
      <c r="C489" s="32" t="s">
        <v>1964</v>
      </c>
      <c r="D489" s="32" t="s">
        <v>1965</v>
      </c>
      <c r="E489" s="32" t="s">
        <v>1958</v>
      </c>
      <c r="F489" s="32" t="s">
        <v>1959</v>
      </c>
      <c r="G489" s="32" t="s">
        <v>1757</v>
      </c>
      <c r="H489" s="32" t="s">
        <v>1758</v>
      </c>
      <c r="I489" s="32" t="s">
        <v>198</v>
      </c>
      <c r="J489" s="32" t="s">
        <v>199</v>
      </c>
      <c r="K489" s="32">
        <v>2.491171</v>
      </c>
      <c r="L489" s="33">
        <v>3701</v>
      </c>
      <c r="M489" s="32">
        <v>801</v>
      </c>
      <c r="N489" s="32">
        <v>779</v>
      </c>
      <c r="O489" s="33">
        <v>1342</v>
      </c>
      <c r="P489" s="32">
        <v>680</v>
      </c>
      <c r="Q489" s="32">
        <v>99</v>
      </c>
      <c r="R489" s="32" t="s">
        <v>225</v>
      </c>
      <c r="S489" s="32">
        <v>17.632100000000001</v>
      </c>
      <c r="T489" s="32">
        <v>0</v>
      </c>
      <c r="U489" s="32">
        <v>0.84027932400000005</v>
      </c>
      <c r="V489" s="32">
        <v>3</v>
      </c>
      <c r="W489" s="32">
        <v>0.88204099999999996</v>
      </c>
      <c r="X489" s="32">
        <v>0.16788600000000001</v>
      </c>
      <c r="Y489" s="32">
        <v>0.63620299999999996</v>
      </c>
      <c r="Z489" s="32">
        <v>0.81143299999999996</v>
      </c>
      <c r="AA489" s="32">
        <v>58.2</v>
      </c>
      <c r="AB489" s="32">
        <v>951</v>
      </c>
      <c r="AC489" s="32">
        <v>55</v>
      </c>
      <c r="AD489" s="32">
        <v>287</v>
      </c>
      <c r="AE489" s="32">
        <v>66</v>
      </c>
      <c r="AF489" s="32" t="s">
        <v>200</v>
      </c>
      <c r="AG489" s="32">
        <v>9</v>
      </c>
    </row>
    <row r="490" spans="1:33">
      <c r="A490" s="32" t="s">
        <v>1966</v>
      </c>
      <c r="B490" s="32" t="s">
        <v>101</v>
      </c>
      <c r="C490" s="32" t="s">
        <v>1967</v>
      </c>
      <c r="D490" s="32" t="s">
        <v>1968</v>
      </c>
      <c r="E490" s="32" t="s">
        <v>1969</v>
      </c>
      <c r="F490" s="32" t="s">
        <v>1970</v>
      </c>
      <c r="G490" s="32" t="s">
        <v>1757</v>
      </c>
      <c r="H490" s="32" t="s">
        <v>1758</v>
      </c>
      <c r="I490" s="32" t="s">
        <v>198</v>
      </c>
      <c r="J490" s="32" t="s">
        <v>199</v>
      </c>
      <c r="K490" s="32">
        <v>2.6035149999999998</v>
      </c>
      <c r="L490" s="33">
        <v>1618</v>
      </c>
      <c r="M490" s="32">
        <v>364</v>
      </c>
      <c r="N490" s="32">
        <v>340</v>
      </c>
      <c r="O490" s="32">
        <v>444</v>
      </c>
      <c r="P490" s="32">
        <v>332</v>
      </c>
      <c r="Q490" s="32">
        <v>138</v>
      </c>
      <c r="R490" s="32">
        <v>2</v>
      </c>
      <c r="S490" s="32">
        <v>17.731100000000001</v>
      </c>
      <c r="T490" s="32">
        <v>2.0460699999999998</v>
      </c>
      <c r="U490" s="32">
        <v>0.879010866</v>
      </c>
      <c r="V490" s="32">
        <v>3</v>
      </c>
      <c r="W490" s="32">
        <v>0.90399700000000005</v>
      </c>
      <c r="X490" s="32">
        <v>0.246782</v>
      </c>
      <c r="Y490" s="32">
        <v>0.6</v>
      </c>
      <c r="Z490" s="32">
        <v>0.85364499999999999</v>
      </c>
      <c r="AA490" s="32">
        <v>45.4</v>
      </c>
      <c r="AB490" s="32">
        <v>423</v>
      </c>
      <c r="AC490" s="32">
        <v>17</v>
      </c>
      <c r="AD490" s="32">
        <v>48</v>
      </c>
      <c r="AE490" s="32" t="s">
        <v>200</v>
      </c>
      <c r="AF490" s="32" t="s">
        <v>200</v>
      </c>
      <c r="AG490" s="32">
        <v>6</v>
      </c>
    </row>
    <row r="491" spans="1:33">
      <c r="A491" s="32" t="s">
        <v>1971</v>
      </c>
      <c r="B491" s="32" t="s">
        <v>101</v>
      </c>
      <c r="C491" s="32" t="s">
        <v>1972</v>
      </c>
      <c r="D491" s="32" t="s">
        <v>1973</v>
      </c>
      <c r="E491" s="32" t="s">
        <v>1953</v>
      </c>
      <c r="F491" s="32" t="s">
        <v>1954</v>
      </c>
      <c r="G491" s="32" t="s">
        <v>1757</v>
      </c>
      <c r="H491" s="32" t="s">
        <v>1758</v>
      </c>
      <c r="I491" s="32" t="s">
        <v>198</v>
      </c>
      <c r="J491" s="32" t="s">
        <v>199</v>
      </c>
      <c r="K491" s="32">
        <v>2.4575990000000001</v>
      </c>
      <c r="L491" s="33">
        <v>1853</v>
      </c>
      <c r="M491" s="32">
        <v>452</v>
      </c>
      <c r="N491" s="32">
        <v>360</v>
      </c>
      <c r="O491" s="32">
        <v>543</v>
      </c>
      <c r="P491" s="32">
        <v>354</v>
      </c>
      <c r="Q491" s="32">
        <v>144</v>
      </c>
      <c r="R491" s="32">
        <v>2</v>
      </c>
      <c r="S491" s="32">
        <v>12.669600000000001</v>
      </c>
      <c r="T491" s="32">
        <v>1.8656600000000001</v>
      </c>
      <c r="U491" s="32">
        <v>1.007829708</v>
      </c>
      <c r="V491" s="32">
        <v>2</v>
      </c>
      <c r="W491" s="32">
        <v>0.90054199999999995</v>
      </c>
      <c r="X491" s="32">
        <v>0.12084499999999999</v>
      </c>
      <c r="Y491" s="32">
        <v>0.6</v>
      </c>
      <c r="Z491" s="32">
        <v>0.83636100000000002</v>
      </c>
      <c r="AA491" s="32">
        <v>53.1</v>
      </c>
      <c r="AB491" s="32">
        <v>542</v>
      </c>
      <c r="AC491" s="32">
        <v>17</v>
      </c>
      <c r="AD491" s="32">
        <v>65</v>
      </c>
      <c r="AE491" s="32">
        <v>19</v>
      </c>
      <c r="AF491" s="32">
        <v>0</v>
      </c>
      <c r="AG491" s="32">
        <v>8</v>
      </c>
    </row>
    <row r="492" spans="1:33">
      <c r="A492" s="32" t="s">
        <v>1974</v>
      </c>
      <c r="B492" s="32" t="s">
        <v>103</v>
      </c>
      <c r="C492" s="32" t="s">
        <v>1975</v>
      </c>
      <c r="D492" s="32" t="s">
        <v>1976</v>
      </c>
      <c r="E492" s="32" t="s">
        <v>1977</v>
      </c>
      <c r="F492" s="32" t="s">
        <v>1978</v>
      </c>
      <c r="G492" s="32" t="s">
        <v>1606</v>
      </c>
      <c r="H492" s="32" t="s">
        <v>1607</v>
      </c>
      <c r="I492" s="32" t="s">
        <v>198</v>
      </c>
      <c r="J492" s="32" t="s">
        <v>199</v>
      </c>
      <c r="K492" s="32">
        <v>2.4505460000000001</v>
      </c>
      <c r="L492" s="33">
        <v>1518</v>
      </c>
      <c r="M492" s="32">
        <v>323</v>
      </c>
      <c r="N492" s="32">
        <v>323</v>
      </c>
      <c r="O492" s="32">
        <v>351</v>
      </c>
      <c r="P492" s="32">
        <v>347</v>
      </c>
      <c r="Q492" s="32">
        <v>174</v>
      </c>
      <c r="R492" s="32">
        <v>2</v>
      </c>
      <c r="S492" s="32">
        <v>13.728899999999999</v>
      </c>
      <c r="T492" s="32">
        <v>2.1073900000000001</v>
      </c>
      <c r="U492" s="32">
        <v>0.99355351700000005</v>
      </c>
      <c r="V492" s="32">
        <v>3</v>
      </c>
      <c r="W492" s="32">
        <v>0.90505500000000005</v>
      </c>
      <c r="X492" s="32">
        <v>0.23819899999999999</v>
      </c>
      <c r="Y492" s="32">
        <v>0.65534199999999998</v>
      </c>
      <c r="Z492" s="32">
        <v>0.64816300000000004</v>
      </c>
      <c r="AA492" s="32">
        <v>47.4</v>
      </c>
      <c r="AB492" s="32">
        <v>529</v>
      </c>
      <c r="AC492" s="32">
        <v>18</v>
      </c>
      <c r="AD492" s="32">
        <v>129</v>
      </c>
      <c r="AE492" s="32" t="s">
        <v>200</v>
      </c>
      <c r="AF492" s="32" t="s">
        <v>200</v>
      </c>
      <c r="AG492" s="32">
        <v>8</v>
      </c>
    </row>
    <row r="493" spans="1:33">
      <c r="A493" s="32" t="s">
        <v>1979</v>
      </c>
      <c r="B493" s="32" t="s">
        <v>103</v>
      </c>
      <c r="C493" s="32" t="s">
        <v>1980</v>
      </c>
      <c r="D493" s="32" t="s">
        <v>1981</v>
      </c>
      <c r="E493" s="32" t="s">
        <v>1982</v>
      </c>
      <c r="F493" s="32" t="s">
        <v>1983</v>
      </c>
      <c r="G493" s="32" t="s">
        <v>1606</v>
      </c>
      <c r="H493" s="32" t="s">
        <v>1607</v>
      </c>
      <c r="I493" s="32" t="s">
        <v>198</v>
      </c>
      <c r="J493" s="32" t="s">
        <v>199</v>
      </c>
      <c r="K493" s="32">
        <v>2.5227059999999999</v>
      </c>
      <c r="L493" s="33">
        <v>1802</v>
      </c>
      <c r="M493" s="32">
        <v>510</v>
      </c>
      <c r="N493" s="32">
        <v>340</v>
      </c>
      <c r="O493" s="32">
        <v>408</v>
      </c>
      <c r="P493" s="32">
        <v>389</v>
      </c>
      <c r="Q493" s="32">
        <v>155</v>
      </c>
      <c r="R493" s="32">
        <v>2</v>
      </c>
      <c r="S493" s="32">
        <v>13.169</v>
      </c>
      <c r="T493" s="32">
        <v>2.05132</v>
      </c>
      <c r="U493" s="32">
        <v>1.0222951520000001</v>
      </c>
      <c r="V493" s="32">
        <v>2</v>
      </c>
      <c r="W493" s="32">
        <v>0.91035299999999997</v>
      </c>
      <c r="X493" s="32">
        <v>0.32296799999999998</v>
      </c>
      <c r="Y493" s="32">
        <v>0.653864</v>
      </c>
      <c r="Z493" s="32">
        <v>0.62297800000000003</v>
      </c>
      <c r="AA493" s="32">
        <v>40.9</v>
      </c>
      <c r="AB493" s="32">
        <v>559</v>
      </c>
      <c r="AC493" s="32">
        <v>21</v>
      </c>
      <c r="AD493" s="32">
        <v>44</v>
      </c>
      <c r="AE493" s="32">
        <v>12</v>
      </c>
      <c r="AF493" s="32">
        <v>0</v>
      </c>
      <c r="AG493" s="32" t="s">
        <v>200</v>
      </c>
    </row>
    <row r="494" spans="1:33">
      <c r="A494" s="32" t="s">
        <v>1984</v>
      </c>
      <c r="B494" s="32" t="s">
        <v>103</v>
      </c>
      <c r="C494" s="32" t="s">
        <v>1985</v>
      </c>
      <c r="D494" s="32" t="s">
        <v>1986</v>
      </c>
      <c r="E494" s="32" t="s">
        <v>1825</v>
      </c>
      <c r="F494" s="32" t="s">
        <v>1826</v>
      </c>
      <c r="G494" s="32" t="s">
        <v>1606</v>
      </c>
      <c r="H494" s="32" t="s">
        <v>1607</v>
      </c>
      <c r="I494" s="32" t="s">
        <v>198</v>
      </c>
      <c r="J494" s="32" t="s">
        <v>199</v>
      </c>
      <c r="K494" s="32">
        <v>2.4916670000000001</v>
      </c>
      <c r="L494" s="33">
        <v>1921</v>
      </c>
      <c r="M494" s="32">
        <v>708</v>
      </c>
      <c r="N494" s="32">
        <v>303</v>
      </c>
      <c r="O494" s="32">
        <v>440</v>
      </c>
      <c r="P494" s="32">
        <v>388</v>
      </c>
      <c r="Q494" s="32">
        <v>82</v>
      </c>
      <c r="R494" s="32">
        <v>2</v>
      </c>
      <c r="S494" s="32">
        <v>10.979799999999999</v>
      </c>
      <c r="T494" s="32">
        <v>3.8388499999999999</v>
      </c>
      <c r="U494" s="32">
        <v>1.094061269</v>
      </c>
      <c r="V494" s="32">
        <v>2</v>
      </c>
      <c r="W494" s="32">
        <v>0.90768000000000004</v>
      </c>
      <c r="X494" s="32">
        <v>0.23289899999999999</v>
      </c>
      <c r="Y494" s="32">
        <v>0.62148599999999998</v>
      </c>
      <c r="Z494" s="32">
        <v>0.70307900000000001</v>
      </c>
      <c r="AA494" s="32">
        <v>62.5</v>
      </c>
      <c r="AB494" s="32">
        <v>411</v>
      </c>
      <c r="AC494" s="32">
        <v>5</v>
      </c>
      <c r="AD494" s="32">
        <v>33</v>
      </c>
      <c r="AE494" s="32" t="s">
        <v>200</v>
      </c>
      <c r="AF494" s="32">
        <v>0</v>
      </c>
      <c r="AG494" s="32" t="s">
        <v>200</v>
      </c>
    </row>
    <row r="495" spans="1:33">
      <c r="A495" s="32" t="s">
        <v>1987</v>
      </c>
      <c r="B495" s="32" t="s">
        <v>103</v>
      </c>
      <c r="C495" s="32" t="s">
        <v>1988</v>
      </c>
      <c r="D495" s="32" t="s">
        <v>1989</v>
      </c>
      <c r="E495" s="32" t="s">
        <v>1977</v>
      </c>
      <c r="F495" s="32" t="s">
        <v>1978</v>
      </c>
      <c r="G495" s="32" t="s">
        <v>1606</v>
      </c>
      <c r="H495" s="32" t="s">
        <v>1607</v>
      </c>
      <c r="I495" s="32" t="s">
        <v>198</v>
      </c>
      <c r="J495" s="32" t="s">
        <v>199</v>
      </c>
      <c r="K495" s="32">
        <v>2.3796580000000001</v>
      </c>
      <c r="L495" s="33">
        <v>2258</v>
      </c>
      <c r="M495" s="32">
        <v>633</v>
      </c>
      <c r="N495" s="32">
        <v>383</v>
      </c>
      <c r="O495" s="32">
        <v>577</v>
      </c>
      <c r="P495" s="32">
        <v>465</v>
      </c>
      <c r="Q495" s="32">
        <v>200</v>
      </c>
      <c r="R495" s="32">
        <v>2</v>
      </c>
      <c r="S495" s="32">
        <v>11.9748</v>
      </c>
      <c r="T495" s="32">
        <v>1.9415100000000001</v>
      </c>
      <c r="U495" s="32">
        <v>0.99604153900000003</v>
      </c>
      <c r="V495" s="32">
        <v>2</v>
      </c>
      <c r="W495" s="32">
        <v>0.90957299999999996</v>
      </c>
      <c r="X495" s="32">
        <v>0.269847</v>
      </c>
      <c r="Y495" s="32">
        <v>0.60476200000000002</v>
      </c>
      <c r="Z495" s="32">
        <v>0.58600699999999994</v>
      </c>
      <c r="AA495" s="32">
        <v>53.5</v>
      </c>
      <c r="AB495" s="32">
        <v>590</v>
      </c>
      <c r="AC495" s="32">
        <v>20</v>
      </c>
      <c r="AD495" s="32">
        <v>31</v>
      </c>
      <c r="AE495" s="32" t="s">
        <v>200</v>
      </c>
      <c r="AF495" s="32" t="s">
        <v>200</v>
      </c>
      <c r="AG495" s="32" t="s">
        <v>200</v>
      </c>
    </row>
    <row r="496" spans="1:33">
      <c r="A496" s="32" t="s">
        <v>1990</v>
      </c>
      <c r="B496" s="32" t="s">
        <v>103</v>
      </c>
      <c r="C496" s="32" t="s">
        <v>1991</v>
      </c>
      <c r="D496" s="32" t="s">
        <v>1992</v>
      </c>
      <c r="E496" s="32" t="s">
        <v>1993</v>
      </c>
      <c r="F496" s="32" t="s">
        <v>1994</v>
      </c>
      <c r="G496" s="32" t="s">
        <v>1606</v>
      </c>
      <c r="H496" s="32" t="s">
        <v>1607</v>
      </c>
      <c r="I496" s="32" t="s">
        <v>198</v>
      </c>
      <c r="J496" s="32" t="s">
        <v>199</v>
      </c>
      <c r="K496" s="32">
        <v>2.3905439999999998</v>
      </c>
      <c r="L496" s="33">
        <v>1620</v>
      </c>
      <c r="M496" s="32">
        <v>418</v>
      </c>
      <c r="N496" s="32">
        <v>290</v>
      </c>
      <c r="O496" s="32">
        <v>348</v>
      </c>
      <c r="P496" s="32">
        <v>377</v>
      </c>
      <c r="Q496" s="32">
        <v>187</v>
      </c>
      <c r="R496" s="32">
        <v>2</v>
      </c>
      <c r="S496" s="32">
        <v>16.2393</v>
      </c>
      <c r="T496" s="32">
        <v>1.92564</v>
      </c>
      <c r="U496" s="32">
        <v>1.034978792</v>
      </c>
      <c r="V496" s="32">
        <v>2</v>
      </c>
      <c r="W496" s="32">
        <v>0.87144200000000005</v>
      </c>
      <c r="X496" s="32">
        <v>0.24427299999999999</v>
      </c>
      <c r="Y496" s="32">
        <v>0.6</v>
      </c>
      <c r="Z496" s="32">
        <v>0.67935000000000001</v>
      </c>
      <c r="AA496" s="32">
        <v>34.4</v>
      </c>
      <c r="AB496" s="32">
        <v>452</v>
      </c>
      <c r="AC496" s="32">
        <v>14</v>
      </c>
      <c r="AD496" s="32">
        <v>33</v>
      </c>
      <c r="AE496" s="32" t="s">
        <v>200</v>
      </c>
      <c r="AF496" s="32">
        <v>0</v>
      </c>
      <c r="AG496" s="32" t="s">
        <v>200</v>
      </c>
    </row>
    <row r="497" spans="1:33">
      <c r="A497" s="32" t="s">
        <v>1995</v>
      </c>
      <c r="B497" s="32" t="s">
        <v>103</v>
      </c>
      <c r="C497" s="32" t="s">
        <v>1996</v>
      </c>
      <c r="D497" s="32" t="s">
        <v>1997</v>
      </c>
      <c r="E497" s="32" t="s">
        <v>1993</v>
      </c>
      <c r="F497" s="32" t="s">
        <v>1994</v>
      </c>
      <c r="G497" s="32" t="s">
        <v>1606</v>
      </c>
      <c r="H497" s="32" t="s">
        <v>1607</v>
      </c>
      <c r="I497" s="32" t="s">
        <v>198</v>
      </c>
      <c r="J497" s="32" t="s">
        <v>199</v>
      </c>
      <c r="K497" s="32">
        <v>2.500432</v>
      </c>
      <c r="L497" s="33">
        <v>1729</v>
      </c>
      <c r="M497" s="32">
        <v>475</v>
      </c>
      <c r="N497" s="32">
        <v>322</v>
      </c>
      <c r="O497" s="32">
        <v>359</v>
      </c>
      <c r="P497" s="32">
        <v>430</v>
      </c>
      <c r="Q497" s="32">
        <v>143</v>
      </c>
      <c r="R497" s="32" t="s">
        <v>225</v>
      </c>
      <c r="S497" s="32">
        <v>10.248799999999999</v>
      </c>
      <c r="T497" s="32">
        <v>0</v>
      </c>
      <c r="U497" s="32">
        <v>0.91823024499999994</v>
      </c>
      <c r="V497" s="32">
        <v>3</v>
      </c>
      <c r="W497" s="32">
        <v>0.81104600000000004</v>
      </c>
      <c r="X497" s="32">
        <v>0.20196700000000001</v>
      </c>
      <c r="Y497" s="32">
        <v>0.6</v>
      </c>
      <c r="Z497" s="32">
        <v>0.88692199999999999</v>
      </c>
      <c r="AA497" s="32">
        <v>48.9</v>
      </c>
      <c r="AB497" s="32">
        <v>548</v>
      </c>
      <c r="AC497" s="32">
        <v>19</v>
      </c>
      <c r="AD497" s="32">
        <v>49</v>
      </c>
      <c r="AE497" s="32">
        <v>90</v>
      </c>
      <c r="AF497" s="32" t="s">
        <v>200</v>
      </c>
      <c r="AG497" s="32" t="s">
        <v>200</v>
      </c>
    </row>
    <row r="498" spans="1:33">
      <c r="A498" s="32" t="s">
        <v>1998</v>
      </c>
      <c r="B498" s="32" t="s">
        <v>103</v>
      </c>
      <c r="C498" s="32" t="s">
        <v>1999</v>
      </c>
      <c r="D498" s="32" t="s">
        <v>2000</v>
      </c>
      <c r="E498" s="32" t="s">
        <v>1977</v>
      </c>
      <c r="F498" s="32" t="s">
        <v>1978</v>
      </c>
      <c r="G498" s="32" t="s">
        <v>1606</v>
      </c>
      <c r="H498" s="32" t="s">
        <v>1607</v>
      </c>
      <c r="I498" s="32" t="s">
        <v>198</v>
      </c>
      <c r="J498" s="32" t="s">
        <v>199</v>
      </c>
      <c r="K498" s="32">
        <v>2.1088749999999998</v>
      </c>
      <c r="L498" s="33">
        <v>5820</v>
      </c>
      <c r="M498" s="33">
        <v>1779</v>
      </c>
      <c r="N498" s="33">
        <v>1227</v>
      </c>
      <c r="O498" s="33">
        <v>1541</v>
      </c>
      <c r="P498" s="33">
        <v>1028</v>
      </c>
      <c r="Q498" s="32">
        <v>245</v>
      </c>
      <c r="R498" s="32" t="s">
        <v>225</v>
      </c>
      <c r="S498" s="32">
        <v>9.8387899999999995</v>
      </c>
      <c r="T498" s="32">
        <v>0</v>
      </c>
      <c r="U498" s="32">
        <v>1.1552145540000001</v>
      </c>
      <c r="V498" s="32">
        <v>2</v>
      </c>
      <c r="W498" s="32">
        <v>0.82315499999999997</v>
      </c>
      <c r="X498" s="32">
        <v>3.9932000000000002E-2</v>
      </c>
      <c r="Y498" s="32">
        <v>0.63103699999999996</v>
      </c>
      <c r="Z498" s="32">
        <v>0.61854299999999995</v>
      </c>
      <c r="AA498" s="32">
        <v>58.5</v>
      </c>
      <c r="AB498" s="32">
        <v>1864</v>
      </c>
      <c r="AC498" s="32">
        <v>50</v>
      </c>
      <c r="AD498" s="32">
        <v>515</v>
      </c>
      <c r="AE498" s="32">
        <v>199</v>
      </c>
      <c r="AF498" s="32">
        <v>6</v>
      </c>
      <c r="AG498" s="32">
        <v>135</v>
      </c>
    </row>
    <row r="499" spans="1:33">
      <c r="A499" s="32" t="s">
        <v>2001</v>
      </c>
      <c r="B499" s="32" t="s">
        <v>103</v>
      </c>
      <c r="C499" s="32" t="s">
        <v>2002</v>
      </c>
      <c r="D499" s="32" t="s">
        <v>2003</v>
      </c>
      <c r="E499" s="32" t="s">
        <v>2004</v>
      </c>
      <c r="F499" s="32" t="s">
        <v>2005</v>
      </c>
      <c r="G499" s="32" t="s">
        <v>1606</v>
      </c>
      <c r="H499" s="32" t="s">
        <v>1607</v>
      </c>
      <c r="I499" s="32" t="s">
        <v>198</v>
      </c>
      <c r="J499" s="32" t="s">
        <v>199</v>
      </c>
      <c r="K499" s="32">
        <v>2.4531589999999999</v>
      </c>
      <c r="L499" s="33">
        <v>1797</v>
      </c>
      <c r="M499" s="32">
        <v>511</v>
      </c>
      <c r="N499" s="32">
        <v>377</v>
      </c>
      <c r="O499" s="32">
        <v>428</v>
      </c>
      <c r="P499" s="32">
        <v>360</v>
      </c>
      <c r="Q499" s="32">
        <v>121</v>
      </c>
      <c r="R499" s="32" t="s">
        <v>225</v>
      </c>
      <c r="S499" s="32">
        <v>7.6028599999999997</v>
      </c>
      <c r="T499" s="32">
        <v>2.09904</v>
      </c>
      <c r="U499" s="32">
        <v>1.1753399410000001</v>
      </c>
      <c r="V499" s="32">
        <v>1</v>
      </c>
      <c r="W499" s="32">
        <v>0.89511300000000005</v>
      </c>
      <c r="X499" s="32">
        <v>0.18007100000000001</v>
      </c>
      <c r="Y499" s="32">
        <v>0.69249099999999997</v>
      </c>
      <c r="Z499" s="32">
        <v>0.69809299999999996</v>
      </c>
      <c r="AA499" s="32">
        <v>48.9</v>
      </c>
      <c r="AB499" s="32">
        <v>434</v>
      </c>
      <c r="AC499" s="32">
        <v>7</v>
      </c>
      <c r="AD499" s="32">
        <v>27</v>
      </c>
      <c r="AE499" s="32" t="s">
        <v>200</v>
      </c>
      <c r="AF499" s="32">
        <v>0</v>
      </c>
      <c r="AG499" s="32">
        <v>0</v>
      </c>
    </row>
    <row r="500" spans="1:33">
      <c r="A500" s="32" t="s">
        <v>2006</v>
      </c>
      <c r="B500" s="32" t="s">
        <v>103</v>
      </c>
      <c r="C500" s="32" t="s">
        <v>2007</v>
      </c>
      <c r="D500" s="32" t="s">
        <v>2008</v>
      </c>
      <c r="E500" s="32" t="s">
        <v>2009</v>
      </c>
      <c r="F500" s="32" t="s">
        <v>2010</v>
      </c>
      <c r="G500" s="32" t="s">
        <v>1606</v>
      </c>
      <c r="H500" s="32" t="s">
        <v>1607</v>
      </c>
      <c r="I500" s="32" t="s">
        <v>198</v>
      </c>
      <c r="J500" s="32" t="s">
        <v>199</v>
      </c>
      <c r="K500" s="32">
        <v>2.4555889999999998</v>
      </c>
      <c r="L500" s="33">
        <v>1851</v>
      </c>
      <c r="M500" s="32">
        <v>561</v>
      </c>
      <c r="N500" s="32">
        <v>369</v>
      </c>
      <c r="O500" s="32">
        <v>412</v>
      </c>
      <c r="P500" s="32">
        <v>381</v>
      </c>
      <c r="Q500" s="32">
        <v>128</v>
      </c>
      <c r="R500" s="32" t="s">
        <v>225</v>
      </c>
      <c r="S500" s="32">
        <v>13.2942</v>
      </c>
      <c r="T500" s="32">
        <v>0</v>
      </c>
      <c r="U500" s="32">
        <v>1.0234244050000001</v>
      </c>
      <c r="V500" s="32">
        <v>3</v>
      </c>
      <c r="W500" s="32">
        <v>0.86401300000000003</v>
      </c>
      <c r="X500" s="32">
        <v>0.23192099999999999</v>
      </c>
      <c r="Y500" s="32">
        <v>0.6</v>
      </c>
      <c r="Z500" s="32">
        <v>0.76159299999999996</v>
      </c>
      <c r="AA500" s="32">
        <v>48.9</v>
      </c>
      <c r="AB500" s="32">
        <v>605</v>
      </c>
      <c r="AC500" s="32">
        <v>29</v>
      </c>
      <c r="AD500" s="32">
        <v>181</v>
      </c>
      <c r="AE500" s="32">
        <v>122</v>
      </c>
      <c r="AF500" s="32" t="s">
        <v>200</v>
      </c>
      <c r="AG500" s="32">
        <v>7</v>
      </c>
    </row>
    <row r="501" spans="1:33">
      <c r="A501" s="32" t="s">
        <v>2011</v>
      </c>
      <c r="B501" s="32" t="s">
        <v>103</v>
      </c>
      <c r="C501" s="32" t="s">
        <v>2012</v>
      </c>
      <c r="D501" s="32" t="s">
        <v>2013</v>
      </c>
      <c r="E501" s="32" t="s">
        <v>2004</v>
      </c>
      <c r="F501" s="32" t="s">
        <v>2005</v>
      </c>
      <c r="G501" s="32" t="s">
        <v>1606</v>
      </c>
      <c r="H501" s="32" t="s">
        <v>1607</v>
      </c>
      <c r="I501" s="32" t="s">
        <v>198</v>
      </c>
      <c r="J501" s="32" t="s">
        <v>199</v>
      </c>
      <c r="K501" s="32">
        <v>2.561115</v>
      </c>
      <c r="L501" s="33">
        <v>1828</v>
      </c>
      <c r="M501" s="32">
        <v>613</v>
      </c>
      <c r="N501" s="32">
        <v>380</v>
      </c>
      <c r="O501" s="32">
        <v>388</v>
      </c>
      <c r="P501" s="32">
        <v>352</v>
      </c>
      <c r="Q501" s="32">
        <v>95</v>
      </c>
      <c r="R501" s="32" t="s">
        <v>225</v>
      </c>
      <c r="S501" s="32">
        <v>7.0958199999999998</v>
      </c>
      <c r="T501" s="32">
        <v>0</v>
      </c>
      <c r="U501" s="32">
        <v>1.1034781010000001</v>
      </c>
      <c r="V501" s="32">
        <v>2</v>
      </c>
      <c r="W501" s="32">
        <v>0.89770899999999998</v>
      </c>
      <c r="X501" s="32">
        <v>0.40098699999999998</v>
      </c>
      <c r="Y501" s="32">
        <v>0.63314899999999996</v>
      </c>
      <c r="Z501" s="32">
        <v>0.62305299999999997</v>
      </c>
      <c r="AA501" s="32">
        <v>56.2</v>
      </c>
      <c r="AB501" s="32">
        <v>517</v>
      </c>
      <c r="AC501" s="32">
        <v>15</v>
      </c>
      <c r="AD501" s="32">
        <v>113</v>
      </c>
      <c r="AE501" s="32">
        <v>29</v>
      </c>
      <c r="AF501" s="32" t="s">
        <v>200</v>
      </c>
      <c r="AG501" s="32" t="s">
        <v>200</v>
      </c>
    </row>
    <row r="502" spans="1:33">
      <c r="A502" s="32" t="s">
        <v>2014</v>
      </c>
      <c r="B502" s="32" t="s">
        <v>103</v>
      </c>
      <c r="C502" s="32" t="s">
        <v>2015</v>
      </c>
      <c r="D502" s="32" t="s">
        <v>2016</v>
      </c>
      <c r="E502" s="32" t="s">
        <v>2017</v>
      </c>
      <c r="F502" s="32" t="s">
        <v>2018</v>
      </c>
      <c r="G502" s="32" t="s">
        <v>1621</v>
      </c>
      <c r="H502" s="32" t="s">
        <v>1622</v>
      </c>
      <c r="I502" s="32" t="s">
        <v>198</v>
      </c>
      <c r="J502" s="32" t="s">
        <v>199</v>
      </c>
      <c r="K502" s="32">
        <v>1.8411900000000001</v>
      </c>
      <c r="L502" s="33">
        <v>1818</v>
      </c>
      <c r="M502" s="32">
        <v>420</v>
      </c>
      <c r="N502" s="32">
        <v>265</v>
      </c>
      <c r="O502" s="32">
        <v>340</v>
      </c>
      <c r="P502" s="32">
        <v>458</v>
      </c>
      <c r="Q502" s="32">
        <v>335</v>
      </c>
      <c r="R502" s="32" t="s">
        <v>214</v>
      </c>
      <c r="S502" s="32">
        <v>10.0131</v>
      </c>
      <c r="T502" s="32">
        <v>0</v>
      </c>
      <c r="U502" s="32">
        <v>1.070332933</v>
      </c>
      <c r="V502" s="32">
        <v>5</v>
      </c>
      <c r="W502" s="32">
        <v>0.80269199999999996</v>
      </c>
      <c r="X502" s="32">
        <v>0.270092</v>
      </c>
      <c r="Y502" s="32">
        <v>0.55500400000000005</v>
      </c>
      <c r="Z502" s="32">
        <v>0.21455299999999999</v>
      </c>
      <c r="AA502" s="32">
        <v>14.2</v>
      </c>
      <c r="AB502" s="32">
        <v>1083</v>
      </c>
      <c r="AC502" s="32">
        <v>41</v>
      </c>
      <c r="AD502" s="32">
        <v>374</v>
      </c>
      <c r="AE502" s="32">
        <v>421</v>
      </c>
      <c r="AF502" s="32">
        <v>7</v>
      </c>
      <c r="AG502" s="32">
        <v>11</v>
      </c>
    </row>
    <row r="503" spans="1:33">
      <c r="A503" s="32" t="s">
        <v>2019</v>
      </c>
      <c r="B503" s="32" t="s">
        <v>103</v>
      </c>
      <c r="C503" s="32" t="s">
        <v>2020</v>
      </c>
      <c r="D503" s="32" t="s">
        <v>2021</v>
      </c>
      <c r="E503" s="32" t="s">
        <v>2022</v>
      </c>
      <c r="F503" s="32" t="s">
        <v>2023</v>
      </c>
      <c r="G503" s="32" t="s">
        <v>1621</v>
      </c>
      <c r="H503" s="32" t="s">
        <v>1622</v>
      </c>
      <c r="I503" s="32" t="s">
        <v>198</v>
      </c>
      <c r="J503" s="32" t="s">
        <v>199</v>
      </c>
      <c r="K503" s="32">
        <v>1.9520949999999999</v>
      </c>
      <c r="L503" s="33">
        <v>1911</v>
      </c>
      <c r="M503" s="32">
        <v>522</v>
      </c>
      <c r="N503" s="32">
        <v>338</v>
      </c>
      <c r="O503" s="32">
        <v>497</v>
      </c>
      <c r="P503" s="32">
        <v>373</v>
      </c>
      <c r="Q503" s="32">
        <v>181</v>
      </c>
      <c r="R503" s="32">
        <v>2</v>
      </c>
      <c r="S503" s="32">
        <v>12.180300000000001</v>
      </c>
      <c r="T503" s="32">
        <v>0</v>
      </c>
      <c r="U503" s="32">
        <v>1.287619474</v>
      </c>
      <c r="V503" s="32">
        <v>3</v>
      </c>
      <c r="W503" s="32">
        <v>0.81019799999999997</v>
      </c>
      <c r="X503" s="32">
        <v>0.21962000000000001</v>
      </c>
      <c r="Y503" s="32">
        <v>0.6</v>
      </c>
      <c r="Z503" s="32">
        <v>0.32561299999999999</v>
      </c>
      <c r="AA503" s="32">
        <v>23.1</v>
      </c>
      <c r="AB503" s="32">
        <v>636</v>
      </c>
      <c r="AC503" s="32">
        <v>22</v>
      </c>
      <c r="AD503" s="32">
        <v>51</v>
      </c>
      <c r="AE503" s="32">
        <v>8</v>
      </c>
      <c r="AF503" s="32">
        <v>0</v>
      </c>
      <c r="AG503" s="32" t="s">
        <v>200</v>
      </c>
    </row>
    <row r="504" spans="1:33">
      <c r="A504" s="32" t="s">
        <v>2024</v>
      </c>
      <c r="B504" s="32" t="s">
        <v>103</v>
      </c>
      <c r="C504" s="32" t="s">
        <v>2025</v>
      </c>
      <c r="D504" s="32" t="s">
        <v>2026</v>
      </c>
      <c r="E504" s="32" t="s">
        <v>2022</v>
      </c>
      <c r="F504" s="32" t="s">
        <v>2023</v>
      </c>
      <c r="G504" s="32" t="s">
        <v>1621</v>
      </c>
      <c r="H504" s="32" t="s">
        <v>1622</v>
      </c>
      <c r="I504" s="32" t="s">
        <v>198</v>
      </c>
      <c r="J504" s="32" t="s">
        <v>199</v>
      </c>
      <c r="K504" s="32">
        <v>1.7272430000000001</v>
      </c>
      <c r="L504" s="33">
        <v>1551</v>
      </c>
      <c r="M504" s="32">
        <v>366</v>
      </c>
      <c r="N504" s="32">
        <v>273</v>
      </c>
      <c r="O504" s="32">
        <v>322</v>
      </c>
      <c r="P504" s="32">
        <v>392</v>
      </c>
      <c r="Q504" s="32">
        <v>198</v>
      </c>
      <c r="R504" s="32">
        <v>2</v>
      </c>
      <c r="S504" s="32">
        <v>9.2718799999999995</v>
      </c>
      <c r="T504" s="32">
        <v>1.6209199999999999</v>
      </c>
      <c r="U504" s="32">
        <v>1.202752729</v>
      </c>
      <c r="V504" s="32">
        <v>4</v>
      </c>
      <c r="W504" s="32">
        <v>0.80571000000000004</v>
      </c>
      <c r="X504" s="32">
        <v>2.5902000000000001E-2</v>
      </c>
      <c r="Y504" s="32">
        <v>0.6</v>
      </c>
      <c r="Z504" s="32">
        <v>0.29575200000000001</v>
      </c>
      <c r="AA504" s="32">
        <v>19.2</v>
      </c>
      <c r="AB504" s="32">
        <v>619</v>
      </c>
      <c r="AC504" s="32">
        <v>19</v>
      </c>
      <c r="AD504" s="32">
        <v>56</v>
      </c>
      <c r="AE504" s="32" t="s">
        <v>200</v>
      </c>
      <c r="AF504" s="32" t="s">
        <v>200</v>
      </c>
      <c r="AG504" s="32" t="s">
        <v>200</v>
      </c>
    </row>
    <row r="505" spans="1:33">
      <c r="A505" s="32" t="s">
        <v>2027</v>
      </c>
      <c r="B505" s="32" t="s">
        <v>103</v>
      </c>
      <c r="C505" s="32" t="s">
        <v>2028</v>
      </c>
      <c r="D505" s="32" t="s">
        <v>2029</v>
      </c>
      <c r="E505" s="32" t="s">
        <v>2022</v>
      </c>
      <c r="F505" s="32" t="s">
        <v>2023</v>
      </c>
      <c r="G505" s="32" t="s">
        <v>1621</v>
      </c>
      <c r="H505" s="32" t="s">
        <v>1622</v>
      </c>
      <c r="I505" s="32" t="s">
        <v>198</v>
      </c>
      <c r="J505" s="32" t="s">
        <v>199</v>
      </c>
      <c r="K505" s="32">
        <v>1.660226</v>
      </c>
      <c r="L505" s="33">
        <v>1650</v>
      </c>
      <c r="M505" s="32">
        <v>377</v>
      </c>
      <c r="N505" s="32">
        <v>269</v>
      </c>
      <c r="O505" s="32">
        <v>351</v>
      </c>
      <c r="P505" s="32">
        <v>386</v>
      </c>
      <c r="Q505" s="32">
        <v>267</v>
      </c>
      <c r="R505" s="32" t="s">
        <v>214</v>
      </c>
      <c r="S505" s="32">
        <v>2.3667199999999999</v>
      </c>
      <c r="T505" s="32">
        <v>0</v>
      </c>
      <c r="U505" s="32">
        <v>1.181026176</v>
      </c>
      <c r="V505" s="32">
        <v>6</v>
      </c>
      <c r="W505" s="32">
        <v>0.80032300000000001</v>
      </c>
      <c r="X505" s="32">
        <v>0.101059</v>
      </c>
      <c r="Y505" s="32">
        <v>0.53523200000000004</v>
      </c>
      <c r="Z505" s="32">
        <v>0.218805</v>
      </c>
      <c r="AA505" s="32">
        <v>22.4</v>
      </c>
      <c r="AB505" s="32">
        <v>741</v>
      </c>
      <c r="AC505" s="32">
        <v>17</v>
      </c>
      <c r="AD505" s="32">
        <v>62</v>
      </c>
      <c r="AE505" s="32" t="s">
        <v>200</v>
      </c>
      <c r="AF505" s="32">
        <v>0</v>
      </c>
      <c r="AG505" s="32">
        <v>5</v>
      </c>
    </row>
    <row r="506" spans="1:33">
      <c r="A506" s="32" t="s">
        <v>2030</v>
      </c>
      <c r="B506" s="32" t="s">
        <v>103</v>
      </c>
      <c r="C506" s="32" t="s">
        <v>2031</v>
      </c>
      <c r="D506" s="32" t="s">
        <v>2032</v>
      </c>
      <c r="E506" s="32" t="s">
        <v>2033</v>
      </c>
      <c r="F506" s="32" t="s">
        <v>2034</v>
      </c>
      <c r="G506" s="32" t="s">
        <v>1621</v>
      </c>
      <c r="H506" s="32" t="s">
        <v>1622</v>
      </c>
      <c r="I506" s="32" t="s">
        <v>198</v>
      </c>
      <c r="J506" s="32" t="s">
        <v>199</v>
      </c>
      <c r="K506" s="32">
        <v>2.3264680000000002</v>
      </c>
      <c r="L506" s="33">
        <v>2028</v>
      </c>
      <c r="M506" s="32">
        <v>510</v>
      </c>
      <c r="N506" s="32">
        <v>391</v>
      </c>
      <c r="O506" s="32">
        <v>441</v>
      </c>
      <c r="P506" s="32">
        <v>495</v>
      </c>
      <c r="Q506" s="32">
        <v>191</v>
      </c>
      <c r="R506" s="32" t="s">
        <v>225</v>
      </c>
      <c r="S506" s="32">
        <v>7.5681599999999998</v>
      </c>
      <c r="T506" s="32">
        <v>0</v>
      </c>
      <c r="U506" s="32">
        <v>1.209829979</v>
      </c>
      <c r="V506" s="32">
        <v>2</v>
      </c>
      <c r="W506" s="32">
        <v>0.80882299999999996</v>
      </c>
      <c r="X506" s="32">
        <v>0.29782199999999998</v>
      </c>
      <c r="Y506" s="32">
        <v>0.58183399999999996</v>
      </c>
      <c r="Z506" s="32">
        <v>0.633772</v>
      </c>
      <c r="AA506" s="32">
        <v>25</v>
      </c>
      <c r="AB506" s="32">
        <v>788</v>
      </c>
      <c r="AC506" s="32">
        <v>25</v>
      </c>
      <c r="AD506" s="32">
        <v>236</v>
      </c>
      <c r="AE506" s="32">
        <v>26</v>
      </c>
      <c r="AF506" s="32" t="s">
        <v>200</v>
      </c>
      <c r="AG506" s="32">
        <v>10</v>
      </c>
    </row>
    <row r="507" spans="1:33">
      <c r="A507" s="32" t="s">
        <v>2035</v>
      </c>
      <c r="B507" s="32" t="s">
        <v>103</v>
      </c>
      <c r="C507" s="32" t="s">
        <v>2036</v>
      </c>
      <c r="D507" s="32" t="s">
        <v>2037</v>
      </c>
      <c r="E507" s="32" t="s">
        <v>2033</v>
      </c>
      <c r="F507" s="32" t="s">
        <v>2034</v>
      </c>
      <c r="G507" s="32" t="s">
        <v>1621</v>
      </c>
      <c r="H507" s="32" t="s">
        <v>1622</v>
      </c>
      <c r="I507" s="32" t="s">
        <v>198</v>
      </c>
      <c r="J507" s="32" t="s">
        <v>199</v>
      </c>
      <c r="K507" s="32">
        <v>2.4027639999999999</v>
      </c>
      <c r="L507" s="33">
        <v>2293</v>
      </c>
      <c r="M507" s="32">
        <v>557</v>
      </c>
      <c r="N507" s="32">
        <v>406</v>
      </c>
      <c r="O507" s="32">
        <v>503</v>
      </c>
      <c r="P507" s="32">
        <v>544</v>
      </c>
      <c r="Q507" s="32">
        <v>283</v>
      </c>
      <c r="R507" s="32" t="s">
        <v>225</v>
      </c>
      <c r="S507" s="32">
        <v>11.3347</v>
      </c>
      <c r="T507" s="32">
        <v>0</v>
      </c>
      <c r="U507" s="32">
        <v>0.92975730700000003</v>
      </c>
      <c r="V507" s="32">
        <v>3</v>
      </c>
      <c r="W507" s="32">
        <v>0.80701699999999998</v>
      </c>
      <c r="X507" s="32">
        <v>0.26674900000000001</v>
      </c>
      <c r="Y507" s="32">
        <v>0.59617500000000001</v>
      </c>
      <c r="Z507" s="32">
        <v>0.73163</v>
      </c>
      <c r="AA507" s="32">
        <v>16.7</v>
      </c>
      <c r="AB507" s="32">
        <v>1030</v>
      </c>
      <c r="AC507" s="32">
        <v>31</v>
      </c>
      <c r="AD507" s="32">
        <v>374</v>
      </c>
      <c r="AE507" s="32">
        <v>235</v>
      </c>
      <c r="AF507" s="32" t="s">
        <v>200</v>
      </c>
      <c r="AG507" s="32">
        <v>8</v>
      </c>
    </row>
    <row r="508" spans="1:33">
      <c r="A508" s="32" t="s">
        <v>1752</v>
      </c>
      <c r="B508" s="32" t="s">
        <v>103</v>
      </c>
      <c r="C508" s="32" t="s">
        <v>1753</v>
      </c>
      <c r="D508" s="32" t="s">
        <v>1754</v>
      </c>
      <c r="E508" s="32" t="s">
        <v>1755</v>
      </c>
      <c r="F508" s="32" t="s">
        <v>1756</v>
      </c>
      <c r="G508" s="32" t="s">
        <v>1757</v>
      </c>
      <c r="H508" s="32" t="s">
        <v>1758</v>
      </c>
      <c r="I508" s="32" t="s">
        <v>198</v>
      </c>
      <c r="J508" s="32" t="s">
        <v>199</v>
      </c>
      <c r="K508" s="32">
        <v>2.8865400000000001</v>
      </c>
      <c r="L508" s="33">
        <v>1758</v>
      </c>
      <c r="M508" s="32">
        <v>430</v>
      </c>
      <c r="N508" s="32">
        <v>329</v>
      </c>
      <c r="O508" s="32">
        <v>406</v>
      </c>
      <c r="P508" s="32">
        <v>428</v>
      </c>
      <c r="Q508" s="32">
        <v>165</v>
      </c>
      <c r="R508" s="32" t="s">
        <v>225</v>
      </c>
      <c r="S508" s="32">
        <v>8.6355799999999991</v>
      </c>
      <c r="T508" s="32">
        <v>0</v>
      </c>
      <c r="U508" s="32">
        <v>1.009003995</v>
      </c>
      <c r="V508" s="32">
        <v>2</v>
      </c>
      <c r="W508" s="32">
        <v>0.91594699999999996</v>
      </c>
      <c r="X508" s="32">
        <v>0.41168700000000003</v>
      </c>
      <c r="Y508" s="32">
        <v>0.7</v>
      </c>
      <c r="Z508" s="32">
        <v>0.85018300000000002</v>
      </c>
      <c r="AA508" s="32">
        <v>66.5</v>
      </c>
      <c r="AB508" s="32">
        <v>465</v>
      </c>
      <c r="AC508" s="32">
        <v>42</v>
      </c>
      <c r="AD508" s="32">
        <v>252</v>
      </c>
      <c r="AE508" s="32">
        <v>37</v>
      </c>
      <c r="AF508" s="32">
        <v>18</v>
      </c>
      <c r="AG508" s="32">
        <v>37</v>
      </c>
    </row>
    <row r="509" spans="1:33">
      <c r="A509" s="32" t="s">
        <v>2038</v>
      </c>
      <c r="B509" s="32" t="s">
        <v>103</v>
      </c>
      <c r="C509" s="32" t="s">
        <v>2039</v>
      </c>
      <c r="D509" s="32" t="s">
        <v>2040</v>
      </c>
      <c r="E509" s="32" t="s">
        <v>1825</v>
      </c>
      <c r="F509" s="32" t="s">
        <v>1826</v>
      </c>
      <c r="G509" s="32" t="s">
        <v>1606</v>
      </c>
      <c r="H509" s="32" t="s">
        <v>1607</v>
      </c>
      <c r="I509" s="32" t="s">
        <v>198</v>
      </c>
      <c r="J509" s="32" t="s">
        <v>199</v>
      </c>
      <c r="K509" s="32">
        <v>2.6019000000000001</v>
      </c>
      <c r="L509" s="33">
        <v>1644</v>
      </c>
      <c r="M509" s="32">
        <v>535</v>
      </c>
      <c r="N509" s="32">
        <v>265</v>
      </c>
      <c r="O509" s="32">
        <v>465</v>
      </c>
      <c r="P509" s="32">
        <v>290</v>
      </c>
      <c r="Q509" s="32">
        <v>89</v>
      </c>
      <c r="R509" s="32">
        <v>2</v>
      </c>
      <c r="S509" s="32">
        <v>9.6203299999999992</v>
      </c>
      <c r="T509" s="32">
        <v>0</v>
      </c>
      <c r="U509" s="32">
        <v>0.99311933500000005</v>
      </c>
      <c r="V509" s="32">
        <v>2</v>
      </c>
      <c r="W509" s="32">
        <v>0.90142500000000003</v>
      </c>
      <c r="X509" s="32">
        <v>6.7618999999999999E-2</v>
      </c>
      <c r="Y509" s="32">
        <v>0.7</v>
      </c>
      <c r="Z509" s="32">
        <v>0.93167800000000001</v>
      </c>
      <c r="AA509" s="32">
        <v>61.7</v>
      </c>
      <c r="AB509" s="32">
        <v>332</v>
      </c>
      <c r="AC509" s="32">
        <v>11</v>
      </c>
      <c r="AD509" s="32">
        <v>24</v>
      </c>
      <c r="AE509" s="32" t="s">
        <v>200</v>
      </c>
      <c r="AF509" s="32">
        <v>0</v>
      </c>
      <c r="AG509" s="32">
        <v>0</v>
      </c>
    </row>
    <row r="510" spans="1:33">
      <c r="A510" s="32" t="s">
        <v>1358</v>
      </c>
      <c r="B510" s="32" t="s">
        <v>68</v>
      </c>
      <c r="C510" s="32" t="s">
        <v>1359</v>
      </c>
      <c r="D510" s="32" t="s">
        <v>1360</v>
      </c>
      <c r="E510" s="32" t="s">
        <v>1361</v>
      </c>
      <c r="F510" s="32" t="s">
        <v>1362</v>
      </c>
      <c r="G510" s="32" t="s">
        <v>300</v>
      </c>
      <c r="H510" s="32" t="s">
        <v>301</v>
      </c>
      <c r="I510" s="32" t="s">
        <v>198</v>
      </c>
      <c r="J510" s="32" t="s">
        <v>199</v>
      </c>
      <c r="K510" s="32">
        <v>3.1704349999999999</v>
      </c>
      <c r="L510" s="33">
        <v>2378</v>
      </c>
      <c r="M510" s="32">
        <v>648</v>
      </c>
      <c r="N510" s="32">
        <v>563</v>
      </c>
      <c r="O510" s="32">
        <v>811</v>
      </c>
      <c r="P510" s="32">
        <v>277</v>
      </c>
      <c r="Q510" s="32">
        <v>79</v>
      </c>
      <c r="R510" s="32">
        <v>4</v>
      </c>
      <c r="S510" s="32">
        <v>23.306999999999999</v>
      </c>
      <c r="T510" s="32">
        <v>10.424200000000001</v>
      </c>
      <c r="U510" s="32">
        <v>0.65766641299999995</v>
      </c>
      <c r="V510" s="32">
        <v>2</v>
      </c>
      <c r="W510" s="32">
        <v>0.96782599999999996</v>
      </c>
      <c r="X510" s="32">
        <v>0.56758600000000003</v>
      </c>
      <c r="Y510" s="32">
        <v>0.63545600000000002</v>
      </c>
      <c r="Z510" s="32">
        <v>1</v>
      </c>
      <c r="AA510" s="32">
        <v>72.099999999999994</v>
      </c>
      <c r="AB510" s="32">
        <v>340</v>
      </c>
      <c r="AC510" s="32">
        <v>18</v>
      </c>
      <c r="AD510" s="32">
        <v>31</v>
      </c>
      <c r="AE510" s="32">
        <v>0</v>
      </c>
      <c r="AF510" s="32" t="s">
        <v>200</v>
      </c>
      <c r="AG510" s="32" t="s">
        <v>200</v>
      </c>
    </row>
    <row r="511" spans="1:33">
      <c r="A511" s="32" t="s">
        <v>2041</v>
      </c>
      <c r="B511" s="32" t="s">
        <v>68</v>
      </c>
      <c r="C511" s="32" t="s">
        <v>2042</v>
      </c>
      <c r="D511" s="32" t="s">
        <v>2043</v>
      </c>
      <c r="E511" s="32" t="s">
        <v>320</v>
      </c>
      <c r="F511" s="32" t="s">
        <v>321</v>
      </c>
      <c r="G511" s="32" t="s">
        <v>300</v>
      </c>
      <c r="H511" s="32" t="s">
        <v>301</v>
      </c>
      <c r="I511" s="32" t="s">
        <v>198</v>
      </c>
      <c r="J511" s="32" t="s">
        <v>199</v>
      </c>
      <c r="K511" s="32">
        <v>2.7711160000000001</v>
      </c>
      <c r="L511" s="33">
        <v>3342</v>
      </c>
      <c r="M511" s="32">
        <v>504</v>
      </c>
      <c r="N511" s="32">
        <v>888</v>
      </c>
      <c r="O511" s="33">
        <v>1333</v>
      </c>
      <c r="P511" s="32">
        <v>499</v>
      </c>
      <c r="Q511" s="32">
        <v>118</v>
      </c>
      <c r="R511" s="32">
        <v>5</v>
      </c>
      <c r="S511" s="32">
        <v>28.668900000000001</v>
      </c>
      <c r="T511" s="32">
        <v>10.766500000000001</v>
      </c>
      <c r="U511" s="32">
        <v>0.63681730000000003</v>
      </c>
      <c r="V511" s="32">
        <v>5</v>
      </c>
      <c r="W511" s="32">
        <v>0.96832700000000005</v>
      </c>
      <c r="X511" s="32">
        <v>0.20315</v>
      </c>
      <c r="Y511" s="32">
        <v>0.6</v>
      </c>
      <c r="Z511" s="32">
        <v>1</v>
      </c>
      <c r="AA511" s="32">
        <v>33.9</v>
      </c>
      <c r="AB511" s="32">
        <v>439</v>
      </c>
      <c r="AC511" s="32">
        <v>32</v>
      </c>
      <c r="AD511" s="32">
        <v>14</v>
      </c>
      <c r="AE511" s="32">
        <v>0</v>
      </c>
      <c r="AF511" s="32">
        <v>13</v>
      </c>
      <c r="AG511" s="32" t="s">
        <v>200</v>
      </c>
    </row>
    <row r="512" spans="1:33">
      <c r="A512" s="32" t="s">
        <v>2044</v>
      </c>
      <c r="B512" s="32" t="s">
        <v>68</v>
      </c>
      <c r="C512" s="32" t="s">
        <v>2045</v>
      </c>
      <c r="D512" s="32" t="s">
        <v>2046</v>
      </c>
      <c r="E512" s="32" t="s">
        <v>320</v>
      </c>
      <c r="F512" s="32" t="s">
        <v>321</v>
      </c>
      <c r="G512" s="32" t="s">
        <v>300</v>
      </c>
      <c r="H512" s="32" t="s">
        <v>301</v>
      </c>
      <c r="I512" s="32" t="s">
        <v>198</v>
      </c>
      <c r="J512" s="32" t="s">
        <v>199</v>
      </c>
      <c r="K512" s="32">
        <v>2.863448</v>
      </c>
      <c r="L512" s="33">
        <v>1807</v>
      </c>
      <c r="M512" s="32">
        <v>390</v>
      </c>
      <c r="N512" s="32">
        <v>370</v>
      </c>
      <c r="O512" s="32">
        <v>554</v>
      </c>
      <c r="P512" s="32">
        <v>364</v>
      </c>
      <c r="Q512" s="32">
        <v>129</v>
      </c>
      <c r="R512" s="32" t="s">
        <v>302</v>
      </c>
      <c r="S512" s="32">
        <v>34.661900000000003</v>
      </c>
      <c r="T512" s="32">
        <v>22.934100000000001</v>
      </c>
      <c r="U512" s="32">
        <v>0.902421268</v>
      </c>
      <c r="V512" s="32">
        <v>2</v>
      </c>
      <c r="W512" s="32">
        <v>0.94551700000000005</v>
      </c>
      <c r="X512" s="32">
        <v>0.27152799999999999</v>
      </c>
      <c r="Y512" s="32">
        <v>0.62</v>
      </c>
      <c r="Z512" s="32">
        <v>1</v>
      </c>
      <c r="AA512" s="32">
        <v>67.8</v>
      </c>
      <c r="AB512" s="32">
        <v>247</v>
      </c>
      <c r="AC512" s="32">
        <v>10</v>
      </c>
      <c r="AD512" s="32">
        <v>14</v>
      </c>
      <c r="AE512" s="32">
        <v>0</v>
      </c>
      <c r="AF512" s="32" t="s">
        <v>200</v>
      </c>
      <c r="AG512" s="32" t="s">
        <v>200</v>
      </c>
    </row>
    <row r="513" spans="1:33">
      <c r="A513" s="32" t="s">
        <v>2047</v>
      </c>
      <c r="B513" s="32" t="s">
        <v>68</v>
      </c>
      <c r="C513" s="32" t="s">
        <v>2048</v>
      </c>
      <c r="D513" s="32" t="s">
        <v>2049</v>
      </c>
      <c r="E513" s="32" t="s">
        <v>325</v>
      </c>
      <c r="F513" s="32" t="s">
        <v>326</v>
      </c>
      <c r="G513" s="32" t="s">
        <v>300</v>
      </c>
      <c r="H513" s="32" t="s">
        <v>301</v>
      </c>
      <c r="I513" s="32" t="s">
        <v>198</v>
      </c>
      <c r="J513" s="32" t="s">
        <v>199</v>
      </c>
      <c r="K513" s="32">
        <v>2.9332539999999998</v>
      </c>
      <c r="L513" s="33">
        <v>1916</v>
      </c>
      <c r="M513" s="32">
        <v>448</v>
      </c>
      <c r="N513" s="32">
        <v>400</v>
      </c>
      <c r="O513" s="32">
        <v>531</v>
      </c>
      <c r="P513" s="32">
        <v>352</v>
      </c>
      <c r="Q513" s="32">
        <v>185</v>
      </c>
      <c r="R513" s="32">
        <v>3</v>
      </c>
      <c r="S513" s="32">
        <v>22.793299999999999</v>
      </c>
      <c r="T513" s="32">
        <v>7.3841000000000001</v>
      </c>
      <c r="U513" s="32">
        <v>0.96940461700000002</v>
      </c>
      <c r="V513" s="32">
        <v>2</v>
      </c>
      <c r="W513" s="32">
        <v>0.94346799999999997</v>
      </c>
      <c r="X513" s="32">
        <v>0.31990400000000002</v>
      </c>
      <c r="Y513" s="32">
        <v>0.65261899999999995</v>
      </c>
      <c r="Z513" s="32">
        <v>1</v>
      </c>
      <c r="AA513" s="32">
        <v>63.2</v>
      </c>
      <c r="AB513" s="32">
        <v>265</v>
      </c>
      <c r="AC513" s="32">
        <v>12</v>
      </c>
      <c r="AD513" s="32" t="s">
        <v>200</v>
      </c>
      <c r="AE513" s="32" t="s">
        <v>200</v>
      </c>
      <c r="AF513" s="32">
        <v>0</v>
      </c>
      <c r="AG513" s="32" t="s">
        <v>200</v>
      </c>
    </row>
    <row r="514" spans="1:33">
      <c r="A514" s="32" t="s">
        <v>2050</v>
      </c>
      <c r="B514" s="32" t="s">
        <v>68</v>
      </c>
      <c r="C514" s="32" t="s">
        <v>2051</v>
      </c>
      <c r="D514" s="32" t="s">
        <v>2052</v>
      </c>
      <c r="E514" s="32" t="s">
        <v>325</v>
      </c>
      <c r="F514" s="32" t="s">
        <v>326</v>
      </c>
      <c r="G514" s="32" t="s">
        <v>300</v>
      </c>
      <c r="H514" s="32" t="s">
        <v>301</v>
      </c>
      <c r="I514" s="32" t="s">
        <v>198</v>
      </c>
      <c r="J514" s="32" t="s">
        <v>199</v>
      </c>
      <c r="K514" s="32">
        <v>2.792141</v>
      </c>
      <c r="L514" s="33">
        <v>2414</v>
      </c>
      <c r="M514" s="32">
        <v>729</v>
      </c>
      <c r="N514" s="32">
        <v>512</v>
      </c>
      <c r="O514" s="32">
        <v>634</v>
      </c>
      <c r="P514" s="32">
        <v>375</v>
      </c>
      <c r="Q514" s="32">
        <v>164</v>
      </c>
      <c r="R514" s="32">
        <v>4</v>
      </c>
      <c r="S514" s="32">
        <v>21.882400000000001</v>
      </c>
      <c r="T514" s="32">
        <v>10.2028</v>
      </c>
      <c r="U514" s="32">
        <v>1.0419497230000001</v>
      </c>
      <c r="V514" s="32">
        <v>3</v>
      </c>
      <c r="W514" s="32">
        <v>0.92276400000000003</v>
      </c>
      <c r="X514" s="32">
        <v>0.26047700000000001</v>
      </c>
      <c r="Y514" s="32">
        <v>0.62299499999999997</v>
      </c>
      <c r="Z514" s="32">
        <v>1</v>
      </c>
      <c r="AA514" s="32">
        <v>66.8</v>
      </c>
      <c r="AB514" s="32">
        <v>331</v>
      </c>
      <c r="AC514" s="32">
        <v>7</v>
      </c>
      <c r="AD514" s="32">
        <v>7</v>
      </c>
      <c r="AE514" s="32">
        <v>0</v>
      </c>
      <c r="AF514" s="32" t="s">
        <v>200</v>
      </c>
      <c r="AG514" s="32" t="s">
        <v>200</v>
      </c>
    </row>
    <row r="515" spans="1:33">
      <c r="A515" s="32" t="s">
        <v>2053</v>
      </c>
      <c r="B515" s="32" t="s">
        <v>68</v>
      </c>
      <c r="C515" s="32" t="s">
        <v>2054</v>
      </c>
      <c r="D515" s="32" t="s">
        <v>2055</v>
      </c>
      <c r="E515" s="32" t="s">
        <v>320</v>
      </c>
      <c r="F515" s="32" t="s">
        <v>321</v>
      </c>
      <c r="G515" s="32" t="s">
        <v>300</v>
      </c>
      <c r="H515" s="32" t="s">
        <v>301</v>
      </c>
      <c r="I515" s="32" t="s">
        <v>198</v>
      </c>
      <c r="J515" s="32" t="s">
        <v>199</v>
      </c>
      <c r="K515" s="32">
        <v>2.6012819999999999</v>
      </c>
      <c r="L515" s="33">
        <v>1673</v>
      </c>
      <c r="M515" s="32">
        <v>286</v>
      </c>
      <c r="N515" s="32">
        <v>261</v>
      </c>
      <c r="O515" s="32">
        <v>464</v>
      </c>
      <c r="P515" s="32">
        <v>448</v>
      </c>
      <c r="Q515" s="32">
        <v>214</v>
      </c>
      <c r="R515" s="32">
        <v>4</v>
      </c>
      <c r="S515" s="32">
        <v>25.058700000000002</v>
      </c>
      <c r="T515" s="32">
        <v>12.2136</v>
      </c>
      <c r="U515" s="32">
        <v>0.75481148899999995</v>
      </c>
      <c r="V515" s="32">
        <v>4</v>
      </c>
      <c r="W515" s="32">
        <v>0.95448699999999997</v>
      </c>
      <c r="X515" s="32">
        <v>2.6229999999999999E-3</v>
      </c>
      <c r="Y515" s="32">
        <v>0.64019300000000001</v>
      </c>
      <c r="Z515" s="32">
        <v>1</v>
      </c>
      <c r="AA515" s="32">
        <v>37</v>
      </c>
      <c r="AB515" s="32">
        <v>341</v>
      </c>
      <c r="AC515" s="32">
        <v>11</v>
      </c>
      <c r="AD515" s="32">
        <v>6</v>
      </c>
      <c r="AE515" s="32">
        <v>0</v>
      </c>
      <c r="AF515" s="32">
        <v>0</v>
      </c>
      <c r="AG515" s="32">
        <v>7</v>
      </c>
    </row>
    <row r="516" spans="1:33">
      <c r="A516" s="32" t="s">
        <v>2056</v>
      </c>
      <c r="B516" s="32" t="s">
        <v>68</v>
      </c>
      <c r="C516" s="32" t="s">
        <v>2057</v>
      </c>
      <c r="D516" s="32" t="s">
        <v>2058</v>
      </c>
      <c r="E516" s="32" t="s">
        <v>2059</v>
      </c>
      <c r="F516" s="32" t="s">
        <v>2060</v>
      </c>
      <c r="G516" s="32" t="s">
        <v>300</v>
      </c>
      <c r="H516" s="32" t="s">
        <v>301</v>
      </c>
      <c r="I516" s="32" t="s">
        <v>198</v>
      </c>
      <c r="J516" s="32" t="s">
        <v>199</v>
      </c>
      <c r="K516" s="32">
        <v>2.9891269999999999</v>
      </c>
      <c r="L516" s="33">
        <v>1952</v>
      </c>
      <c r="M516" s="32">
        <v>233</v>
      </c>
      <c r="N516" s="32">
        <v>451</v>
      </c>
      <c r="O516" s="32">
        <v>767</v>
      </c>
      <c r="P516" s="32">
        <v>419</v>
      </c>
      <c r="Q516" s="32">
        <v>82</v>
      </c>
      <c r="R516" s="32">
        <v>5</v>
      </c>
      <c r="S516" s="32">
        <v>34.0471</v>
      </c>
      <c r="T516" s="32">
        <v>12.502000000000001</v>
      </c>
      <c r="U516" s="32">
        <v>0.29915197599999999</v>
      </c>
      <c r="V516" s="32">
        <v>9</v>
      </c>
      <c r="W516" s="32">
        <v>0.94242199999999998</v>
      </c>
      <c r="X516" s="32">
        <v>0.357825</v>
      </c>
      <c r="Y516" s="32">
        <v>0.69810399999999995</v>
      </c>
      <c r="Z516" s="32">
        <v>1</v>
      </c>
      <c r="AA516" s="32">
        <v>39</v>
      </c>
      <c r="AB516" s="32">
        <v>299</v>
      </c>
      <c r="AC516" s="32">
        <v>18</v>
      </c>
      <c r="AD516" s="32">
        <v>77</v>
      </c>
      <c r="AE516" s="32">
        <v>11</v>
      </c>
      <c r="AF516" s="32">
        <v>0</v>
      </c>
      <c r="AG516" s="32" t="s">
        <v>200</v>
      </c>
    </row>
    <row r="517" spans="1:33">
      <c r="A517" s="32" t="s">
        <v>2061</v>
      </c>
      <c r="B517" s="32" t="s">
        <v>68</v>
      </c>
      <c r="C517" s="32" t="s">
        <v>2062</v>
      </c>
      <c r="D517" s="32" t="s">
        <v>2063</v>
      </c>
      <c r="E517" s="32" t="s">
        <v>2064</v>
      </c>
      <c r="F517" s="32" t="s">
        <v>2065</v>
      </c>
      <c r="G517" s="32" t="s">
        <v>300</v>
      </c>
      <c r="H517" s="32" t="s">
        <v>301</v>
      </c>
      <c r="I517" s="32" t="s">
        <v>198</v>
      </c>
      <c r="J517" s="32" t="s">
        <v>199</v>
      </c>
      <c r="K517" s="32">
        <v>2.6833330000000002</v>
      </c>
      <c r="L517" s="33">
        <v>1869</v>
      </c>
      <c r="M517" s="32">
        <v>228</v>
      </c>
      <c r="N517" s="32">
        <v>447</v>
      </c>
      <c r="O517" s="32">
        <v>768</v>
      </c>
      <c r="P517" s="32">
        <v>363</v>
      </c>
      <c r="Q517" s="32">
        <v>63</v>
      </c>
      <c r="R517" s="32">
        <v>4</v>
      </c>
      <c r="S517" s="32">
        <v>22.008900000000001</v>
      </c>
      <c r="T517" s="32">
        <v>12.4971</v>
      </c>
      <c r="U517" s="32">
        <v>0.58269889699999999</v>
      </c>
      <c r="V517" s="32">
        <v>7</v>
      </c>
      <c r="W517" s="32">
        <v>0.98796300000000004</v>
      </c>
      <c r="X517" s="32">
        <v>0.114692</v>
      </c>
      <c r="Y517" s="32">
        <v>0.6</v>
      </c>
      <c r="Z517" s="32">
        <v>0.99906099999999998</v>
      </c>
      <c r="AA517" s="32">
        <v>33.4</v>
      </c>
      <c r="AB517" s="32">
        <v>216</v>
      </c>
      <c r="AC517" s="32">
        <v>13</v>
      </c>
      <c r="AD517" s="32">
        <v>9</v>
      </c>
      <c r="AE517" s="32">
        <v>0</v>
      </c>
      <c r="AF517" s="32">
        <v>0</v>
      </c>
      <c r="AG517" s="32" t="s">
        <v>200</v>
      </c>
    </row>
    <row r="518" spans="1:33">
      <c r="A518" s="32" t="s">
        <v>2066</v>
      </c>
      <c r="B518" s="32" t="s">
        <v>68</v>
      </c>
      <c r="C518" s="32" t="s">
        <v>2067</v>
      </c>
      <c r="D518" s="32" t="s">
        <v>2068</v>
      </c>
      <c r="E518" s="32" t="s">
        <v>2064</v>
      </c>
      <c r="F518" s="32" t="s">
        <v>2065</v>
      </c>
      <c r="G518" s="32" t="s">
        <v>300</v>
      </c>
      <c r="H518" s="32" t="s">
        <v>301</v>
      </c>
      <c r="I518" s="32" t="s">
        <v>198</v>
      </c>
      <c r="J518" s="32" t="s">
        <v>199</v>
      </c>
      <c r="K518" s="32">
        <v>3.0197449999999999</v>
      </c>
      <c r="L518" s="33">
        <v>1564</v>
      </c>
      <c r="M518" s="32">
        <v>231</v>
      </c>
      <c r="N518" s="32">
        <v>363</v>
      </c>
      <c r="O518" s="32">
        <v>538</v>
      </c>
      <c r="P518" s="32">
        <v>349</v>
      </c>
      <c r="Q518" s="32">
        <v>83</v>
      </c>
      <c r="R518" s="32">
        <v>5</v>
      </c>
      <c r="S518" s="32">
        <v>28.9071</v>
      </c>
      <c r="T518" s="32">
        <v>18.386299999999999</v>
      </c>
      <c r="U518" s="32">
        <v>0.51614761099999995</v>
      </c>
      <c r="V518" s="32">
        <v>5</v>
      </c>
      <c r="W518" s="32">
        <v>0.99585999999999997</v>
      </c>
      <c r="X518" s="32">
        <v>0.48580400000000001</v>
      </c>
      <c r="Y518" s="32">
        <v>0.6</v>
      </c>
      <c r="Z518" s="32">
        <v>0.98089199999999999</v>
      </c>
      <c r="AA518" s="32">
        <v>46.8</v>
      </c>
      <c r="AB518" s="32">
        <v>249</v>
      </c>
      <c r="AC518" s="32">
        <v>42</v>
      </c>
      <c r="AD518" s="32">
        <v>6</v>
      </c>
      <c r="AE518" s="32">
        <v>0</v>
      </c>
      <c r="AF518" s="32">
        <v>0</v>
      </c>
      <c r="AG518" s="32" t="s">
        <v>200</v>
      </c>
    </row>
    <row r="519" spans="1:33">
      <c r="A519" s="32" t="s">
        <v>2069</v>
      </c>
      <c r="B519" s="32" t="s">
        <v>68</v>
      </c>
      <c r="C519" s="32" t="s">
        <v>2070</v>
      </c>
      <c r="D519" s="32" t="s">
        <v>2071</v>
      </c>
      <c r="E519" s="32" t="s">
        <v>1361</v>
      </c>
      <c r="F519" s="32" t="s">
        <v>1362</v>
      </c>
      <c r="G519" s="32" t="s">
        <v>300</v>
      </c>
      <c r="H519" s="32" t="s">
        <v>301</v>
      </c>
      <c r="I519" s="32" t="s">
        <v>198</v>
      </c>
      <c r="J519" s="32" t="s">
        <v>199</v>
      </c>
      <c r="K519" s="32">
        <v>2.8254049999999999</v>
      </c>
      <c r="L519" s="33">
        <v>1876</v>
      </c>
      <c r="M519" s="32">
        <v>264</v>
      </c>
      <c r="N519" s="32">
        <v>524</v>
      </c>
      <c r="O519" s="32">
        <v>706</v>
      </c>
      <c r="P519" s="32">
        <v>298</v>
      </c>
      <c r="Q519" s="32">
        <v>84</v>
      </c>
      <c r="R519" s="32">
        <v>4</v>
      </c>
      <c r="S519" s="32">
        <v>25.962700000000002</v>
      </c>
      <c r="T519" s="32">
        <v>9.5419499999999999</v>
      </c>
      <c r="U519" s="32">
        <v>0.50317256200000005</v>
      </c>
      <c r="V519" s="32">
        <v>6</v>
      </c>
      <c r="W519" s="32">
        <v>0.92024300000000003</v>
      </c>
      <c r="X519" s="32">
        <v>0.203462</v>
      </c>
      <c r="Y519" s="32">
        <v>0.69928500000000005</v>
      </c>
      <c r="Z519" s="32">
        <v>1</v>
      </c>
      <c r="AA519" s="32">
        <v>44.3</v>
      </c>
      <c r="AB519" s="32">
        <v>222</v>
      </c>
      <c r="AC519" s="32">
        <v>21</v>
      </c>
      <c r="AD519" s="32">
        <v>8</v>
      </c>
      <c r="AE519" s="32">
        <v>0</v>
      </c>
      <c r="AF519" s="32">
        <v>0</v>
      </c>
      <c r="AG519" s="32" t="s">
        <v>200</v>
      </c>
    </row>
    <row r="520" spans="1:33">
      <c r="A520" s="32" t="s">
        <v>2072</v>
      </c>
      <c r="B520" s="32" t="s">
        <v>69</v>
      </c>
      <c r="C520" s="32" t="s">
        <v>2073</v>
      </c>
      <c r="D520" s="32" t="s">
        <v>2074</v>
      </c>
      <c r="E520" s="32" t="s">
        <v>2075</v>
      </c>
      <c r="F520" s="32" t="s">
        <v>2076</v>
      </c>
      <c r="G520" s="32" t="s">
        <v>2077</v>
      </c>
      <c r="H520" s="32" t="s">
        <v>2078</v>
      </c>
      <c r="I520" s="32" t="s">
        <v>198</v>
      </c>
      <c r="J520" s="32" t="s">
        <v>199</v>
      </c>
      <c r="K520" s="32">
        <v>2.796646</v>
      </c>
      <c r="L520" s="33">
        <v>1759</v>
      </c>
      <c r="M520" s="32">
        <v>355</v>
      </c>
      <c r="N520" s="32">
        <v>380</v>
      </c>
      <c r="O520" s="32">
        <v>586</v>
      </c>
      <c r="P520" s="32">
        <v>285</v>
      </c>
      <c r="Q520" s="32">
        <v>153</v>
      </c>
      <c r="R520" s="32">
        <v>4</v>
      </c>
      <c r="S520" s="32">
        <v>22.944700000000001</v>
      </c>
      <c r="T520" s="32">
        <v>4.7939800000000004</v>
      </c>
      <c r="U520" s="32">
        <v>0.54600104299999996</v>
      </c>
      <c r="V520" s="32">
        <v>4</v>
      </c>
      <c r="W520" s="32">
        <v>0.91701900000000003</v>
      </c>
      <c r="X520" s="32">
        <v>0.31616899999999998</v>
      </c>
      <c r="Y520" s="32">
        <v>0.60037099999999999</v>
      </c>
      <c r="Z520" s="32">
        <v>0.968642</v>
      </c>
      <c r="AA520" s="32">
        <v>28.5</v>
      </c>
      <c r="AB520" s="32">
        <v>409</v>
      </c>
      <c r="AC520" s="32">
        <v>14</v>
      </c>
      <c r="AD520" s="32">
        <v>73</v>
      </c>
      <c r="AE520" s="32" t="s">
        <v>200</v>
      </c>
      <c r="AF520" s="32">
        <v>0</v>
      </c>
      <c r="AG520" s="32" t="s">
        <v>200</v>
      </c>
    </row>
    <row r="521" spans="1:33">
      <c r="A521" s="32" t="s">
        <v>2079</v>
      </c>
      <c r="B521" s="32" t="s">
        <v>69</v>
      </c>
      <c r="C521" s="32" t="s">
        <v>2080</v>
      </c>
      <c r="D521" s="32" t="s">
        <v>2081</v>
      </c>
      <c r="E521" s="32" t="s">
        <v>2082</v>
      </c>
      <c r="F521" s="32" t="s">
        <v>2083</v>
      </c>
      <c r="G521" s="32" t="s">
        <v>2077</v>
      </c>
      <c r="H521" s="32" t="s">
        <v>2078</v>
      </c>
      <c r="I521" s="32" t="s">
        <v>198</v>
      </c>
      <c r="J521" s="32" t="s">
        <v>199</v>
      </c>
      <c r="K521" s="32">
        <v>2.8289580000000001</v>
      </c>
      <c r="L521" s="33">
        <v>2945</v>
      </c>
      <c r="M521" s="32">
        <v>592</v>
      </c>
      <c r="N521" s="32">
        <v>749</v>
      </c>
      <c r="O521" s="32">
        <v>874</v>
      </c>
      <c r="P521" s="32">
        <v>504</v>
      </c>
      <c r="Q521" s="32">
        <v>226</v>
      </c>
      <c r="R521" s="32">
        <v>2</v>
      </c>
      <c r="S521" s="32">
        <v>27.063600000000001</v>
      </c>
      <c r="T521" s="32">
        <v>0</v>
      </c>
      <c r="U521" s="32">
        <v>0.94329411600000002</v>
      </c>
      <c r="V521" s="32">
        <v>2</v>
      </c>
      <c r="W521" s="32">
        <v>0.91776100000000005</v>
      </c>
      <c r="X521" s="32">
        <v>0.29300500000000002</v>
      </c>
      <c r="Y521" s="32">
        <v>0.62024299999999999</v>
      </c>
      <c r="Z521" s="32">
        <v>0.99809599999999998</v>
      </c>
      <c r="AA521" s="32">
        <v>40.200000000000003</v>
      </c>
      <c r="AB521" s="32">
        <v>628</v>
      </c>
      <c r="AC521" s="32">
        <v>42</v>
      </c>
      <c r="AD521" s="32">
        <v>120</v>
      </c>
      <c r="AE521" s="32">
        <v>45</v>
      </c>
      <c r="AF521" s="32">
        <v>8</v>
      </c>
      <c r="AG521" s="32">
        <v>53</v>
      </c>
    </row>
    <row r="522" spans="1:33">
      <c r="A522" s="32" t="s">
        <v>2084</v>
      </c>
      <c r="B522" s="32" t="s">
        <v>69</v>
      </c>
      <c r="C522" s="32" t="s">
        <v>2085</v>
      </c>
      <c r="D522" s="32" t="s">
        <v>2086</v>
      </c>
      <c r="E522" s="32" t="s">
        <v>2075</v>
      </c>
      <c r="F522" s="32" t="s">
        <v>2076</v>
      </c>
      <c r="G522" s="32" t="s">
        <v>2077</v>
      </c>
      <c r="H522" s="32" t="s">
        <v>2078</v>
      </c>
      <c r="I522" s="32" t="s">
        <v>198</v>
      </c>
      <c r="J522" s="32" t="s">
        <v>199</v>
      </c>
      <c r="K522" s="32">
        <v>2.65971</v>
      </c>
      <c r="L522" s="33">
        <v>2093</v>
      </c>
      <c r="M522" s="32">
        <v>394</v>
      </c>
      <c r="N522" s="32">
        <v>565</v>
      </c>
      <c r="O522" s="32">
        <v>624</v>
      </c>
      <c r="P522" s="32">
        <v>377</v>
      </c>
      <c r="Q522" s="32">
        <v>133</v>
      </c>
      <c r="R522" s="32">
        <v>4</v>
      </c>
      <c r="S522" s="32">
        <v>24.013500000000001</v>
      </c>
      <c r="T522" s="32">
        <v>11.209</v>
      </c>
      <c r="U522" s="32">
        <v>0.61772773999999997</v>
      </c>
      <c r="V522" s="32">
        <v>6</v>
      </c>
      <c r="W522" s="32">
        <v>0.91778599999999999</v>
      </c>
      <c r="X522" s="32">
        <v>0.26142599999999999</v>
      </c>
      <c r="Y522" s="32">
        <v>0.60127699999999995</v>
      </c>
      <c r="Z522" s="32">
        <v>0.87696499999999999</v>
      </c>
      <c r="AA522" s="32">
        <v>24.3</v>
      </c>
      <c r="AB522" s="32">
        <v>409</v>
      </c>
      <c r="AC522" s="32">
        <v>13</v>
      </c>
      <c r="AD522" s="32">
        <v>16</v>
      </c>
      <c r="AE522" s="32" t="s">
        <v>200</v>
      </c>
      <c r="AF522" s="32">
        <v>0</v>
      </c>
      <c r="AG522" s="32" t="s">
        <v>200</v>
      </c>
    </row>
    <row r="523" spans="1:33">
      <c r="A523" s="32" t="s">
        <v>2087</v>
      </c>
      <c r="B523" s="32" t="s">
        <v>69</v>
      </c>
      <c r="C523" s="32" t="s">
        <v>2088</v>
      </c>
      <c r="D523" s="32" t="s">
        <v>2089</v>
      </c>
      <c r="E523" s="32" t="s">
        <v>2090</v>
      </c>
      <c r="F523" s="32" t="s">
        <v>2091</v>
      </c>
      <c r="G523" s="32" t="s">
        <v>2077</v>
      </c>
      <c r="H523" s="32" t="s">
        <v>2078</v>
      </c>
      <c r="I523" s="32" t="s">
        <v>198</v>
      </c>
      <c r="J523" s="32" t="s">
        <v>199</v>
      </c>
      <c r="K523" s="32">
        <v>2.585833</v>
      </c>
      <c r="L523" s="33">
        <v>1870</v>
      </c>
      <c r="M523" s="32">
        <v>436</v>
      </c>
      <c r="N523" s="32">
        <v>245</v>
      </c>
      <c r="O523" s="32">
        <v>560</v>
      </c>
      <c r="P523" s="32">
        <v>453</v>
      </c>
      <c r="Q523" s="32">
        <v>176</v>
      </c>
      <c r="R523" s="32">
        <v>4</v>
      </c>
      <c r="S523" s="32">
        <v>18.7911</v>
      </c>
      <c r="T523" s="32">
        <v>9.06921</v>
      </c>
      <c r="U523" s="32">
        <v>0.614093526</v>
      </c>
      <c r="V523" s="32">
        <v>6</v>
      </c>
      <c r="W523" s="32">
        <v>0.91125</v>
      </c>
      <c r="X523" s="32">
        <v>0.21476300000000001</v>
      </c>
      <c r="Y523" s="32">
        <v>0.68227099999999996</v>
      </c>
      <c r="Z523" s="32">
        <v>0.79889699999999997</v>
      </c>
      <c r="AA523" s="32">
        <v>26.4</v>
      </c>
      <c r="AB523" s="32">
        <v>535</v>
      </c>
      <c r="AC523" s="32">
        <v>18</v>
      </c>
      <c r="AD523" s="32">
        <v>29</v>
      </c>
      <c r="AE523" s="32">
        <v>0</v>
      </c>
      <c r="AF523" s="32">
        <v>0</v>
      </c>
      <c r="AG523" s="32" t="s">
        <v>200</v>
      </c>
    </row>
    <row r="524" spans="1:33">
      <c r="A524" s="32" t="s">
        <v>2092</v>
      </c>
      <c r="B524" s="32" t="s">
        <v>69</v>
      </c>
      <c r="C524" s="32" t="s">
        <v>2093</v>
      </c>
      <c r="D524" s="32" t="s">
        <v>2094</v>
      </c>
      <c r="E524" s="32" t="s">
        <v>2090</v>
      </c>
      <c r="F524" s="32" t="s">
        <v>2091</v>
      </c>
      <c r="G524" s="32" t="s">
        <v>2077</v>
      </c>
      <c r="H524" s="32" t="s">
        <v>2078</v>
      </c>
      <c r="I524" s="32" t="s">
        <v>198</v>
      </c>
      <c r="J524" s="32" t="s">
        <v>199</v>
      </c>
      <c r="K524" s="32">
        <v>2.3337080000000001</v>
      </c>
      <c r="L524" s="33">
        <v>1744</v>
      </c>
      <c r="M524" s="32">
        <v>373</v>
      </c>
      <c r="N524" s="32">
        <v>186</v>
      </c>
      <c r="O524" s="32">
        <v>495</v>
      </c>
      <c r="P524" s="32">
        <v>455</v>
      </c>
      <c r="Q524" s="32">
        <v>235</v>
      </c>
      <c r="R524" s="32">
        <v>3</v>
      </c>
      <c r="S524" s="32">
        <v>23.709800000000001</v>
      </c>
      <c r="T524" s="32">
        <v>4.0599299999999996</v>
      </c>
      <c r="U524" s="32">
        <v>0.71231076299999996</v>
      </c>
      <c r="V524" s="32">
        <v>7</v>
      </c>
      <c r="W524" s="32">
        <v>0.91235999999999995</v>
      </c>
      <c r="X524" s="32">
        <v>0.112222</v>
      </c>
      <c r="Y524" s="32">
        <v>0.7</v>
      </c>
      <c r="Z524" s="32">
        <v>0.62059900000000001</v>
      </c>
      <c r="AA524" s="32">
        <v>15.1</v>
      </c>
      <c r="AB524" s="32">
        <v>545</v>
      </c>
      <c r="AC524" s="32">
        <v>21</v>
      </c>
      <c r="AD524" s="32">
        <v>30</v>
      </c>
      <c r="AE524" s="32" t="s">
        <v>200</v>
      </c>
      <c r="AF524" s="32" t="s">
        <v>200</v>
      </c>
      <c r="AG524" s="32">
        <v>0</v>
      </c>
    </row>
    <row r="525" spans="1:33">
      <c r="A525" s="32" t="s">
        <v>2095</v>
      </c>
      <c r="B525" s="32" t="s">
        <v>69</v>
      </c>
      <c r="C525" s="32" t="s">
        <v>2096</v>
      </c>
      <c r="D525" s="32" t="s">
        <v>2097</v>
      </c>
      <c r="E525" s="32" t="s">
        <v>2098</v>
      </c>
      <c r="F525" s="32" t="s">
        <v>2099</v>
      </c>
      <c r="G525" s="32" t="s">
        <v>2077</v>
      </c>
      <c r="H525" s="32" t="s">
        <v>2078</v>
      </c>
      <c r="I525" s="32" t="s">
        <v>198</v>
      </c>
      <c r="J525" s="32" t="s">
        <v>199</v>
      </c>
      <c r="K525" s="32">
        <v>2.5615139999999998</v>
      </c>
      <c r="L525" s="33">
        <v>1621</v>
      </c>
      <c r="M525" s="32">
        <v>290</v>
      </c>
      <c r="N525" s="32">
        <v>245</v>
      </c>
      <c r="O525" s="32">
        <v>431</v>
      </c>
      <c r="P525" s="32">
        <v>376</v>
      </c>
      <c r="Q525" s="32">
        <v>279</v>
      </c>
      <c r="R525" s="32">
        <v>4</v>
      </c>
      <c r="S525" s="32">
        <v>22.622299999999999</v>
      </c>
      <c r="T525" s="32">
        <v>14.4095</v>
      </c>
      <c r="U525" s="32">
        <v>0.73108244200000005</v>
      </c>
      <c r="V525" s="32">
        <v>5</v>
      </c>
      <c r="W525" s="32">
        <v>0.91739099999999996</v>
      </c>
      <c r="X525" s="32">
        <v>0.27516299999999999</v>
      </c>
      <c r="Y525" s="32">
        <v>0.69440800000000003</v>
      </c>
      <c r="Z525" s="32">
        <v>0.65928299999999995</v>
      </c>
      <c r="AA525" s="32">
        <v>19.600000000000001</v>
      </c>
      <c r="AB525" s="32">
        <v>421</v>
      </c>
      <c r="AC525" s="32">
        <v>16</v>
      </c>
      <c r="AD525" s="32">
        <v>22</v>
      </c>
      <c r="AE525" s="32" t="s">
        <v>200</v>
      </c>
      <c r="AF525" s="32">
        <v>0</v>
      </c>
      <c r="AG525" s="32">
        <v>6</v>
      </c>
    </row>
    <row r="526" spans="1:33">
      <c r="A526" s="32" t="s">
        <v>2100</v>
      </c>
      <c r="B526" s="32" t="s">
        <v>69</v>
      </c>
      <c r="C526" s="32" t="s">
        <v>2101</v>
      </c>
      <c r="D526" s="32" t="s">
        <v>2102</v>
      </c>
      <c r="E526" s="32" t="s">
        <v>2098</v>
      </c>
      <c r="F526" s="32" t="s">
        <v>2099</v>
      </c>
      <c r="G526" s="32" t="s">
        <v>2077</v>
      </c>
      <c r="H526" s="32" t="s">
        <v>2078</v>
      </c>
      <c r="I526" s="32" t="s">
        <v>198</v>
      </c>
      <c r="J526" s="32" t="s">
        <v>199</v>
      </c>
      <c r="K526" s="32">
        <v>2.3234569999999999</v>
      </c>
      <c r="L526" s="33">
        <v>1465</v>
      </c>
      <c r="M526" s="32">
        <v>372</v>
      </c>
      <c r="N526" s="32">
        <v>190</v>
      </c>
      <c r="O526" s="32">
        <v>348</v>
      </c>
      <c r="P526" s="32">
        <v>391</v>
      </c>
      <c r="Q526" s="32">
        <v>164</v>
      </c>
      <c r="R526" s="32">
        <v>3</v>
      </c>
      <c r="S526" s="32">
        <v>19.5685</v>
      </c>
      <c r="T526" s="32">
        <v>6.5556000000000001</v>
      </c>
      <c r="U526" s="32">
        <v>0.67963536499999999</v>
      </c>
      <c r="V526" s="32">
        <v>7</v>
      </c>
      <c r="W526" s="32">
        <v>0.90070499999999998</v>
      </c>
      <c r="X526" s="32">
        <v>7.4955999999999995E-2</v>
      </c>
      <c r="Y526" s="32">
        <v>0.66361999999999999</v>
      </c>
      <c r="Z526" s="32">
        <v>0.69315800000000005</v>
      </c>
      <c r="AA526" s="32">
        <v>16.100000000000001</v>
      </c>
      <c r="AB526" s="32">
        <v>499</v>
      </c>
      <c r="AC526" s="32">
        <v>16</v>
      </c>
      <c r="AD526" s="32">
        <v>21</v>
      </c>
      <c r="AE526" s="32">
        <v>0</v>
      </c>
      <c r="AF526" s="32">
        <v>0</v>
      </c>
      <c r="AG526" s="32">
        <v>0</v>
      </c>
    </row>
    <row r="527" spans="1:33">
      <c r="A527" s="32" t="s">
        <v>2103</v>
      </c>
      <c r="B527" s="32" t="s">
        <v>117</v>
      </c>
      <c r="C527" s="32" t="s">
        <v>2104</v>
      </c>
      <c r="D527" s="32" t="s">
        <v>2105</v>
      </c>
      <c r="E527" s="32" t="s">
        <v>2106</v>
      </c>
      <c r="F527" s="32" t="s">
        <v>2107</v>
      </c>
      <c r="G527" s="32" t="s">
        <v>2077</v>
      </c>
      <c r="H527" s="32" t="s">
        <v>2078</v>
      </c>
      <c r="I527" s="32" t="s">
        <v>198</v>
      </c>
      <c r="J527" s="32" t="s">
        <v>199</v>
      </c>
      <c r="K527" s="32">
        <v>2.649394</v>
      </c>
      <c r="L527" s="33">
        <v>1273</v>
      </c>
      <c r="M527" s="32">
        <v>309</v>
      </c>
      <c r="N527" s="32">
        <v>254</v>
      </c>
      <c r="O527" s="32">
        <v>450</v>
      </c>
      <c r="P527" s="32">
        <v>162</v>
      </c>
      <c r="Q527" s="32">
        <v>98</v>
      </c>
      <c r="R527" s="32" t="s">
        <v>668</v>
      </c>
      <c r="S527" s="32">
        <v>47.723199999999999</v>
      </c>
      <c r="T527" s="32">
        <v>34.894300000000001</v>
      </c>
      <c r="U527" s="32">
        <v>0.88817473599999996</v>
      </c>
      <c r="V527" s="32">
        <v>3</v>
      </c>
      <c r="W527" s="32">
        <v>0.90545500000000001</v>
      </c>
      <c r="X527" s="32">
        <v>0.15276100000000001</v>
      </c>
      <c r="Y527" s="32">
        <v>0.6</v>
      </c>
      <c r="Z527" s="32">
        <v>0.98614500000000005</v>
      </c>
      <c r="AA527" s="32">
        <v>53.7</v>
      </c>
      <c r="AB527" s="32">
        <v>151</v>
      </c>
      <c r="AC527" s="32">
        <v>9</v>
      </c>
      <c r="AD527" s="32">
        <v>9</v>
      </c>
      <c r="AE527" s="32">
        <v>0</v>
      </c>
      <c r="AF527" s="32">
        <v>0</v>
      </c>
      <c r="AG527" s="32">
        <v>0</v>
      </c>
    </row>
    <row r="528" spans="1:33">
      <c r="A528" s="32" t="s">
        <v>2108</v>
      </c>
      <c r="B528" s="32" t="s">
        <v>117</v>
      </c>
      <c r="C528" s="32" t="s">
        <v>2109</v>
      </c>
      <c r="D528" s="32" t="s">
        <v>2110</v>
      </c>
      <c r="E528" s="32" t="s">
        <v>2106</v>
      </c>
      <c r="F528" s="32" t="s">
        <v>2107</v>
      </c>
      <c r="G528" s="32" t="s">
        <v>2077</v>
      </c>
      <c r="H528" s="32" t="s">
        <v>2078</v>
      </c>
      <c r="I528" s="32" t="s">
        <v>198</v>
      </c>
      <c r="J528" s="32" t="s">
        <v>199</v>
      </c>
      <c r="K528" s="32">
        <v>2.8146100000000001</v>
      </c>
      <c r="L528" s="33">
        <v>1545</v>
      </c>
      <c r="M528" s="32">
        <v>375</v>
      </c>
      <c r="N528" s="32">
        <v>277</v>
      </c>
      <c r="O528" s="32">
        <v>494</v>
      </c>
      <c r="P528" s="32">
        <v>309</v>
      </c>
      <c r="Q528" s="32">
        <v>90</v>
      </c>
      <c r="R528" s="32" t="s">
        <v>302</v>
      </c>
      <c r="S528" s="32">
        <v>42.897799999999997</v>
      </c>
      <c r="T528" s="32">
        <v>17.173400000000001</v>
      </c>
      <c r="U528" s="32">
        <v>0.89841732200000002</v>
      </c>
      <c r="V528" s="32">
        <v>2</v>
      </c>
      <c r="W528" s="32">
        <v>0.91177299999999994</v>
      </c>
      <c r="X528" s="32">
        <v>0.36638399999999999</v>
      </c>
      <c r="Y528" s="32">
        <v>0.6</v>
      </c>
      <c r="Z528" s="32">
        <v>0.93850500000000003</v>
      </c>
      <c r="AA528" s="32">
        <v>59.3</v>
      </c>
      <c r="AB528" s="32">
        <v>339</v>
      </c>
      <c r="AC528" s="32">
        <v>11</v>
      </c>
      <c r="AD528" s="32">
        <v>15</v>
      </c>
      <c r="AE528" s="32" t="s">
        <v>200</v>
      </c>
      <c r="AF528" s="32" t="s">
        <v>200</v>
      </c>
      <c r="AG528" s="32">
        <v>0</v>
      </c>
    </row>
    <row r="529" spans="1:33">
      <c r="A529" s="32" t="s">
        <v>2111</v>
      </c>
      <c r="B529" s="32" t="s">
        <v>117</v>
      </c>
      <c r="C529" s="32" t="s">
        <v>2112</v>
      </c>
      <c r="D529" s="32" t="s">
        <v>2113</v>
      </c>
      <c r="E529" s="32" t="s">
        <v>2114</v>
      </c>
      <c r="F529" s="32" t="s">
        <v>2115</v>
      </c>
      <c r="G529" s="32" t="s">
        <v>2077</v>
      </c>
      <c r="H529" s="32" t="s">
        <v>2078</v>
      </c>
      <c r="I529" s="32" t="s">
        <v>198</v>
      </c>
      <c r="J529" s="32" t="s">
        <v>199</v>
      </c>
      <c r="K529" s="32">
        <v>2.680841</v>
      </c>
      <c r="L529" s="33">
        <v>1670</v>
      </c>
      <c r="M529" s="32">
        <v>410</v>
      </c>
      <c r="N529" s="32">
        <v>313</v>
      </c>
      <c r="O529" s="32">
        <v>589</v>
      </c>
      <c r="P529" s="32">
        <v>284</v>
      </c>
      <c r="Q529" s="32">
        <v>74</v>
      </c>
      <c r="R529" s="32" t="s">
        <v>302</v>
      </c>
      <c r="S529" s="32">
        <v>50.806399999999996</v>
      </c>
      <c r="T529" s="32">
        <v>32.132100000000001</v>
      </c>
      <c r="U529" s="32">
        <v>0.99385624299999997</v>
      </c>
      <c r="V529" s="32">
        <v>2</v>
      </c>
      <c r="W529" s="32">
        <v>0.90584100000000001</v>
      </c>
      <c r="X529" s="32">
        <v>0.20095199999999999</v>
      </c>
      <c r="Y529" s="32">
        <v>0.6</v>
      </c>
      <c r="Z529" s="32">
        <v>0.98207500000000003</v>
      </c>
      <c r="AA529" s="32">
        <v>64.400000000000006</v>
      </c>
      <c r="AB529" s="32">
        <v>338</v>
      </c>
      <c r="AC529" s="32">
        <v>13</v>
      </c>
      <c r="AD529" s="32">
        <v>12</v>
      </c>
      <c r="AE529" s="32">
        <v>0</v>
      </c>
      <c r="AF529" s="32" t="s">
        <v>200</v>
      </c>
      <c r="AG529" s="32" t="s">
        <v>200</v>
      </c>
    </row>
    <row r="530" spans="1:33">
      <c r="A530" s="32" t="s">
        <v>2116</v>
      </c>
      <c r="B530" s="32" t="s">
        <v>117</v>
      </c>
      <c r="C530" s="32" t="s">
        <v>2117</v>
      </c>
      <c r="D530" s="32" t="s">
        <v>2118</v>
      </c>
      <c r="E530" s="32" t="s">
        <v>2119</v>
      </c>
      <c r="F530" s="32" t="s">
        <v>2120</v>
      </c>
      <c r="G530" s="32" t="s">
        <v>2077</v>
      </c>
      <c r="H530" s="32" t="s">
        <v>2078</v>
      </c>
      <c r="I530" s="32" t="s">
        <v>198</v>
      </c>
      <c r="J530" s="32" t="s">
        <v>199</v>
      </c>
      <c r="K530" s="32">
        <v>2.3320129999999999</v>
      </c>
      <c r="L530" s="33">
        <v>1701</v>
      </c>
      <c r="M530" s="32">
        <v>332</v>
      </c>
      <c r="N530" s="32">
        <v>601</v>
      </c>
      <c r="O530" s="32">
        <v>445</v>
      </c>
      <c r="P530" s="32">
        <v>281</v>
      </c>
      <c r="Q530" s="32">
        <v>42</v>
      </c>
      <c r="R530" s="32">
        <v>3</v>
      </c>
      <c r="S530" s="32">
        <v>37.082700000000003</v>
      </c>
      <c r="T530" s="32">
        <v>0</v>
      </c>
      <c r="U530" s="32">
        <v>0.913338859</v>
      </c>
      <c r="V530" s="32">
        <v>4</v>
      </c>
      <c r="W530" s="32">
        <v>0.90314700000000003</v>
      </c>
      <c r="X530" s="32">
        <v>0.101789</v>
      </c>
      <c r="Y530" s="32">
        <v>0.64030399999999998</v>
      </c>
      <c r="Z530" s="32">
        <v>0.68753399999999998</v>
      </c>
      <c r="AA530" s="32">
        <v>44.3</v>
      </c>
      <c r="AB530" s="32">
        <v>274</v>
      </c>
      <c r="AC530" s="32">
        <v>20</v>
      </c>
      <c r="AD530" s="32">
        <v>24</v>
      </c>
      <c r="AE530" s="32">
        <v>0</v>
      </c>
      <c r="AF530" s="32" t="s">
        <v>200</v>
      </c>
      <c r="AG530" s="32">
        <v>0</v>
      </c>
    </row>
    <row r="531" spans="1:33">
      <c r="A531" s="32" t="s">
        <v>2121</v>
      </c>
      <c r="B531" s="32" t="s">
        <v>117</v>
      </c>
      <c r="C531" s="32" t="s">
        <v>2122</v>
      </c>
      <c r="D531" s="32" t="s">
        <v>2123</v>
      </c>
      <c r="E531" s="32" t="s">
        <v>2124</v>
      </c>
      <c r="F531" s="32" t="s">
        <v>2125</v>
      </c>
      <c r="G531" s="32" t="s">
        <v>2077</v>
      </c>
      <c r="H531" s="32" t="s">
        <v>2078</v>
      </c>
      <c r="I531" s="32" t="s">
        <v>198</v>
      </c>
      <c r="J531" s="32" t="s">
        <v>199</v>
      </c>
      <c r="K531" s="32">
        <v>2.0671560000000002</v>
      </c>
      <c r="L531" s="33">
        <v>1788</v>
      </c>
      <c r="M531" s="32">
        <v>356</v>
      </c>
      <c r="N531" s="32">
        <v>299</v>
      </c>
      <c r="O531" s="32">
        <v>479</v>
      </c>
      <c r="P531" s="32">
        <v>441</v>
      </c>
      <c r="Q531" s="32">
        <v>213</v>
      </c>
      <c r="R531" s="32" t="s">
        <v>225</v>
      </c>
      <c r="S531" s="32">
        <v>9.8986000000000001</v>
      </c>
      <c r="T531" s="32">
        <v>0</v>
      </c>
      <c r="U531" s="32">
        <v>0.92088524500000002</v>
      </c>
      <c r="V531" s="32">
        <v>5</v>
      </c>
      <c r="W531" s="32">
        <v>0.90129599999999999</v>
      </c>
      <c r="X531" s="32">
        <v>6.1351999999999997E-2</v>
      </c>
      <c r="Y531" s="32">
        <v>0.7</v>
      </c>
      <c r="Z531" s="32">
        <v>0.40112900000000001</v>
      </c>
      <c r="AA531" s="32">
        <v>32.299999999999997</v>
      </c>
      <c r="AB531" s="32">
        <v>631</v>
      </c>
      <c r="AC531" s="32">
        <v>29</v>
      </c>
      <c r="AD531" s="32">
        <v>39</v>
      </c>
      <c r="AE531" s="32">
        <v>0</v>
      </c>
      <c r="AF531" s="32">
        <v>0</v>
      </c>
      <c r="AG531" s="32">
        <v>5</v>
      </c>
    </row>
    <row r="532" spans="1:33">
      <c r="A532" s="32" t="s">
        <v>2126</v>
      </c>
      <c r="B532" s="32" t="s">
        <v>117</v>
      </c>
      <c r="C532" s="32" t="s">
        <v>2127</v>
      </c>
      <c r="D532" s="32" t="s">
        <v>2128</v>
      </c>
      <c r="E532" s="32" t="s">
        <v>2129</v>
      </c>
      <c r="F532" s="32" t="s">
        <v>2130</v>
      </c>
      <c r="G532" s="32" t="s">
        <v>2077</v>
      </c>
      <c r="H532" s="32" t="s">
        <v>2078</v>
      </c>
      <c r="I532" s="32" t="s">
        <v>198</v>
      </c>
      <c r="J532" s="32" t="s">
        <v>199</v>
      </c>
      <c r="K532" s="32">
        <v>2.0386649999999999</v>
      </c>
      <c r="L532" s="33">
        <v>1787</v>
      </c>
      <c r="M532" s="32">
        <v>391</v>
      </c>
      <c r="N532" s="32">
        <v>212</v>
      </c>
      <c r="O532" s="32">
        <v>474</v>
      </c>
      <c r="P532" s="32">
        <v>437</v>
      </c>
      <c r="Q532" s="32">
        <v>273</v>
      </c>
      <c r="R532" s="32" t="s">
        <v>225</v>
      </c>
      <c r="S532" s="32">
        <v>4.9636899999999997</v>
      </c>
      <c r="T532" s="32">
        <v>1.8088</v>
      </c>
      <c r="U532" s="32">
        <v>0.84859554699999995</v>
      </c>
      <c r="V532" s="32">
        <v>7</v>
      </c>
      <c r="W532" s="32">
        <v>0.90170799999999995</v>
      </c>
      <c r="X532" s="32">
        <v>4.4236999999999999E-2</v>
      </c>
      <c r="Y532" s="32">
        <v>0.7</v>
      </c>
      <c r="Z532" s="32">
        <v>0.40451700000000002</v>
      </c>
      <c r="AA532" s="32">
        <v>13.5</v>
      </c>
      <c r="AB532" s="32">
        <v>709</v>
      </c>
      <c r="AC532" s="32">
        <v>36</v>
      </c>
      <c r="AD532" s="32">
        <v>36</v>
      </c>
      <c r="AE532" s="32">
        <v>0</v>
      </c>
      <c r="AF532" s="32">
        <v>0</v>
      </c>
      <c r="AG532" s="32">
        <v>8</v>
      </c>
    </row>
    <row r="533" spans="1:33">
      <c r="A533" s="32" t="s">
        <v>2131</v>
      </c>
      <c r="B533" s="32" t="s">
        <v>117</v>
      </c>
      <c r="C533" s="32" t="s">
        <v>2132</v>
      </c>
      <c r="D533" s="32" t="s">
        <v>2133</v>
      </c>
      <c r="E533" s="32" t="s">
        <v>2129</v>
      </c>
      <c r="F533" s="32" t="s">
        <v>2130</v>
      </c>
      <c r="G533" s="32" t="s">
        <v>2077</v>
      </c>
      <c r="H533" s="32" t="s">
        <v>2078</v>
      </c>
      <c r="I533" s="32" t="s">
        <v>198</v>
      </c>
      <c r="J533" s="32" t="s">
        <v>199</v>
      </c>
      <c r="K533" s="32">
        <v>2.1592530000000001</v>
      </c>
      <c r="L533" s="33">
        <v>1685</v>
      </c>
      <c r="M533" s="32">
        <v>336</v>
      </c>
      <c r="N533" s="32">
        <v>192</v>
      </c>
      <c r="O533" s="32">
        <v>396</v>
      </c>
      <c r="P533" s="32">
        <v>441</v>
      </c>
      <c r="Q533" s="32">
        <v>320</v>
      </c>
      <c r="R533" s="32">
        <v>2</v>
      </c>
      <c r="S533" s="32">
        <v>12.0947</v>
      </c>
      <c r="T533" s="32">
        <v>2.31996</v>
      </c>
      <c r="U533" s="32">
        <v>0.89693343400000003</v>
      </c>
      <c r="V533" s="32">
        <v>5</v>
      </c>
      <c r="W533" s="32">
        <v>0.90227299999999999</v>
      </c>
      <c r="X533" s="32">
        <v>9.8696999999999993E-2</v>
      </c>
      <c r="Y533" s="32">
        <v>0.7</v>
      </c>
      <c r="Z533" s="32">
        <v>0.45441399999999998</v>
      </c>
      <c r="AA533" s="32">
        <v>11.8</v>
      </c>
      <c r="AB533" s="32">
        <v>594</v>
      </c>
      <c r="AC533" s="32">
        <v>29</v>
      </c>
      <c r="AD533" s="32">
        <v>27</v>
      </c>
      <c r="AE533" s="32" t="s">
        <v>200</v>
      </c>
      <c r="AF533" s="32" t="s">
        <v>200</v>
      </c>
      <c r="AG533" s="32" t="s">
        <v>200</v>
      </c>
    </row>
    <row r="534" spans="1:33">
      <c r="A534" s="32" t="s">
        <v>2134</v>
      </c>
      <c r="B534" s="32" t="s">
        <v>117</v>
      </c>
      <c r="C534" s="32" t="s">
        <v>2135</v>
      </c>
      <c r="D534" s="32" t="s">
        <v>2136</v>
      </c>
      <c r="E534" s="32" t="s">
        <v>2137</v>
      </c>
      <c r="F534" s="32" t="s">
        <v>2138</v>
      </c>
      <c r="G534" s="32" t="s">
        <v>2077</v>
      </c>
      <c r="H534" s="32" t="s">
        <v>2078</v>
      </c>
      <c r="I534" s="32" t="s">
        <v>198</v>
      </c>
      <c r="J534" s="32" t="s">
        <v>199</v>
      </c>
      <c r="K534" s="32">
        <v>2.6087069999999999</v>
      </c>
      <c r="L534" s="33">
        <v>1595</v>
      </c>
      <c r="M534" s="32">
        <v>395</v>
      </c>
      <c r="N534" s="32">
        <v>290</v>
      </c>
      <c r="O534" s="32">
        <v>335</v>
      </c>
      <c r="P534" s="32">
        <v>377</v>
      </c>
      <c r="Q534" s="32">
        <v>198</v>
      </c>
      <c r="R534" s="32">
        <v>2</v>
      </c>
      <c r="S534" s="32">
        <v>19.205200000000001</v>
      </c>
      <c r="T534" s="32">
        <v>2.1311900000000001</v>
      </c>
      <c r="U534" s="32">
        <v>0.91418089999999996</v>
      </c>
      <c r="V534" s="32">
        <v>3</v>
      </c>
      <c r="W534" s="32">
        <v>0.91415000000000002</v>
      </c>
      <c r="X534" s="32">
        <v>0.36205999999999999</v>
      </c>
      <c r="Y534" s="32">
        <v>0.67708000000000002</v>
      </c>
      <c r="Z534" s="32">
        <v>0.66019000000000005</v>
      </c>
      <c r="AA534" s="32">
        <v>25.8</v>
      </c>
      <c r="AB534" s="32">
        <v>547</v>
      </c>
      <c r="AC534" s="32">
        <v>28</v>
      </c>
      <c r="AD534" s="32">
        <v>51</v>
      </c>
      <c r="AE534" s="32" t="s">
        <v>200</v>
      </c>
      <c r="AF534" s="32" t="s">
        <v>200</v>
      </c>
      <c r="AG534" s="32">
        <v>5</v>
      </c>
    </row>
    <row r="535" spans="1:33">
      <c r="A535" s="32" t="s">
        <v>2139</v>
      </c>
      <c r="B535" s="32" t="s">
        <v>117</v>
      </c>
      <c r="C535" s="32" t="s">
        <v>2140</v>
      </c>
      <c r="D535" s="32" t="s">
        <v>2141</v>
      </c>
      <c r="E535" s="32" t="s">
        <v>2137</v>
      </c>
      <c r="F535" s="32" t="s">
        <v>2138</v>
      </c>
      <c r="G535" s="32" t="s">
        <v>2077</v>
      </c>
      <c r="H535" s="32" t="s">
        <v>2078</v>
      </c>
      <c r="I535" s="32" t="s">
        <v>198</v>
      </c>
      <c r="J535" s="32" t="s">
        <v>199</v>
      </c>
      <c r="K535" s="32">
        <v>2.6294469999999999</v>
      </c>
      <c r="L535" s="33">
        <v>1697</v>
      </c>
      <c r="M535" s="32">
        <v>330</v>
      </c>
      <c r="N535" s="32">
        <v>241</v>
      </c>
      <c r="O535" s="32">
        <v>410</v>
      </c>
      <c r="P535" s="32">
        <v>452</v>
      </c>
      <c r="Q535" s="32">
        <v>264</v>
      </c>
      <c r="R535" s="32">
        <v>4</v>
      </c>
      <c r="S535" s="32">
        <v>24.060500000000001</v>
      </c>
      <c r="T535" s="32">
        <v>8.5097799999999992</v>
      </c>
      <c r="U535" s="32">
        <v>0.95585179399999998</v>
      </c>
      <c r="V535" s="32">
        <v>3</v>
      </c>
      <c r="W535" s="32">
        <v>0.910968</v>
      </c>
      <c r="X535" s="32">
        <v>0.36515700000000001</v>
      </c>
      <c r="Y535" s="32">
        <v>0.7</v>
      </c>
      <c r="Z535" s="32">
        <v>0.65093599999999996</v>
      </c>
      <c r="AA535" s="32">
        <v>16.7</v>
      </c>
      <c r="AB535" s="32">
        <v>546</v>
      </c>
      <c r="AC535" s="32">
        <v>36</v>
      </c>
      <c r="AD535" s="32">
        <v>34</v>
      </c>
      <c r="AE535" s="32">
        <v>0</v>
      </c>
      <c r="AF535" s="32">
        <v>0</v>
      </c>
      <c r="AG535" s="32">
        <v>6</v>
      </c>
    </row>
    <row r="536" spans="1:33">
      <c r="A536" s="32" t="s">
        <v>2142</v>
      </c>
      <c r="B536" s="32" t="s">
        <v>117</v>
      </c>
      <c r="C536" s="32" t="s">
        <v>2143</v>
      </c>
      <c r="D536" s="32" t="s">
        <v>2144</v>
      </c>
      <c r="E536" s="32" t="s">
        <v>2137</v>
      </c>
      <c r="F536" s="32" t="s">
        <v>2138</v>
      </c>
      <c r="G536" s="32" t="s">
        <v>2077</v>
      </c>
      <c r="H536" s="32" t="s">
        <v>2078</v>
      </c>
      <c r="I536" s="32" t="s">
        <v>198</v>
      </c>
      <c r="J536" s="32" t="s">
        <v>199</v>
      </c>
      <c r="K536" s="32">
        <v>2.2152379999999998</v>
      </c>
      <c r="L536" s="33">
        <v>1518</v>
      </c>
      <c r="M536" s="32">
        <v>301</v>
      </c>
      <c r="N536" s="32">
        <v>197</v>
      </c>
      <c r="O536" s="32">
        <v>323</v>
      </c>
      <c r="P536" s="32">
        <v>450</v>
      </c>
      <c r="Q536" s="32">
        <v>247</v>
      </c>
      <c r="R536" s="32">
        <v>2</v>
      </c>
      <c r="S536" s="32">
        <v>13.503399999999999</v>
      </c>
      <c r="T536" s="32">
        <v>3.3028599999999999</v>
      </c>
      <c r="U536" s="32">
        <v>0.98378352199999997</v>
      </c>
      <c r="V536" s="32">
        <v>4</v>
      </c>
      <c r="W536" s="32">
        <v>0.90190499999999996</v>
      </c>
      <c r="X536" s="32">
        <v>7.3100999999999999E-2</v>
      </c>
      <c r="Y536" s="32">
        <v>0.7</v>
      </c>
      <c r="Z536" s="32">
        <v>0.528254</v>
      </c>
      <c r="AA536" s="32">
        <v>12.3</v>
      </c>
      <c r="AB536" s="32">
        <v>573</v>
      </c>
      <c r="AC536" s="32">
        <v>21</v>
      </c>
      <c r="AD536" s="32">
        <v>37</v>
      </c>
      <c r="AE536" s="32" t="s">
        <v>200</v>
      </c>
      <c r="AF536" s="32">
        <v>0</v>
      </c>
      <c r="AG536" s="32">
        <v>6</v>
      </c>
    </row>
    <row r="537" spans="1:33">
      <c r="A537" s="32" t="s">
        <v>2145</v>
      </c>
      <c r="B537" s="32" t="s">
        <v>117</v>
      </c>
      <c r="C537" s="32" t="s">
        <v>2146</v>
      </c>
      <c r="D537" s="32" t="s">
        <v>2147</v>
      </c>
      <c r="E537" s="32" t="s">
        <v>2137</v>
      </c>
      <c r="F537" s="32" t="s">
        <v>2138</v>
      </c>
      <c r="G537" s="32" t="s">
        <v>2077</v>
      </c>
      <c r="H537" s="32" t="s">
        <v>2078</v>
      </c>
      <c r="I537" s="32" t="s">
        <v>198</v>
      </c>
      <c r="J537" s="32" t="s">
        <v>199</v>
      </c>
      <c r="K537" s="32">
        <v>2.4504450000000002</v>
      </c>
      <c r="L537" s="33">
        <v>1603</v>
      </c>
      <c r="M537" s="32">
        <v>355</v>
      </c>
      <c r="N537" s="32">
        <v>254</v>
      </c>
      <c r="O537" s="32">
        <v>337</v>
      </c>
      <c r="P537" s="32">
        <v>409</v>
      </c>
      <c r="Q537" s="32">
        <v>248</v>
      </c>
      <c r="R537" s="32">
        <v>2</v>
      </c>
      <c r="S537" s="32">
        <v>14.256</v>
      </c>
      <c r="T537" s="32">
        <v>2.5042</v>
      </c>
      <c r="U537" s="32">
        <v>1.101719495</v>
      </c>
      <c r="V537" s="32">
        <v>2</v>
      </c>
      <c r="W537" s="32">
        <v>0.907497</v>
      </c>
      <c r="X537" s="32">
        <v>0.21526500000000001</v>
      </c>
      <c r="Y537" s="32">
        <v>0.69631500000000002</v>
      </c>
      <c r="Z537" s="32">
        <v>0.61920600000000003</v>
      </c>
      <c r="AA537" s="32">
        <v>19.100000000000001</v>
      </c>
      <c r="AB537" s="32">
        <v>572</v>
      </c>
      <c r="AC537" s="32">
        <v>33</v>
      </c>
      <c r="AD537" s="32">
        <v>61</v>
      </c>
      <c r="AE537" s="32" t="s">
        <v>200</v>
      </c>
      <c r="AF537" s="32" t="s">
        <v>200</v>
      </c>
      <c r="AG537" s="32">
        <v>11</v>
      </c>
    </row>
    <row r="538" spans="1:33">
      <c r="A538" s="32" t="s">
        <v>2148</v>
      </c>
      <c r="B538" s="32" t="s">
        <v>117</v>
      </c>
      <c r="C538" s="32" t="s">
        <v>2149</v>
      </c>
      <c r="D538" s="32" t="s">
        <v>2150</v>
      </c>
      <c r="E538" s="32" t="s">
        <v>2151</v>
      </c>
      <c r="F538" s="32" t="s">
        <v>2152</v>
      </c>
      <c r="G538" s="32" t="s">
        <v>2077</v>
      </c>
      <c r="H538" s="32" t="s">
        <v>2078</v>
      </c>
      <c r="I538" s="32" t="s">
        <v>198</v>
      </c>
      <c r="J538" s="32" t="s">
        <v>199</v>
      </c>
      <c r="K538" s="32">
        <v>2.1910859999999999</v>
      </c>
      <c r="L538" s="33">
        <v>1590</v>
      </c>
      <c r="M538" s="32">
        <v>307</v>
      </c>
      <c r="N538" s="32">
        <v>233</v>
      </c>
      <c r="O538" s="32">
        <v>328</v>
      </c>
      <c r="P538" s="32">
        <v>447</v>
      </c>
      <c r="Q538" s="32">
        <v>275</v>
      </c>
      <c r="R538" s="32">
        <v>3</v>
      </c>
      <c r="S538" s="32">
        <v>16.626799999999999</v>
      </c>
      <c r="T538" s="32">
        <v>6.7156599999999997</v>
      </c>
      <c r="U538" s="32">
        <v>0.82948994399999998</v>
      </c>
      <c r="V538" s="32">
        <v>5</v>
      </c>
      <c r="W538" s="32">
        <v>0.90372799999999998</v>
      </c>
      <c r="X538" s="32">
        <v>7.7451000000000006E-2</v>
      </c>
      <c r="Y538" s="32">
        <v>0.7</v>
      </c>
      <c r="Z538" s="32">
        <v>0.51680300000000001</v>
      </c>
      <c r="AA538" s="32">
        <v>10.4</v>
      </c>
      <c r="AB538" s="32">
        <v>616</v>
      </c>
      <c r="AC538" s="32">
        <v>27</v>
      </c>
      <c r="AD538" s="32">
        <v>33</v>
      </c>
      <c r="AE538" s="32" t="s">
        <v>200</v>
      </c>
      <c r="AF538" s="32" t="s">
        <v>200</v>
      </c>
      <c r="AG538" s="32">
        <v>8</v>
      </c>
    </row>
    <row r="539" spans="1:33">
      <c r="A539" s="32" t="s">
        <v>2153</v>
      </c>
      <c r="B539" s="32" t="s">
        <v>117</v>
      </c>
      <c r="C539" s="32" t="s">
        <v>2154</v>
      </c>
      <c r="D539" s="32" t="s">
        <v>2155</v>
      </c>
      <c r="E539" s="32" t="s">
        <v>2119</v>
      </c>
      <c r="F539" s="32" t="s">
        <v>2120</v>
      </c>
      <c r="G539" s="32" t="s">
        <v>2077</v>
      </c>
      <c r="H539" s="32" t="s">
        <v>2078</v>
      </c>
      <c r="I539" s="32" t="s">
        <v>198</v>
      </c>
      <c r="J539" s="32" t="s">
        <v>199</v>
      </c>
      <c r="K539" s="32">
        <v>2.2652909999999999</v>
      </c>
      <c r="L539" s="33">
        <v>1944</v>
      </c>
      <c r="M539" s="32">
        <v>535</v>
      </c>
      <c r="N539" s="32">
        <v>319</v>
      </c>
      <c r="O539" s="32">
        <v>613</v>
      </c>
      <c r="P539" s="32">
        <v>358</v>
      </c>
      <c r="Q539" s="32">
        <v>119</v>
      </c>
      <c r="R539" s="32">
        <v>2</v>
      </c>
      <c r="S539" s="32">
        <v>15.5862</v>
      </c>
      <c r="T539" s="32">
        <v>1.88334</v>
      </c>
      <c r="U539" s="32">
        <v>0.994770971</v>
      </c>
      <c r="V539" s="32">
        <v>3</v>
      </c>
      <c r="W539" s="32">
        <v>0.90334099999999995</v>
      </c>
      <c r="X539" s="32">
        <v>0.19189300000000001</v>
      </c>
      <c r="Y539" s="32">
        <v>0.7</v>
      </c>
      <c r="Z539" s="32">
        <v>0.46950599999999998</v>
      </c>
      <c r="AA539" s="32">
        <v>36.5</v>
      </c>
      <c r="AB539" s="32">
        <v>485</v>
      </c>
      <c r="AC539" s="32">
        <v>19</v>
      </c>
      <c r="AD539" s="32">
        <v>16</v>
      </c>
      <c r="AE539" s="32">
        <v>0</v>
      </c>
      <c r="AF539" s="32">
        <v>0</v>
      </c>
      <c r="AG539" s="32" t="s">
        <v>200</v>
      </c>
    </row>
    <row r="540" spans="1:33">
      <c r="A540" s="32" t="s">
        <v>2156</v>
      </c>
      <c r="B540" s="32" t="s">
        <v>117</v>
      </c>
      <c r="C540" s="32" t="s">
        <v>2157</v>
      </c>
      <c r="D540" s="32" t="s">
        <v>2158</v>
      </c>
      <c r="E540" s="32" t="s">
        <v>2119</v>
      </c>
      <c r="F540" s="32" t="s">
        <v>2120</v>
      </c>
      <c r="G540" s="32" t="s">
        <v>2077</v>
      </c>
      <c r="H540" s="32" t="s">
        <v>2078</v>
      </c>
      <c r="I540" s="32" t="s">
        <v>198</v>
      </c>
      <c r="J540" s="32" t="s">
        <v>199</v>
      </c>
      <c r="K540" s="32">
        <v>2.23</v>
      </c>
      <c r="L540" s="33">
        <v>1605</v>
      </c>
      <c r="M540" s="32">
        <v>464</v>
      </c>
      <c r="N540" s="32">
        <v>342</v>
      </c>
      <c r="O540" s="32">
        <v>297</v>
      </c>
      <c r="P540" s="32">
        <v>399</v>
      </c>
      <c r="Q540" s="32">
        <v>103</v>
      </c>
      <c r="R540" s="32" t="s">
        <v>225</v>
      </c>
      <c r="S540" s="32">
        <v>7.2089800000000004</v>
      </c>
      <c r="T540" s="32">
        <v>1.8801699999999999</v>
      </c>
      <c r="U540" s="32">
        <v>1.1931907429999999</v>
      </c>
      <c r="V540" s="32">
        <v>2</v>
      </c>
      <c r="W540" s="32">
        <v>0.90249999999999997</v>
      </c>
      <c r="X540" s="32">
        <v>4.1695999999999997E-2</v>
      </c>
      <c r="Y540" s="32">
        <v>0.7</v>
      </c>
      <c r="Z540" s="32">
        <v>0.60827299999999995</v>
      </c>
      <c r="AA540" s="32">
        <v>66.400000000000006</v>
      </c>
      <c r="AB540" s="32">
        <v>467</v>
      </c>
      <c r="AC540" s="32">
        <v>7</v>
      </c>
      <c r="AD540" s="32">
        <v>12</v>
      </c>
      <c r="AE540" s="32">
        <v>0</v>
      </c>
      <c r="AF540" s="32" t="s">
        <v>200</v>
      </c>
      <c r="AG540" s="32" t="s">
        <v>200</v>
      </c>
    </row>
    <row r="541" spans="1:33">
      <c r="A541" s="32" t="s">
        <v>2159</v>
      </c>
      <c r="B541" s="32" t="s">
        <v>71</v>
      </c>
      <c r="C541" s="32" t="s">
        <v>2160</v>
      </c>
      <c r="D541" s="32" t="s">
        <v>2161</v>
      </c>
      <c r="E541" s="32" t="s">
        <v>2162</v>
      </c>
      <c r="F541" s="32" t="s">
        <v>2163</v>
      </c>
      <c r="G541" s="32" t="s">
        <v>2164</v>
      </c>
      <c r="H541" s="32" t="s">
        <v>2165</v>
      </c>
      <c r="I541" s="32" t="s">
        <v>198</v>
      </c>
      <c r="J541" s="32" t="s">
        <v>199</v>
      </c>
      <c r="K541" s="32">
        <v>2.242238</v>
      </c>
      <c r="L541" s="33">
        <v>1630</v>
      </c>
      <c r="M541" s="32">
        <v>328</v>
      </c>
      <c r="N541" s="32">
        <v>333</v>
      </c>
      <c r="O541" s="32">
        <v>488</v>
      </c>
      <c r="P541" s="32">
        <v>350</v>
      </c>
      <c r="Q541" s="32">
        <v>131</v>
      </c>
      <c r="R541" s="32">
        <v>3</v>
      </c>
      <c r="S541" s="32">
        <v>36.184699999999999</v>
      </c>
      <c r="T541" s="32">
        <v>2.8951199999999999</v>
      </c>
      <c r="U541" s="32">
        <v>0.92710213200000002</v>
      </c>
      <c r="V541" s="32">
        <v>5</v>
      </c>
      <c r="W541" s="32">
        <v>0.90769200000000005</v>
      </c>
      <c r="X541" s="32">
        <v>0.159834</v>
      </c>
      <c r="Y541" s="32">
        <v>0.7</v>
      </c>
      <c r="Z541" s="32">
        <v>0.493724</v>
      </c>
      <c r="AA541" s="32">
        <v>33.9</v>
      </c>
      <c r="AB541" s="32">
        <v>419</v>
      </c>
      <c r="AC541" s="32">
        <v>19</v>
      </c>
      <c r="AD541" s="32">
        <v>11</v>
      </c>
      <c r="AE541" s="32" t="s">
        <v>200</v>
      </c>
      <c r="AF541" s="32">
        <v>0</v>
      </c>
      <c r="AG541" s="32">
        <v>0</v>
      </c>
    </row>
    <row r="542" spans="1:33">
      <c r="A542" s="32" t="s">
        <v>2166</v>
      </c>
      <c r="B542" s="32" t="s">
        <v>71</v>
      </c>
      <c r="C542" s="32" t="s">
        <v>2167</v>
      </c>
      <c r="D542" s="32" t="s">
        <v>2168</v>
      </c>
      <c r="E542" s="32" t="s">
        <v>2169</v>
      </c>
      <c r="F542" s="32" t="s">
        <v>2170</v>
      </c>
      <c r="G542" s="32" t="s">
        <v>2164</v>
      </c>
      <c r="H542" s="32" t="s">
        <v>2165</v>
      </c>
      <c r="I542" s="32" t="s">
        <v>198</v>
      </c>
      <c r="J542" s="32" t="s">
        <v>199</v>
      </c>
      <c r="K542" s="32">
        <v>2.6951350000000001</v>
      </c>
      <c r="L542" s="33">
        <v>1781</v>
      </c>
      <c r="M542" s="32">
        <v>302</v>
      </c>
      <c r="N542" s="32">
        <v>439</v>
      </c>
      <c r="O542" s="32">
        <v>522</v>
      </c>
      <c r="P542" s="32">
        <v>337</v>
      </c>
      <c r="Q542" s="32">
        <v>181</v>
      </c>
      <c r="R542" s="32" t="s">
        <v>302</v>
      </c>
      <c r="S542" s="32">
        <v>45.133499999999998</v>
      </c>
      <c r="T542" s="32">
        <v>21.852900000000002</v>
      </c>
      <c r="U542" s="32">
        <v>1.055723915</v>
      </c>
      <c r="V542" s="32">
        <v>2</v>
      </c>
      <c r="W542" s="32">
        <v>0.91162200000000004</v>
      </c>
      <c r="X542" s="32">
        <v>0.21813299999999999</v>
      </c>
      <c r="Y542" s="32">
        <v>0.7</v>
      </c>
      <c r="Z542" s="32">
        <v>0.87924500000000005</v>
      </c>
      <c r="AA542" s="32">
        <v>57.4</v>
      </c>
      <c r="AB542" s="32">
        <v>336</v>
      </c>
      <c r="AC542" s="32">
        <v>22</v>
      </c>
      <c r="AD542" s="32">
        <v>15</v>
      </c>
      <c r="AE542" s="32">
        <v>0</v>
      </c>
      <c r="AF542" s="32" t="s">
        <v>200</v>
      </c>
      <c r="AG542" s="32" t="s">
        <v>200</v>
      </c>
    </row>
    <row r="543" spans="1:33">
      <c r="A543" s="32" t="s">
        <v>2171</v>
      </c>
      <c r="B543" s="32" t="s">
        <v>71</v>
      </c>
      <c r="C543" s="32" t="s">
        <v>2172</v>
      </c>
      <c r="D543" s="32" t="s">
        <v>2173</v>
      </c>
      <c r="E543" s="32" t="s">
        <v>2174</v>
      </c>
      <c r="F543" s="32" t="s">
        <v>2175</v>
      </c>
      <c r="G543" s="32" t="s">
        <v>2164</v>
      </c>
      <c r="H543" s="32" t="s">
        <v>2165</v>
      </c>
      <c r="I543" s="32" t="s">
        <v>198</v>
      </c>
      <c r="J543" s="32" t="s">
        <v>199</v>
      </c>
      <c r="K543" s="32">
        <v>2.0990510000000002</v>
      </c>
      <c r="L543" s="33">
        <v>1734</v>
      </c>
      <c r="M543" s="32">
        <v>296</v>
      </c>
      <c r="N543" s="32">
        <v>336</v>
      </c>
      <c r="O543" s="32">
        <v>497</v>
      </c>
      <c r="P543" s="32">
        <v>412</v>
      </c>
      <c r="Q543" s="32">
        <v>193</v>
      </c>
      <c r="R543" s="32">
        <v>4</v>
      </c>
      <c r="S543" s="32">
        <v>21.9192</v>
      </c>
      <c r="T543" s="32">
        <v>0</v>
      </c>
      <c r="U543" s="32">
        <v>0.82826939399999999</v>
      </c>
      <c r="V543" s="32">
        <v>7</v>
      </c>
      <c r="W543" s="32">
        <v>0.90708900000000003</v>
      </c>
      <c r="X543" s="32">
        <v>0.175288</v>
      </c>
      <c r="Y543" s="32">
        <v>0.65972200000000003</v>
      </c>
      <c r="Z543" s="32">
        <v>0.36468800000000001</v>
      </c>
      <c r="AA543" s="32">
        <v>15.1</v>
      </c>
      <c r="AB543" s="32">
        <v>488</v>
      </c>
      <c r="AC543" s="32">
        <v>19</v>
      </c>
      <c r="AD543" s="32">
        <v>18</v>
      </c>
      <c r="AE543" s="32">
        <v>0</v>
      </c>
      <c r="AF543" s="32">
        <v>0</v>
      </c>
      <c r="AG543" s="32" t="s">
        <v>200</v>
      </c>
    </row>
    <row r="544" spans="1:33">
      <c r="A544" s="32" t="s">
        <v>2176</v>
      </c>
      <c r="B544" s="32" t="s">
        <v>71</v>
      </c>
      <c r="C544" s="32" t="s">
        <v>2177</v>
      </c>
      <c r="D544" s="32" t="s">
        <v>2178</v>
      </c>
      <c r="E544" s="32" t="s">
        <v>2179</v>
      </c>
      <c r="F544" s="32" t="s">
        <v>2180</v>
      </c>
      <c r="G544" s="32" t="s">
        <v>2164</v>
      </c>
      <c r="H544" s="32" t="s">
        <v>2165</v>
      </c>
      <c r="I544" s="32" t="s">
        <v>198</v>
      </c>
      <c r="J544" s="32" t="s">
        <v>199</v>
      </c>
      <c r="K544" s="32">
        <v>2.5594000000000001</v>
      </c>
      <c r="L544" s="33">
        <v>2237</v>
      </c>
      <c r="M544" s="32">
        <v>362</v>
      </c>
      <c r="N544" s="32">
        <v>464</v>
      </c>
      <c r="O544" s="32">
        <v>823</v>
      </c>
      <c r="P544" s="32">
        <v>447</v>
      </c>
      <c r="Q544" s="32">
        <v>141</v>
      </c>
      <c r="R544" s="32" t="s">
        <v>302</v>
      </c>
      <c r="S544" s="32">
        <v>43.487400000000001</v>
      </c>
      <c r="T544" s="32">
        <v>21.998999999999999</v>
      </c>
      <c r="U544" s="32">
        <v>1.056909012</v>
      </c>
      <c r="V544" s="32">
        <v>2</v>
      </c>
      <c r="W544" s="32">
        <v>0.90480000000000005</v>
      </c>
      <c r="X544" s="32">
        <v>8.5713999999999999E-2</v>
      </c>
      <c r="Y544" s="32">
        <v>0.7</v>
      </c>
      <c r="Z544" s="32">
        <v>0.86345400000000005</v>
      </c>
      <c r="AA544" s="32">
        <v>57.9</v>
      </c>
      <c r="AB544" s="32">
        <v>358</v>
      </c>
      <c r="AC544" s="32">
        <v>16</v>
      </c>
      <c r="AD544" s="32">
        <v>28</v>
      </c>
      <c r="AE544" s="32">
        <v>0</v>
      </c>
      <c r="AF544" s="32">
        <v>0</v>
      </c>
      <c r="AG544" s="32" t="s">
        <v>200</v>
      </c>
    </row>
    <row r="545" spans="1:33">
      <c r="A545" s="32" t="s">
        <v>2181</v>
      </c>
      <c r="B545" s="32" t="s">
        <v>71</v>
      </c>
      <c r="C545" s="32" t="s">
        <v>2182</v>
      </c>
      <c r="D545" s="32" t="s">
        <v>2183</v>
      </c>
      <c r="E545" s="32" t="s">
        <v>2184</v>
      </c>
      <c r="F545" s="32" t="s">
        <v>2185</v>
      </c>
      <c r="G545" s="32" t="s">
        <v>2077</v>
      </c>
      <c r="H545" s="32" t="s">
        <v>2078</v>
      </c>
      <c r="I545" s="32" t="s">
        <v>198</v>
      </c>
      <c r="J545" s="32" t="s">
        <v>199</v>
      </c>
      <c r="K545" s="32">
        <v>2.1326040000000002</v>
      </c>
      <c r="L545" s="33">
        <v>1789</v>
      </c>
      <c r="M545" s="32">
        <v>331</v>
      </c>
      <c r="N545" s="32">
        <v>255</v>
      </c>
      <c r="O545" s="32">
        <v>450</v>
      </c>
      <c r="P545" s="32">
        <v>464</v>
      </c>
      <c r="Q545" s="32">
        <v>289</v>
      </c>
      <c r="R545" s="32">
        <v>2</v>
      </c>
      <c r="S545" s="32">
        <v>21.779399999999999</v>
      </c>
      <c r="T545" s="32">
        <v>0</v>
      </c>
      <c r="U545" s="32">
        <v>0.804703956</v>
      </c>
      <c r="V545" s="32">
        <v>7</v>
      </c>
      <c r="W545" s="32">
        <v>0.90339400000000003</v>
      </c>
      <c r="X545" s="32">
        <v>0.108767</v>
      </c>
      <c r="Y545" s="32">
        <v>0.69752499999999995</v>
      </c>
      <c r="Z545" s="32">
        <v>0.41756300000000002</v>
      </c>
      <c r="AA545" s="32">
        <v>12.6</v>
      </c>
      <c r="AB545" s="32">
        <v>591</v>
      </c>
      <c r="AC545" s="32">
        <v>18</v>
      </c>
      <c r="AD545" s="32">
        <v>18</v>
      </c>
      <c r="AE545" s="32" t="s">
        <v>200</v>
      </c>
      <c r="AF545" s="32" t="s">
        <v>200</v>
      </c>
      <c r="AG545" s="32" t="s">
        <v>200</v>
      </c>
    </row>
    <row r="546" spans="1:33">
      <c r="A546" s="32" t="s">
        <v>2186</v>
      </c>
      <c r="B546" s="32" t="s">
        <v>71</v>
      </c>
      <c r="C546" s="32" t="s">
        <v>2187</v>
      </c>
      <c r="D546" s="32" t="s">
        <v>2188</v>
      </c>
      <c r="E546" s="32" t="s">
        <v>2184</v>
      </c>
      <c r="F546" s="32" t="s">
        <v>2185</v>
      </c>
      <c r="G546" s="32" t="s">
        <v>2077</v>
      </c>
      <c r="H546" s="32" t="s">
        <v>2078</v>
      </c>
      <c r="I546" s="32" t="s">
        <v>198</v>
      </c>
      <c r="J546" s="32" t="s">
        <v>199</v>
      </c>
      <c r="K546" s="32">
        <v>2.7259829999999998</v>
      </c>
      <c r="L546" s="33">
        <v>2552</v>
      </c>
      <c r="M546" s="32">
        <v>392</v>
      </c>
      <c r="N546" s="32">
        <v>672</v>
      </c>
      <c r="O546" s="32">
        <v>864</v>
      </c>
      <c r="P546" s="32">
        <v>463</v>
      </c>
      <c r="Q546" s="32">
        <v>161</v>
      </c>
      <c r="R546" s="32">
        <v>5</v>
      </c>
      <c r="S546" s="32">
        <v>32.825499999999998</v>
      </c>
      <c r="T546" s="32">
        <v>9.7896400000000003</v>
      </c>
      <c r="U546" s="32">
        <v>0.58993035999999999</v>
      </c>
      <c r="V546" s="32">
        <v>6</v>
      </c>
      <c r="W546" s="32">
        <v>0.91350399999999998</v>
      </c>
      <c r="X546" s="32">
        <v>0.25517200000000001</v>
      </c>
      <c r="Y546" s="32">
        <v>0.7</v>
      </c>
      <c r="Z546" s="32">
        <v>0.84674700000000003</v>
      </c>
      <c r="AA546" s="32">
        <v>26.9</v>
      </c>
      <c r="AB546" s="32">
        <v>522</v>
      </c>
      <c r="AC546" s="32">
        <v>22</v>
      </c>
      <c r="AD546" s="32">
        <v>18</v>
      </c>
      <c r="AE546" s="32" t="s">
        <v>200</v>
      </c>
      <c r="AF546" s="32" t="s">
        <v>200</v>
      </c>
      <c r="AG546" s="32" t="s">
        <v>200</v>
      </c>
    </row>
    <row r="547" spans="1:33">
      <c r="A547" s="32" t="s">
        <v>2189</v>
      </c>
      <c r="B547" s="32" t="s">
        <v>71</v>
      </c>
      <c r="C547" s="32" t="s">
        <v>2190</v>
      </c>
      <c r="D547" s="32" t="s">
        <v>2191</v>
      </c>
      <c r="E547" s="32" t="s">
        <v>2192</v>
      </c>
      <c r="F547" s="32" t="s">
        <v>2193</v>
      </c>
      <c r="G547" s="32" t="s">
        <v>2077</v>
      </c>
      <c r="H547" s="32" t="s">
        <v>2078</v>
      </c>
      <c r="I547" s="32" t="s">
        <v>198</v>
      </c>
      <c r="J547" s="32" t="s">
        <v>199</v>
      </c>
      <c r="K547" s="32">
        <v>2.2064970000000002</v>
      </c>
      <c r="L547" s="33">
        <v>1737</v>
      </c>
      <c r="M547" s="32">
        <v>280</v>
      </c>
      <c r="N547" s="32">
        <v>307</v>
      </c>
      <c r="O547" s="32">
        <v>529</v>
      </c>
      <c r="P547" s="32">
        <v>359</v>
      </c>
      <c r="Q547" s="32">
        <v>262</v>
      </c>
      <c r="R547" s="32">
        <v>3</v>
      </c>
      <c r="S547" s="32">
        <v>24.5534</v>
      </c>
      <c r="T547" s="32">
        <v>8.7256900000000002</v>
      </c>
      <c r="U547" s="32">
        <v>0.76089823400000001</v>
      </c>
      <c r="V547" s="32">
        <v>8</v>
      </c>
      <c r="W547" s="32">
        <v>0.90614799999999995</v>
      </c>
      <c r="X547" s="32">
        <v>9.2841000000000007E-2</v>
      </c>
      <c r="Y547" s="32">
        <v>0.686311</v>
      </c>
      <c r="Z547" s="32">
        <v>0.51397199999999998</v>
      </c>
      <c r="AA547" s="32">
        <v>14.6</v>
      </c>
      <c r="AB547" s="32">
        <v>538</v>
      </c>
      <c r="AC547" s="32">
        <v>58</v>
      </c>
      <c r="AD547" s="32">
        <v>26</v>
      </c>
      <c r="AE547" s="32">
        <v>0</v>
      </c>
      <c r="AF547" s="32" t="s">
        <v>200</v>
      </c>
      <c r="AG547" s="32" t="s">
        <v>200</v>
      </c>
    </row>
    <row r="548" spans="1:33">
      <c r="A548" s="32" t="s">
        <v>2194</v>
      </c>
      <c r="B548" s="32" t="s">
        <v>71</v>
      </c>
      <c r="C548" s="32" t="s">
        <v>2195</v>
      </c>
      <c r="D548" s="32" t="s">
        <v>2196</v>
      </c>
      <c r="E548" s="32" t="s">
        <v>2192</v>
      </c>
      <c r="F548" s="32" t="s">
        <v>2193</v>
      </c>
      <c r="G548" s="32" t="s">
        <v>2077</v>
      </c>
      <c r="H548" s="32" t="s">
        <v>2078</v>
      </c>
      <c r="I548" s="32" t="s">
        <v>198</v>
      </c>
      <c r="J548" s="32" t="s">
        <v>199</v>
      </c>
      <c r="K548" s="32">
        <v>2.3450120000000001</v>
      </c>
      <c r="L548" s="33">
        <v>1643</v>
      </c>
      <c r="M548" s="32">
        <v>233</v>
      </c>
      <c r="N548" s="32">
        <v>309</v>
      </c>
      <c r="O548" s="32">
        <v>482</v>
      </c>
      <c r="P548" s="32">
        <v>363</v>
      </c>
      <c r="Q548" s="32">
        <v>256</v>
      </c>
      <c r="R548" s="32">
        <v>2</v>
      </c>
      <c r="S548" s="32">
        <v>16.080400000000001</v>
      </c>
      <c r="T548" s="32">
        <v>0</v>
      </c>
      <c r="U548" s="32">
        <v>0.70911929200000001</v>
      </c>
      <c r="V548" s="32">
        <v>7</v>
      </c>
      <c r="W548" s="32">
        <v>0.912219</v>
      </c>
      <c r="X548" s="32">
        <v>0.24185499999999999</v>
      </c>
      <c r="Y548" s="32">
        <v>0.62327900000000003</v>
      </c>
      <c r="Z548" s="32">
        <v>0.57244399999999995</v>
      </c>
      <c r="AA548" s="32">
        <v>13.8</v>
      </c>
      <c r="AB548" s="32">
        <v>561</v>
      </c>
      <c r="AC548" s="32">
        <v>21</v>
      </c>
      <c r="AD548" s="32">
        <v>18</v>
      </c>
      <c r="AE548" s="32" t="s">
        <v>200</v>
      </c>
      <c r="AF548" s="32">
        <v>0</v>
      </c>
      <c r="AG548" s="32" t="s">
        <v>200</v>
      </c>
    </row>
    <row r="549" spans="1:33">
      <c r="A549" s="32" t="s">
        <v>2197</v>
      </c>
      <c r="B549" s="32" t="s">
        <v>71</v>
      </c>
      <c r="C549" s="32" t="s">
        <v>2198</v>
      </c>
      <c r="D549" s="32" t="s">
        <v>2199</v>
      </c>
      <c r="E549" s="32" t="s">
        <v>2200</v>
      </c>
      <c r="F549" s="32" t="s">
        <v>2201</v>
      </c>
      <c r="G549" s="32" t="s">
        <v>2164</v>
      </c>
      <c r="H549" s="32" t="s">
        <v>2165</v>
      </c>
      <c r="I549" s="32" t="s">
        <v>198</v>
      </c>
      <c r="J549" s="32" t="s">
        <v>199</v>
      </c>
      <c r="K549" s="32">
        <v>2.6529410000000002</v>
      </c>
      <c r="L549" s="33">
        <v>1534</v>
      </c>
      <c r="M549" s="32">
        <v>98</v>
      </c>
      <c r="N549" s="32">
        <v>470</v>
      </c>
      <c r="O549" s="32">
        <v>763</v>
      </c>
      <c r="P549" s="32">
        <v>169</v>
      </c>
      <c r="Q549" s="32">
        <v>34</v>
      </c>
      <c r="R549" s="32">
        <v>5</v>
      </c>
      <c r="S549" s="32">
        <v>0</v>
      </c>
      <c r="T549" s="32">
        <v>0</v>
      </c>
      <c r="U549" s="32">
        <v>0</v>
      </c>
      <c r="V549" s="32">
        <v>5</v>
      </c>
      <c r="W549" s="32">
        <v>0.90855600000000003</v>
      </c>
      <c r="X549" s="32">
        <v>0.30581999999999998</v>
      </c>
      <c r="Y549" s="32">
        <v>0.7</v>
      </c>
      <c r="Z549" s="32">
        <v>0.75751299999999999</v>
      </c>
      <c r="AA549" s="32">
        <v>36.200000000000003</v>
      </c>
      <c r="AB549" s="32">
        <v>139</v>
      </c>
      <c r="AC549" s="32">
        <v>24</v>
      </c>
      <c r="AD549" s="32" t="s">
        <v>200</v>
      </c>
      <c r="AE549" s="32">
        <v>0</v>
      </c>
      <c r="AF549" s="32">
        <v>0</v>
      </c>
      <c r="AG549" s="32">
        <v>0</v>
      </c>
    </row>
    <row r="550" spans="1:33">
      <c r="A550" s="32" t="s">
        <v>2202</v>
      </c>
      <c r="B550" s="32" t="s">
        <v>71</v>
      </c>
      <c r="C550" s="32" t="s">
        <v>2203</v>
      </c>
      <c r="D550" s="32" t="s">
        <v>2204</v>
      </c>
      <c r="E550" s="32" t="s">
        <v>2162</v>
      </c>
      <c r="F550" s="32" t="s">
        <v>2163</v>
      </c>
      <c r="G550" s="32" t="s">
        <v>2164</v>
      </c>
      <c r="H550" s="32" t="s">
        <v>2165</v>
      </c>
      <c r="I550" s="32" t="s">
        <v>198</v>
      </c>
      <c r="J550" s="32" t="s">
        <v>199</v>
      </c>
      <c r="K550" s="32">
        <v>2.5018180000000001</v>
      </c>
      <c r="L550" s="33">
        <v>1359</v>
      </c>
      <c r="M550" s="32">
        <v>336</v>
      </c>
      <c r="N550" s="32">
        <v>299</v>
      </c>
      <c r="O550" s="32">
        <v>339</v>
      </c>
      <c r="P550" s="32">
        <v>268</v>
      </c>
      <c r="Q550" s="32">
        <v>117</v>
      </c>
      <c r="R550" s="32">
        <v>4</v>
      </c>
      <c r="S550" s="32">
        <v>0</v>
      </c>
      <c r="T550" s="32">
        <v>0</v>
      </c>
      <c r="U550" s="32">
        <v>0</v>
      </c>
      <c r="V550" s="32">
        <v>2</v>
      </c>
      <c r="W550" s="32">
        <v>0.91018200000000005</v>
      </c>
      <c r="X550" s="32">
        <v>0.218773</v>
      </c>
      <c r="Y550" s="32">
        <v>0.7</v>
      </c>
      <c r="Z550" s="32">
        <v>0.68540100000000004</v>
      </c>
      <c r="AA550" s="32">
        <v>64.099999999999994</v>
      </c>
      <c r="AB550" s="32">
        <v>222</v>
      </c>
      <c r="AC550" s="32">
        <v>13</v>
      </c>
      <c r="AD550" s="32">
        <v>5</v>
      </c>
      <c r="AE550" s="32">
        <v>0</v>
      </c>
      <c r="AF550" s="32">
        <v>0</v>
      </c>
      <c r="AG550" s="32" t="s">
        <v>200</v>
      </c>
    </row>
    <row r="551" spans="1:33">
      <c r="A551" s="32" t="s">
        <v>2205</v>
      </c>
      <c r="B551" s="32" t="s">
        <v>71</v>
      </c>
      <c r="C551" s="32" t="s">
        <v>2206</v>
      </c>
      <c r="D551" s="32" t="s">
        <v>2207</v>
      </c>
      <c r="E551" s="32" t="s">
        <v>2179</v>
      </c>
      <c r="F551" s="32" t="s">
        <v>2180</v>
      </c>
      <c r="G551" s="32" t="s">
        <v>2164</v>
      </c>
      <c r="H551" s="32" t="s">
        <v>2165</v>
      </c>
      <c r="I551" s="32" t="s">
        <v>198</v>
      </c>
      <c r="J551" s="32" t="s">
        <v>199</v>
      </c>
      <c r="K551" s="32">
        <v>2.7631890000000001</v>
      </c>
      <c r="L551" s="33">
        <v>1886</v>
      </c>
      <c r="M551" s="32">
        <v>319</v>
      </c>
      <c r="N551" s="32">
        <v>504</v>
      </c>
      <c r="O551" s="32">
        <v>553</v>
      </c>
      <c r="P551" s="32">
        <v>444</v>
      </c>
      <c r="Q551" s="32">
        <v>66</v>
      </c>
      <c r="R551" s="32">
        <v>5</v>
      </c>
      <c r="S551" s="32">
        <v>0</v>
      </c>
      <c r="T551" s="32">
        <v>0</v>
      </c>
      <c r="U551" s="32">
        <v>0</v>
      </c>
      <c r="V551" s="32">
        <v>2</v>
      </c>
      <c r="W551" s="32">
        <v>0.91043300000000005</v>
      </c>
      <c r="X551" s="32">
        <v>0.25369700000000001</v>
      </c>
      <c r="Y551" s="32">
        <v>0.7</v>
      </c>
      <c r="Z551" s="32">
        <v>0.9</v>
      </c>
      <c r="AA551" s="32">
        <v>55.3</v>
      </c>
      <c r="AB551" s="32">
        <v>301</v>
      </c>
      <c r="AC551" s="32">
        <v>16</v>
      </c>
      <c r="AD551" s="32">
        <v>31</v>
      </c>
      <c r="AE551" s="32">
        <v>5</v>
      </c>
      <c r="AF551" s="32" t="s">
        <v>200</v>
      </c>
      <c r="AG551" s="32" t="s">
        <v>200</v>
      </c>
    </row>
    <row r="552" spans="1:33">
      <c r="A552" s="32" t="s">
        <v>2208</v>
      </c>
      <c r="B552" s="32" t="s">
        <v>71</v>
      </c>
      <c r="C552" s="32" t="s">
        <v>2209</v>
      </c>
      <c r="D552" s="32" t="s">
        <v>2210</v>
      </c>
      <c r="E552" s="32" t="s">
        <v>2211</v>
      </c>
      <c r="F552" s="32" t="s">
        <v>2212</v>
      </c>
      <c r="G552" s="32" t="s">
        <v>2077</v>
      </c>
      <c r="H552" s="32" t="s">
        <v>2078</v>
      </c>
      <c r="I552" s="32" t="s">
        <v>198</v>
      </c>
      <c r="J552" s="32" t="s">
        <v>199</v>
      </c>
      <c r="K552" s="32">
        <v>2.7313320000000001</v>
      </c>
      <c r="L552" s="33">
        <v>3159</v>
      </c>
      <c r="M552" s="32">
        <v>474</v>
      </c>
      <c r="N552" s="33">
        <v>1019</v>
      </c>
      <c r="O552" s="33">
        <v>1268</v>
      </c>
      <c r="P552" s="32">
        <v>285</v>
      </c>
      <c r="Q552" s="32">
        <v>113</v>
      </c>
      <c r="R552" s="32">
        <v>5</v>
      </c>
      <c r="S552" s="32">
        <v>0</v>
      </c>
      <c r="T552" s="32">
        <v>0</v>
      </c>
      <c r="U552" s="32">
        <v>0</v>
      </c>
      <c r="V552" s="32">
        <v>6</v>
      </c>
      <c r="W552" s="32">
        <v>0.90806799999999999</v>
      </c>
      <c r="X552" s="32">
        <v>0.23923800000000001</v>
      </c>
      <c r="Y552" s="32">
        <v>0.7</v>
      </c>
      <c r="Z552" s="32">
        <v>0.88674200000000003</v>
      </c>
      <c r="AA552" s="32">
        <v>30.2</v>
      </c>
      <c r="AB552" s="32">
        <v>333</v>
      </c>
      <c r="AC552" s="32">
        <v>26</v>
      </c>
      <c r="AD552" s="32">
        <v>71</v>
      </c>
      <c r="AE552" s="32">
        <v>26</v>
      </c>
      <c r="AF552" s="32">
        <v>0</v>
      </c>
      <c r="AG552" s="32" t="s">
        <v>200</v>
      </c>
    </row>
    <row r="553" spans="1:33">
      <c r="A553" s="32" t="s">
        <v>2213</v>
      </c>
      <c r="B553" s="32" t="s">
        <v>71</v>
      </c>
      <c r="C553" s="32" t="s">
        <v>2214</v>
      </c>
      <c r="D553" s="32" t="s">
        <v>2215</v>
      </c>
      <c r="E553" s="32" t="s">
        <v>2184</v>
      </c>
      <c r="F553" s="32" t="s">
        <v>2185</v>
      </c>
      <c r="G553" s="32" t="s">
        <v>2077</v>
      </c>
      <c r="H553" s="32" t="s">
        <v>2078</v>
      </c>
      <c r="I553" s="32" t="s">
        <v>198</v>
      </c>
      <c r="J553" s="32" t="s">
        <v>199</v>
      </c>
      <c r="K553" s="32">
        <v>2.4996900000000002</v>
      </c>
      <c r="L553" s="33">
        <v>2132</v>
      </c>
      <c r="M553" s="32">
        <v>476</v>
      </c>
      <c r="N553" s="32">
        <v>465</v>
      </c>
      <c r="O553" s="32">
        <v>532</v>
      </c>
      <c r="P553" s="32">
        <v>432</v>
      </c>
      <c r="Q553" s="32">
        <v>227</v>
      </c>
      <c r="R553" s="32">
        <v>4</v>
      </c>
      <c r="S553" s="32">
        <v>0</v>
      </c>
      <c r="T553" s="32">
        <v>0</v>
      </c>
      <c r="U553" s="32">
        <v>0</v>
      </c>
      <c r="V553" s="32">
        <v>3</v>
      </c>
      <c r="W553" s="32">
        <v>0.90309600000000001</v>
      </c>
      <c r="X553" s="32">
        <v>0.115951</v>
      </c>
      <c r="Y553" s="32">
        <v>0.7</v>
      </c>
      <c r="Z553" s="32">
        <v>0.78198800000000002</v>
      </c>
      <c r="AA553" s="32">
        <v>47.1</v>
      </c>
      <c r="AB553" s="32">
        <v>366</v>
      </c>
      <c r="AC553" s="32">
        <v>15</v>
      </c>
      <c r="AD553" s="32">
        <v>14</v>
      </c>
      <c r="AE553" s="32">
        <v>0</v>
      </c>
      <c r="AF553" s="32">
        <v>0</v>
      </c>
      <c r="AG553" s="32" t="s">
        <v>200</v>
      </c>
    </row>
    <row r="554" spans="1:33">
      <c r="A554" s="32" t="s">
        <v>2159</v>
      </c>
      <c r="B554" s="32" t="s">
        <v>72</v>
      </c>
      <c r="C554" s="32" t="s">
        <v>2160</v>
      </c>
      <c r="D554" s="32" t="s">
        <v>2161</v>
      </c>
      <c r="E554" s="32" t="s">
        <v>2162</v>
      </c>
      <c r="F554" s="32" t="s">
        <v>2163</v>
      </c>
      <c r="G554" s="32" t="s">
        <v>2164</v>
      </c>
      <c r="H554" s="32" t="s">
        <v>2165</v>
      </c>
      <c r="I554" s="32" t="s">
        <v>198</v>
      </c>
      <c r="J554" s="32" t="s">
        <v>199</v>
      </c>
      <c r="K554" s="32">
        <v>2.242238</v>
      </c>
      <c r="L554" s="33">
        <v>1630</v>
      </c>
      <c r="M554" s="32">
        <v>328</v>
      </c>
      <c r="N554" s="32">
        <v>333</v>
      </c>
      <c r="O554" s="32">
        <v>488</v>
      </c>
      <c r="P554" s="32">
        <v>350</v>
      </c>
      <c r="Q554" s="32">
        <v>131</v>
      </c>
      <c r="R554" s="32">
        <v>3</v>
      </c>
      <c r="S554" s="32">
        <v>36.184699999999999</v>
      </c>
      <c r="T554" s="32">
        <v>2.8951199999999999</v>
      </c>
      <c r="U554" s="32">
        <v>0.92710213200000002</v>
      </c>
      <c r="V554" s="32">
        <v>5</v>
      </c>
      <c r="W554" s="32">
        <v>0.90769200000000005</v>
      </c>
      <c r="X554" s="32">
        <v>0.159834</v>
      </c>
      <c r="Y554" s="32">
        <v>0.7</v>
      </c>
      <c r="Z554" s="32">
        <v>0.493724</v>
      </c>
      <c r="AA554" s="32">
        <v>33.9</v>
      </c>
      <c r="AB554" s="32">
        <v>419</v>
      </c>
      <c r="AC554" s="32">
        <v>19</v>
      </c>
      <c r="AD554" s="32">
        <v>11</v>
      </c>
      <c r="AE554" s="32" t="s">
        <v>200</v>
      </c>
      <c r="AF554" s="32">
        <v>0</v>
      </c>
      <c r="AG554" s="32">
        <v>0</v>
      </c>
    </row>
    <row r="555" spans="1:33">
      <c r="A555" s="32" t="s">
        <v>2166</v>
      </c>
      <c r="B555" s="32" t="s">
        <v>72</v>
      </c>
      <c r="C555" s="32" t="s">
        <v>2167</v>
      </c>
      <c r="D555" s="32" t="s">
        <v>2168</v>
      </c>
      <c r="E555" s="32" t="s">
        <v>2169</v>
      </c>
      <c r="F555" s="32" t="s">
        <v>2170</v>
      </c>
      <c r="G555" s="32" t="s">
        <v>2164</v>
      </c>
      <c r="H555" s="32" t="s">
        <v>2165</v>
      </c>
      <c r="I555" s="32" t="s">
        <v>198</v>
      </c>
      <c r="J555" s="32" t="s">
        <v>199</v>
      </c>
      <c r="K555" s="32">
        <v>2.6951350000000001</v>
      </c>
      <c r="L555" s="33">
        <v>1781</v>
      </c>
      <c r="M555" s="32">
        <v>302</v>
      </c>
      <c r="N555" s="32">
        <v>439</v>
      </c>
      <c r="O555" s="32">
        <v>522</v>
      </c>
      <c r="P555" s="32">
        <v>337</v>
      </c>
      <c r="Q555" s="32">
        <v>181</v>
      </c>
      <c r="R555" s="32" t="s">
        <v>302</v>
      </c>
      <c r="S555" s="32">
        <v>45.133499999999998</v>
      </c>
      <c r="T555" s="32">
        <v>21.852900000000002</v>
      </c>
      <c r="U555" s="32">
        <v>1.055723915</v>
      </c>
      <c r="V555" s="32">
        <v>2</v>
      </c>
      <c r="W555" s="32">
        <v>0.91162200000000004</v>
      </c>
      <c r="X555" s="32">
        <v>0.21813299999999999</v>
      </c>
      <c r="Y555" s="32">
        <v>0.7</v>
      </c>
      <c r="Z555" s="32">
        <v>0.87924500000000005</v>
      </c>
      <c r="AA555" s="32">
        <v>57.4</v>
      </c>
      <c r="AB555" s="32">
        <v>336</v>
      </c>
      <c r="AC555" s="32">
        <v>22</v>
      </c>
      <c r="AD555" s="32">
        <v>15</v>
      </c>
      <c r="AE555" s="32">
        <v>0</v>
      </c>
      <c r="AF555" s="32" t="s">
        <v>200</v>
      </c>
      <c r="AG555" s="32" t="s">
        <v>200</v>
      </c>
    </row>
    <row r="556" spans="1:33">
      <c r="A556" s="32" t="s">
        <v>2171</v>
      </c>
      <c r="B556" s="32" t="s">
        <v>72</v>
      </c>
      <c r="C556" s="32" t="s">
        <v>2172</v>
      </c>
      <c r="D556" s="32" t="s">
        <v>2173</v>
      </c>
      <c r="E556" s="32" t="s">
        <v>2174</v>
      </c>
      <c r="F556" s="32" t="s">
        <v>2175</v>
      </c>
      <c r="G556" s="32" t="s">
        <v>2164</v>
      </c>
      <c r="H556" s="32" t="s">
        <v>2165</v>
      </c>
      <c r="I556" s="32" t="s">
        <v>198</v>
      </c>
      <c r="J556" s="32" t="s">
        <v>199</v>
      </c>
      <c r="K556" s="32">
        <v>2.0990510000000002</v>
      </c>
      <c r="L556" s="33">
        <v>1734</v>
      </c>
      <c r="M556" s="32">
        <v>296</v>
      </c>
      <c r="N556" s="32">
        <v>336</v>
      </c>
      <c r="O556" s="32">
        <v>497</v>
      </c>
      <c r="P556" s="32">
        <v>412</v>
      </c>
      <c r="Q556" s="32">
        <v>193</v>
      </c>
      <c r="R556" s="32">
        <v>4</v>
      </c>
      <c r="S556" s="32">
        <v>21.9192</v>
      </c>
      <c r="T556" s="32">
        <v>0</v>
      </c>
      <c r="U556" s="32">
        <v>0.82826939399999999</v>
      </c>
      <c r="V556" s="32">
        <v>7</v>
      </c>
      <c r="W556" s="32">
        <v>0.90708900000000003</v>
      </c>
      <c r="X556" s="32">
        <v>0.175288</v>
      </c>
      <c r="Y556" s="32">
        <v>0.65972200000000003</v>
      </c>
      <c r="Z556" s="32">
        <v>0.36468800000000001</v>
      </c>
      <c r="AA556" s="32">
        <v>15.1</v>
      </c>
      <c r="AB556" s="32">
        <v>488</v>
      </c>
      <c r="AC556" s="32">
        <v>19</v>
      </c>
      <c r="AD556" s="32">
        <v>18</v>
      </c>
      <c r="AE556" s="32">
        <v>0</v>
      </c>
      <c r="AF556" s="32">
        <v>0</v>
      </c>
      <c r="AG556" s="32" t="s">
        <v>200</v>
      </c>
    </row>
    <row r="557" spans="1:33">
      <c r="A557" s="32" t="s">
        <v>2176</v>
      </c>
      <c r="B557" s="32" t="s">
        <v>72</v>
      </c>
      <c r="C557" s="32" t="s">
        <v>2177</v>
      </c>
      <c r="D557" s="32" t="s">
        <v>2178</v>
      </c>
      <c r="E557" s="32" t="s">
        <v>2179</v>
      </c>
      <c r="F557" s="32" t="s">
        <v>2180</v>
      </c>
      <c r="G557" s="32" t="s">
        <v>2164</v>
      </c>
      <c r="H557" s="32" t="s">
        <v>2165</v>
      </c>
      <c r="I557" s="32" t="s">
        <v>198</v>
      </c>
      <c r="J557" s="32" t="s">
        <v>199</v>
      </c>
      <c r="K557" s="32">
        <v>2.5594000000000001</v>
      </c>
      <c r="L557" s="33">
        <v>2237</v>
      </c>
      <c r="M557" s="32">
        <v>362</v>
      </c>
      <c r="N557" s="32">
        <v>464</v>
      </c>
      <c r="O557" s="32">
        <v>823</v>
      </c>
      <c r="P557" s="32">
        <v>447</v>
      </c>
      <c r="Q557" s="32">
        <v>141</v>
      </c>
      <c r="R557" s="32" t="s">
        <v>302</v>
      </c>
      <c r="S557" s="32">
        <v>43.487400000000001</v>
      </c>
      <c r="T557" s="32">
        <v>21.998999999999999</v>
      </c>
      <c r="U557" s="32">
        <v>1.056909012</v>
      </c>
      <c r="V557" s="32">
        <v>2</v>
      </c>
      <c r="W557" s="32">
        <v>0.90480000000000005</v>
      </c>
      <c r="X557" s="32">
        <v>8.5713999999999999E-2</v>
      </c>
      <c r="Y557" s="32">
        <v>0.7</v>
      </c>
      <c r="Z557" s="32">
        <v>0.86345400000000005</v>
      </c>
      <c r="AA557" s="32">
        <v>57.9</v>
      </c>
      <c r="AB557" s="32">
        <v>358</v>
      </c>
      <c r="AC557" s="32">
        <v>16</v>
      </c>
      <c r="AD557" s="32">
        <v>28</v>
      </c>
      <c r="AE557" s="32">
        <v>0</v>
      </c>
      <c r="AF557" s="32">
        <v>0</v>
      </c>
      <c r="AG557" s="32" t="s">
        <v>200</v>
      </c>
    </row>
    <row r="558" spans="1:33">
      <c r="A558" s="32" t="s">
        <v>2216</v>
      </c>
      <c r="B558" s="32" t="s">
        <v>72</v>
      </c>
      <c r="C558" s="32" t="s">
        <v>2217</v>
      </c>
      <c r="D558" s="32" t="s">
        <v>2218</v>
      </c>
      <c r="E558" s="32" t="s">
        <v>2219</v>
      </c>
      <c r="F558" s="32" t="s">
        <v>2220</v>
      </c>
      <c r="G558" s="32" t="s">
        <v>2221</v>
      </c>
      <c r="H558" s="32" t="s">
        <v>2222</v>
      </c>
      <c r="I558" s="32" t="s">
        <v>198</v>
      </c>
      <c r="J558" s="32" t="s">
        <v>199</v>
      </c>
      <c r="K558" s="32">
        <v>1.8155140000000001</v>
      </c>
      <c r="L558" s="33">
        <v>1565</v>
      </c>
      <c r="M558" s="32">
        <v>299</v>
      </c>
      <c r="N558" s="32">
        <v>216</v>
      </c>
      <c r="O558" s="32">
        <v>309</v>
      </c>
      <c r="P558" s="32">
        <v>420</v>
      </c>
      <c r="Q558" s="32">
        <v>321</v>
      </c>
      <c r="R558" s="32">
        <v>2</v>
      </c>
      <c r="S558" s="32">
        <v>14.549799999999999</v>
      </c>
      <c r="T558" s="32">
        <v>0</v>
      </c>
      <c r="U558" s="32">
        <v>0.90366413099999998</v>
      </c>
      <c r="V558" s="32">
        <v>8</v>
      </c>
      <c r="W558" s="32">
        <v>0.82183799999999996</v>
      </c>
      <c r="X558" s="32">
        <v>0.10514800000000001</v>
      </c>
      <c r="Y558" s="32">
        <v>0.6</v>
      </c>
      <c r="Z558" s="32">
        <v>0.28268900000000002</v>
      </c>
      <c r="AA558" s="32">
        <v>15.8</v>
      </c>
      <c r="AB558" s="32">
        <v>783</v>
      </c>
      <c r="AC558" s="32">
        <v>39</v>
      </c>
      <c r="AD558" s="32">
        <v>72</v>
      </c>
      <c r="AE558" s="32" t="s">
        <v>200</v>
      </c>
      <c r="AF558" s="32" t="s">
        <v>200</v>
      </c>
      <c r="AG558" s="32">
        <v>5</v>
      </c>
    </row>
    <row r="559" spans="1:33">
      <c r="A559" s="32" t="s">
        <v>2223</v>
      </c>
      <c r="B559" s="32" t="s">
        <v>72</v>
      </c>
      <c r="C559" s="32" t="s">
        <v>2224</v>
      </c>
      <c r="D559" s="32" t="s">
        <v>2225</v>
      </c>
      <c r="E559" s="32" t="s">
        <v>2226</v>
      </c>
      <c r="F559" s="32" t="s">
        <v>2227</v>
      </c>
      <c r="G559" s="32" t="s">
        <v>2221</v>
      </c>
      <c r="H559" s="32" t="s">
        <v>2222</v>
      </c>
      <c r="I559" s="32" t="s">
        <v>198</v>
      </c>
      <c r="J559" s="32" t="s">
        <v>199</v>
      </c>
      <c r="K559" s="32">
        <v>2.1356280000000001</v>
      </c>
      <c r="L559" s="33">
        <v>1664</v>
      </c>
      <c r="M559" s="32">
        <v>298</v>
      </c>
      <c r="N559" s="32">
        <v>239</v>
      </c>
      <c r="O559" s="32">
        <v>359</v>
      </c>
      <c r="P559" s="32">
        <v>458</v>
      </c>
      <c r="Q559" s="32">
        <v>310</v>
      </c>
      <c r="R559" s="32" t="s">
        <v>225</v>
      </c>
      <c r="S559" s="32">
        <v>8.6355000000000004</v>
      </c>
      <c r="T559" s="32">
        <v>0</v>
      </c>
      <c r="U559" s="32">
        <v>0.799222082</v>
      </c>
      <c r="V559" s="32">
        <v>7</v>
      </c>
      <c r="W559" s="32">
        <v>0.82185900000000001</v>
      </c>
      <c r="X559" s="32">
        <v>0.34207799999999999</v>
      </c>
      <c r="Y559" s="32">
        <v>0.6</v>
      </c>
      <c r="Z559" s="32">
        <v>0.36238199999999998</v>
      </c>
      <c r="AA559" s="32">
        <v>14.3</v>
      </c>
      <c r="AB559" s="32">
        <v>803</v>
      </c>
      <c r="AC559" s="32">
        <v>36</v>
      </c>
      <c r="AD559" s="32">
        <v>47</v>
      </c>
      <c r="AE559" s="32">
        <v>0</v>
      </c>
      <c r="AF559" s="32" t="s">
        <v>200</v>
      </c>
      <c r="AG559" s="32" t="s">
        <v>200</v>
      </c>
    </row>
    <row r="560" spans="1:33">
      <c r="A560" s="32" t="s">
        <v>2228</v>
      </c>
      <c r="B560" s="32" t="s">
        <v>72</v>
      </c>
      <c r="C560" s="32" t="s">
        <v>2229</v>
      </c>
      <c r="D560" s="32" t="s">
        <v>2230</v>
      </c>
      <c r="E560" s="32" t="s">
        <v>2219</v>
      </c>
      <c r="F560" s="32" t="s">
        <v>2220</v>
      </c>
      <c r="G560" s="32" t="s">
        <v>2221</v>
      </c>
      <c r="H560" s="32" t="s">
        <v>2222</v>
      </c>
      <c r="I560" s="32" t="s">
        <v>198</v>
      </c>
      <c r="J560" s="32" t="s">
        <v>199</v>
      </c>
      <c r="K560" s="32">
        <v>1.826338</v>
      </c>
      <c r="L560" s="33">
        <v>1626</v>
      </c>
      <c r="M560" s="32">
        <v>311</v>
      </c>
      <c r="N560" s="32">
        <v>219</v>
      </c>
      <c r="O560" s="32">
        <v>278</v>
      </c>
      <c r="P560" s="32">
        <v>439</v>
      </c>
      <c r="Q560" s="32">
        <v>379</v>
      </c>
      <c r="R560" s="32" t="s">
        <v>225</v>
      </c>
      <c r="S560" s="32">
        <v>6.0464500000000001</v>
      </c>
      <c r="T560" s="32">
        <v>0</v>
      </c>
      <c r="U560" s="32">
        <v>0.88081583100000005</v>
      </c>
      <c r="V560" s="32">
        <v>9</v>
      </c>
      <c r="W560" s="32">
        <v>0.84957199999999999</v>
      </c>
      <c r="X560" s="32">
        <v>0.19614100000000001</v>
      </c>
      <c r="Y560" s="32">
        <v>0.51850300000000005</v>
      </c>
      <c r="Z560" s="32">
        <v>0.278947</v>
      </c>
      <c r="AA560" s="32">
        <v>10.7</v>
      </c>
      <c r="AB560" s="32">
        <v>904</v>
      </c>
      <c r="AC560" s="32">
        <v>24</v>
      </c>
      <c r="AD560" s="32">
        <v>49</v>
      </c>
      <c r="AE560" s="32">
        <v>0</v>
      </c>
      <c r="AF560" s="32" t="s">
        <v>200</v>
      </c>
      <c r="AG560" s="32">
        <v>12</v>
      </c>
    </row>
    <row r="561" spans="1:33">
      <c r="A561" s="32" t="s">
        <v>2231</v>
      </c>
      <c r="B561" s="32" t="s">
        <v>72</v>
      </c>
      <c r="C561" s="32" t="s">
        <v>2232</v>
      </c>
      <c r="D561" s="32" t="s">
        <v>2233</v>
      </c>
      <c r="E561" s="32" t="s">
        <v>2234</v>
      </c>
      <c r="F561" s="32" t="s">
        <v>2235</v>
      </c>
      <c r="G561" s="32" t="s">
        <v>2221</v>
      </c>
      <c r="H561" s="32" t="s">
        <v>2222</v>
      </c>
      <c r="I561" s="32" t="s">
        <v>198</v>
      </c>
      <c r="J561" s="32" t="s">
        <v>199</v>
      </c>
      <c r="K561" s="32">
        <v>2.133467</v>
      </c>
      <c r="L561" s="33">
        <v>1678</v>
      </c>
      <c r="M561" s="32">
        <v>331</v>
      </c>
      <c r="N561" s="32">
        <v>256</v>
      </c>
      <c r="O561" s="32">
        <v>356</v>
      </c>
      <c r="P561" s="32">
        <v>430</v>
      </c>
      <c r="Q561" s="32">
        <v>305</v>
      </c>
      <c r="R561" s="32" t="s">
        <v>225</v>
      </c>
      <c r="S561" s="32">
        <v>5.8648800000000003</v>
      </c>
      <c r="T561" s="32">
        <v>0</v>
      </c>
      <c r="U561" s="32">
        <v>0.86181504499999995</v>
      </c>
      <c r="V561" s="32">
        <v>6</v>
      </c>
      <c r="W561" s="32">
        <v>0.87942100000000001</v>
      </c>
      <c r="X561" s="32">
        <v>0.37670700000000001</v>
      </c>
      <c r="Y561" s="32">
        <v>0.6</v>
      </c>
      <c r="Z561" s="32">
        <v>0.28303400000000001</v>
      </c>
      <c r="AA561" s="32">
        <v>11.6</v>
      </c>
      <c r="AB561" s="32">
        <v>775</v>
      </c>
      <c r="AC561" s="32">
        <v>37</v>
      </c>
      <c r="AD561" s="32">
        <v>87</v>
      </c>
      <c r="AE561" s="32" t="s">
        <v>200</v>
      </c>
      <c r="AF561" s="32" t="s">
        <v>200</v>
      </c>
      <c r="AG561" s="32">
        <v>11</v>
      </c>
    </row>
    <row r="562" spans="1:33">
      <c r="A562" s="32" t="s">
        <v>2236</v>
      </c>
      <c r="B562" s="32" t="s">
        <v>72</v>
      </c>
      <c r="C562" s="32" t="s">
        <v>2237</v>
      </c>
      <c r="D562" s="32" t="s">
        <v>2238</v>
      </c>
      <c r="E562" s="32" t="s">
        <v>2226</v>
      </c>
      <c r="F562" s="32" t="s">
        <v>2227</v>
      </c>
      <c r="G562" s="32" t="s">
        <v>2221</v>
      </c>
      <c r="H562" s="32" t="s">
        <v>2222</v>
      </c>
      <c r="I562" s="32" t="s">
        <v>198</v>
      </c>
      <c r="J562" s="32" t="s">
        <v>199</v>
      </c>
      <c r="K562" s="32">
        <v>1.7667729999999999</v>
      </c>
      <c r="L562" s="33">
        <v>1466</v>
      </c>
      <c r="M562" s="32">
        <v>256</v>
      </c>
      <c r="N562" s="32">
        <v>169</v>
      </c>
      <c r="O562" s="32">
        <v>242</v>
      </c>
      <c r="P562" s="32">
        <v>395</v>
      </c>
      <c r="Q562" s="32">
        <v>404</v>
      </c>
      <c r="R562" s="32">
        <v>2</v>
      </c>
      <c r="S562" s="32">
        <v>13.8878</v>
      </c>
      <c r="T562" s="32">
        <v>0</v>
      </c>
      <c r="U562" s="32">
        <v>0.89893748500000004</v>
      </c>
      <c r="V562" s="32">
        <v>10</v>
      </c>
      <c r="W562" s="32">
        <v>0.81017499999999998</v>
      </c>
      <c r="X562" s="32">
        <v>0.134131</v>
      </c>
      <c r="Y562" s="32">
        <v>0.56001599999999996</v>
      </c>
      <c r="Z562" s="32">
        <v>0.26533499999999999</v>
      </c>
      <c r="AA562" s="32">
        <v>7.5</v>
      </c>
      <c r="AB562" s="32">
        <v>784</v>
      </c>
      <c r="AC562" s="32">
        <v>24</v>
      </c>
      <c r="AD562" s="32">
        <v>35</v>
      </c>
      <c r="AE562" s="32">
        <v>5</v>
      </c>
      <c r="AF562" s="32" t="s">
        <v>200</v>
      </c>
      <c r="AG562" s="32" t="s">
        <v>200</v>
      </c>
    </row>
    <row r="563" spans="1:33">
      <c r="A563" s="32" t="s">
        <v>2239</v>
      </c>
      <c r="B563" s="32" t="s">
        <v>72</v>
      </c>
      <c r="C563" s="32" t="s">
        <v>2240</v>
      </c>
      <c r="D563" s="32" t="s">
        <v>2241</v>
      </c>
      <c r="E563" s="32" t="s">
        <v>2242</v>
      </c>
      <c r="F563" s="32" t="s">
        <v>2243</v>
      </c>
      <c r="G563" s="32" t="s">
        <v>2221</v>
      </c>
      <c r="H563" s="32" t="s">
        <v>2222</v>
      </c>
      <c r="I563" s="32" t="s">
        <v>198</v>
      </c>
      <c r="J563" s="32" t="s">
        <v>199</v>
      </c>
      <c r="K563" s="32">
        <v>1.8629359999999999</v>
      </c>
      <c r="L563" s="33">
        <v>1466</v>
      </c>
      <c r="M563" s="32">
        <v>250</v>
      </c>
      <c r="N563" s="32">
        <v>264</v>
      </c>
      <c r="O563" s="32">
        <v>294</v>
      </c>
      <c r="P563" s="32">
        <v>390</v>
      </c>
      <c r="Q563" s="32">
        <v>268</v>
      </c>
      <c r="R563" s="32" t="s">
        <v>225</v>
      </c>
      <c r="S563" s="32">
        <v>5.2613200000000004</v>
      </c>
      <c r="T563" s="32">
        <v>3.0670600000000001</v>
      </c>
      <c r="U563" s="32">
        <v>0.91224724400000001</v>
      </c>
      <c r="V563" s="32">
        <v>8</v>
      </c>
      <c r="W563" s="32">
        <v>0.89449500000000004</v>
      </c>
      <c r="X563" s="32">
        <v>8.4000000000000005E-2</v>
      </c>
      <c r="Y563" s="32">
        <v>0.6</v>
      </c>
      <c r="Z563" s="32">
        <v>0.28229900000000002</v>
      </c>
      <c r="AA563" s="32">
        <v>14.2</v>
      </c>
      <c r="AB563" s="32">
        <v>706</v>
      </c>
      <c r="AC563" s="32">
        <v>34</v>
      </c>
      <c r="AD563" s="32">
        <v>53</v>
      </c>
      <c r="AE563" s="32" t="s">
        <v>200</v>
      </c>
      <c r="AF563" s="32">
        <v>0</v>
      </c>
      <c r="AG563" s="32">
        <v>7</v>
      </c>
    </row>
    <row r="564" spans="1:33">
      <c r="A564" s="32" t="s">
        <v>2244</v>
      </c>
      <c r="B564" s="32" t="s">
        <v>72</v>
      </c>
      <c r="C564" s="32" t="s">
        <v>2245</v>
      </c>
      <c r="D564" s="32" t="s">
        <v>2246</v>
      </c>
      <c r="E564" s="32" t="s">
        <v>2247</v>
      </c>
      <c r="F564" s="32" t="s">
        <v>2248</v>
      </c>
      <c r="G564" s="32" t="s">
        <v>2221</v>
      </c>
      <c r="H564" s="32" t="s">
        <v>2222</v>
      </c>
      <c r="I564" s="32" t="s">
        <v>198</v>
      </c>
      <c r="J564" s="32" t="s">
        <v>199</v>
      </c>
      <c r="K564" s="32">
        <v>2.0188449999999998</v>
      </c>
      <c r="L564" s="33">
        <v>1802</v>
      </c>
      <c r="M564" s="32">
        <v>392</v>
      </c>
      <c r="N564" s="32">
        <v>286</v>
      </c>
      <c r="O564" s="32">
        <v>461</v>
      </c>
      <c r="P564" s="32">
        <v>451</v>
      </c>
      <c r="Q564" s="32">
        <v>212</v>
      </c>
      <c r="R564" s="32">
        <v>2</v>
      </c>
      <c r="S564" s="32">
        <v>11.1549</v>
      </c>
      <c r="T564" s="32">
        <v>0</v>
      </c>
      <c r="U564" s="32">
        <v>0.84896360500000001</v>
      </c>
      <c r="V564" s="32">
        <v>9</v>
      </c>
      <c r="W564" s="32">
        <v>0.87262700000000004</v>
      </c>
      <c r="X564" s="32">
        <v>0.29068500000000003</v>
      </c>
      <c r="Y564" s="32">
        <v>0.6</v>
      </c>
      <c r="Z564" s="32">
        <v>0.26195099999999999</v>
      </c>
      <c r="AA564" s="32">
        <v>14.7</v>
      </c>
      <c r="AB564" s="32">
        <v>788</v>
      </c>
      <c r="AC564" s="32">
        <v>31</v>
      </c>
      <c r="AD564" s="32">
        <v>51</v>
      </c>
      <c r="AE564" s="32" t="s">
        <v>200</v>
      </c>
      <c r="AF564" s="32" t="s">
        <v>200</v>
      </c>
      <c r="AG564" s="32">
        <v>6</v>
      </c>
    </row>
    <row r="565" spans="1:33">
      <c r="A565" s="32" t="s">
        <v>2249</v>
      </c>
      <c r="B565" s="32" t="s">
        <v>72</v>
      </c>
      <c r="C565" s="32" t="s">
        <v>2250</v>
      </c>
      <c r="D565" s="32" t="s">
        <v>2251</v>
      </c>
      <c r="E565" s="32" t="s">
        <v>2247</v>
      </c>
      <c r="F565" s="32" t="s">
        <v>2248</v>
      </c>
      <c r="G565" s="32" t="s">
        <v>2221</v>
      </c>
      <c r="H565" s="32" t="s">
        <v>2222</v>
      </c>
      <c r="I565" s="32" t="s">
        <v>198</v>
      </c>
      <c r="J565" s="32" t="s">
        <v>199</v>
      </c>
      <c r="K565" s="32">
        <v>2.17327</v>
      </c>
      <c r="L565" s="33">
        <v>1380</v>
      </c>
      <c r="M565" s="32">
        <v>260</v>
      </c>
      <c r="N565" s="32">
        <v>258</v>
      </c>
      <c r="O565" s="32">
        <v>267</v>
      </c>
      <c r="P565" s="32">
        <v>356</v>
      </c>
      <c r="Q565" s="32">
        <v>239</v>
      </c>
      <c r="R565" s="32" t="s">
        <v>225</v>
      </c>
      <c r="S565" s="32">
        <v>6.7171599999999998</v>
      </c>
      <c r="T565" s="32">
        <v>0</v>
      </c>
      <c r="U565" s="32">
        <v>0.79456728300000001</v>
      </c>
      <c r="V565" s="32">
        <v>8</v>
      </c>
      <c r="W565" s="32">
        <v>0.90723299999999996</v>
      </c>
      <c r="X565" s="32">
        <v>0.36346499999999998</v>
      </c>
      <c r="Y565" s="32">
        <v>0.6</v>
      </c>
      <c r="Z565" s="32">
        <v>0.3</v>
      </c>
      <c r="AA565" s="32">
        <v>12.7</v>
      </c>
      <c r="AB565" s="32">
        <v>659</v>
      </c>
      <c r="AC565" s="32">
        <v>17</v>
      </c>
      <c r="AD565" s="32">
        <v>51</v>
      </c>
      <c r="AE565" s="32">
        <v>0</v>
      </c>
      <c r="AF565" s="32">
        <v>0</v>
      </c>
      <c r="AG565" s="32">
        <v>8</v>
      </c>
    </row>
    <row r="566" spans="1:33">
      <c r="A566" s="32" t="s">
        <v>2252</v>
      </c>
      <c r="B566" s="32" t="s">
        <v>72</v>
      </c>
      <c r="C566" s="32" t="s">
        <v>2253</v>
      </c>
      <c r="D566" s="32" t="s">
        <v>2254</v>
      </c>
      <c r="E566" s="32" t="s">
        <v>2219</v>
      </c>
      <c r="F566" s="32" t="s">
        <v>2220</v>
      </c>
      <c r="G566" s="32" t="s">
        <v>2221</v>
      </c>
      <c r="H566" s="32" t="s">
        <v>2222</v>
      </c>
      <c r="I566" s="32" t="s">
        <v>198</v>
      </c>
      <c r="J566" s="32" t="s">
        <v>199</v>
      </c>
      <c r="K566" s="32">
        <v>1.9010800000000001</v>
      </c>
      <c r="L566" s="33">
        <v>1259</v>
      </c>
      <c r="M566" s="32">
        <v>241</v>
      </c>
      <c r="N566" s="32">
        <v>176</v>
      </c>
      <c r="O566" s="32">
        <v>216</v>
      </c>
      <c r="P566" s="32">
        <v>351</v>
      </c>
      <c r="Q566" s="32">
        <v>275</v>
      </c>
      <c r="R566" s="32" t="s">
        <v>225</v>
      </c>
      <c r="S566" s="32">
        <v>7.04094</v>
      </c>
      <c r="T566" s="32">
        <v>0</v>
      </c>
      <c r="U566" s="32">
        <v>0.899345336</v>
      </c>
      <c r="V566" s="32">
        <v>8</v>
      </c>
      <c r="W566" s="32">
        <v>0.82557400000000003</v>
      </c>
      <c r="X566" s="32">
        <v>0.23938200000000001</v>
      </c>
      <c r="Y566" s="32">
        <v>0.6</v>
      </c>
      <c r="Z566" s="32">
        <v>0.23025599999999999</v>
      </c>
      <c r="AA566" s="32">
        <v>17.3</v>
      </c>
      <c r="AB566" s="32">
        <v>648</v>
      </c>
      <c r="AC566" s="32">
        <v>28</v>
      </c>
      <c r="AD566" s="32">
        <v>45</v>
      </c>
      <c r="AE566" s="32" t="s">
        <v>200</v>
      </c>
      <c r="AF566" s="32">
        <v>0</v>
      </c>
      <c r="AG566" s="32">
        <v>5</v>
      </c>
    </row>
    <row r="567" spans="1:33">
      <c r="A567" s="32" t="s">
        <v>2255</v>
      </c>
      <c r="B567" s="32" t="s">
        <v>72</v>
      </c>
      <c r="C567" s="32" t="s">
        <v>2256</v>
      </c>
      <c r="D567" s="32" t="s">
        <v>2257</v>
      </c>
      <c r="E567" s="32" t="s">
        <v>2234</v>
      </c>
      <c r="F567" s="32" t="s">
        <v>2235</v>
      </c>
      <c r="G567" s="32" t="s">
        <v>2221</v>
      </c>
      <c r="H567" s="32" t="s">
        <v>2222</v>
      </c>
      <c r="I567" s="32" t="s">
        <v>198</v>
      </c>
      <c r="J567" s="32" t="s">
        <v>199</v>
      </c>
      <c r="K567" s="32">
        <v>1.929805</v>
      </c>
      <c r="L567" s="33">
        <v>1763</v>
      </c>
      <c r="M567" s="32">
        <v>353</v>
      </c>
      <c r="N567" s="32">
        <v>336</v>
      </c>
      <c r="O567" s="32">
        <v>399</v>
      </c>
      <c r="P567" s="32">
        <v>422</v>
      </c>
      <c r="Q567" s="32">
        <v>253</v>
      </c>
      <c r="R567" s="32" t="s">
        <v>214</v>
      </c>
      <c r="S567" s="32">
        <v>5.1371099999999998</v>
      </c>
      <c r="T567" s="32">
        <v>0</v>
      </c>
      <c r="U567" s="32">
        <v>0.93825966500000002</v>
      </c>
      <c r="V567" s="32">
        <v>7</v>
      </c>
      <c r="W567" s="32">
        <v>0.83291800000000005</v>
      </c>
      <c r="X567" s="32">
        <v>0.25158799999999998</v>
      </c>
      <c r="Y567" s="32">
        <v>0.6</v>
      </c>
      <c r="Z567" s="32">
        <v>0.236314</v>
      </c>
      <c r="AA567" s="32">
        <v>11.2</v>
      </c>
      <c r="AB567" s="32">
        <v>796</v>
      </c>
      <c r="AC567" s="32">
        <v>26</v>
      </c>
      <c r="AD567" s="32">
        <v>61</v>
      </c>
      <c r="AE567" s="32" t="s">
        <v>200</v>
      </c>
      <c r="AF567" s="32" t="s">
        <v>200</v>
      </c>
      <c r="AG567" s="32">
        <v>10</v>
      </c>
    </row>
    <row r="568" spans="1:33">
      <c r="A568" s="32" t="s">
        <v>2181</v>
      </c>
      <c r="B568" s="32" t="s">
        <v>72</v>
      </c>
      <c r="C568" s="32" t="s">
        <v>2182</v>
      </c>
      <c r="D568" s="32" t="s">
        <v>2183</v>
      </c>
      <c r="E568" s="32" t="s">
        <v>2184</v>
      </c>
      <c r="F568" s="32" t="s">
        <v>2185</v>
      </c>
      <c r="G568" s="32" t="s">
        <v>2077</v>
      </c>
      <c r="H568" s="32" t="s">
        <v>2078</v>
      </c>
      <c r="I568" s="32" t="s">
        <v>198</v>
      </c>
      <c r="J568" s="32" t="s">
        <v>199</v>
      </c>
      <c r="K568" s="32">
        <v>2.1326040000000002</v>
      </c>
      <c r="L568" s="33">
        <v>1789</v>
      </c>
      <c r="M568" s="32">
        <v>331</v>
      </c>
      <c r="N568" s="32">
        <v>255</v>
      </c>
      <c r="O568" s="32">
        <v>450</v>
      </c>
      <c r="P568" s="32">
        <v>464</v>
      </c>
      <c r="Q568" s="32">
        <v>289</v>
      </c>
      <c r="R568" s="32">
        <v>2</v>
      </c>
      <c r="S568" s="32">
        <v>21.779399999999999</v>
      </c>
      <c r="T568" s="32">
        <v>0</v>
      </c>
      <c r="U568" s="32">
        <v>0.804703956</v>
      </c>
      <c r="V568" s="32">
        <v>7</v>
      </c>
      <c r="W568" s="32">
        <v>0.90339400000000003</v>
      </c>
      <c r="X568" s="32">
        <v>0.108767</v>
      </c>
      <c r="Y568" s="32">
        <v>0.69752499999999995</v>
      </c>
      <c r="Z568" s="32">
        <v>0.41756300000000002</v>
      </c>
      <c r="AA568" s="32">
        <v>12.6</v>
      </c>
      <c r="AB568" s="32">
        <v>591</v>
      </c>
      <c r="AC568" s="32">
        <v>18</v>
      </c>
      <c r="AD568" s="32">
        <v>18</v>
      </c>
      <c r="AE568" s="32" t="s">
        <v>200</v>
      </c>
      <c r="AF568" s="32" t="s">
        <v>200</v>
      </c>
      <c r="AG568" s="32" t="s">
        <v>200</v>
      </c>
    </row>
    <row r="569" spans="1:33">
      <c r="A569" s="32" t="s">
        <v>2186</v>
      </c>
      <c r="B569" s="32" t="s">
        <v>72</v>
      </c>
      <c r="C569" s="32" t="s">
        <v>2187</v>
      </c>
      <c r="D569" s="32" t="s">
        <v>2188</v>
      </c>
      <c r="E569" s="32" t="s">
        <v>2184</v>
      </c>
      <c r="F569" s="32" t="s">
        <v>2185</v>
      </c>
      <c r="G569" s="32" t="s">
        <v>2077</v>
      </c>
      <c r="H569" s="32" t="s">
        <v>2078</v>
      </c>
      <c r="I569" s="32" t="s">
        <v>198</v>
      </c>
      <c r="J569" s="32" t="s">
        <v>199</v>
      </c>
      <c r="K569" s="32">
        <v>2.7259829999999998</v>
      </c>
      <c r="L569" s="33">
        <v>2552</v>
      </c>
      <c r="M569" s="32">
        <v>392</v>
      </c>
      <c r="N569" s="32">
        <v>672</v>
      </c>
      <c r="O569" s="32">
        <v>864</v>
      </c>
      <c r="P569" s="32">
        <v>463</v>
      </c>
      <c r="Q569" s="32">
        <v>161</v>
      </c>
      <c r="R569" s="32">
        <v>5</v>
      </c>
      <c r="S569" s="32">
        <v>32.825499999999998</v>
      </c>
      <c r="T569" s="32">
        <v>9.7896400000000003</v>
      </c>
      <c r="U569" s="32">
        <v>0.58993035999999999</v>
      </c>
      <c r="V569" s="32">
        <v>6</v>
      </c>
      <c r="W569" s="32">
        <v>0.91350399999999998</v>
      </c>
      <c r="X569" s="32">
        <v>0.25517200000000001</v>
      </c>
      <c r="Y569" s="32">
        <v>0.7</v>
      </c>
      <c r="Z569" s="32">
        <v>0.84674700000000003</v>
      </c>
      <c r="AA569" s="32">
        <v>26.9</v>
      </c>
      <c r="AB569" s="32">
        <v>522</v>
      </c>
      <c r="AC569" s="32">
        <v>22</v>
      </c>
      <c r="AD569" s="32">
        <v>18</v>
      </c>
      <c r="AE569" s="32" t="s">
        <v>200</v>
      </c>
      <c r="AF569" s="32" t="s">
        <v>200</v>
      </c>
      <c r="AG569" s="32" t="s">
        <v>200</v>
      </c>
    </row>
    <row r="570" spans="1:33">
      <c r="A570" s="32" t="s">
        <v>2258</v>
      </c>
      <c r="B570" s="32" t="s">
        <v>72</v>
      </c>
      <c r="C570" s="32" t="s">
        <v>2259</v>
      </c>
      <c r="D570" s="32" t="s">
        <v>2260</v>
      </c>
      <c r="E570" s="32" t="s">
        <v>2151</v>
      </c>
      <c r="F570" s="32" t="s">
        <v>2152</v>
      </c>
      <c r="G570" s="32" t="s">
        <v>2077</v>
      </c>
      <c r="H570" s="32" t="s">
        <v>2078</v>
      </c>
      <c r="I570" s="32" t="s">
        <v>198</v>
      </c>
      <c r="J570" s="32" t="s">
        <v>199</v>
      </c>
      <c r="K570" s="32">
        <v>1.999922</v>
      </c>
      <c r="L570" s="33">
        <v>1452</v>
      </c>
      <c r="M570" s="32">
        <v>295</v>
      </c>
      <c r="N570" s="32">
        <v>225</v>
      </c>
      <c r="O570" s="32">
        <v>211</v>
      </c>
      <c r="P570" s="32">
        <v>411</v>
      </c>
      <c r="Q570" s="32">
        <v>310</v>
      </c>
      <c r="R570" s="32">
        <v>2</v>
      </c>
      <c r="S570" s="32">
        <v>19.220500000000001</v>
      </c>
      <c r="T570" s="32">
        <v>0</v>
      </c>
      <c r="U570" s="32">
        <v>0.88243718000000004</v>
      </c>
      <c r="V570" s="32">
        <v>6</v>
      </c>
      <c r="W570" s="32">
        <v>0.88048400000000004</v>
      </c>
      <c r="X570" s="32">
        <v>9.2572000000000002E-2</v>
      </c>
      <c r="Y570" s="32">
        <v>0.680844</v>
      </c>
      <c r="Z570" s="32">
        <v>0.34898299999999999</v>
      </c>
      <c r="AA570" s="32">
        <v>6.1</v>
      </c>
      <c r="AB570" s="32">
        <v>627</v>
      </c>
      <c r="AC570" s="32">
        <v>25</v>
      </c>
      <c r="AD570" s="32">
        <v>41</v>
      </c>
      <c r="AE570" s="32" t="s">
        <v>200</v>
      </c>
      <c r="AF570" s="32" t="s">
        <v>200</v>
      </c>
      <c r="AG570" s="32">
        <v>5</v>
      </c>
    </row>
    <row r="571" spans="1:33">
      <c r="A571" s="32" t="s">
        <v>2261</v>
      </c>
      <c r="B571" s="32" t="s">
        <v>72</v>
      </c>
      <c r="C571" s="32" t="s">
        <v>2262</v>
      </c>
      <c r="D571" s="32" t="s">
        <v>2263</v>
      </c>
      <c r="E571" s="32" t="s">
        <v>2151</v>
      </c>
      <c r="F571" s="32" t="s">
        <v>2152</v>
      </c>
      <c r="G571" s="32" t="s">
        <v>2077</v>
      </c>
      <c r="H571" s="32" t="s">
        <v>2078</v>
      </c>
      <c r="I571" s="32" t="s">
        <v>198</v>
      </c>
      <c r="J571" s="32" t="s">
        <v>199</v>
      </c>
      <c r="K571" s="32">
        <v>2.369729</v>
      </c>
      <c r="L571" s="33">
        <v>1715</v>
      </c>
      <c r="M571" s="32">
        <v>303</v>
      </c>
      <c r="N571" s="32">
        <v>232</v>
      </c>
      <c r="O571" s="32">
        <v>350</v>
      </c>
      <c r="P571" s="32">
        <v>459</v>
      </c>
      <c r="Q571" s="32">
        <v>371</v>
      </c>
      <c r="R571" s="32">
        <v>5</v>
      </c>
      <c r="S571" s="32">
        <v>26.6312</v>
      </c>
      <c r="T571" s="32">
        <v>14.724600000000001</v>
      </c>
      <c r="U571" s="32">
        <v>0.85927756499999997</v>
      </c>
      <c r="V571" s="32">
        <v>4</v>
      </c>
      <c r="W571" s="32">
        <v>0.90793299999999999</v>
      </c>
      <c r="X571" s="32">
        <v>0.19727700000000001</v>
      </c>
      <c r="Y571" s="32">
        <v>0.7</v>
      </c>
      <c r="Z571" s="32">
        <v>0.55769599999999997</v>
      </c>
      <c r="AA571" s="32">
        <v>13.9</v>
      </c>
      <c r="AB571" s="32">
        <v>613</v>
      </c>
      <c r="AC571" s="32">
        <v>25</v>
      </c>
      <c r="AD571" s="32">
        <v>52</v>
      </c>
      <c r="AE571" s="32">
        <v>0</v>
      </c>
      <c r="AF571" s="32" t="s">
        <v>200</v>
      </c>
      <c r="AG571" s="32">
        <v>7</v>
      </c>
    </row>
    <row r="572" spans="1:33">
      <c r="A572" s="32" t="s">
        <v>2264</v>
      </c>
      <c r="B572" s="32" t="s">
        <v>72</v>
      </c>
      <c r="C572" s="32" t="s">
        <v>2265</v>
      </c>
      <c r="D572" s="32" t="s">
        <v>2266</v>
      </c>
      <c r="E572" s="32" t="s">
        <v>2267</v>
      </c>
      <c r="F572" s="32" t="s">
        <v>2268</v>
      </c>
      <c r="G572" s="32" t="s">
        <v>2077</v>
      </c>
      <c r="H572" s="32" t="s">
        <v>2078</v>
      </c>
      <c r="I572" s="32" t="s">
        <v>198</v>
      </c>
      <c r="J572" s="32" t="s">
        <v>199</v>
      </c>
      <c r="K572" s="32">
        <v>1.922086</v>
      </c>
      <c r="L572" s="33">
        <v>1431</v>
      </c>
      <c r="M572" s="32">
        <v>235</v>
      </c>
      <c r="N572" s="32">
        <v>198</v>
      </c>
      <c r="O572" s="32">
        <v>252</v>
      </c>
      <c r="P572" s="32">
        <v>406</v>
      </c>
      <c r="Q572" s="32">
        <v>340</v>
      </c>
      <c r="R572" s="32">
        <v>2</v>
      </c>
      <c r="S572" s="32">
        <v>12.5618</v>
      </c>
      <c r="T572" s="32">
        <v>0</v>
      </c>
      <c r="U572" s="32">
        <v>0.87629115599999996</v>
      </c>
      <c r="V572" s="32">
        <v>9</v>
      </c>
      <c r="W572" s="32">
        <v>0.82696099999999995</v>
      </c>
      <c r="X572" s="32">
        <v>0.164801</v>
      </c>
      <c r="Y572" s="32">
        <v>0.6</v>
      </c>
      <c r="Z572" s="32">
        <v>0.33233099999999999</v>
      </c>
      <c r="AA572" s="32">
        <v>9.1999999999999993</v>
      </c>
      <c r="AB572" s="32">
        <v>818</v>
      </c>
      <c r="AC572" s="32">
        <v>30</v>
      </c>
      <c r="AD572" s="32">
        <v>85</v>
      </c>
      <c r="AE572" s="32" t="s">
        <v>200</v>
      </c>
      <c r="AF572" s="32">
        <v>0</v>
      </c>
      <c r="AG572" s="32">
        <v>13</v>
      </c>
    </row>
    <row r="573" spans="1:33">
      <c r="A573" s="32" t="s">
        <v>2139</v>
      </c>
      <c r="B573" s="32" t="s">
        <v>72</v>
      </c>
      <c r="C573" s="32" t="s">
        <v>2140</v>
      </c>
      <c r="D573" s="32" t="s">
        <v>2141</v>
      </c>
      <c r="E573" s="32" t="s">
        <v>2137</v>
      </c>
      <c r="F573" s="32" t="s">
        <v>2138</v>
      </c>
      <c r="G573" s="32" t="s">
        <v>2077</v>
      </c>
      <c r="H573" s="32" t="s">
        <v>2078</v>
      </c>
      <c r="I573" s="32" t="s">
        <v>198</v>
      </c>
      <c r="J573" s="32" t="s">
        <v>199</v>
      </c>
      <c r="K573" s="32">
        <v>2.6294469999999999</v>
      </c>
      <c r="L573" s="33">
        <v>1697</v>
      </c>
      <c r="M573" s="32">
        <v>330</v>
      </c>
      <c r="N573" s="32">
        <v>241</v>
      </c>
      <c r="O573" s="32">
        <v>410</v>
      </c>
      <c r="P573" s="32">
        <v>452</v>
      </c>
      <c r="Q573" s="32">
        <v>264</v>
      </c>
      <c r="R573" s="32">
        <v>4</v>
      </c>
      <c r="S573" s="32">
        <v>24.060500000000001</v>
      </c>
      <c r="T573" s="32">
        <v>8.5097799999999992</v>
      </c>
      <c r="U573" s="32">
        <v>0.95585179399999998</v>
      </c>
      <c r="V573" s="32">
        <v>3</v>
      </c>
      <c r="W573" s="32">
        <v>0.910968</v>
      </c>
      <c r="X573" s="32">
        <v>0.36515700000000001</v>
      </c>
      <c r="Y573" s="32">
        <v>0.7</v>
      </c>
      <c r="Z573" s="32">
        <v>0.65093599999999996</v>
      </c>
      <c r="AA573" s="32">
        <v>16.7</v>
      </c>
      <c r="AB573" s="32">
        <v>546</v>
      </c>
      <c r="AC573" s="32">
        <v>36</v>
      </c>
      <c r="AD573" s="32">
        <v>34</v>
      </c>
      <c r="AE573" s="32">
        <v>0</v>
      </c>
      <c r="AF573" s="32">
        <v>0</v>
      </c>
      <c r="AG573" s="32">
        <v>6</v>
      </c>
    </row>
    <row r="574" spans="1:33">
      <c r="A574" s="32" t="s">
        <v>2269</v>
      </c>
      <c r="B574" s="32" t="s">
        <v>72</v>
      </c>
      <c r="C574" s="32" t="s">
        <v>2270</v>
      </c>
      <c r="D574" s="32" t="s">
        <v>2271</v>
      </c>
      <c r="E574" s="32" t="s">
        <v>2151</v>
      </c>
      <c r="F574" s="32" t="s">
        <v>2152</v>
      </c>
      <c r="G574" s="32" t="s">
        <v>2077</v>
      </c>
      <c r="H574" s="32" t="s">
        <v>2078</v>
      </c>
      <c r="I574" s="32" t="s">
        <v>198</v>
      </c>
      <c r="J574" s="32" t="s">
        <v>199</v>
      </c>
      <c r="K574" s="32">
        <v>2.2995920000000001</v>
      </c>
      <c r="L574" s="33">
        <v>1550</v>
      </c>
      <c r="M574" s="32">
        <v>310</v>
      </c>
      <c r="N574" s="32">
        <v>216</v>
      </c>
      <c r="O574" s="32">
        <v>364</v>
      </c>
      <c r="P574" s="32">
        <v>407</v>
      </c>
      <c r="Q574" s="32">
        <v>253</v>
      </c>
      <c r="R574" s="32">
        <v>4</v>
      </c>
      <c r="S574" s="32">
        <v>25.479800000000001</v>
      </c>
      <c r="T574" s="32">
        <v>8.7763000000000009</v>
      </c>
      <c r="U574" s="32">
        <v>0.70131627299999999</v>
      </c>
      <c r="V574" s="32">
        <v>7</v>
      </c>
      <c r="W574" s="32">
        <v>0.90829899999999997</v>
      </c>
      <c r="X574" s="32">
        <v>0.14133699999999999</v>
      </c>
      <c r="Y574" s="32">
        <v>0.7</v>
      </c>
      <c r="Z574" s="32">
        <v>0.54986500000000005</v>
      </c>
      <c r="AA574" s="32">
        <v>13.3</v>
      </c>
      <c r="AB574" s="32">
        <v>567</v>
      </c>
      <c r="AC574" s="32">
        <v>15</v>
      </c>
      <c r="AD574" s="32">
        <v>36</v>
      </c>
      <c r="AE574" s="32" t="s">
        <v>200</v>
      </c>
      <c r="AF574" s="32">
        <v>0</v>
      </c>
      <c r="AG574" s="32">
        <v>5</v>
      </c>
    </row>
    <row r="575" spans="1:33">
      <c r="A575" s="32" t="s">
        <v>2272</v>
      </c>
      <c r="B575" s="32" t="s">
        <v>72</v>
      </c>
      <c r="C575" s="32" t="s">
        <v>2273</v>
      </c>
      <c r="D575" s="32" t="s">
        <v>2274</v>
      </c>
      <c r="E575" s="32" t="s">
        <v>2129</v>
      </c>
      <c r="F575" s="32" t="s">
        <v>2130</v>
      </c>
      <c r="G575" s="32" t="s">
        <v>2077</v>
      </c>
      <c r="H575" s="32" t="s">
        <v>2078</v>
      </c>
      <c r="I575" s="32" t="s">
        <v>198</v>
      </c>
      <c r="J575" s="32" t="s">
        <v>199</v>
      </c>
      <c r="K575" s="32">
        <v>1.8451150000000001</v>
      </c>
      <c r="L575" s="33">
        <v>1648</v>
      </c>
      <c r="M575" s="32">
        <v>311</v>
      </c>
      <c r="N575" s="32">
        <v>201</v>
      </c>
      <c r="O575" s="32">
        <v>336</v>
      </c>
      <c r="P575" s="32">
        <v>461</v>
      </c>
      <c r="Q575" s="32">
        <v>339</v>
      </c>
      <c r="R575" s="32">
        <v>2</v>
      </c>
      <c r="S575" s="32">
        <v>11.7341</v>
      </c>
      <c r="T575" s="32">
        <v>0</v>
      </c>
      <c r="U575" s="32">
        <v>0.88897705500000002</v>
      </c>
      <c r="V575" s="32">
        <v>9</v>
      </c>
      <c r="W575" s="32">
        <v>0.83150400000000002</v>
      </c>
      <c r="X575" s="32">
        <v>0.11622499999999999</v>
      </c>
      <c r="Y575" s="32">
        <v>0.64476900000000004</v>
      </c>
      <c r="Z575" s="32">
        <v>0.244389</v>
      </c>
      <c r="AA575" s="32">
        <v>10.7</v>
      </c>
      <c r="AB575" s="32">
        <v>739</v>
      </c>
      <c r="AC575" s="32">
        <v>31</v>
      </c>
      <c r="AD575" s="32">
        <v>38</v>
      </c>
      <c r="AE575" s="32">
        <v>0</v>
      </c>
      <c r="AF575" s="32">
        <v>0</v>
      </c>
      <c r="AG575" s="32">
        <v>7</v>
      </c>
    </row>
    <row r="576" spans="1:33">
      <c r="A576" s="32" t="s">
        <v>2189</v>
      </c>
      <c r="B576" s="32" t="s">
        <v>72</v>
      </c>
      <c r="C576" s="32" t="s">
        <v>2190</v>
      </c>
      <c r="D576" s="32" t="s">
        <v>2191</v>
      </c>
      <c r="E576" s="32" t="s">
        <v>2192</v>
      </c>
      <c r="F576" s="32" t="s">
        <v>2193</v>
      </c>
      <c r="G576" s="32" t="s">
        <v>2077</v>
      </c>
      <c r="H576" s="32" t="s">
        <v>2078</v>
      </c>
      <c r="I576" s="32" t="s">
        <v>198</v>
      </c>
      <c r="J576" s="32" t="s">
        <v>199</v>
      </c>
      <c r="K576" s="32">
        <v>2.2064970000000002</v>
      </c>
      <c r="L576" s="33">
        <v>1737</v>
      </c>
      <c r="M576" s="32">
        <v>280</v>
      </c>
      <c r="N576" s="32">
        <v>307</v>
      </c>
      <c r="O576" s="32">
        <v>529</v>
      </c>
      <c r="P576" s="32">
        <v>359</v>
      </c>
      <c r="Q576" s="32">
        <v>262</v>
      </c>
      <c r="R576" s="32">
        <v>3</v>
      </c>
      <c r="S576" s="32">
        <v>24.5534</v>
      </c>
      <c r="T576" s="32">
        <v>8.7256900000000002</v>
      </c>
      <c r="U576" s="32">
        <v>0.76089823400000001</v>
      </c>
      <c r="V576" s="32">
        <v>8</v>
      </c>
      <c r="W576" s="32">
        <v>0.90614799999999995</v>
      </c>
      <c r="X576" s="32">
        <v>9.2841000000000007E-2</v>
      </c>
      <c r="Y576" s="32">
        <v>0.686311</v>
      </c>
      <c r="Z576" s="32">
        <v>0.51397199999999998</v>
      </c>
      <c r="AA576" s="32">
        <v>14.6</v>
      </c>
      <c r="AB576" s="32">
        <v>538</v>
      </c>
      <c r="AC576" s="32">
        <v>58</v>
      </c>
      <c r="AD576" s="32">
        <v>26</v>
      </c>
      <c r="AE576" s="32">
        <v>0</v>
      </c>
      <c r="AF576" s="32" t="s">
        <v>200</v>
      </c>
      <c r="AG576" s="32" t="s">
        <v>200</v>
      </c>
    </row>
    <row r="577" spans="1:33">
      <c r="A577" s="32" t="s">
        <v>2194</v>
      </c>
      <c r="B577" s="32" t="s">
        <v>72</v>
      </c>
      <c r="C577" s="32" t="s">
        <v>2195</v>
      </c>
      <c r="D577" s="32" t="s">
        <v>2196</v>
      </c>
      <c r="E577" s="32" t="s">
        <v>2192</v>
      </c>
      <c r="F577" s="32" t="s">
        <v>2193</v>
      </c>
      <c r="G577" s="32" t="s">
        <v>2077</v>
      </c>
      <c r="H577" s="32" t="s">
        <v>2078</v>
      </c>
      <c r="I577" s="32" t="s">
        <v>198</v>
      </c>
      <c r="J577" s="32" t="s">
        <v>199</v>
      </c>
      <c r="K577" s="32">
        <v>2.3450120000000001</v>
      </c>
      <c r="L577" s="33">
        <v>1643</v>
      </c>
      <c r="M577" s="32">
        <v>233</v>
      </c>
      <c r="N577" s="32">
        <v>309</v>
      </c>
      <c r="O577" s="32">
        <v>482</v>
      </c>
      <c r="P577" s="32">
        <v>363</v>
      </c>
      <c r="Q577" s="32">
        <v>256</v>
      </c>
      <c r="R577" s="32">
        <v>2</v>
      </c>
      <c r="S577" s="32">
        <v>16.080400000000001</v>
      </c>
      <c r="T577" s="32">
        <v>0</v>
      </c>
      <c r="U577" s="32">
        <v>0.70911929200000001</v>
      </c>
      <c r="V577" s="32">
        <v>7</v>
      </c>
      <c r="W577" s="32">
        <v>0.912219</v>
      </c>
      <c r="X577" s="32">
        <v>0.24185499999999999</v>
      </c>
      <c r="Y577" s="32">
        <v>0.62327900000000003</v>
      </c>
      <c r="Z577" s="32">
        <v>0.57244399999999995</v>
      </c>
      <c r="AA577" s="32">
        <v>13.8</v>
      </c>
      <c r="AB577" s="32">
        <v>561</v>
      </c>
      <c r="AC577" s="32">
        <v>21</v>
      </c>
      <c r="AD577" s="32">
        <v>18</v>
      </c>
      <c r="AE577" s="32" t="s">
        <v>200</v>
      </c>
      <c r="AF577" s="32">
        <v>0</v>
      </c>
      <c r="AG577" s="32" t="s">
        <v>200</v>
      </c>
    </row>
    <row r="578" spans="1:33">
      <c r="A578" s="32" t="s">
        <v>2275</v>
      </c>
      <c r="B578" s="32" t="s">
        <v>73</v>
      </c>
      <c r="C578" s="32" t="s">
        <v>2276</v>
      </c>
      <c r="D578" s="32" t="s">
        <v>2277</v>
      </c>
      <c r="E578" s="32" t="s">
        <v>2278</v>
      </c>
      <c r="F578" s="32" t="s">
        <v>2279</v>
      </c>
      <c r="G578" s="32" t="s">
        <v>2077</v>
      </c>
      <c r="H578" s="32" t="s">
        <v>2078</v>
      </c>
      <c r="I578" s="32" t="s">
        <v>198</v>
      </c>
      <c r="J578" s="32" t="s">
        <v>199</v>
      </c>
      <c r="K578" s="32">
        <v>2.4724020000000002</v>
      </c>
      <c r="L578" s="33">
        <v>4008</v>
      </c>
      <c r="M578" s="33">
        <v>1007</v>
      </c>
      <c r="N578" s="32">
        <v>660</v>
      </c>
      <c r="O578" s="33">
        <v>1055</v>
      </c>
      <c r="P578" s="32">
        <v>760</v>
      </c>
      <c r="Q578" s="32">
        <v>526</v>
      </c>
      <c r="R578" s="32">
        <v>2</v>
      </c>
      <c r="S578" s="32">
        <v>14.1165</v>
      </c>
      <c r="T578" s="32">
        <v>0</v>
      </c>
      <c r="U578" s="32">
        <v>1.0393310819999999</v>
      </c>
      <c r="V578" s="32">
        <v>2</v>
      </c>
      <c r="W578" s="32">
        <v>0.90991599999999995</v>
      </c>
      <c r="X578" s="32">
        <v>0.28227600000000003</v>
      </c>
      <c r="Y578" s="32">
        <v>0.67222000000000004</v>
      </c>
      <c r="Z578" s="32">
        <v>0.60580500000000004</v>
      </c>
      <c r="AA578" s="32">
        <v>39.299999999999997</v>
      </c>
      <c r="AB578" s="32">
        <v>1433</v>
      </c>
      <c r="AC578" s="32">
        <v>65</v>
      </c>
      <c r="AD578" s="32">
        <v>76</v>
      </c>
      <c r="AE578" s="32">
        <v>9</v>
      </c>
      <c r="AF578" s="32" t="s">
        <v>200</v>
      </c>
      <c r="AG578" s="32">
        <v>11</v>
      </c>
    </row>
    <row r="579" spans="1:33">
      <c r="A579" s="32" t="s">
        <v>2280</v>
      </c>
      <c r="B579" s="32" t="s">
        <v>73</v>
      </c>
      <c r="C579" s="32" t="s">
        <v>2281</v>
      </c>
      <c r="D579" s="32" t="s">
        <v>2282</v>
      </c>
      <c r="E579" s="32" t="s">
        <v>2283</v>
      </c>
      <c r="F579" s="32" t="s">
        <v>2284</v>
      </c>
      <c r="G579" s="32" t="s">
        <v>2077</v>
      </c>
      <c r="H579" s="32" t="s">
        <v>2078</v>
      </c>
      <c r="I579" s="32" t="s">
        <v>198</v>
      </c>
      <c r="J579" s="32" t="s">
        <v>199</v>
      </c>
      <c r="K579" s="32">
        <v>2.3567239999999998</v>
      </c>
      <c r="L579" s="33">
        <v>1663</v>
      </c>
      <c r="M579" s="32">
        <v>275</v>
      </c>
      <c r="N579" s="32">
        <v>285</v>
      </c>
      <c r="O579" s="32">
        <v>416</v>
      </c>
      <c r="P579" s="32">
        <v>401</v>
      </c>
      <c r="Q579" s="32">
        <v>286</v>
      </c>
      <c r="R579" s="32">
        <v>2</v>
      </c>
      <c r="S579" s="32">
        <v>15.1036</v>
      </c>
      <c r="T579" s="32">
        <v>4.4771799999999997</v>
      </c>
      <c r="U579" s="32">
        <v>0.81547657900000003</v>
      </c>
      <c r="V579" s="32">
        <v>6</v>
      </c>
      <c r="W579" s="32">
        <v>0.91171800000000003</v>
      </c>
      <c r="X579" s="32">
        <v>0.2072</v>
      </c>
      <c r="Y579" s="32">
        <v>0.7</v>
      </c>
      <c r="Z579" s="32">
        <v>0.551535</v>
      </c>
      <c r="AA579" s="32">
        <v>26.2</v>
      </c>
      <c r="AB579" s="32">
        <v>595</v>
      </c>
      <c r="AC579" s="32">
        <v>19</v>
      </c>
      <c r="AD579" s="32">
        <v>24</v>
      </c>
      <c r="AE579" s="32">
        <v>0</v>
      </c>
      <c r="AF579" s="32">
        <v>0</v>
      </c>
      <c r="AG579" s="32">
        <v>7</v>
      </c>
    </row>
    <row r="580" spans="1:33">
      <c r="A580" s="32" t="s">
        <v>2285</v>
      </c>
      <c r="B580" s="32" t="s">
        <v>73</v>
      </c>
      <c r="C580" s="32" t="s">
        <v>2286</v>
      </c>
      <c r="D580" s="32" t="s">
        <v>2287</v>
      </c>
      <c r="E580" s="32" t="s">
        <v>2278</v>
      </c>
      <c r="F580" s="32" t="s">
        <v>2279</v>
      </c>
      <c r="G580" s="32" t="s">
        <v>2077</v>
      </c>
      <c r="H580" s="32" t="s">
        <v>2078</v>
      </c>
      <c r="I580" s="32" t="s">
        <v>198</v>
      </c>
      <c r="J580" s="32" t="s">
        <v>199</v>
      </c>
      <c r="K580" s="32">
        <v>2.3660239999999999</v>
      </c>
      <c r="L580" s="33">
        <v>1477</v>
      </c>
      <c r="M580" s="32">
        <v>283</v>
      </c>
      <c r="N580" s="32">
        <v>259</v>
      </c>
      <c r="O580" s="32">
        <v>305</v>
      </c>
      <c r="P580" s="32">
        <v>367</v>
      </c>
      <c r="Q580" s="32">
        <v>263</v>
      </c>
      <c r="R580" s="32">
        <v>2</v>
      </c>
      <c r="S580" s="32">
        <v>11.502800000000001</v>
      </c>
      <c r="T580" s="32">
        <v>2.6467499999999999</v>
      </c>
      <c r="U580" s="32">
        <v>0.83150925499999995</v>
      </c>
      <c r="V580" s="32">
        <v>5</v>
      </c>
      <c r="W580" s="32">
        <v>0.90817300000000001</v>
      </c>
      <c r="X580" s="32">
        <v>0.26405099999999998</v>
      </c>
      <c r="Y580" s="32">
        <v>0.64571900000000004</v>
      </c>
      <c r="Z580" s="32">
        <v>0.53897499999999998</v>
      </c>
      <c r="AA580" s="32">
        <v>36.799999999999997</v>
      </c>
      <c r="AB580" s="32">
        <v>624</v>
      </c>
      <c r="AC580" s="32">
        <v>35</v>
      </c>
      <c r="AD580" s="32">
        <v>30</v>
      </c>
      <c r="AE580" s="32" t="s">
        <v>200</v>
      </c>
      <c r="AF580" s="32" t="s">
        <v>200</v>
      </c>
      <c r="AG580" s="32">
        <v>14</v>
      </c>
    </row>
    <row r="581" spans="1:33">
      <c r="A581" s="32" t="s">
        <v>2288</v>
      </c>
      <c r="B581" s="32" t="s">
        <v>73</v>
      </c>
      <c r="C581" s="32" t="s">
        <v>2289</v>
      </c>
      <c r="D581" s="32" t="s">
        <v>2290</v>
      </c>
      <c r="E581" s="32" t="s">
        <v>2291</v>
      </c>
      <c r="F581" s="32" t="s">
        <v>2292</v>
      </c>
      <c r="G581" s="32" t="s">
        <v>2077</v>
      </c>
      <c r="H581" s="32" t="s">
        <v>2078</v>
      </c>
      <c r="I581" s="32" t="s">
        <v>198</v>
      </c>
      <c r="J581" s="32" t="s">
        <v>199</v>
      </c>
      <c r="K581" s="32">
        <v>2.1695479999999998</v>
      </c>
      <c r="L581" s="33">
        <v>1640</v>
      </c>
      <c r="M581" s="32">
        <v>402</v>
      </c>
      <c r="N581" s="32">
        <v>256</v>
      </c>
      <c r="O581" s="32">
        <v>371</v>
      </c>
      <c r="P581" s="32">
        <v>359</v>
      </c>
      <c r="Q581" s="32">
        <v>252</v>
      </c>
      <c r="R581" s="32">
        <v>2</v>
      </c>
      <c r="S581" s="32">
        <v>15.102600000000001</v>
      </c>
      <c r="T581" s="32">
        <v>2.29819</v>
      </c>
      <c r="U581" s="32">
        <v>1.1335225149999999</v>
      </c>
      <c r="V581" s="32">
        <v>2</v>
      </c>
      <c r="W581" s="32">
        <v>0.89563800000000005</v>
      </c>
      <c r="X581" s="32">
        <v>0.128745</v>
      </c>
      <c r="Y581" s="32">
        <v>0.65222999999999998</v>
      </c>
      <c r="Z581" s="32">
        <v>0.50600599999999996</v>
      </c>
      <c r="AA581" s="32">
        <v>22.2</v>
      </c>
      <c r="AB581" s="32">
        <v>567</v>
      </c>
      <c r="AC581" s="32">
        <v>27</v>
      </c>
      <c r="AD581" s="32">
        <v>36</v>
      </c>
      <c r="AE581" s="32" t="s">
        <v>200</v>
      </c>
      <c r="AF581" s="32" t="s">
        <v>200</v>
      </c>
      <c r="AG581" s="32">
        <v>5</v>
      </c>
    </row>
    <row r="582" spans="1:33">
      <c r="A582" s="32" t="s">
        <v>2293</v>
      </c>
      <c r="B582" s="32" t="s">
        <v>73</v>
      </c>
      <c r="C582" s="32" t="s">
        <v>2294</v>
      </c>
      <c r="D582" s="32" t="s">
        <v>2295</v>
      </c>
      <c r="E582" s="32" t="s">
        <v>2124</v>
      </c>
      <c r="F582" s="32" t="s">
        <v>2125</v>
      </c>
      <c r="G582" s="32" t="s">
        <v>2077</v>
      </c>
      <c r="H582" s="32" t="s">
        <v>2078</v>
      </c>
      <c r="I582" s="32" t="s">
        <v>198</v>
      </c>
      <c r="J582" s="32" t="s">
        <v>199</v>
      </c>
      <c r="K582" s="32">
        <v>2.3235830000000002</v>
      </c>
      <c r="L582" s="33">
        <v>1493</v>
      </c>
      <c r="M582" s="32">
        <v>279</v>
      </c>
      <c r="N582" s="32">
        <v>234</v>
      </c>
      <c r="O582" s="32">
        <v>343</v>
      </c>
      <c r="P582" s="32">
        <v>400</v>
      </c>
      <c r="Q582" s="32">
        <v>237</v>
      </c>
      <c r="R582" s="32">
        <v>2</v>
      </c>
      <c r="S582" s="32">
        <v>13.200799999999999</v>
      </c>
      <c r="T582" s="32">
        <v>0</v>
      </c>
      <c r="U582" s="32">
        <v>0.82677719900000002</v>
      </c>
      <c r="V582" s="32">
        <v>4</v>
      </c>
      <c r="W582" s="32">
        <v>0.911134</v>
      </c>
      <c r="X582" s="32">
        <v>0.21429999999999999</v>
      </c>
      <c r="Y582" s="32">
        <v>0.7</v>
      </c>
      <c r="Z582" s="32">
        <v>0.51168199999999997</v>
      </c>
      <c r="AA582" s="32">
        <v>36.799999999999997</v>
      </c>
      <c r="AB582" s="32">
        <v>596</v>
      </c>
      <c r="AC582" s="32">
        <v>30</v>
      </c>
      <c r="AD582" s="32">
        <v>34</v>
      </c>
      <c r="AE582" s="32" t="s">
        <v>200</v>
      </c>
      <c r="AF582" s="32" t="s">
        <v>200</v>
      </c>
      <c r="AG582" s="32">
        <v>7</v>
      </c>
    </row>
    <row r="583" spans="1:33">
      <c r="A583" s="32" t="s">
        <v>2134</v>
      </c>
      <c r="B583" s="32" t="s">
        <v>73</v>
      </c>
      <c r="C583" s="32" t="s">
        <v>2135</v>
      </c>
      <c r="D583" s="32" t="s">
        <v>2136</v>
      </c>
      <c r="E583" s="32" t="s">
        <v>2137</v>
      </c>
      <c r="F583" s="32" t="s">
        <v>2138</v>
      </c>
      <c r="G583" s="32" t="s">
        <v>2077</v>
      </c>
      <c r="H583" s="32" t="s">
        <v>2078</v>
      </c>
      <c r="I583" s="32" t="s">
        <v>198</v>
      </c>
      <c r="J583" s="32" t="s">
        <v>199</v>
      </c>
      <c r="K583" s="32">
        <v>2.6087069999999999</v>
      </c>
      <c r="L583" s="33">
        <v>1595</v>
      </c>
      <c r="M583" s="32">
        <v>395</v>
      </c>
      <c r="N583" s="32">
        <v>290</v>
      </c>
      <c r="O583" s="32">
        <v>335</v>
      </c>
      <c r="P583" s="32">
        <v>377</v>
      </c>
      <c r="Q583" s="32">
        <v>198</v>
      </c>
      <c r="R583" s="32">
        <v>2</v>
      </c>
      <c r="S583" s="32">
        <v>19.205200000000001</v>
      </c>
      <c r="T583" s="32">
        <v>2.1311900000000001</v>
      </c>
      <c r="U583" s="32">
        <v>0.91418089999999996</v>
      </c>
      <c r="V583" s="32">
        <v>3</v>
      </c>
      <c r="W583" s="32">
        <v>0.91415000000000002</v>
      </c>
      <c r="X583" s="32">
        <v>0.36205999999999999</v>
      </c>
      <c r="Y583" s="32">
        <v>0.67708000000000002</v>
      </c>
      <c r="Z583" s="32">
        <v>0.66019000000000005</v>
      </c>
      <c r="AA583" s="32">
        <v>25.8</v>
      </c>
      <c r="AB583" s="32">
        <v>547</v>
      </c>
      <c r="AC583" s="32">
        <v>28</v>
      </c>
      <c r="AD583" s="32">
        <v>51</v>
      </c>
      <c r="AE583" s="32" t="s">
        <v>200</v>
      </c>
      <c r="AF583" s="32" t="s">
        <v>200</v>
      </c>
      <c r="AG583" s="32">
        <v>5</v>
      </c>
    </row>
    <row r="584" spans="1:33">
      <c r="A584" s="32" t="s">
        <v>2296</v>
      </c>
      <c r="B584" s="32" t="s">
        <v>73</v>
      </c>
      <c r="C584" s="32" t="s">
        <v>2297</v>
      </c>
      <c r="D584" s="32" t="s">
        <v>2298</v>
      </c>
      <c r="E584" s="32" t="s">
        <v>2137</v>
      </c>
      <c r="F584" s="32" t="s">
        <v>2138</v>
      </c>
      <c r="G584" s="32" t="s">
        <v>2077</v>
      </c>
      <c r="H584" s="32" t="s">
        <v>2078</v>
      </c>
      <c r="I584" s="32" t="s">
        <v>198</v>
      </c>
      <c r="J584" s="32" t="s">
        <v>199</v>
      </c>
      <c r="K584" s="32">
        <v>2.528</v>
      </c>
      <c r="L584" s="33">
        <v>1852</v>
      </c>
      <c r="M584" s="32">
        <v>425</v>
      </c>
      <c r="N584" s="32">
        <v>313</v>
      </c>
      <c r="O584" s="32">
        <v>480</v>
      </c>
      <c r="P584" s="32">
        <v>472</v>
      </c>
      <c r="Q584" s="32">
        <v>162</v>
      </c>
      <c r="R584" s="32">
        <v>2</v>
      </c>
      <c r="S584" s="32">
        <v>12.361700000000001</v>
      </c>
      <c r="T584" s="32">
        <v>3.49776</v>
      </c>
      <c r="U584" s="32">
        <v>0.82497479500000004</v>
      </c>
      <c r="V584" s="32">
        <v>4</v>
      </c>
      <c r="W584" s="32">
        <v>0.91522599999999998</v>
      </c>
      <c r="X584" s="32">
        <v>0.32159399999999999</v>
      </c>
      <c r="Y584" s="32">
        <v>0.7</v>
      </c>
      <c r="Z584" s="32">
        <v>0.59601000000000004</v>
      </c>
      <c r="AA584" s="32">
        <v>25</v>
      </c>
      <c r="AB584" s="32">
        <v>557</v>
      </c>
      <c r="AC584" s="32">
        <v>30</v>
      </c>
      <c r="AD584" s="32">
        <v>30</v>
      </c>
      <c r="AE584" s="32">
        <v>0</v>
      </c>
      <c r="AF584" s="32" t="s">
        <v>200</v>
      </c>
      <c r="AG584" s="32" t="s">
        <v>200</v>
      </c>
    </row>
    <row r="585" spans="1:33">
      <c r="A585" s="32" t="s">
        <v>2145</v>
      </c>
      <c r="B585" s="32" t="s">
        <v>73</v>
      </c>
      <c r="C585" s="32" t="s">
        <v>2146</v>
      </c>
      <c r="D585" s="32" t="s">
        <v>2147</v>
      </c>
      <c r="E585" s="32" t="s">
        <v>2137</v>
      </c>
      <c r="F585" s="32" t="s">
        <v>2138</v>
      </c>
      <c r="G585" s="32" t="s">
        <v>2077</v>
      </c>
      <c r="H585" s="32" t="s">
        <v>2078</v>
      </c>
      <c r="I585" s="32" t="s">
        <v>198</v>
      </c>
      <c r="J585" s="32" t="s">
        <v>199</v>
      </c>
      <c r="K585" s="32">
        <v>2.4504450000000002</v>
      </c>
      <c r="L585" s="33">
        <v>1603</v>
      </c>
      <c r="M585" s="32">
        <v>355</v>
      </c>
      <c r="N585" s="32">
        <v>254</v>
      </c>
      <c r="O585" s="32">
        <v>337</v>
      </c>
      <c r="P585" s="32">
        <v>409</v>
      </c>
      <c r="Q585" s="32">
        <v>248</v>
      </c>
      <c r="R585" s="32">
        <v>2</v>
      </c>
      <c r="S585" s="32">
        <v>14.256</v>
      </c>
      <c r="T585" s="32">
        <v>2.5042</v>
      </c>
      <c r="U585" s="32">
        <v>1.101719495</v>
      </c>
      <c r="V585" s="32">
        <v>2</v>
      </c>
      <c r="W585" s="32">
        <v>0.907497</v>
      </c>
      <c r="X585" s="32">
        <v>0.21526500000000001</v>
      </c>
      <c r="Y585" s="32">
        <v>0.69631500000000002</v>
      </c>
      <c r="Z585" s="32">
        <v>0.61920600000000003</v>
      </c>
      <c r="AA585" s="32">
        <v>19.100000000000001</v>
      </c>
      <c r="AB585" s="32">
        <v>572</v>
      </c>
      <c r="AC585" s="32">
        <v>33</v>
      </c>
      <c r="AD585" s="32">
        <v>61</v>
      </c>
      <c r="AE585" s="32" t="s">
        <v>200</v>
      </c>
      <c r="AF585" s="32" t="s">
        <v>200</v>
      </c>
      <c r="AG585" s="32">
        <v>11</v>
      </c>
    </row>
    <row r="586" spans="1:33">
      <c r="A586" s="32" t="s">
        <v>2299</v>
      </c>
      <c r="B586" s="32" t="s">
        <v>73</v>
      </c>
      <c r="C586" s="32" t="s">
        <v>2300</v>
      </c>
      <c r="D586" s="32" t="s">
        <v>2301</v>
      </c>
      <c r="E586" s="32" t="s">
        <v>2192</v>
      </c>
      <c r="F586" s="32" t="s">
        <v>2193</v>
      </c>
      <c r="G586" s="32" t="s">
        <v>2077</v>
      </c>
      <c r="H586" s="32" t="s">
        <v>2078</v>
      </c>
      <c r="I586" s="32" t="s">
        <v>198</v>
      </c>
      <c r="J586" s="32" t="s">
        <v>199</v>
      </c>
      <c r="K586" s="32">
        <v>2.3603360000000002</v>
      </c>
      <c r="L586" s="33">
        <v>1535</v>
      </c>
      <c r="M586" s="32">
        <v>352</v>
      </c>
      <c r="N586" s="32">
        <v>207</v>
      </c>
      <c r="O586" s="32">
        <v>376</v>
      </c>
      <c r="P586" s="32">
        <v>340</v>
      </c>
      <c r="Q586" s="32">
        <v>260</v>
      </c>
      <c r="R586" s="32">
        <v>2</v>
      </c>
      <c r="S586" s="32">
        <v>12.3744</v>
      </c>
      <c r="T586" s="32">
        <v>0</v>
      </c>
      <c r="U586" s="32">
        <v>0.89811816700000002</v>
      </c>
      <c r="V586" s="32">
        <v>4</v>
      </c>
      <c r="W586" s="32">
        <v>0.90870899999999999</v>
      </c>
      <c r="X586" s="32">
        <v>0.22953599999999999</v>
      </c>
      <c r="Y586" s="32">
        <v>0.65663199999999999</v>
      </c>
      <c r="Z586" s="32">
        <v>0.55293499999999995</v>
      </c>
      <c r="AA586" s="32">
        <v>22.2</v>
      </c>
      <c r="AB586" s="32">
        <v>515</v>
      </c>
      <c r="AC586" s="32">
        <v>19</v>
      </c>
      <c r="AD586" s="32">
        <v>17</v>
      </c>
      <c r="AE586" s="32">
        <v>0</v>
      </c>
      <c r="AF586" s="32" t="s">
        <v>200</v>
      </c>
      <c r="AG586" s="32">
        <v>0</v>
      </c>
    </row>
    <row r="587" spans="1:33">
      <c r="A587" s="32" t="s">
        <v>2194</v>
      </c>
      <c r="B587" s="32" t="s">
        <v>73</v>
      </c>
      <c r="C587" s="32" t="s">
        <v>2195</v>
      </c>
      <c r="D587" s="32" t="s">
        <v>2196</v>
      </c>
      <c r="E587" s="32" t="s">
        <v>2192</v>
      </c>
      <c r="F587" s="32" t="s">
        <v>2193</v>
      </c>
      <c r="G587" s="32" t="s">
        <v>2077</v>
      </c>
      <c r="H587" s="32" t="s">
        <v>2078</v>
      </c>
      <c r="I587" s="32" t="s">
        <v>198</v>
      </c>
      <c r="J587" s="32" t="s">
        <v>199</v>
      </c>
      <c r="K587" s="32">
        <v>2.3450120000000001</v>
      </c>
      <c r="L587" s="33">
        <v>1643</v>
      </c>
      <c r="M587" s="32">
        <v>233</v>
      </c>
      <c r="N587" s="32">
        <v>309</v>
      </c>
      <c r="O587" s="32">
        <v>482</v>
      </c>
      <c r="P587" s="32">
        <v>363</v>
      </c>
      <c r="Q587" s="32">
        <v>256</v>
      </c>
      <c r="R587" s="32">
        <v>2</v>
      </c>
      <c r="S587" s="32">
        <v>16.080400000000001</v>
      </c>
      <c r="T587" s="32">
        <v>0</v>
      </c>
      <c r="U587" s="32">
        <v>0.70911929200000001</v>
      </c>
      <c r="V587" s="32">
        <v>7</v>
      </c>
      <c r="W587" s="32">
        <v>0.912219</v>
      </c>
      <c r="X587" s="32">
        <v>0.24185499999999999</v>
      </c>
      <c r="Y587" s="32">
        <v>0.62327900000000003</v>
      </c>
      <c r="Z587" s="32">
        <v>0.57244399999999995</v>
      </c>
      <c r="AA587" s="32">
        <v>13.8</v>
      </c>
      <c r="AB587" s="32">
        <v>561</v>
      </c>
      <c r="AC587" s="32">
        <v>21</v>
      </c>
      <c r="AD587" s="32">
        <v>18</v>
      </c>
      <c r="AE587" s="32" t="s">
        <v>200</v>
      </c>
      <c r="AF587" s="32">
        <v>0</v>
      </c>
      <c r="AG587" s="32" t="s">
        <v>200</v>
      </c>
    </row>
    <row r="588" spans="1:33">
      <c r="A588" s="32" t="s">
        <v>2302</v>
      </c>
      <c r="B588" s="32" t="s">
        <v>74</v>
      </c>
      <c r="C588" s="32" t="s">
        <v>2303</v>
      </c>
      <c r="D588" s="32" t="s">
        <v>2304</v>
      </c>
      <c r="E588" s="32" t="s">
        <v>2162</v>
      </c>
      <c r="F588" s="32" t="s">
        <v>2163</v>
      </c>
      <c r="G588" s="32" t="s">
        <v>2164</v>
      </c>
      <c r="H588" s="32" t="s">
        <v>2165</v>
      </c>
      <c r="I588" s="32" t="s">
        <v>198</v>
      </c>
      <c r="J588" s="32" t="s">
        <v>199</v>
      </c>
      <c r="K588" s="32">
        <v>2.1509740000000002</v>
      </c>
      <c r="L588" s="33">
        <v>1896</v>
      </c>
      <c r="M588" s="32">
        <v>304</v>
      </c>
      <c r="N588" s="32">
        <v>350</v>
      </c>
      <c r="O588" s="32">
        <v>578</v>
      </c>
      <c r="P588" s="32">
        <v>444</v>
      </c>
      <c r="Q588" s="32">
        <v>220</v>
      </c>
      <c r="R588" s="32">
        <v>4</v>
      </c>
      <c r="S588" s="32">
        <v>62.725900000000003</v>
      </c>
      <c r="T588" s="32">
        <v>0</v>
      </c>
      <c r="U588" s="32">
        <v>0.83154441599999995</v>
      </c>
      <c r="V588" s="32">
        <v>7</v>
      </c>
      <c r="W588" s="32">
        <v>0.90313900000000003</v>
      </c>
      <c r="X588" s="32">
        <v>7.5546000000000002E-2</v>
      </c>
      <c r="Y588" s="32">
        <v>0.7</v>
      </c>
      <c r="Z588" s="32">
        <v>0.47481000000000001</v>
      </c>
      <c r="AA588" s="32">
        <v>23.1</v>
      </c>
      <c r="AB588" s="32">
        <v>501</v>
      </c>
      <c r="AC588" s="32">
        <v>21</v>
      </c>
      <c r="AD588" s="32">
        <v>21</v>
      </c>
      <c r="AE588" s="32">
        <v>0</v>
      </c>
      <c r="AF588" s="32" t="s">
        <v>200</v>
      </c>
      <c r="AG588" s="32">
        <v>0</v>
      </c>
    </row>
    <row r="589" spans="1:33">
      <c r="A589" s="32" t="s">
        <v>2305</v>
      </c>
      <c r="B589" s="32" t="s">
        <v>74</v>
      </c>
      <c r="C589" s="32" t="s">
        <v>2306</v>
      </c>
      <c r="D589" s="32" t="s">
        <v>2307</v>
      </c>
      <c r="E589" s="32" t="s">
        <v>2162</v>
      </c>
      <c r="F589" s="32" t="s">
        <v>2163</v>
      </c>
      <c r="G589" s="32" t="s">
        <v>2164</v>
      </c>
      <c r="H589" s="32" t="s">
        <v>2165</v>
      </c>
      <c r="I589" s="32" t="s">
        <v>198</v>
      </c>
      <c r="J589" s="32" t="s">
        <v>199</v>
      </c>
      <c r="K589" s="32">
        <v>2.4345189999999999</v>
      </c>
      <c r="L589" s="33">
        <v>1700</v>
      </c>
      <c r="M589" s="32">
        <v>321</v>
      </c>
      <c r="N589" s="32">
        <v>355</v>
      </c>
      <c r="O589" s="32">
        <v>430</v>
      </c>
      <c r="P589" s="32">
        <v>464</v>
      </c>
      <c r="Q589" s="32">
        <v>130</v>
      </c>
      <c r="R589" s="32" t="s">
        <v>668</v>
      </c>
      <c r="S589" s="32">
        <v>63.2836</v>
      </c>
      <c r="T589" s="32">
        <v>21.758900000000001</v>
      </c>
      <c r="U589" s="32">
        <v>0.94636794099999999</v>
      </c>
      <c r="V589" s="32">
        <v>3</v>
      </c>
      <c r="W589" s="32">
        <v>0.90585800000000005</v>
      </c>
      <c r="X589" s="32">
        <v>0.20211399999999999</v>
      </c>
      <c r="Y589" s="32">
        <v>0.7</v>
      </c>
      <c r="Z589" s="32">
        <v>0.64109000000000005</v>
      </c>
      <c r="AA589" s="32">
        <v>38</v>
      </c>
      <c r="AB589" s="32">
        <v>398</v>
      </c>
      <c r="AC589" s="32">
        <v>29</v>
      </c>
      <c r="AD589" s="32">
        <v>22</v>
      </c>
      <c r="AE589" s="32">
        <v>0</v>
      </c>
      <c r="AF589" s="32">
        <v>0</v>
      </c>
      <c r="AG589" s="32" t="s">
        <v>200</v>
      </c>
    </row>
    <row r="590" spans="1:33">
      <c r="A590" s="32" t="s">
        <v>2308</v>
      </c>
      <c r="B590" s="32" t="s">
        <v>74</v>
      </c>
      <c r="C590" s="32" t="s">
        <v>2309</v>
      </c>
      <c r="D590" s="32" t="s">
        <v>2310</v>
      </c>
      <c r="E590" s="32" t="s">
        <v>2174</v>
      </c>
      <c r="F590" s="32" t="s">
        <v>2175</v>
      </c>
      <c r="G590" s="32" t="s">
        <v>2164</v>
      </c>
      <c r="H590" s="32" t="s">
        <v>2165</v>
      </c>
      <c r="I590" s="32" t="s">
        <v>198</v>
      </c>
      <c r="J590" s="32" t="s">
        <v>199</v>
      </c>
      <c r="K590" s="32">
        <v>2.0775380000000001</v>
      </c>
      <c r="L590" s="33">
        <v>1623</v>
      </c>
      <c r="M590" s="32">
        <v>259</v>
      </c>
      <c r="N590" s="32">
        <v>215</v>
      </c>
      <c r="O590" s="32">
        <v>452</v>
      </c>
      <c r="P590" s="32">
        <v>384</v>
      </c>
      <c r="Q590" s="32">
        <v>313</v>
      </c>
      <c r="R590" s="32">
        <v>4</v>
      </c>
      <c r="S590" s="32">
        <v>22.277200000000001</v>
      </c>
      <c r="T590" s="32">
        <v>9.4272299999999998</v>
      </c>
      <c r="U590" s="32">
        <v>0.76789462200000003</v>
      </c>
      <c r="V590" s="32">
        <v>8</v>
      </c>
      <c r="W590" s="32">
        <v>0.90784600000000004</v>
      </c>
      <c r="X590" s="32">
        <v>6.9219000000000003E-2</v>
      </c>
      <c r="Y590" s="32">
        <v>0.69923999999999997</v>
      </c>
      <c r="Z590" s="32">
        <v>0.4</v>
      </c>
      <c r="AA590" s="32">
        <v>15.3</v>
      </c>
      <c r="AB590" s="32">
        <v>553</v>
      </c>
      <c r="AC590" s="32">
        <v>18</v>
      </c>
      <c r="AD590" s="32">
        <v>18</v>
      </c>
      <c r="AE590" s="32" t="s">
        <v>200</v>
      </c>
      <c r="AF590" s="32">
        <v>0</v>
      </c>
      <c r="AG590" s="32" t="s">
        <v>200</v>
      </c>
    </row>
    <row r="591" spans="1:33">
      <c r="A591" s="32" t="s">
        <v>2311</v>
      </c>
      <c r="B591" s="32" t="s">
        <v>74</v>
      </c>
      <c r="C591" s="32" t="s">
        <v>2312</v>
      </c>
      <c r="D591" s="32" t="s">
        <v>2313</v>
      </c>
      <c r="E591" s="32" t="s">
        <v>2174</v>
      </c>
      <c r="F591" s="32" t="s">
        <v>2175</v>
      </c>
      <c r="G591" s="32" t="s">
        <v>2164</v>
      </c>
      <c r="H591" s="32" t="s">
        <v>2165</v>
      </c>
      <c r="I591" s="32" t="s">
        <v>198</v>
      </c>
      <c r="J591" s="32" t="s">
        <v>199</v>
      </c>
      <c r="K591" s="32">
        <v>2.180653</v>
      </c>
      <c r="L591" s="33">
        <v>2017</v>
      </c>
      <c r="M591" s="32">
        <v>301</v>
      </c>
      <c r="N591" s="32">
        <v>354</v>
      </c>
      <c r="O591" s="32">
        <v>698</v>
      </c>
      <c r="P591" s="32">
        <v>470</v>
      </c>
      <c r="Q591" s="32">
        <v>194</v>
      </c>
      <c r="R591" s="32">
        <v>3</v>
      </c>
      <c r="S591" s="32">
        <v>17.410499999999999</v>
      </c>
      <c r="T591" s="32">
        <v>7.0227000000000004</v>
      </c>
      <c r="U591" s="32">
        <v>0.99857373900000002</v>
      </c>
      <c r="V591" s="32">
        <v>4</v>
      </c>
      <c r="W591" s="32">
        <v>0.90256400000000003</v>
      </c>
      <c r="X591" s="32">
        <v>0.162441</v>
      </c>
      <c r="Y591" s="32">
        <v>0.7</v>
      </c>
      <c r="Z591" s="32">
        <v>0.40821600000000002</v>
      </c>
      <c r="AA591" s="32">
        <v>36.700000000000003</v>
      </c>
      <c r="AB591" s="32">
        <v>393</v>
      </c>
      <c r="AC591" s="32">
        <v>15</v>
      </c>
      <c r="AD591" s="32">
        <v>28</v>
      </c>
      <c r="AE591" s="32">
        <v>0</v>
      </c>
      <c r="AF591" s="32">
        <v>0</v>
      </c>
      <c r="AG591" s="32" t="s">
        <v>200</v>
      </c>
    </row>
    <row r="592" spans="1:33">
      <c r="A592" s="32" t="s">
        <v>2314</v>
      </c>
      <c r="B592" s="32" t="s">
        <v>74</v>
      </c>
      <c r="C592" s="32" t="s">
        <v>2315</v>
      </c>
      <c r="D592" s="32" t="s">
        <v>2316</v>
      </c>
      <c r="E592" s="32" t="s">
        <v>2317</v>
      </c>
      <c r="F592" s="32" t="s">
        <v>2318</v>
      </c>
      <c r="G592" s="32" t="s">
        <v>2164</v>
      </c>
      <c r="H592" s="32" t="s">
        <v>2165</v>
      </c>
      <c r="I592" s="32" t="s">
        <v>198</v>
      </c>
      <c r="J592" s="32" t="s">
        <v>199</v>
      </c>
      <c r="K592" s="32">
        <v>2.2451099999999999</v>
      </c>
      <c r="L592" s="33">
        <v>2174</v>
      </c>
      <c r="M592" s="32">
        <v>365</v>
      </c>
      <c r="N592" s="32">
        <v>450</v>
      </c>
      <c r="O592" s="32">
        <v>547</v>
      </c>
      <c r="P592" s="32">
        <v>485</v>
      </c>
      <c r="Q592" s="32">
        <v>327</v>
      </c>
      <c r="R592" s="32" t="s">
        <v>302</v>
      </c>
      <c r="S592" s="32">
        <v>51.721800000000002</v>
      </c>
      <c r="T592" s="32">
        <v>6.6202500000000004</v>
      </c>
      <c r="U592" s="32">
        <v>1.1321972179999999</v>
      </c>
      <c r="V592" s="32">
        <v>3</v>
      </c>
      <c r="W592" s="32">
        <v>0.90399200000000002</v>
      </c>
      <c r="X592" s="32">
        <v>0.103571</v>
      </c>
      <c r="Y592" s="32">
        <v>0.7</v>
      </c>
      <c r="Z592" s="32">
        <v>0.53480000000000005</v>
      </c>
      <c r="AA592" s="32">
        <v>52.5</v>
      </c>
      <c r="AB592" s="32">
        <v>464</v>
      </c>
      <c r="AC592" s="32">
        <v>24</v>
      </c>
      <c r="AD592" s="32">
        <v>38</v>
      </c>
      <c r="AE592" s="32" t="s">
        <v>200</v>
      </c>
      <c r="AF592" s="32">
        <v>0</v>
      </c>
      <c r="AG592" s="32" t="s">
        <v>200</v>
      </c>
    </row>
    <row r="593" spans="1:33">
      <c r="A593" s="32" t="s">
        <v>2319</v>
      </c>
      <c r="B593" s="32" t="s">
        <v>74</v>
      </c>
      <c r="C593" s="32" t="s">
        <v>2320</v>
      </c>
      <c r="D593" s="32" t="s">
        <v>2321</v>
      </c>
      <c r="E593" s="32" t="s">
        <v>2322</v>
      </c>
      <c r="F593" s="32" t="s">
        <v>2323</v>
      </c>
      <c r="G593" s="32" t="s">
        <v>2164</v>
      </c>
      <c r="H593" s="32" t="s">
        <v>2165</v>
      </c>
      <c r="I593" s="32" t="s">
        <v>198</v>
      </c>
      <c r="J593" s="32" t="s">
        <v>199</v>
      </c>
      <c r="K593" s="32">
        <v>2.1945250000000001</v>
      </c>
      <c r="L593" s="33">
        <v>2716</v>
      </c>
      <c r="M593" s="32">
        <v>419</v>
      </c>
      <c r="N593" s="32">
        <v>718</v>
      </c>
      <c r="O593" s="32">
        <v>845</v>
      </c>
      <c r="P593" s="32">
        <v>535</v>
      </c>
      <c r="Q593" s="32">
        <v>199</v>
      </c>
      <c r="R593" s="32">
        <v>3</v>
      </c>
      <c r="S593" s="32">
        <v>25.697099999999999</v>
      </c>
      <c r="T593" s="32">
        <v>7.7978100000000001</v>
      </c>
      <c r="U593" s="32">
        <v>0.94094636099999995</v>
      </c>
      <c r="V593" s="32">
        <v>4</v>
      </c>
      <c r="W593" s="32">
        <v>0.90193199999999996</v>
      </c>
      <c r="X593" s="32">
        <v>0.14855299999999999</v>
      </c>
      <c r="Y593" s="32">
        <v>0.69076199999999999</v>
      </c>
      <c r="Z593" s="32">
        <v>0.46455299999999999</v>
      </c>
      <c r="AA593" s="32">
        <v>41.8</v>
      </c>
      <c r="AB593" s="32">
        <v>523</v>
      </c>
      <c r="AC593" s="32">
        <v>18</v>
      </c>
      <c r="AD593" s="32">
        <v>22</v>
      </c>
      <c r="AE593" s="32">
        <v>0</v>
      </c>
      <c r="AF593" s="32">
        <v>0</v>
      </c>
      <c r="AG593" s="32" t="s">
        <v>200</v>
      </c>
    </row>
    <row r="594" spans="1:33">
      <c r="A594" s="32" t="s">
        <v>2324</v>
      </c>
      <c r="B594" s="32" t="s">
        <v>74</v>
      </c>
      <c r="C594" s="32" t="s">
        <v>2325</v>
      </c>
      <c r="D594" s="32" t="s">
        <v>2326</v>
      </c>
      <c r="E594" s="32" t="s">
        <v>2322</v>
      </c>
      <c r="F594" s="32" t="s">
        <v>2323</v>
      </c>
      <c r="G594" s="32" t="s">
        <v>2164</v>
      </c>
      <c r="H594" s="32" t="s">
        <v>2165</v>
      </c>
      <c r="I594" s="32" t="s">
        <v>198</v>
      </c>
      <c r="J594" s="32" t="s">
        <v>199</v>
      </c>
      <c r="K594" s="32">
        <v>2.0610089999999999</v>
      </c>
      <c r="L594" s="33">
        <v>2248</v>
      </c>
      <c r="M594" s="32">
        <v>489</v>
      </c>
      <c r="N594" s="32">
        <v>265</v>
      </c>
      <c r="O594" s="32">
        <v>666</v>
      </c>
      <c r="P594" s="32">
        <v>585</v>
      </c>
      <c r="Q594" s="32">
        <v>243</v>
      </c>
      <c r="R594" s="32">
        <v>2</v>
      </c>
      <c r="S594" s="32">
        <v>16.914999999999999</v>
      </c>
      <c r="T594" s="32">
        <v>6.0763999999999996</v>
      </c>
      <c r="U594" s="32">
        <v>0.85289598600000005</v>
      </c>
      <c r="V594" s="32">
        <v>7</v>
      </c>
      <c r="W594" s="32">
        <v>0.90290499999999996</v>
      </c>
      <c r="X594" s="32">
        <v>6.1110999999999999E-2</v>
      </c>
      <c r="Y594" s="32">
        <v>0.7</v>
      </c>
      <c r="Z594" s="32">
        <v>0.4</v>
      </c>
      <c r="AA594" s="32">
        <v>18.100000000000001</v>
      </c>
      <c r="AB594" s="32">
        <v>605</v>
      </c>
      <c r="AC594" s="32">
        <v>17</v>
      </c>
      <c r="AD594" s="32">
        <v>38</v>
      </c>
      <c r="AE594" s="32">
        <v>0</v>
      </c>
      <c r="AF594" s="32" t="s">
        <v>200</v>
      </c>
      <c r="AG594" s="32">
        <v>0</v>
      </c>
    </row>
    <row r="595" spans="1:33">
      <c r="A595" s="32" t="s">
        <v>2327</v>
      </c>
      <c r="B595" s="32" t="s">
        <v>74</v>
      </c>
      <c r="C595" s="32" t="s">
        <v>2328</v>
      </c>
      <c r="D595" s="32" t="s">
        <v>2329</v>
      </c>
      <c r="E595" s="32" t="s">
        <v>2322</v>
      </c>
      <c r="F595" s="32" t="s">
        <v>2323</v>
      </c>
      <c r="G595" s="32" t="s">
        <v>2164</v>
      </c>
      <c r="H595" s="32" t="s">
        <v>2165</v>
      </c>
      <c r="I595" s="32" t="s">
        <v>198</v>
      </c>
      <c r="J595" s="32" t="s">
        <v>199</v>
      </c>
      <c r="K595" s="32">
        <v>2.0545079999999998</v>
      </c>
      <c r="L595" s="33">
        <v>1967</v>
      </c>
      <c r="M595" s="32">
        <v>402</v>
      </c>
      <c r="N595" s="32">
        <v>287</v>
      </c>
      <c r="O595" s="32">
        <v>609</v>
      </c>
      <c r="P595" s="32">
        <v>465</v>
      </c>
      <c r="Q595" s="32">
        <v>204</v>
      </c>
      <c r="R595" s="32">
        <v>2</v>
      </c>
      <c r="S595" s="32">
        <v>14.0961</v>
      </c>
      <c r="T595" s="32">
        <v>5.8821000000000003</v>
      </c>
      <c r="U595" s="32">
        <v>0.97497774800000003</v>
      </c>
      <c r="V595" s="32">
        <v>5</v>
      </c>
      <c r="W595" s="32">
        <v>0.9</v>
      </c>
      <c r="X595" s="32">
        <v>5.2332999999999998E-2</v>
      </c>
      <c r="Y595" s="32">
        <v>0.7</v>
      </c>
      <c r="Z595" s="32">
        <v>0.40449000000000002</v>
      </c>
      <c r="AA595" s="32">
        <v>35.5</v>
      </c>
      <c r="AB595" s="32">
        <v>522</v>
      </c>
      <c r="AC595" s="32">
        <v>21</v>
      </c>
      <c r="AD595" s="32">
        <v>17</v>
      </c>
      <c r="AE595" s="32">
        <v>0</v>
      </c>
      <c r="AF595" s="32" t="s">
        <v>200</v>
      </c>
      <c r="AG595" s="32" t="s">
        <v>200</v>
      </c>
    </row>
    <row r="596" spans="1:33">
      <c r="A596" s="32" t="s">
        <v>2330</v>
      </c>
      <c r="B596" s="32" t="s">
        <v>74</v>
      </c>
      <c r="C596" s="32" t="s">
        <v>2331</v>
      </c>
      <c r="D596" s="32" t="s">
        <v>2332</v>
      </c>
      <c r="E596" s="32" t="s">
        <v>2322</v>
      </c>
      <c r="F596" s="32" t="s">
        <v>2323</v>
      </c>
      <c r="G596" s="32" t="s">
        <v>2164</v>
      </c>
      <c r="H596" s="32" t="s">
        <v>2165</v>
      </c>
      <c r="I596" s="32" t="s">
        <v>198</v>
      </c>
      <c r="J596" s="32" t="s">
        <v>199</v>
      </c>
      <c r="K596" s="32">
        <v>2.2625679999999999</v>
      </c>
      <c r="L596" s="33">
        <v>1823</v>
      </c>
      <c r="M596" s="32">
        <v>450</v>
      </c>
      <c r="N596" s="32">
        <v>237</v>
      </c>
      <c r="O596" s="32">
        <v>462</v>
      </c>
      <c r="P596" s="32">
        <v>442</v>
      </c>
      <c r="Q596" s="32">
        <v>232</v>
      </c>
      <c r="R596" s="32">
        <v>3</v>
      </c>
      <c r="S596" s="32">
        <v>14.9145</v>
      </c>
      <c r="T596" s="32">
        <v>6.82118</v>
      </c>
      <c r="U596" s="32">
        <v>1.039462149</v>
      </c>
      <c r="V596" s="32">
        <v>3</v>
      </c>
      <c r="W596" s="32">
        <v>0.90669100000000002</v>
      </c>
      <c r="X596" s="32">
        <v>0.19023499999999999</v>
      </c>
      <c r="Y596" s="32">
        <v>0.7</v>
      </c>
      <c r="Z596" s="32">
        <v>0.47454499999999999</v>
      </c>
      <c r="AA596" s="32">
        <v>39.6</v>
      </c>
      <c r="AB596" s="32">
        <v>454</v>
      </c>
      <c r="AC596" s="32">
        <v>14</v>
      </c>
      <c r="AD596" s="32">
        <v>18</v>
      </c>
      <c r="AE596" s="32">
        <v>0</v>
      </c>
      <c r="AF596" s="32" t="s">
        <v>200</v>
      </c>
      <c r="AG596" s="32">
        <v>5</v>
      </c>
    </row>
    <row r="597" spans="1:33">
      <c r="A597" s="32" t="s">
        <v>2333</v>
      </c>
      <c r="B597" s="32" t="s">
        <v>74</v>
      </c>
      <c r="C597" s="32" t="s">
        <v>2334</v>
      </c>
      <c r="D597" s="32" t="s">
        <v>2335</v>
      </c>
      <c r="E597" s="32" t="s">
        <v>2278</v>
      </c>
      <c r="F597" s="32" t="s">
        <v>2279</v>
      </c>
      <c r="G597" s="32" t="s">
        <v>2077</v>
      </c>
      <c r="H597" s="32" t="s">
        <v>2078</v>
      </c>
      <c r="I597" s="32" t="s">
        <v>198</v>
      </c>
      <c r="J597" s="32" t="s">
        <v>199</v>
      </c>
      <c r="K597" s="32">
        <v>2.0603769999999999</v>
      </c>
      <c r="L597" s="33">
        <v>1865</v>
      </c>
      <c r="M597" s="32">
        <v>434</v>
      </c>
      <c r="N597" s="32">
        <v>264</v>
      </c>
      <c r="O597" s="32">
        <v>478</v>
      </c>
      <c r="P597" s="32">
        <v>430</v>
      </c>
      <c r="Q597" s="32">
        <v>259</v>
      </c>
      <c r="R597" s="32">
        <v>2</v>
      </c>
      <c r="S597" s="32">
        <v>18.207899999999999</v>
      </c>
      <c r="T597" s="32">
        <v>0</v>
      </c>
      <c r="U597" s="32">
        <v>0.846056476</v>
      </c>
      <c r="V597" s="32">
        <v>8</v>
      </c>
      <c r="W597" s="32">
        <v>0.90467200000000003</v>
      </c>
      <c r="X597" s="32">
        <v>4.2484000000000001E-2</v>
      </c>
      <c r="Y597" s="32">
        <v>0.7</v>
      </c>
      <c r="Z597" s="32">
        <v>0.40914800000000001</v>
      </c>
      <c r="AA597" s="32">
        <v>19.5</v>
      </c>
      <c r="AB597" s="32">
        <v>545</v>
      </c>
      <c r="AC597" s="32">
        <v>13</v>
      </c>
      <c r="AD597" s="32">
        <v>16</v>
      </c>
      <c r="AE597" s="32">
        <v>0</v>
      </c>
      <c r="AF597" s="32">
        <v>0</v>
      </c>
      <c r="AG597" s="32">
        <v>0</v>
      </c>
    </row>
    <row r="598" spans="1:33">
      <c r="A598" s="32" t="s">
        <v>2336</v>
      </c>
      <c r="B598" s="32" t="s">
        <v>74</v>
      </c>
      <c r="C598" s="32" t="s">
        <v>2337</v>
      </c>
      <c r="D598" s="32" t="s">
        <v>2338</v>
      </c>
      <c r="E598" s="32" t="s">
        <v>2278</v>
      </c>
      <c r="F598" s="32" t="s">
        <v>2279</v>
      </c>
      <c r="G598" s="32" t="s">
        <v>2077</v>
      </c>
      <c r="H598" s="32" t="s">
        <v>2078</v>
      </c>
      <c r="I598" s="32" t="s">
        <v>198</v>
      </c>
      <c r="J598" s="32" t="s">
        <v>199</v>
      </c>
      <c r="K598" s="32">
        <v>2.2387860000000002</v>
      </c>
      <c r="L598" s="33">
        <v>1693</v>
      </c>
      <c r="M598" s="32">
        <v>389</v>
      </c>
      <c r="N598" s="32">
        <v>239</v>
      </c>
      <c r="O598" s="32">
        <v>410</v>
      </c>
      <c r="P598" s="32">
        <v>371</v>
      </c>
      <c r="Q598" s="32">
        <v>284</v>
      </c>
      <c r="R598" s="32">
        <v>2</v>
      </c>
      <c r="S598" s="32">
        <v>12.2758</v>
      </c>
      <c r="T598" s="32">
        <v>4.2387499999999996</v>
      </c>
      <c r="U598" s="32">
        <v>0.89547326599999999</v>
      </c>
      <c r="V598" s="32">
        <v>5</v>
      </c>
      <c r="W598" s="32">
        <v>0.90295099999999995</v>
      </c>
      <c r="X598" s="32">
        <v>0.17521100000000001</v>
      </c>
      <c r="Y598" s="32">
        <v>0.68581099999999995</v>
      </c>
      <c r="Z598" s="32">
        <v>0.46855000000000002</v>
      </c>
      <c r="AA598" s="32">
        <v>25.4</v>
      </c>
      <c r="AB598" s="32">
        <v>539</v>
      </c>
      <c r="AC598" s="32">
        <v>20</v>
      </c>
      <c r="AD598" s="32">
        <v>23</v>
      </c>
      <c r="AE598" s="32">
        <v>0</v>
      </c>
      <c r="AF598" s="32" t="s">
        <v>200</v>
      </c>
      <c r="AG598" s="32" t="s">
        <v>200</v>
      </c>
    </row>
    <row r="599" spans="1:33">
      <c r="A599" s="32" t="s">
        <v>2339</v>
      </c>
      <c r="B599" s="32" t="s">
        <v>75</v>
      </c>
      <c r="C599" s="32" t="s">
        <v>2340</v>
      </c>
      <c r="D599" s="32" t="s">
        <v>2341</v>
      </c>
      <c r="E599" s="32" t="s">
        <v>2342</v>
      </c>
      <c r="F599" s="32" t="s">
        <v>2343</v>
      </c>
      <c r="G599" s="32" t="s">
        <v>655</v>
      </c>
      <c r="H599" s="32" t="s">
        <v>656</v>
      </c>
      <c r="I599" s="32" t="s">
        <v>198</v>
      </c>
      <c r="J599" s="32" t="s">
        <v>199</v>
      </c>
      <c r="K599" s="32">
        <v>2.77094</v>
      </c>
      <c r="L599" s="33">
        <v>2560</v>
      </c>
      <c r="M599" s="32">
        <v>518</v>
      </c>
      <c r="N599" s="32">
        <v>540</v>
      </c>
      <c r="O599" s="32">
        <v>981</v>
      </c>
      <c r="P599" s="32">
        <v>387</v>
      </c>
      <c r="Q599" s="32">
        <v>134</v>
      </c>
      <c r="R599" s="32">
        <v>5</v>
      </c>
      <c r="S599" s="32">
        <v>28.421399999999998</v>
      </c>
      <c r="T599" s="32">
        <v>19.271999999999998</v>
      </c>
      <c r="U599" s="32">
        <v>0.69637461199999995</v>
      </c>
      <c r="V599" s="32">
        <v>4</v>
      </c>
      <c r="W599" s="32">
        <v>0.919373</v>
      </c>
      <c r="X599" s="32">
        <v>0.153529</v>
      </c>
      <c r="Y599" s="32">
        <v>0.7</v>
      </c>
      <c r="Z599" s="32">
        <v>1</v>
      </c>
      <c r="AA599" s="32">
        <v>36.4</v>
      </c>
      <c r="AB599" s="32">
        <v>317</v>
      </c>
      <c r="AC599" s="32">
        <v>44</v>
      </c>
      <c r="AD599" s="32">
        <v>37</v>
      </c>
      <c r="AE599" s="32" t="s">
        <v>200</v>
      </c>
      <c r="AF599" s="32">
        <v>8</v>
      </c>
      <c r="AG599" s="32" t="s">
        <v>200</v>
      </c>
    </row>
    <row r="600" spans="1:33">
      <c r="A600" s="32" t="s">
        <v>2344</v>
      </c>
      <c r="B600" s="32" t="s">
        <v>75</v>
      </c>
      <c r="C600" s="32" t="s">
        <v>2345</v>
      </c>
      <c r="D600" s="32" t="s">
        <v>2346</v>
      </c>
      <c r="E600" s="32" t="s">
        <v>2347</v>
      </c>
      <c r="F600" s="32" t="s">
        <v>2348</v>
      </c>
      <c r="G600" s="32" t="s">
        <v>655</v>
      </c>
      <c r="H600" s="32" t="s">
        <v>656</v>
      </c>
      <c r="I600" s="32" t="s">
        <v>198</v>
      </c>
      <c r="J600" s="32" t="s">
        <v>199</v>
      </c>
      <c r="K600" s="32">
        <v>2.764246</v>
      </c>
      <c r="L600" s="33">
        <v>1388</v>
      </c>
      <c r="M600" s="32">
        <v>397</v>
      </c>
      <c r="N600" s="32">
        <v>250</v>
      </c>
      <c r="O600" s="32">
        <v>368</v>
      </c>
      <c r="P600" s="32">
        <v>300</v>
      </c>
      <c r="Q600" s="32">
        <v>73</v>
      </c>
      <c r="R600" s="32">
        <v>5</v>
      </c>
      <c r="S600" s="32">
        <v>21.471599999999999</v>
      </c>
      <c r="T600" s="32">
        <v>16.943999999999999</v>
      </c>
      <c r="U600" s="32">
        <v>0.86282011999999997</v>
      </c>
      <c r="V600" s="32">
        <v>3</v>
      </c>
      <c r="W600" s="32">
        <v>0.90782099999999999</v>
      </c>
      <c r="X600" s="32">
        <v>0.16441700000000001</v>
      </c>
      <c r="Y600" s="32">
        <v>0.70736200000000005</v>
      </c>
      <c r="Z600" s="32">
        <v>1</v>
      </c>
      <c r="AA600" s="32">
        <v>58.7</v>
      </c>
      <c r="AB600" s="32">
        <v>224</v>
      </c>
      <c r="AC600" s="32">
        <v>13</v>
      </c>
      <c r="AD600" s="32">
        <v>19</v>
      </c>
      <c r="AE600" s="32">
        <v>0</v>
      </c>
      <c r="AF600" s="32">
        <v>0</v>
      </c>
      <c r="AG600" s="32" t="s">
        <v>200</v>
      </c>
    </row>
    <row r="601" spans="1:33">
      <c r="A601" s="32" t="s">
        <v>2349</v>
      </c>
      <c r="B601" s="32" t="s">
        <v>75</v>
      </c>
      <c r="C601" s="32" t="s">
        <v>2350</v>
      </c>
      <c r="D601" s="32" t="s">
        <v>2351</v>
      </c>
      <c r="E601" s="32" t="s">
        <v>2352</v>
      </c>
      <c r="F601" s="32" t="s">
        <v>2353</v>
      </c>
      <c r="G601" s="32" t="s">
        <v>655</v>
      </c>
      <c r="H601" s="32" t="s">
        <v>656</v>
      </c>
      <c r="I601" s="32" t="s">
        <v>198</v>
      </c>
      <c r="J601" s="32" t="s">
        <v>199</v>
      </c>
      <c r="K601" s="32">
        <v>2.6012140000000001</v>
      </c>
      <c r="L601" s="33">
        <v>2134</v>
      </c>
      <c r="M601" s="32">
        <v>373</v>
      </c>
      <c r="N601" s="32">
        <v>394</v>
      </c>
      <c r="O601" s="32">
        <v>741</v>
      </c>
      <c r="P601" s="32">
        <v>418</v>
      </c>
      <c r="Q601" s="32">
        <v>208</v>
      </c>
      <c r="R601" s="32" t="s">
        <v>302</v>
      </c>
      <c r="S601" s="32">
        <v>35.919899999999998</v>
      </c>
      <c r="T601" s="32">
        <v>16.831099999999999</v>
      </c>
      <c r="U601" s="32">
        <v>0.93778822699999997</v>
      </c>
      <c r="V601" s="32">
        <v>3</v>
      </c>
      <c r="W601" s="32">
        <v>0.91189299999999995</v>
      </c>
      <c r="X601" s="32">
        <v>2.2329999999999999E-2</v>
      </c>
      <c r="Y601" s="32">
        <v>0.7</v>
      </c>
      <c r="Z601" s="32">
        <v>0.97111599999999998</v>
      </c>
      <c r="AA601" s="32">
        <v>42.6</v>
      </c>
      <c r="AB601" s="32">
        <v>407</v>
      </c>
      <c r="AC601" s="32">
        <v>50</v>
      </c>
      <c r="AD601" s="32">
        <v>24</v>
      </c>
      <c r="AE601" s="32">
        <v>0</v>
      </c>
      <c r="AF601" s="32" t="s">
        <v>200</v>
      </c>
      <c r="AG601" s="32" t="s">
        <v>200</v>
      </c>
    </row>
    <row r="602" spans="1:33">
      <c r="A602" s="32" t="s">
        <v>2354</v>
      </c>
      <c r="B602" s="32" t="s">
        <v>75</v>
      </c>
      <c r="C602" s="32" t="s">
        <v>2355</v>
      </c>
      <c r="D602" s="32" t="s">
        <v>2356</v>
      </c>
      <c r="E602" s="32" t="s">
        <v>2357</v>
      </c>
      <c r="F602" s="32" t="s">
        <v>2358</v>
      </c>
      <c r="G602" s="32" t="s">
        <v>655</v>
      </c>
      <c r="H602" s="32" t="s">
        <v>656</v>
      </c>
      <c r="I602" s="32" t="s">
        <v>198</v>
      </c>
      <c r="J602" s="32" t="s">
        <v>199</v>
      </c>
      <c r="K602" s="32">
        <v>2.6524220000000001</v>
      </c>
      <c r="L602" s="33">
        <v>2277</v>
      </c>
      <c r="M602" s="32">
        <v>445</v>
      </c>
      <c r="N602" s="32">
        <v>479</v>
      </c>
      <c r="O602" s="32">
        <v>753</v>
      </c>
      <c r="P602" s="32">
        <v>494</v>
      </c>
      <c r="Q602" s="32">
        <v>106</v>
      </c>
      <c r="R602" s="32">
        <v>4</v>
      </c>
      <c r="S602" s="32">
        <v>23.069800000000001</v>
      </c>
      <c r="T602" s="32">
        <v>11.5433</v>
      </c>
      <c r="U602" s="32">
        <v>0.98259476199999995</v>
      </c>
      <c r="V602" s="32">
        <v>2</v>
      </c>
      <c r="W602" s="32">
        <v>0.915385</v>
      </c>
      <c r="X602" s="32">
        <v>4.1126999999999997E-2</v>
      </c>
      <c r="Y602" s="32">
        <v>0.7</v>
      </c>
      <c r="Z602" s="32">
        <v>1</v>
      </c>
      <c r="AA602" s="32">
        <v>55.8</v>
      </c>
      <c r="AB602" s="32">
        <v>344</v>
      </c>
      <c r="AC602" s="32">
        <v>22</v>
      </c>
      <c r="AD602" s="32">
        <v>26</v>
      </c>
      <c r="AE602" s="32">
        <v>0</v>
      </c>
      <c r="AF602" s="32" t="s">
        <v>200</v>
      </c>
      <c r="AG602" s="32" t="s">
        <v>200</v>
      </c>
    </row>
    <row r="603" spans="1:33">
      <c r="A603" s="32" t="s">
        <v>2359</v>
      </c>
      <c r="B603" s="32" t="s">
        <v>75</v>
      </c>
      <c r="C603" s="32" t="s">
        <v>2360</v>
      </c>
      <c r="D603" s="32" t="s">
        <v>2361</v>
      </c>
      <c r="E603" s="32" t="s">
        <v>2362</v>
      </c>
      <c r="F603" s="32" t="s">
        <v>2363</v>
      </c>
      <c r="G603" s="32" t="s">
        <v>655</v>
      </c>
      <c r="H603" s="32" t="s">
        <v>656</v>
      </c>
      <c r="I603" s="32" t="s">
        <v>198</v>
      </c>
      <c r="J603" s="32" t="s">
        <v>199</v>
      </c>
      <c r="K603" s="32">
        <v>2.6793909999999999</v>
      </c>
      <c r="L603" s="33">
        <v>2589</v>
      </c>
      <c r="M603" s="32">
        <v>325</v>
      </c>
      <c r="N603" s="32">
        <v>642</v>
      </c>
      <c r="O603" s="33">
        <v>1043</v>
      </c>
      <c r="P603" s="32">
        <v>392</v>
      </c>
      <c r="Q603" s="32">
        <v>187</v>
      </c>
      <c r="R603" s="32">
        <v>5</v>
      </c>
      <c r="S603" s="32">
        <v>32.9876</v>
      </c>
      <c r="T603" s="32">
        <v>15.786300000000001</v>
      </c>
      <c r="U603" s="32">
        <v>0.86996858700000002</v>
      </c>
      <c r="V603" s="32">
        <v>3</v>
      </c>
      <c r="W603" s="32">
        <v>0.91615899999999995</v>
      </c>
      <c r="X603" s="32">
        <v>5.5268999999999999E-2</v>
      </c>
      <c r="Y603" s="32">
        <v>0.7</v>
      </c>
      <c r="Z603" s="32">
        <v>1</v>
      </c>
      <c r="AA603" s="32">
        <v>39.1</v>
      </c>
      <c r="AB603" s="32">
        <v>292</v>
      </c>
      <c r="AC603" s="32">
        <v>33</v>
      </c>
      <c r="AD603" s="32">
        <v>22</v>
      </c>
      <c r="AE603" s="32">
        <v>0</v>
      </c>
      <c r="AF603" s="32" t="s">
        <v>200</v>
      </c>
      <c r="AG603" s="32">
        <v>15</v>
      </c>
    </row>
    <row r="604" spans="1:33">
      <c r="A604" s="32" t="s">
        <v>2364</v>
      </c>
      <c r="B604" s="32" t="s">
        <v>75</v>
      </c>
      <c r="C604" s="32" t="s">
        <v>2365</v>
      </c>
      <c r="D604" s="32" t="s">
        <v>2366</v>
      </c>
      <c r="E604" s="32" t="s">
        <v>2367</v>
      </c>
      <c r="F604" s="32" t="s">
        <v>2368</v>
      </c>
      <c r="G604" s="32" t="s">
        <v>655</v>
      </c>
      <c r="H604" s="32" t="s">
        <v>656</v>
      </c>
      <c r="I604" s="32" t="s">
        <v>198</v>
      </c>
      <c r="J604" s="32" t="s">
        <v>199</v>
      </c>
      <c r="K604" s="32">
        <v>2.7826849999999999</v>
      </c>
      <c r="L604" s="33">
        <v>3065</v>
      </c>
      <c r="M604" s="32">
        <v>440</v>
      </c>
      <c r="N604" s="32">
        <v>740</v>
      </c>
      <c r="O604" s="33">
        <v>1173</v>
      </c>
      <c r="P604" s="32">
        <v>523</v>
      </c>
      <c r="Q604" s="32">
        <v>189</v>
      </c>
      <c r="R604" s="32" t="s">
        <v>302</v>
      </c>
      <c r="S604" s="32">
        <v>37.809399999999997</v>
      </c>
      <c r="T604" s="32">
        <v>22.013100000000001</v>
      </c>
      <c r="U604" s="32">
        <v>0.82398208900000003</v>
      </c>
      <c r="V604" s="32">
        <v>3</v>
      </c>
      <c r="W604" s="32">
        <v>0.91614799999999996</v>
      </c>
      <c r="X604" s="32">
        <v>0.166409</v>
      </c>
      <c r="Y604" s="32">
        <v>0.7</v>
      </c>
      <c r="Z604" s="32">
        <v>1</v>
      </c>
      <c r="AA604" s="32">
        <v>39.9</v>
      </c>
      <c r="AB604" s="32">
        <v>326</v>
      </c>
      <c r="AC604" s="32">
        <v>20</v>
      </c>
      <c r="AD604" s="32">
        <v>28</v>
      </c>
      <c r="AE604" s="32">
        <v>0</v>
      </c>
      <c r="AF604" s="32">
        <v>0</v>
      </c>
      <c r="AG604" s="32" t="s">
        <v>200</v>
      </c>
    </row>
    <row r="605" spans="1:33">
      <c r="A605" s="32" t="s">
        <v>2369</v>
      </c>
      <c r="B605" s="32" t="s">
        <v>75</v>
      </c>
      <c r="C605" s="32" t="s">
        <v>2370</v>
      </c>
      <c r="D605" s="32" t="s">
        <v>2371</v>
      </c>
      <c r="E605" s="32" t="s">
        <v>2352</v>
      </c>
      <c r="F605" s="32" t="s">
        <v>2353</v>
      </c>
      <c r="G605" s="32" t="s">
        <v>655</v>
      </c>
      <c r="H605" s="32" t="s">
        <v>656</v>
      </c>
      <c r="I605" s="32" t="s">
        <v>198</v>
      </c>
      <c r="J605" s="32" t="s">
        <v>199</v>
      </c>
      <c r="K605" s="32">
        <v>2.7307519999999998</v>
      </c>
      <c r="L605" s="33">
        <v>2341</v>
      </c>
      <c r="M605" s="32">
        <v>377</v>
      </c>
      <c r="N605" s="32">
        <v>463</v>
      </c>
      <c r="O605" s="32">
        <v>920</v>
      </c>
      <c r="P605" s="32">
        <v>420</v>
      </c>
      <c r="Q605" s="32">
        <v>161</v>
      </c>
      <c r="R605" s="32">
        <v>5</v>
      </c>
      <c r="S605" s="32">
        <v>30.433399999999999</v>
      </c>
      <c r="T605" s="32">
        <v>16.305700000000002</v>
      </c>
      <c r="U605" s="32">
        <v>0.89962090800000005</v>
      </c>
      <c r="V605" s="32">
        <v>2</v>
      </c>
      <c r="W605" s="32">
        <v>0.93143500000000001</v>
      </c>
      <c r="X605" s="32">
        <v>8.8532E-2</v>
      </c>
      <c r="Y605" s="32">
        <v>0.7</v>
      </c>
      <c r="Z605" s="32">
        <v>1</v>
      </c>
      <c r="AA605" s="32">
        <v>40.299999999999997</v>
      </c>
      <c r="AB605" s="32">
        <v>335</v>
      </c>
      <c r="AC605" s="32">
        <v>22</v>
      </c>
      <c r="AD605" s="32">
        <v>29</v>
      </c>
      <c r="AE605" s="32" t="s">
        <v>200</v>
      </c>
      <c r="AF605" s="32">
        <v>0</v>
      </c>
      <c r="AG605" s="32" t="s">
        <v>200</v>
      </c>
    </row>
    <row r="606" spans="1:33">
      <c r="A606" s="32" t="s">
        <v>2372</v>
      </c>
      <c r="B606" s="32" t="s">
        <v>75</v>
      </c>
      <c r="C606" s="32" t="s">
        <v>2373</v>
      </c>
      <c r="D606" s="32" t="s">
        <v>2374</v>
      </c>
      <c r="E606" s="32" t="s">
        <v>2375</v>
      </c>
      <c r="F606" s="32" t="s">
        <v>2376</v>
      </c>
      <c r="G606" s="32" t="s">
        <v>655</v>
      </c>
      <c r="H606" s="32" t="s">
        <v>656</v>
      </c>
      <c r="I606" s="32" t="s">
        <v>198</v>
      </c>
      <c r="J606" s="32" t="s">
        <v>199</v>
      </c>
      <c r="K606" s="32">
        <v>2.7351269999999999</v>
      </c>
      <c r="L606" s="33">
        <v>3767</v>
      </c>
      <c r="M606" s="32">
        <v>612</v>
      </c>
      <c r="N606" s="32">
        <v>749</v>
      </c>
      <c r="O606" s="33">
        <v>1582</v>
      </c>
      <c r="P606" s="32">
        <v>599</v>
      </c>
      <c r="Q606" s="32">
        <v>225</v>
      </c>
      <c r="R606" s="32">
        <v>4</v>
      </c>
      <c r="S606" s="32">
        <v>26.0061</v>
      </c>
      <c r="T606" s="32">
        <v>15.245900000000001</v>
      </c>
      <c r="U606" s="32">
        <v>0.875127455</v>
      </c>
      <c r="V606" s="32">
        <v>3</v>
      </c>
      <c r="W606" s="32">
        <v>0.92322899999999997</v>
      </c>
      <c r="X606" s="32">
        <v>0.108333</v>
      </c>
      <c r="Y606" s="32">
        <v>0.69754799999999995</v>
      </c>
      <c r="Z606" s="32">
        <v>1</v>
      </c>
      <c r="AA606" s="32">
        <v>42.8</v>
      </c>
      <c r="AB606" s="32">
        <v>748</v>
      </c>
      <c r="AC606" s="32">
        <v>38</v>
      </c>
      <c r="AD606" s="32">
        <v>34</v>
      </c>
      <c r="AE606" s="32">
        <v>0</v>
      </c>
      <c r="AF606" s="32" t="s">
        <v>200</v>
      </c>
      <c r="AG606" s="32" t="s">
        <v>200</v>
      </c>
    </row>
    <row r="607" spans="1:33">
      <c r="A607" s="32" t="s">
        <v>2377</v>
      </c>
      <c r="B607" s="32" t="s">
        <v>75</v>
      </c>
      <c r="C607" s="32" t="s">
        <v>2378</v>
      </c>
      <c r="D607" s="32" t="s">
        <v>2379</v>
      </c>
      <c r="E607" s="32" t="s">
        <v>2375</v>
      </c>
      <c r="F607" s="32" t="s">
        <v>2376</v>
      </c>
      <c r="G607" s="32" t="s">
        <v>655</v>
      </c>
      <c r="H607" s="32" t="s">
        <v>656</v>
      </c>
      <c r="I607" s="32" t="s">
        <v>198</v>
      </c>
      <c r="J607" s="32" t="s">
        <v>199</v>
      </c>
      <c r="K607" s="32">
        <v>2.6856659999999999</v>
      </c>
      <c r="L607" s="33">
        <v>1805</v>
      </c>
      <c r="M607" s="32">
        <v>382</v>
      </c>
      <c r="N607" s="32">
        <v>394</v>
      </c>
      <c r="O607" s="32">
        <v>565</v>
      </c>
      <c r="P607" s="32">
        <v>341</v>
      </c>
      <c r="Q607" s="32">
        <v>123</v>
      </c>
      <c r="R607" s="32">
        <v>4</v>
      </c>
      <c r="S607" s="32">
        <v>22.2136</v>
      </c>
      <c r="T607" s="32">
        <v>13.445499999999999</v>
      </c>
      <c r="U607" s="32">
        <v>0.97928970699999995</v>
      </c>
      <c r="V607" s="32">
        <v>2</v>
      </c>
      <c r="W607" s="32">
        <v>0.95801999999999998</v>
      </c>
      <c r="X607" s="32">
        <v>6.8851999999999997E-2</v>
      </c>
      <c r="Y607" s="32">
        <v>0.65384600000000004</v>
      </c>
      <c r="Z607" s="32">
        <v>1</v>
      </c>
      <c r="AA607" s="32">
        <v>52.3</v>
      </c>
      <c r="AB607" s="32">
        <v>276</v>
      </c>
      <c r="AC607" s="32">
        <v>11</v>
      </c>
      <c r="AD607" s="32">
        <v>20</v>
      </c>
      <c r="AE607" s="32">
        <v>0</v>
      </c>
      <c r="AF607" s="32" t="s">
        <v>200</v>
      </c>
      <c r="AG607" s="32" t="s">
        <v>200</v>
      </c>
    </row>
    <row r="608" spans="1:33">
      <c r="A608" s="32" t="s">
        <v>2380</v>
      </c>
      <c r="B608" s="32" t="s">
        <v>75</v>
      </c>
      <c r="C608" s="32" t="s">
        <v>2381</v>
      </c>
      <c r="D608" s="32" t="s">
        <v>2382</v>
      </c>
      <c r="E608" s="32" t="s">
        <v>2352</v>
      </c>
      <c r="F608" s="32" t="s">
        <v>2353</v>
      </c>
      <c r="G608" s="32" t="s">
        <v>655</v>
      </c>
      <c r="H608" s="32" t="s">
        <v>656</v>
      </c>
      <c r="I608" s="32" t="s">
        <v>198</v>
      </c>
      <c r="J608" s="32" t="s">
        <v>199</v>
      </c>
      <c r="K608" s="32">
        <v>2.7755990000000001</v>
      </c>
      <c r="L608" s="33">
        <v>2264</v>
      </c>
      <c r="M608" s="32">
        <v>248</v>
      </c>
      <c r="N608" s="32">
        <v>469</v>
      </c>
      <c r="O608" s="33">
        <v>1013</v>
      </c>
      <c r="P608" s="32">
        <v>357</v>
      </c>
      <c r="Q608" s="32">
        <v>177</v>
      </c>
      <c r="R608" s="32" t="s">
        <v>302</v>
      </c>
      <c r="S608" s="32">
        <v>36.408499999999997</v>
      </c>
      <c r="T608" s="32">
        <v>20.290400000000002</v>
      </c>
      <c r="U608" s="32">
        <v>0.66816446100000004</v>
      </c>
      <c r="V608" s="32">
        <v>4</v>
      </c>
      <c r="W608" s="32">
        <v>0.93006500000000003</v>
      </c>
      <c r="X608" s="32">
        <v>0.14795700000000001</v>
      </c>
      <c r="Y608" s="32">
        <v>0.7</v>
      </c>
      <c r="Z608" s="32">
        <v>1</v>
      </c>
      <c r="AA608" s="32">
        <v>25.2</v>
      </c>
      <c r="AB608" s="32">
        <v>328</v>
      </c>
      <c r="AC608" s="32">
        <v>87</v>
      </c>
      <c r="AD608" s="32">
        <v>39</v>
      </c>
      <c r="AE608" s="32" t="s">
        <v>200</v>
      </c>
      <c r="AF608" s="32">
        <v>0</v>
      </c>
      <c r="AG608" s="32" t="s">
        <v>200</v>
      </c>
    </row>
    <row r="609" spans="1:33">
      <c r="A609" s="32" t="s">
        <v>2383</v>
      </c>
      <c r="B609" s="32" t="s">
        <v>75</v>
      </c>
      <c r="C609" s="32" t="s">
        <v>2384</v>
      </c>
      <c r="D609" s="32" t="s">
        <v>2385</v>
      </c>
      <c r="E609" s="32" t="s">
        <v>2386</v>
      </c>
      <c r="F609" s="32" t="s">
        <v>2387</v>
      </c>
      <c r="G609" s="32" t="s">
        <v>655</v>
      </c>
      <c r="H609" s="32" t="s">
        <v>656</v>
      </c>
      <c r="I609" s="32" t="s">
        <v>198</v>
      </c>
      <c r="J609" s="32" t="s">
        <v>199</v>
      </c>
      <c r="K609" s="32">
        <v>2.5388890000000002</v>
      </c>
      <c r="L609" s="33">
        <v>1490</v>
      </c>
      <c r="M609" s="32">
        <v>299</v>
      </c>
      <c r="N609" s="32">
        <v>267</v>
      </c>
      <c r="O609" s="32">
        <v>466</v>
      </c>
      <c r="P609" s="32">
        <v>322</v>
      </c>
      <c r="Q609" s="32">
        <v>136</v>
      </c>
      <c r="R609" s="32">
        <v>4</v>
      </c>
      <c r="S609" s="32">
        <v>20.191400000000002</v>
      </c>
      <c r="T609" s="32">
        <v>16.3476</v>
      </c>
      <c r="U609" s="32">
        <v>1.217919124</v>
      </c>
      <c r="V609" s="32">
        <v>2</v>
      </c>
      <c r="W609" s="32">
        <v>0.90786999999999995</v>
      </c>
      <c r="X609" s="32">
        <v>0</v>
      </c>
      <c r="Y609" s="32">
        <v>0.7</v>
      </c>
      <c r="Z609" s="32">
        <v>0.93084100000000003</v>
      </c>
      <c r="AA609" s="32">
        <v>64</v>
      </c>
      <c r="AB609" s="32">
        <v>259</v>
      </c>
      <c r="AC609" s="32">
        <v>15</v>
      </c>
      <c r="AD609" s="32">
        <v>7</v>
      </c>
      <c r="AE609" s="32" t="s">
        <v>200</v>
      </c>
      <c r="AF609" s="32">
        <v>0</v>
      </c>
      <c r="AG609" s="32" t="s">
        <v>200</v>
      </c>
    </row>
    <row r="610" spans="1:33">
      <c r="A610" s="32" t="s">
        <v>2388</v>
      </c>
      <c r="B610" s="32" t="s">
        <v>75</v>
      </c>
      <c r="C610" s="32" t="s">
        <v>2389</v>
      </c>
      <c r="D610" s="32" t="s">
        <v>2390</v>
      </c>
      <c r="E610" s="32" t="s">
        <v>2375</v>
      </c>
      <c r="F610" s="32" t="s">
        <v>2376</v>
      </c>
      <c r="G610" s="32" t="s">
        <v>655</v>
      </c>
      <c r="H610" s="32" t="s">
        <v>656</v>
      </c>
      <c r="I610" s="32" t="s">
        <v>198</v>
      </c>
      <c r="J610" s="32" t="s">
        <v>199</v>
      </c>
      <c r="K610" s="32">
        <v>2.692348</v>
      </c>
      <c r="L610" s="33">
        <v>2711</v>
      </c>
      <c r="M610" s="32">
        <v>501</v>
      </c>
      <c r="N610" s="32">
        <v>527</v>
      </c>
      <c r="O610" s="33">
        <v>1132</v>
      </c>
      <c r="P610" s="32">
        <v>400</v>
      </c>
      <c r="Q610" s="32">
        <v>151</v>
      </c>
      <c r="R610" s="32">
        <v>4</v>
      </c>
      <c r="S610" s="32">
        <v>23.1752</v>
      </c>
      <c r="T610" s="32">
        <v>16.226099999999999</v>
      </c>
      <c r="U610" s="32">
        <v>0.95031245099999995</v>
      </c>
      <c r="V610" s="32">
        <v>2</v>
      </c>
      <c r="W610" s="32">
        <v>0.930871</v>
      </c>
      <c r="X610" s="32">
        <v>9.4399999999999998E-2</v>
      </c>
      <c r="Y610" s="32">
        <v>0.68324200000000002</v>
      </c>
      <c r="Z610" s="32">
        <v>0.983379</v>
      </c>
      <c r="AA610" s="32">
        <v>51.9</v>
      </c>
      <c r="AB610" s="32">
        <v>373</v>
      </c>
      <c r="AC610" s="32">
        <v>34</v>
      </c>
      <c r="AD610" s="32">
        <v>24</v>
      </c>
      <c r="AE610" s="32">
        <v>0</v>
      </c>
      <c r="AF610" s="32" t="s">
        <v>200</v>
      </c>
      <c r="AG610" s="32" t="s">
        <v>200</v>
      </c>
    </row>
    <row r="611" spans="1:33">
      <c r="A611" s="32" t="s">
        <v>2391</v>
      </c>
      <c r="B611" s="32" t="s">
        <v>75</v>
      </c>
      <c r="C611" s="32" t="s">
        <v>2392</v>
      </c>
      <c r="D611" s="32" t="s">
        <v>2393</v>
      </c>
      <c r="E611" s="32" t="s">
        <v>2375</v>
      </c>
      <c r="F611" s="32" t="s">
        <v>2376</v>
      </c>
      <c r="G611" s="32" t="s">
        <v>655</v>
      </c>
      <c r="H611" s="32" t="s">
        <v>656</v>
      </c>
      <c r="I611" s="32" t="s">
        <v>198</v>
      </c>
      <c r="J611" s="32" t="s">
        <v>199</v>
      </c>
      <c r="K611" s="32">
        <v>2.613245</v>
      </c>
      <c r="L611" s="33">
        <v>1736</v>
      </c>
      <c r="M611" s="32">
        <v>272</v>
      </c>
      <c r="N611" s="32">
        <v>365</v>
      </c>
      <c r="O611" s="32">
        <v>545</v>
      </c>
      <c r="P611" s="32">
        <v>374</v>
      </c>
      <c r="Q611" s="32">
        <v>180</v>
      </c>
      <c r="R611" s="32">
        <v>5</v>
      </c>
      <c r="S611" s="32">
        <v>25.290400000000002</v>
      </c>
      <c r="T611" s="32">
        <v>15.5707</v>
      </c>
      <c r="U611" s="32">
        <v>1.0561410760000001</v>
      </c>
      <c r="V611" s="32">
        <v>1</v>
      </c>
      <c r="W611" s="32">
        <v>0.94900700000000004</v>
      </c>
      <c r="X611" s="32">
        <v>7.3649000000000006E-2</v>
      </c>
      <c r="Y611" s="32">
        <v>0.60592100000000004</v>
      </c>
      <c r="Z611" s="32">
        <v>1</v>
      </c>
      <c r="AA611" s="32">
        <v>53.4</v>
      </c>
      <c r="AB611" s="32">
        <v>245</v>
      </c>
      <c r="AC611" s="32">
        <v>13</v>
      </c>
      <c r="AD611" s="32">
        <v>18</v>
      </c>
      <c r="AE611" s="32" t="s">
        <v>200</v>
      </c>
      <c r="AF611" s="32">
        <v>0</v>
      </c>
      <c r="AG611" s="32" t="s">
        <v>200</v>
      </c>
    </row>
    <row r="612" spans="1:33">
      <c r="A612" s="32" t="s">
        <v>2394</v>
      </c>
      <c r="B612" s="32" t="s">
        <v>75</v>
      </c>
      <c r="C612" s="32" t="s">
        <v>2395</v>
      </c>
      <c r="D612" s="32" t="s">
        <v>2396</v>
      </c>
      <c r="E612" s="32" t="s">
        <v>1285</v>
      </c>
      <c r="F612" s="32" t="s">
        <v>1286</v>
      </c>
      <c r="G612" s="32" t="s">
        <v>655</v>
      </c>
      <c r="H612" s="32" t="s">
        <v>656</v>
      </c>
      <c r="I612" s="32" t="s">
        <v>198</v>
      </c>
      <c r="J612" s="32" t="s">
        <v>199</v>
      </c>
      <c r="K612" s="32">
        <v>2.7840340000000001</v>
      </c>
      <c r="L612" s="33">
        <v>2378</v>
      </c>
      <c r="M612" s="32">
        <v>428</v>
      </c>
      <c r="N612" s="32">
        <v>595</v>
      </c>
      <c r="O612" s="32">
        <v>805</v>
      </c>
      <c r="P612" s="32">
        <v>437</v>
      </c>
      <c r="Q612" s="32">
        <v>113</v>
      </c>
      <c r="R612" s="32" t="s">
        <v>302</v>
      </c>
      <c r="S612" s="32">
        <v>40.798299999999998</v>
      </c>
      <c r="T612" s="32">
        <v>15.039</v>
      </c>
      <c r="U612" s="32">
        <v>0.82606292800000003</v>
      </c>
      <c r="V612" s="32">
        <v>2</v>
      </c>
      <c r="W612" s="32">
        <v>0.98445400000000005</v>
      </c>
      <c r="X612" s="32">
        <v>0.19203400000000001</v>
      </c>
      <c r="Y612" s="32">
        <v>0.6</v>
      </c>
      <c r="Z612" s="32">
        <v>1</v>
      </c>
      <c r="AA612" s="32">
        <v>45.2</v>
      </c>
      <c r="AB612" s="32">
        <v>255</v>
      </c>
      <c r="AC612" s="32">
        <v>19</v>
      </c>
      <c r="AD612" s="32">
        <v>27</v>
      </c>
      <c r="AE612" s="32">
        <v>0</v>
      </c>
      <c r="AF612" s="32" t="s">
        <v>200</v>
      </c>
      <c r="AG612" s="32" t="s">
        <v>200</v>
      </c>
    </row>
    <row r="613" spans="1:33">
      <c r="A613" s="32" t="s">
        <v>2397</v>
      </c>
      <c r="B613" s="32" t="s">
        <v>75</v>
      </c>
      <c r="C613" s="32" t="s">
        <v>2398</v>
      </c>
      <c r="D613" s="32" t="s">
        <v>2399</v>
      </c>
      <c r="E613" s="32" t="s">
        <v>2400</v>
      </c>
      <c r="F613" s="32" t="s">
        <v>2401</v>
      </c>
      <c r="G613" s="32" t="s">
        <v>655</v>
      </c>
      <c r="H613" s="32" t="s">
        <v>656</v>
      </c>
      <c r="I613" s="32" t="s">
        <v>198</v>
      </c>
      <c r="J613" s="32" t="s">
        <v>199</v>
      </c>
      <c r="K613" s="32">
        <v>2.6607449999999999</v>
      </c>
      <c r="L613" s="33">
        <v>1744</v>
      </c>
      <c r="M613" s="32">
        <v>683</v>
      </c>
      <c r="N613" s="32">
        <v>333</v>
      </c>
      <c r="O613" s="32">
        <v>365</v>
      </c>
      <c r="P613" s="32">
        <v>251</v>
      </c>
      <c r="Q613" s="32">
        <v>112</v>
      </c>
      <c r="R613" s="32">
        <v>3</v>
      </c>
      <c r="S613" s="32">
        <v>21.366</v>
      </c>
      <c r="T613" s="32">
        <v>6.6152199999999999</v>
      </c>
      <c r="U613" s="32">
        <v>0.775101174</v>
      </c>
      <c r="V613" s="32">
        <v>4</v>
      </c>
      <c r="W613" s="32">
        <v>0.9</v>
      </c>
      <c r="X613" s="32">
        <v>9.1013999999999998E-2</v>
      </c>
      <c r="Y613" s="32">
        <v>0.72737799999999997</v>
      </c>
      <c r="Z613" s="32">
        <v>0.94102600000000003</v>
      </c>
      <c r="AA613" s="32">
        <v>24.7</v>
      </c>
      <c r="AB613" s="32">
        <v>199</v>
      </c>
      <c r="AC613" s="32" t="s">
        <v>200</v>
      </c>
      <c r="AD613" s="32">
        <v>9</v>
      </c>
      <c r="AE613" s="32">
        <v>0</v>
      </c>
      <c r="AF613" s="32" t="s">
        <v>200</v>
      </c>
      <c r="AG613" s="32">
        <v>0</v>
      </c>
    </row>
    <row r="614" spans="1:33">
      <c r="A614" s="32" t="s">
        <v>2402</v>
      </c>
      <c r="B614" s="32" t="s">
        <v>75</v>
      </c>
      <c r="C614" s="32" t="s">
        <v>2403</v>
      </c>
      <c r="D614" s="32" t="s">
        <v>2404</v>
      </c>
      <c r="E614" s="32" t="s">
        <v>2347</v>
      </c>
      <c r="F614" s="32" t="s">
        <v>2348</v>
      </c>
      <c r="G614" s="32" t="s">
        <v>655</v>
      </c>
      <c r="H614" s="32" t="s">
        <v>656</v>
      </c>
      <c r="I614" s="32" t="s">
        <v>198</v>
      </c>
      <c r="J614" s="32" t="s">
        <v>199</v>
      </c>
      <c r="K614" s="32">
        <v>2.92</v>
      </c>
      <c r="L614" s="33">
        <v>1947</v>
      </c>
      <c r="M614" s="32">
        <v>720</v>
      </c>
      <c r="N614" s="32">
        <v>347</v>
      </c>
      <c r="O614" s="32">
        <v>400</v>
      </c>
      <c r="P614" s="32">
        <v>330</v>
      </c>
      <c r="Q614" s="32">
        <v>150</v>
      </c>
      <c r="R614" s="32">
        <v>5</v>
      </c>
      <c r="S614" s="32">
        <v>27.297999999999998</v>
      </c>
      <c r="T614" s="32">
        <v>12.484500000000001</v>
      </c>
      <c r="U614" s="32">
        <v>0.86798026299999997</v>
      </c>
      <c r="V614" s="32">
        <v>2</v>
      </c>
      <c r="W614" s="32">
        <v>0.90081599999999995</v>
      </c>
      <c r="X614" s="32">
        <v>0.30494300000000002</v>
      </c>
      <c r="Y614" s="32">
        <v>0.704511</v>
      </c>
      <c r="Z614" s="32">
        <v>1</v>
      </c>
      <c r="AA614" s="32">
        <v>40.299999999999997</v>
      </c>
      <c r="AB614" s="32">
        <v>216</v>
      </c>
      <c r="AC614" s="32">
        <v>12</v>
      </c>
      <c r="AD614" s="32">
        <v>10</v>
      </c>
      <c r="AE614" s="32" t="s">
        <v>200</v>
      </c>
      <c r="AF614" s="32">
        <v>0</v>
      </c>
      <c r="AG614" s="32" t="s">
        <v>200</v>
      </c>
    </row>
    <row r="615" spans="1:33">
      <c r="A615" s="32" t="s">
        <v>2405</v>
      </c>
      <c r="B615" s="32" t="s">
        <v>75</v>
      </c>
      <c r="C615" s="32" t="s">
        <v>2406</v>
      </c>
      <c r="D615" s="32" t="s">
        <v>2407</v>
      </c>
      <c r="E615" s="32" t="s">
        <v>2408</v>
      </c>
      <c r="F615" s="32" t="s">
        <v>2409</v>
      </c>
      <c r="G615" s="32" t="s">
        <v>655</v>
      </c>
      <c r="H615" s="32" t="s">
        <v>656</v>
      </c>
      <c r="I615" s="32" t="s">
        <v>198</v>
      </c>
      <c r="J615" s="32" t="s">
        <v>199</v>
      </c>
      <c r="K615" s="32">
        <v>2.687954</v>
      </c>
      <c r="L615" s="33">
        <v>1274</v>
      </c>
      <c r="M615" s="32">
        <v>262</v>
      </c>
      <c r="N615" s="32">
        <v>236</v>
      </c>
      <c r="O615" s="32">
        <v>415</v>
      </c>
      <c r="P615" s="32">
        <v>253</v>
      </c>
      <c r="Q615" s="32">
        <v>108</v>
      </c>
      <c r="R615" s="32">
        <v>4</v>
      </c>
      <c r="S615" s="32">
        <v>29.237500000000001</v>
      </c>
      <c r="T615" s="32">
        <v>8.2367600000000003</v>
      </c>
      <c r="U615" s="32">
        <v>0.78296111700000004</v>
      </c>
      <c r="V615" s="32">
        <v>3</v>
      </c>
      <c r="W615" s="32">
        <v>0.90818200000000004</v>
      </c>
      <c r="X615" s="32">
        <v>8.2697000000000007E-2</v>
      </c>
      <c r="Y615" s="32">
        <v>0.7</v>
      </c>
      <c r="Z615" s="32">
        <v>0.99685400000000002</v>
      </c>
      <c r="AA615" s="32">
        <v>30.8</v>
      </c>
      <c r="AB615" s="32">
        <v>217</v>
      </c>
      <c r="AC615" s="32">
        <v>25</v>
      </c>
      <c r="AD615" s="32">
        <v>15</v>
      </c>
      <c r="AE615" s="32">
        <v>0</v>
      </c>
      <c r="AF615" s="32">
        <v>0</v>
      </c>
      <c r="AG615" s="32" t="s">
        <v>200</v>
      </c>
    </row>
    <row r="616" spans="1:33">
      <c r="A616" s="32" t="s">
        <v>2410</v>
      </c>
      <c r="B616" s="32" t="s">
        <v>75</v>
      </c>
      <c r="C616" s="32" t="s">
        <v>2411</v>
      </c>
      <c r="D616" s="32" t="s">
        <v>2412</v>
      </c>
      <c r="E616" s="32" t="s">
        <v>1833</v>
      </c>
      <c r="F616" s="32" t="s">
        <v>1834</v>
      </c>
      <c r="G616" s="32" t="s">
        <v>655</v>
      </c>
      <c r="H616" s="32" t="s">
        <v>656</v>
      </c>
      <c r="I616" s="32" t="s">
        <v>198</v>
      </c>
      <c r="J616" s="32" t="s">
        <v>199</v>
      </c>
      <c r="K616" s="32">
        <v>2.9440719999999998</v>
      </c>
      <c r="L616" s="33">
        <v>2172</v>
      </c>
      <c r="M616" s="32">
        <v>892</v>
      </c>
      <c r="N616" s="32">
        <v>433</v>
      </c>
      <c r="O616" s="32">
        <v>443</v>
      </c>
      <c r="P616" s="32">
        <v>269</v>
      </c>
      <c r="Q616" s="32">
        <v>135</v>
      </c>
      <c r="R616" s="32">
        <v>5</v>
      </c>
      <c r="S616" s="32">
        <v>25.956</v>
      </c>
      <c r="T616" s="32">
        <v>19.8005</v>
      </c>
      <c r="U616" s="32">
        <v>0.68720594999999995</v>
      </c>
      <c r="V616" s="32">
        <v>3</v>
      </c>
      <c r="W616" s="32">
        <v>0.91340200000000005</v>
      </c>
      <c r="X616" s="32">
        <v>0.26412200000000002</v>
      </c>
      <c r="Y616" s="32">
        <v>0.8</v>
      </c>
      <c r="Z616" s="32">
        <v>0.97289000000000003</v>
      </c>
      <c r="AA616" s="32">
        <v>20.5</v>
      </c>
      <c r="AB616" s="32">
        <v>267</v>
      </c>
      <c r="AC616" s="32">
        <v>12</v>
      </c>
      <c r="AD616" s="32">
        <v>21</v>
      </c>
      <c r="AE616" s="32">
        <v>0</v>
      </c>
      <c r="AF616" s="32">
        <v>5</v>
      </c>
      <c r="AG616" s="32">
        <v>0</v>
      </c>
    </row>
    <row r="617" spans="1:33">
      <c r="A617" s="32" t="s">
        <v>2413</v>
      </c>
      <c r="B617" s="32" t="s">
        <v>75</v>
      </c>
      <c r="C617" s="32" t="s">
        <v>2414</v>
      </c>
      <c r="D617" s="32" t="s">
        <v>2415</v>
      </c>
      <c r="E617" s="32" t="s">
        <v>1833</v>
      </c>
      <c r="F617" s="32" t="s">
        <v>1834</v>
      </c>
      <c r="G617" s="32" t="s">
        <v>655</v>
      </c>
      <c r="H617" s="32" t="s">
        <v>656</v>
      </c>
      <c r="I617" s="32" t="s">
        <v>198</v>
      </c>
      <c r="J617" s="32" t="s">
        <v>199</v>
      </c>
      <c r="K617" s="32">
        <v>2.790286</v>
      </c>
      <c r="L617" s="33">
        <v>2283</v>
      </c>
      <c r="M617" s="32">
        <v>846</v>
      </c>
      <c r="N617" s="32">
        <v>397</v>
      </c>
      <c r="O617" s="32">
        <v>480</v>
      </c>
      <c r="P617" s="32">
        <v>335</v>
      </c>
      <c r="Q617" s="32">
        <v>225</v>
      </c>
      <c r="R617" s="32">
        <v>5</v>
      </c>
      <c r="S617" s="32">
        <v>28.168900000000001</v>
      </c>
      <c r="T617" s="32">
        <v>15.7796</v>
      </c>
      <c r="U617" s="32">
        <v>0.73738036200000001</v>
      </c>
      <c r="V617" s="32">
        <v>3</v>
      </c>
      <c r="W617" s="32">
        <v>0.90314300000000003</v>
      </c>
      <c r="X617" s="32">
        <v>0.14277500000000001</v>
      </c>
      <c r="Y617" s="32">
        <v>0.8</v>
      </c>
      <c r="Z617" s="32">
        <v>0.94085700000000005</v>
      </c>
      <c r="AA617" s="32">
        <v>32.1</v>
      </c>
      <c r="AB617" s="32">
        <v>259</v>
      </c>
      <c r="AC617" s="32">
        <v>10</v>
      </c>
      <c r="AD617" s="32">
        <v>10</v>
      </c>
      <c r="AE617" s="32">
        <v>0</v>
      </c>
      <c r="AF617" s="32">
        <v>12</v>
      </c>
      <c r="AG617" s="32" t="s">
        <v>200</v>
      </c>
    </row>
    <row r="618" spans="1:33">
      <c r="A618" s="32" t="s">
        <v>2416</v>
      </c>
      <c r="B618" s="32" t="s">
        <v>75</v>
      </c>
      <c r="C618" s="32" t="s">
        <v>2417</v>
      </c>
      <c r="D618" s="32" t="s">
        <v>2418</v>
      </c>
      <c r="E618" s="32" t="s">
        <v>2367</v>
      </c>
      <c r="F618" s="32" t="s">
        <v>2368</v>
      </c>
      <c r="G618" s="32" t="s">
        <v>655</v>
      </c>
      <c r="H618" s="32" t="s">
        <v>656</v>
      </c>
      <c r="I618" s="32" t="s">
        <v>198</v>
      </c>
      <c r="J618" s="32" t="s">
        <v>199</v>
      </c>
      <c r="K618" s="32">
        <v>2.5222769999999999</v>
      </c>
      <c r="L618" s="33">
        <v>1749</v>
      </c>
      <c r="M618" s="32">
        <v>249</v>
      </c>
      <c r="N618" s="32">
        <v>241</v>
      </c>
      <c r="O618" s="32">
        <v>470</v>
      </c>
      <c r="P618" s="32">
        <v>455</v>
      </c>
      <c r="Q618" s="32">
        <v>334</v>
      </c>
      <c r="R618" s="32">
        <v>3</v>
      </c>
      <c r="S618" s="32">
        <v>18.6694</v>
      </c>
      <c r="T618" s="32">
        <v>7.6549300000000002</v>
      </c>
      <c r="U618" s="32">
        <v>0.88705723400000003</v>
      </c>
      <c r="V618" s="32">
        <v>3</v>
      </c>
      <c r="W618" s="32">
        <v>0.917327</v>
      </c>
      <c r="X618" s="32">
        <v>0</v>
      </c>
      <c r="Y618" s="32">
        <v>0.7</v>
      </c>
      <c r="Z618" s="32">
        <v>0.90443300000000004</v>
      </c>
      <c r="AA618" s="32">
        <v>32</v>
      </c>
      <c r="AB618" s="32">
        <v>373</v>
      </c>
      <c r="AC618" s="32">
        <v>16</v>
      </c>
      <c r="AD618" s="32">
        <v>13</v>
      </c>
      <c r="AE618" s="32">
        <v>0</v>
      </c>
      <c r="AF618" s="32">
        <v>0</v>
      </c>
      <c r="AG618" s="32">
        <v>0</v>
      </c>
    </row>
    <row r="619" spans="1:33">
      <c r="A619" s="32" t="s">
        <v>2419</v>
      </c>
      <c r="B619" s="32" t="s">
        <v>75</v>
      </c>
      <c r="C619" s="32" t="s">
        <v>2420</v>
      </c>
      <c r="D619" s="32" t="s">
        <v>2421</v>
      </c>
      <c r="E619" s="32" t="s">
        <v>2408</v>
      </c>
      <c r="F619" s="32" t="s">
        <v>2409</v>
      </c>
      <c r="G619" s="32" t="s">
        <v>655</v>
      </c>
      <c r="H619" s="32" t="s">
        <v>656</v>
      </c>
      <c r="I619" s="32" t="s">
        <v>198</v>
      </c>
      <c r="J619" s="32" t="s">
        <v>199</v>
      </c>
      <c r="K619" s="32">
        <v>2.6417869999999999</v>
      </c>
      <c r="L619" s="33">
        <v>1859</v>
      </c>
      <c r="M619" s="32">
        <v>399</v>
      </c>
      <c r="N619" s="32">
        <v>302</v>
      </c>
      <c r="O619" s="32">
        <v>575</v>
      </c>
      <c r="P619" s="32">
        <v>387</v>
      </c>
      <c r="Q619" s="32">
        <v>196</v>
      </c>
      <c r="R619" s="32">
        <v>4</v>
      </c>
      <c r="S619" s="32">
        <v>27.705500000000001</v>
      </c>
      <c r="T619" s="32">
        <v>13.7484</v>
      </c>
      <c r="U619" s="32">
        <v>0.64627903399999997</v>
      </c>
      <c r="V619" s="32">
        <v>6</v>
      </c>
      <c r="W619" s="32">
        <v>0.91873199999999999</v>
      </c>
      <c r="X619" s="32">
        <v>3.6782000000000002E-2</v>
      </c>
      <c r="Y619" s="32">
        <v>0.7</v>
      </c>
      <c r="Z619" s="32">
        <v>0.97716800000000004</v>
      </c>
      <c r="AA619" s="32">
        <v>22.7</v>
      </c>
      <c r="AB619" s="32">
        <v>397</v>
      </c>
      <c r="AC619" s="32">
        <v>45</v>
      </c>
      <c r="AD619" s="32">
        <v>24</v>
      </c>
      <c r="AE619" s="32">
        <v>0</v>
      </c>
      <c r="AF619" s="32" t="s">
        <v>200</v>
      </c>
      <c r="AG619" s="32">
        <v>0</v>
      </c>
    </row>
    <row r="620" spans="1:33">
      <c r="A620" s="32" t="s">
        <v>2422</v>
      </c>
      <c r="B620" s="32" t="s">
        <v>75</v>
      </c>
      <c r="C620" s="32" t="s">
        <v>2423</v>
      </c>
      <c r="D620" s="32" t="s">
        <v>2424</v>
      </c>
      <c r="E620" s="32" t="s">
        <v>2362</v>
      </c>
      <c r="F620" s="32" t="s">
        <v>2363</v>
      </c>
      <c r="G620" s="32" t="s">
        <v>655</v>
      </c>
      <c r="H620" s="32" t="s">
        <v>656</v>
      </c>
      <c r="I620" s="32" t="s">
        <v>198</v>
      </c>
      <c r="J620" s="32" t="s">
        <v>199</v>
      </c>
      <c r="K620" s="32">
        <v>2.7389939999999999</v>
      </c>
      <c r="L620" s="33">
        <v>2069</v>
      </c>
      <c r="M620" s="32">
        <v>272</v>
      </c>
      <c r="N620" s="32">
        <v>346</v>
      </c>
      <c r="O620" s="32">
        <v>767</v>
      </c>
      <c r="P620" s="32">
        <v>467</v>
      </c>
      <c r="Q620" s="32">
        <v>217</v>
      </c>
      <c r="R620" s="32">
        <v>4</v>
      </c>
      <c r="S620" s="32">
        <v>23.982700000000001</v>
      </c>
      <c r="T620" s="32">
        <v>12.8139</v>
      </c>
      <c r="U620" s="32">
        <v>0.90756402999999997</v>
      </c>
      <c r="V620" s="32">
        <v>3</v>
      </c>
      <c r="W620" s="32">
        <v>0.91289299999999995</v>
      </c>
      <c r="X620" s="32">
        <v>0.12523999999999999</v>
      </c>
      <c r="Y620" s="32">
        <v>0.7</v>
      </c>
      <c r="Z620" s="32">
        <v>0.97476600000000002</v>
      </c>
      <c r="AA620" s="32">
        <v>48.9</v>
      </c>
      <c r="AB620" s="32">
        <v>324</v>
      </c>
      <c r="AC620" s="32">
        <v>24</v>
      </c>
      <c r="AD620" s="32">
        <v>25</v>
      </c>
      <c r="AE620" s="32">
        <v>0</v>
      </c>
      <c r="AF620" s="32" t="s">
        <v>200</v>
      </c>
      <c r="AG620" s="32" t="s">
        <v>200</v>
      </c>
    </row>
    <row r="621" spans="1:33">
      <c r="A621" s="32" t="s">
        <v>2425</v>
      </c>
      <c r="B621" s="32" t="s">
        <v>75</v>
      </c>
      <c r="C621" s="32" t="s">
        <v>2426</v>
      </c>
      <c r="D621" s="32" t="s">
        <v>2427</v>
      </c>
      <c r="E621" s="32" t="s">
        <v>2408</v>
      </c>
      <c r="F621" s="32" t="s">
        <v>2409</v>
      </c>
      <c r="G621" s="32" t="s">
        <v>655</v>
      </c>
      <c r="H621" s="32" t="s">
        <v>656</v>
      </c>
      <c r="I621" s="32" t="s">
        <v>198</v>
      </c>
      <c r="J621" s="32" t="s">
        <v>199</v>
      </c>
      <c r="K621" s="32">
        <v>2.8276919999999999</v>
      </c>
      <c r="L621" s="33">
        <v>1710</v>
      </c>
      <c r="M621" s="32">
        <v>205</v>
      </c>
      <c r="N621" s="32">
        <v>332</v>
      </c>
      <c r="O621" s="32">
        <v>642</v>
      </c>
      <c r="P621" s="32">
        <v>337</v>
      </c>
      <c r="Q621" s="32">
        <v>194</v>
      </c>
      <c r="R621" s="32" t="s">
        <v>302</v>
      </c>
      <c r="S621" s="32">
        <v>32.902000000000001</v>
      </c>
      <c r="T621" s="32">
        <v>22.6052</v>
      </c>
      <c r="U621" s="32">
        <v>0.76187729900000001</v>
      </c>
      <c r="V621" s="32">
        <v>3</v>
      </c>
      <c r="W621" s="32">
        <v>0.93753799999999998</v>
      </c>
      <c r="X621" s="32">
        <v>0.19761200000000001</v>
      </c>
      <c r="Y621" s="32">
        <v>0.7</v>
      </c>
      <c r="Z621" s="32">
        <v>1</v>
      </c>
      <c r="AA621" s="32">
        <v>37</v>
      </c>
      <c r="AB621" s="32">
        <v>299</v>
      </c>
      <c r="AC621" s="32">
        <v>17</v>
      </c>
      <c r="AD621" s="32">
        <v>32</v>
      </c>
      <c r="AE621" s="32">
        <v>0</v>
      </c>
      <c r="AF621" s="32">
        <v>0</v>
      </c>
      <c r="AG621" s="32" t="s">
        <v>200</v>
      </c>
    </row>
    <row r="622" spans="1:33">
      <c r="A622" s="32" t="s">
        <v>2428</v>
      </c>
      <c r="B622" s="32" t="s">
        <v>75</v>
      </c>
      <c r="C622" s="32" t="s">
        <v>2429</v>
      </c>
      <c r="D622" s="32" t="s">
        <v>2430</v>
      </c>
      <c r="E622" s="32" t="s">
        <v>2408</v>
      </c>
      <c r="F622" s="32" t="s">
        <v>2409</v>
      </c>
      <c r="G622" s="32" t="s">
        <v>655</v>
      </c>
      <c r="H622" s="32" t="s">
        <v>656</v>
      </c>
      <c r="I622" s="32" t="s">
        <v>198</v>
      </c>
      <c r="J622" s="32" t="s">
        <v>199</v>
      </c>
      <c r="K622" s="32">
        <v>2.8896099999999998</v>
      </c>
      <c r="L622" s="33">
        <v>1747</v>
      </c>
      <c r="M622" s="32">
        <v>225</v>
      </c>
      <c r="N622" s="32">
        <v>397</v>
      </c>
      <c r="O622" s="32">
        <v>606</v>
      </c>
      <c r="P622" s="32">
        <v>391</v>
      </c>
      <c r="Q622" s="32">
        <v>128</v>
      </c>
      <c r="R622" s="32">
        <v>5</v>
      </c>
      <c r="S622" s="32">
        <v>26.077100000000002</v>
      </c>
      <c r="T622" s="32">
        <v>15.603400000000001</v>
      </c>
      <c r="U622" s="32">
        <v>0.66008318300000002</v>
      </c>
      <c r="V622" s="32">
        <v>3</v>
      </c>
      <c r="W622" s="32">
        <v>0.93181800000000004</v>
      </c>
      <c r="X622" s="32">
        <v>0.268571</v>
      </c>
      <c r="Y622" s="32">
        <v>0.7</v>
      </c>
      <c r="Z622" s="32">
        <v>1</v>
      </c>
      <c r="AA622" s="32">
        <v>43.6</v>
      </c>
      <c r="AB622" s="32">
        <v>287</v>
      </c>
      <c r="AC622" s="32">
        <v>21</v>
      </c>
      <c r="AD622" s="32">
        <v>30</v>
      </c>
      <c r="AE622" s="32">
        <v>0</v>
      </c>
      <c r="AF622" s="32">
        <v>0</v>
      </c>
      <c r="AG622" s="32">
        <v>0</v>
      </c>
    </row>
    <row r="623" spans="1:33">
      <c r="A623" s="32" t="s">
        <v>2431</v>
      </c>
      <c r="B623" s="32" t="s">
        <v>75</v>
      </c>
      <c r="C623" s="32" t="s">
        <v>2432</v>
      </c>
      <c r="D623" s="32" t="s">
        <v>2433</v>
      </c>
      <c r="E623" s="32" t="s">
        <v>2362</v>
      </c>
      <c r="F623" s="32" t="s">
        <v>2363</v>
      </c>
      <c r="G623" s="32" t="s">
        <v>655</v>
      </c>
      <c r="H623" s="32" t="s">
        <v>656</v>
      </c>
      <c r="I623" s="32" t="s">
        <v>198</v>
      </c>
      <c r="J623" s="32" t="s">
        <v>199</v>
      </c>
      <c r="K623" s="32">
        <v>2.6498520000000001</v>
      </c>
      <c r="L623" s="33">
        <v>2553</v>
      </c>
      <c r="M623" s="32">
        <v>492</v>
      </c>
      <c r="N623" s="32">
        <v>462</v>
      </c>
      <c r="O623" s="32">
        <v>931</v>
      </c>
      <c r="P623" s="32">
        <v>505</v>
      </c>
      <c r="Q623" s="32">
        <v>163</v>
      </c>
      <c r="R623" s="32">
        <v>4</v>
      </c>
      <c r="S623" s="32">
        <v>18.473099999999999</v>
      </c>
      <c r="T623" s="32">
        <v>13.885199999999999</v>
      </c>
      <c r="U623" s="32">
        <v>0.89694529599999995</v>
      </c>
      <c r="V623" s="32">
        <v>3</v>
      </c>
      <c r="W623" s="32">
        <v>0.91268400000000005</v>
      </c>
      <c r="X623" s="32">
        <v>5.2786E-2</v>
      </c>
      <c r="Y623" s="32">
        <v>0.7</v>
      </c>
      <c r="Z623" s="32">
        <v>1</v>
      </c>
      <c r="AA623" s="32">
        <v>46.9</v>
      </c>
      <c r="AB623" s="32">
        <v>321</v>
      </c>
      <c r="AC623" s="32">
        <v>27</v>
      </c>
      <c r="AD623" s="32">
        <v>25</v>
      </c>
      <c r="AE623" s="32">
        <v>0</v>
      </c>
      <c r="AF623" s="32">
        <v>0</v>
      </c>
      <c r="AG623" s="32" t="s">
        <v>200</v>
      </c>
    </row>
    <row r="624" spans="1:33">
      <c r="A624" s="32" t="s">
        <v>2434</v>
      </c>
      <c r="B624" s="32" t="s">
        <v>75</v>
      </c>
      <c r="C624" s="32" t="s">
        <v>2435</v>
      </c>
      <c r="D624" s="32" t="s">
        <v>2436</v>
      </c>
      <c r="E624" s="32" t="s">
        <v>2362</v>
      </c>
      <c r="F624" s="32" t="s">
        <v>2363</v>
      </c>
      <c r="G624" s="32" t="s">
        <v>655</v>
      </c>
      <c r="H624" s="32" t="s">
        <v>656</v>
      </c>
      <c r="I624" s="32" t="s">
        <v>198</v>
      </c>
      <c r="J624" s="32" t="s">
        <v>199</v>
      </c>
      <c r="K624" s="32">
        <v>2.7164950000000001</v>
      </c>
      <c r="L624" s="33">
        <v>1995</v>
      </c>
      <c r="M624" s="32">
        <v>305</v>
      </c>
      <c r="N624" s="32">
        <v>354</v>
      </c>
      <c r="O624" s="32">
        <v>843</v>
      </c>
      <c r="P624" s="32">
        <v>359</v>
      </c>
      <c r="Q624" s="32">
        <v>134</v>
      </c>
      <c r="R624" s="32">
        <v>4</v>
      </c>
      <c r="S624" s="32">
        <v>24.970099999999999</v>
      </c>
      <c r="T624" s="32">
        <v>10.642099999999999</v>
      </c>
      <c r="U624" s="32">
        <v>0.82133131299999995</v>
      </c>
      <c r="V624" s="32">
        <v>3</v>
      </c>
      <c r="W624" s="32">
        <v>0.90996600000000005</v>
      </c>
      <c r="X624" s="32">
        <v>0.101767</v>
      </c>
      <c r="Y624" s="32">
        <v>0.7</v>
      </c>
      <c r="Z624" s="32">
        <v>0.99790199999999996</v>
      </c>
      <c r="AA624" s="32">
        <v>40.700000000000003</v>
      </c>
      <c r="AB624" s="32">
        <v>318</v>
      </c>
      <c r="AC624" s="32">
        <v>21</v>
      </c>
      <c r="AD624" s="32">
        <v>18</v>
      </c>
      <c r="AE624" s="32">
        <v>0</v>
      </c>
      <c r="AF624" s="32" t="s">
        <v>200</v>
      </c>
      <c r="AG624" s="32" t="s">
        <v>200</v>
      </c>
    </row>
    <row r="625" spans="1:33">
      <c r="A625" s="32" t="s">
        <v>2437</v>
      </c>
      <c r="B625" s="32" t="s">
        <v>75</v>
      </c>
      <c r="C625" s="32" t="s">
        <v>2438</v>
      </c>
      <c r="D625" s="32" t="s">
        <v>2439</v>
      </c>
      <c r="E625" s="32" t="s">
        <v>2362</v>
      </c>
      <c r="F625" s="32" t="s">
        <v>2363</v>
      </c>
      <c r="G625" s="32" t="s">
        <v>655</v>
      </c>
      <c r="H625" s="32" t="s">
        <v>656</v>
      </c>
      <c r="I625" s="32" t="s">
        <v>198</v>
      </c>
      <c r="J625" s="32" t="s">
        <v>199</v>
      </c>
      <c r="K625" s="32">
        <v>2.676444</v>
      </c>
      <c r="L625" s="33">
        <v>1252</v>
      </c>
      <c r="M625" s="32">
        <v>165</v>
      </c>
      <c r="N625" s="32">
        <v>239</v>
      </c>
      <c r="O625" s="32">
        <v>446</v>
      </c>
      <c r="P625" s="32">
        <v>308</v>
      </c>
      <c r="Q625" s="32">
        <v>94</v>
      </c>
      <c r="R625" s="32">
        <v>4</v>
      </c>
      <c r="S625" s="32">
        <v>24.851900000000001</v>
      </c>
      <c r="T625" s="32">
        <v>15.0091</v>
      </c>
      <c r="U625" s="32">
        <v>0.69245302500000006</v>
      </c>
      <c r="V625" s="32">
        <v>5</v>
      </c>
      <c r="W625" s="32">
        <v>0.90177799999999997</v>
      </c>
      <c r="X625" s="32">
        <v>5.8181999999999998E-2</v>
      </c>
      <c r="Y625" s="32">
        <v>0.7</v>
      </c>
      <c r="Z625" s="32">
        <v>1</v>
      </c>
      <c r="AA625" s="32">
        <v>36.299999999999997</v>
      </c>
      <c r="AB625" s="32">
        <v>233</v>
      </c>
      <c r="AC625" s="32">
        <v>15</v>
      </c>
      <c r="AD625" s="32">
        <v>15</v>
      </c>
      <c r="AE625" s="32">
        <v>0</v>
      </c>
      <c r="AF625" s="32" t="s">
        <v>200</v>
      </c>
      <c r="AG625" s="32" t="s">
        <v>200</v>
      </c>
    </row>
    <row r="626" spans="1:33">
      <c r="A626" s="32" t="s">
        <v>2440</v>
      </c>
      <c r="B626" s="32" t="s">
        <v>75</v>
      </c>
      <c r="C626" s="32" t="s">
        <v>2441</v>
      </c>
      <c r="D626" s="32" t="s">
        <v>2442</v>
      </c>
      <c r="E626" s="32" t="s">
        <v>2443</v>
      </c>
      <c r="F626" s="32" t="s">
        <v>2444</v>
      </c>
      <c r="G626" s="32" t="s">
        <v>497</v>
      </c>
      <c r="H626" s="32" t="s">
        <v>498</v>
      </c>
      <c r="I626" s="32" t="s">
        <v>198</v>
      </c>
      <c r="J626" s="32" t="s">
        <v>199</v>
      </c>
      <c r="K626" s="32">
        <v>2.82443</v>
      </c>
      <c r="L626" s="33">
        <v>1933</v>
      </c>
      <c r="M626" s="32">
        <v>434</v>
      </c>
      <c r="N626" s="32">
        <v>516</v>
      </c>
      <c r="O626" s="32">
        <v>492</v>
      </c>
      <c r="P626" s="32">
        <v>346</v>
      </c>
      <c r="Q626" s="32">
        <v>145</v>
      </c>
      <c r="R626" s="32" t="s">
        <v>302</v>
      </c>
      <c r="S626" s="32">
        <v>34.278799999999997</v>
      </c>
      <c r="T626" s="32">
        <v>11.965</v>
      </c>
      <c r="U626" s="32">
        <v>1.078109008</v>
      </c>
      <c r="V626" s="32">
        <v>2</v>
      </c>
      <c r="W626" s="32">
        <v>0.92312700000000003</v>
      </c>
      <c r="X626" s="32">
        <v>0.189744</v>
      </c>
      <c r="Y626" s="32">
        <v>0.7</v>
      </c>
      <c r="Z626" s="32">
        <v>1</v>
      </c>
      <c r="AA626" s="32">
        <v>51.9</v>
      </c>
      <c r="AB626" s="32">
        <v>246</v>
      </c>
      <c r="AC626" s="32">
        <v>29</v>
      </c>
      <c r="AD626" s="32">
        <v>16</v>
      </c>
      <c r="AE626" s="32">
        <v>0</v>
      </c>
      <c r="AF626" s="32" t="s">
        <v>200</v>
      </c>
      <c r="AG626" s="32" t="s">
        <v>200</v>
      </c>
    </row>
    <row r="627" spans="1:33">
      <c r="A627" s="32" t="s">
        <v>2445</v>
      </c>
      <c r="B627" s="32" t="s">
        <v>75</v>
      </c>
      <c r="C627" s="32" t="s">
        <v>2446</v>
      </c>
      <c r="D627" s="32" t="s">
        <v>2447</v>
      </c>
      <c r="E627" s="32" t="s">
        <v>2448</v>
      </c>
      <c r="F627" s="32" t="s">
        <v>2449</v>
      </c>
      <c r="G627" s="32" t="s">
        <v>300</v>
      </c>
      <c r="H627" s="32" t="s">
        <v>301</v>
      </c>
      <c r="I627" s="32" t="s">
        <v>198</v>
      </c>
      <c r="J627" s="32" t="s">
        <v>199</v>
      </c>
      <c r="K627" s="32">
        <v>2.6759689999999998</v>
      </c>
      <c r="L627" s="33">
        <v>1879</v>
      </c>
      <c r="M627" s="32">
        <v>406</v>
      </c>
      <c r="N627" s="32">
        <v>428</v>
      </c>
      <c r="O627" s="32">
        <v>534</v>
      </c>
      <c r="P627" s="32">
        <v>361</v>
      </c>
      <c r="Q627" s="32">
        <v>150</v>
      </c>
      <c r="R627" s="32" t="s">
        <v>302</v>
      </c>
      <c r="S627" s="32">
        <v>41.843499999999999</v>
      </c>
      <c r="T627" s="32">
        <v>18.9758</v>
      </c>
      <c r="U627" s="32">
        <v>1.0694330510000001</v>
      </c>
      <c r="V627" s="32">
        <v>2</v>
      </c>
      <c r="W627" s="32">
        <v>0.99302299999999999</v>
      </c>
      <c r="X627" s="32">
        <v>0.105882</v>
      </c>
      <c r="Y627" s="32">
        <v>0.6</v>
      </c>
      <c r="Z627" s="32">
        <v>1</v>
      </c>
      <c r="AA627" s="32">
        <v>47.9</v>
      </c>
      <c r="AB627" s="32">
        <v>235</v>
      </c>
      <c r="AC627" s="32">
        <v>25</v>
      </c>
      <c r="AD627" s="32">
        <v>6</v>
      </c>
      <c r="AE627" s="32">
        <v>0</v>
      </c>
      <c r="AF627" s="32">
        <v>0</v>
      </c>
      <c r="AG627" s="32" t="s">
        <v>200</v>
      </c>
    </row>
    <row r="628" spans="1:33">
      <c r="A628" s="32" t="s">
        <v>2450</v>
      </c>
      <c r="B628" s="32" t="s">
        <v>75</v>
      </c>
      <c r="C628" s="32" t="s">
        <v>2451</v>
      </c>
      <c r="D628" s="32" t="s">
        <v>2452</v>
      </c>
      <c r="E628" s="32" t="s">
        <v>2448</v>
      </c>
      <c r="F628" s="32" t="s">
        <v>2449</v>
      </c>
      <c r="G628" s="32" t="s">
        <v>300</v>
      </c>
      <c r="H628" s="32" t="s">
        <v>301</v>
      </c>
      <c r="I628" s="32" t="s">
        <v>198</v>
      </c>
      <c r="J628" s="32" t="s">
        <v>199</v>
      </c>
      <c r="K628" s="32">
        <v>2.801031</v>
      </c>
      <c r="L628" s="33">
        <v>1737</v>
      </c>
      <c r="M628" s="32">
        <v>365</v>
      </c>
      <c r="N628" s="32">
        <v>366</v>
      </c>
      <c r="O628" s="32">
        <v>497</v>
      </c>
      <c r="P628" s="32">
        <v>369</v>
      </c>
      <c r="Q628" s="32">
        <v>140</v>
      </c>
      <c r="R628" s="32">
        <v>4</v>
      </c>
      <c r="S628" s="32">
        <v>24.1158</v>
      </c>
      <c r="T628" s="32">
        <v>12.6395</v>
      </c>
      <c r="U628" s="32">
        <v>1.035360592</v>
      </c>
      <c r="V628" s="32">
        <v>2</v>
      </c>
      <c r="W628" s="32">
        <v>0.98762899999999998</v>
      </c>
      <c r="X628" s="32">
        <v>0.28410299999999999</v>
      </c>
      <c r="Y628" s="32">
        <v>0.6</v>
      </c>
      <c r="Z628" s="32">
        <v>1</v>
      </c>
      <c r="AA628" s="32">
        <v>56.1</v>
      </c>
      <c r="AB628" s="32">
        <v>191</v>
      </c>
      <c r="AC628" s="32">
        <v>20</v>
      </c>
      <c r="AD628" s="32">
        <v>13</v>
      </c>
      <c r="AE628" s="32" t="s">
        <v>200</v>
      </c>
      <c r="AF628" s="32">
        <v>0</v>
      </c>
      <c r="AG628" s="32" t="s">
        <v>200</v>
      </c>
    </row>
    <row r="629" spans="1:33">
      <c r="A629" s="32" t="s">
        <v>2453</v>
      </c>
      <c r="B629" s="32" t="s">
        <v>75</v>
      </c>
      <c r="C629" s="32" t="s">
        <v>2454</v>
      </c>
      <c r="D629" s="32" t="s">
        <v>2455</v>
      </c>
      <c r="E629" s="32" t="s">
        <v>2352</v>
      </c>
      <c r="F629" s="32" t="s">
        <v>2353</v>
      </c>
      <c r="G629" s="32" t="s">
        <v>655</v>
      </c>
      <c r="H629" s="32" t="s">
        <v>656</v>
      </c>
      <c r="I629" s="32" t="s">
        <v>198</v>
      </c>
      <c r="J629" s="32" t="s">
        <v>199</v>
      </c>
      <c r="K629" s="32">
        <v>2.5349729999999999</v>
      </c>
      <c r="L629" s="33">
        <v>1091</v>
      </c>
      <c r="M629" s="32">
        <v>171</v>
      </c>
      <c r="N629" s="32">
        <v>210</v>
      </c>
      <c r="O629" s="32">
        <v>354</v>
      </c>
      <c r="P629" s="32">
        <v>220</v>
      </c>
      <c r="Q629" s="32">
        <v>136</v>
      </c>
      <c r="R629" s="32">
        <v>4</v>
      </c>
      <c r="S629" s="32">
        <v>22.017900000000001</v>
      </c>
      <c r="T629" s="32">
        <v>14.2342</v>
      </c>
      <c r="U629" s="32">
        <v>1.1124564180000001</v>
      </c>
      <c r="V629" s="32">
        <v>2</v>
      </c>
      <c r="W629" s="32">
        <v>0.912022</v>
      </c>
      <c r="X629" s="32">
        <v>0</v>
      </c>
      <c r="Y629" s="32">
        <v>0.7</v>
      </c>
      <c r="Z629" s="32">
        <v>0.92245999999999995</v>
      </c>
      <c r="AA629" s="32">
        <v>54.5</v>
      </c>
      <c r="AB629" s="32">
        <v>167</v>
      </c>
      <c r="AC629" s="32">
        <v>5</v>
      </c>
      <c r="AD629" s="32">
        <v>7</v>
      </c>
      <c r="AE629" s="32">
        <v>0</v>
      </c>
      <c r="AF629" s="32" t="s">
        <v>200</v>
      </c>
      <c r="AG629" s="32">
        <v>0</v>
      </c>
    </row>
    <row r="630" spans="1:33">
      <c r="A630" s="32" t="s">
        <v>2456</v>
      </c>
      <c r="B630" s="32" t="s">
        <v>75</v>
      </c>
      <c r="C630" s="32" t="s">
        <v>2457</v>
      </c>
      <c r="D630" s="32" t="s">
        <v>2458</v>
      </c>
      <c r="E630" s="32" t="s">
        <v>2352</v>
      </c>
      <c r="F630" s="32" t="s">
        <v>2353</v>
      </c>
      <c r="G630" s="32" t="s">
        <v>655</v>
      </c>
      <c r="H630" s="32" t="s">
        <v>656</v>
      </c>
      <c r="I630" s="32" t="s">
        <v>198</v>
      </c>
      <c r="J630" s="32" t="s">
        <v>199</v>
      </c>
      <c r="K630" s="32">
        <v>2.8490199999999999</v>
      </c>
      <c r="L630" s="33">
        <v>1416</v>
      </c>
      <c r="M630" s="32">
        <v>133</v>
      </c>
      <c r="N630" s="32">
        <v>419</v>
      </c>
      <c r="O630" s="32">
        <v>638</v>
      </c>
      <c r="P630" s="32">
        <v>165</v>
      </c>
      <c r="Q630" s="32">
        <v>61</v>
      </c>
      <c r="R630" s="32" t="s">
        <v>302</v>
      </c>
      <c r="S630" s="32">
        <v>37.306199999999997</v>
      </c>
      <c r="T630" s="32">
        <v>20.919499999999999</v>
      </c>
      <c r="U630" s="32">
        <v>0.77330071600000005</v>
      </c>
      <c r="V630" s="32">
        <v>2</v>
      </c>
      <c r="W630" s="32">
        <v>0.93660100000000002</v>
      </c>
      <c r="X630" s="32">
        <v>0.21107500000000001</v>
      </c>
      <c r="Y630" s="32">
        <v>0.7</v>
      </c>
      <c r="Z630" s="32">
        <v>1</v>
      </c>
      <c r="AA630" s="32">
        <v>43</v>
      </c>
      <c r="AB630" s="32">
        <v>158</v>
      </c>
      <c r="AC630" s="32">
        <v>13</v>
      </c>
      <c r="AD630" s="32">
        <v>54</v>
      </c>
      <c r="AE630" s="32">
        <v>8</v>
      </c>
      <c r="AF630" s="32">
        <v>0</v>
      </c>
      <c r="AG630" s="32" t="s">
        <v>200</v>
      </c>
    </row>
    <row r="631" spans="1:33">
      <c r="A631" s="32" t="s">
        <v>2459</v>
      </c>
      <c r="B631" s="32" t="s">
        <v>75</v>
      </c>
      <c r="C631" s="32" t="s">
        <v>2460</v>
      </c>
      <c r="D631" s="32" t="s">
        <v>2461</v>
      </c>
      <c r="E631" s="32" t="s">
        <v>2352</v>
      </c>
      <c r="F631" s="32" t="s">
        <v>2353</v>
      </c>
      <c r="G631" s="32" t="s">
        <v>655</v>
      </c>
      <c r="H631" s="32" t="s">
        <v>656</v>
      </c>
      <c r="I631" s="32" t="s">
        <v>198</v>
      </c>
      <c r="J631" s="32" t="s">
        <v>199</v>
      </c>
      <c r="K631" s="32">
        <v>2.8547060000000002</v>
      </c>
      <c r="L631" s="33">
        <v>3127</v>
      </c>
      <c r="M631" s="32">
        <v>305</v>
      </c>
      <c r="N631" s="32">
        <v>850</v>
      </c>
      <c r="O631" s="33">
        <v>1510</v>
      </c>
      <c r="P631" s="32">
        <v>316</v>
      </c>
      <c r="Q631" s="32">
        <v>146</v>
      </c>
      <c r="R631" s="32" t="s">
        <v>302</v>
      </c>
      <c r="S631" s="32">
        <v>40.531399999999998</v>
      </c>
      <c r="T631" s="32">
        <v>25.764399999999998</v>
      </c>
      <c r="U631" s="32">
        <v>0.81631038600000005</v>
      </c>
      <c r="V631" s="32">
        <v>3</v>
      </c>
      <c r="W631" s="32">
        <v>0.94647099999999995</v>
      </c>
      <c r="X631" s="32">
        <v>0.23145399999999999</v>
      </c>
      <c r="Y631" s="32">
        <v>0.7</v>
      </c>
      <c r="Z631" s="32">
        <v>1</v>
      </c>
      <c r="AA631" s="32">
        <v>39</v>
      </c>
      <c r="AB631" s="32">
        <v>190</v>
      </c>
      <c r="AC631" s="32">
        <v>30</v>
      </c>
      <c r="AD631" s="32">
        <v>13</v>
      </c>
      <c r="AE631" s="32">
        <v>0</v>
      </c>
      <c r="AF631" s="32">
        <v>0</v>
      </c>
      <c r="AG631" s="32" t="s">
        <v>200</v>
      </c>
    </row>
    <row r="632" spans="1:33">
      <c r="A632" s="32" t="s">
        <v>1324</v>
      </c>
      <c r="B632" s="32" t="s">
        <v>75</v>
      </c>
      <c r="C632" s="32" t="s">
        <v>1325</v>
      </c>
      <c r="D632" s="32" t="s">
        <v>1326</v>
      </c>
      <c r="E632" s="32" t="s">
        <v>1285</v>
      </c>
      <c r="F632" s="32" t="s">
        <v>1286</v>
      </c>
      <c r="G632" s="32" t="s">
        <v>655</v>
      </c>
      <c r="H632" s="32" t="s">
        <v>656</v>
      </c>
      <c r="I632" s="32" t="s">
        <v>198</v>
      </c>
      <c r="J632" s="32" t="s">
        <v>199</v>
      </c>
      <c r="K632" s="32">
        <v>2.9576190000000002</v>
      </c>
      <c r="L632" s="33">
        <v>1742</v>
      </c>
      <c r="M632" s="32">
        <v>100</v>
      </c>
      <c r="N632" s="32">
        <v>715</v>
      </c>
      <c r="O632" s="32">
        <v>742</v>
      </c>
      <c r="P632" s="32">
        <v>141</v>
      </c>
      <c r="Q632" s="32">
        <v>44</v>
      </c>
      <c r="R632" s="32" t="s">
        <v>302</v>
      </c>
      <c r="S632" s="32">
        <v>45.213999999999999</v>
      </c>
      <c r="T632" s="32">
        <v>27.811800000000002</v>
      </c>
      <c r="U632" s="32">
        <v>0.64083785999999998</v>
      </c>
      <c r="V632" s="32">
        <v>3</v>
      </c>
      <c r="W632" s="32">
        <v>1</v>
      </c>
      <c r="X632" s="32">
        <v>0.35518899999999998</v>
      </c>
      <c r="Y632" s="32">
        <v>0.60189599999999999</v>
      </c>
      <c r="Z632" s="32">
        <v>1</v>
      </c>
      <c r="AA632" s="32">
        <v>28.8</v>
      </c>
      <c r="AB632" s="32">
        <v>146</v>
      </c>
      <c r="AC632" s="32">
        <v>19</v>
      </c>
      <c r="AD632" s="32">
        <v>23</v>
      </c>
      <c r="AE632" s="32" t="s">
        <v>200</v>
      </c>
      <c r="AF632" s="32">
        <v>0</v>
      </c>
      <c r="AG632" s="32">
        <v>0</v>
      </c>
    </row>
    <row r="633" spans="1:33">
      <c r="A633" s="32" t="s">
        <v>2462</v>
      </c>
      <c r="B633" s="32" t="s">
        <v>75</v>
      </c>
      <c r="C633" s="32" t="s">
        <v>2463</v>
      </c>
      <c r="D633" s="32" t="s">
        <v>2464</v>
      </c>
      <c r="E633" s="32" t="s">
        <v>2352</v>
      </c>
      <c r="F633" s="32" t="s">
        <v>2353</v>
      </c>
      <c r="G633" s="32" t="s">
        <v>655</v>
      </c>
      <c r="H633" s="32" t="s">
        <v>656</v>
      </c>
      <c r="I633" s="32" t="s">
        <v>198</v>
      </c>
      <c r="J633" s="32" t="s">
        <v>199</v>
      </c>
      <c r="K633" s="32">
        <v>2.729841</v>
      </c>
      <c r="L633" s="33">
        <v>1383</v>
      </c>
      <c r="M633" s="32">
        <v>143</v>
      </c>
      <c r="N633" s="32">
        <v>334</v>
      </c>
      <c r="O633" s="32">
        <v>539</v>
      </c>
      <c r="P633" s="32">
        <v>246</v>
      </c>
      <c r="Q633" s="32">
        <v>121</v>
      </c>
      <c r="R633" s="32">
        <v>5</v>
      </c>
      <c r="S633" s="32">
        <v>31.6004</v>
      </c>
      <c r="T633" s="32">
        <v>15.716100000000001</v>
      </c>
      <c r="U633" s="32">
        <v>0.94216679599999997</v>
      </c>
      <c r="V633" s="32">
        <v>3</v>
      </c>
      <c r="W633" s="32">
        <v>0.93587299999999995</v>
      </c>
      <c r="X633" s="32">
        <v>0.127331</v>
      </c>
      <c r="Y633" s="32">
        <v>0.7</v>
      </c>
      <c r="Z633" s="32">
        <v>0.99460300000000001</v>
      </c>
      <c r="AA633" s="32">
        <v>46</v>
      </c>
      <c r="AB633" s="32">
        <v>193</v>
      </c>
      <c r="AC633" s="32">
        <v>14</v>
      </c>
      <c r="AD633" s="32">
        <v>22</v>
      </c>
      <c r="AE633" s="32">
        <v>0</v>
      </c>
      <c r="AF633" s="32" t="s">
        <v>200</v>
      </c>
      <c r="AG633" s="32">
        <v>0</v>
      </c>
    </row>
    <row r="634" spans="1:33">
      <c r="A634" s="32" t="s">
        <v>2465</v>
      </c>
      <c r="B634" s="32" t="s">
        <v>131</v>
      </c>
      <c r="C634" s="32" t="s">
        <v>2466</v>
      </c>
      <c r="D634" s="32" t="s">
        <v>2467</v>
      </c>
      <c r="E634" s="32" t="s">
        <v>2468</v>
      </c>
      <c r="F634" s="32" t="s">
        <v>2469</v>
      </c>
      <c r="G634" s="32" t="s">
        <v>2164</v>
      </c>
      <c r="H634" s="32" t="s">
        <v>2165</v>
      </c>
      <c r="I634" s="32" t="s">
        <v>198</v>
      </c>
      <c r="J634" s="32" t="s">
        <v>199</v>
      </c>
      <c r="K634" s="32">
        <v>2.3794930000000001</v>
      </c>
      <c r="L634" s="33">
        <v>1919</v>
      </c>
      <c r="M634" s="32">
        <v>407</v>
      </c>
      <c r="N634" s="32">
        <v>357</v>
      </c>
      <c r="O634" s="32">
        <v>546</v>
      </c>
      <c r="P634" s="32">
        <v>432</v>
      </c>
      <c r="Q634" s="32">
        <v>177</v>
      </c>
      <c r="R634" s="32">
        <v>2</v>
      </c>
      <c r="S634" s="32">
        <v>12.2471</v>
      </c>
      <c r="T634" s="32">
        <v>0</v>
      </c>
      <c r="U634" s="32">
        <v>0.87689252100000004</v>
      </c>
      <c r="V634" s="32">
        <v>4</v>
      </c>
      <c r="W634" s="32">
        <v>0.906393</v>
      </c>
      <c r="X634" s="32">
        <v>0.26386599999999999</v>
      </c>
      <c r="Y634" s="32">
        <v>0.7</v>
      </c>
      <c r="Z634" s="32">
        <v>0.52249100000000004</v>
      </c>
      <c r="AA634" s="32">
        <v>38.299999999999997</v>
      </c>
      <c r="AB634" s="32">
        <v>581</v>
      </c>
      <c r="AC634" s="32">
        <v>20</v>
      </c>
      <c r="AD634" s="32">
        <v>38</v>
      </c>
      <c r="AE634" s="32">
        <v>0</v>
      </c>
      <c r="AF634" s="32" t="s">
        <v>200</v>
      </c>
      <c r="AG634" s="32" t="s">
        <v>200</v>
      </c>
    </row>
    <row r="635" spans="1:33">
      <c r="A635" s="32" t="s">
        <v>2470</v>
      </c>
      <c r="B635" s="32" t="s">
        <v>131</v>
      </c>
      <c r="C635" s="32" t="s">
        <v>2471</v>
      </c>
      <c r="D635" s="32" t="s">
        <v>2472</v>
      </c>
      <c r="E635" s="32" t="s">
        <v>2468</v>
      </c>
      <c r="F635" s="32" t="s">
        <v>2469</v>
      </c>
      <c r="G635" s="32" t="s">
        <v>2164</v>
      </c>
      <c r="H635" s="32" t="s">
        <v>2165</v>
      </c>
      <c r="I635" s="32" t="s">
        <v>198</v>
      </c>
      <c r="J635" s="32" t="s">
        <v>199</v>
      </c>
      <c r="K635" s="32">
        <v>2.109375</v>
      </c>
      <c r="L635" s="33">
        <v>1659</v>
      </c>
      <c r="M635" s="32">
        <v>334</v>
      </c>
      <c r="N635" s="32">
        <v>260</v>
      </c>
      <c r="O635" s="32">
        <v>399</v>
      </c>
      <c r="P635" s="32">
        <v>448</v>
      </c>
      <c r="Q635" s="32">
        <v>218</v>
      </c>
      <c r="R635" s="32">
        <v>2</v>
      </c>
      <c r="S635" s="32">
        <v>12.110300000000001</v>
      </c>
      <c r="T635" s="32">
        <v>1.83867</v>
      </c>
      <c r="U635" s="32">
        <v>1.100096988</v>
      </c>
      <c r="V635" s="32">
        <v>3</v>
      </c>
      <c r="W635" s="32">
        <v>0.91217099999999995</v>
      </c>
      <c r="X635" s="32">
        <v>0.13858799999999999</v>
      </c>
      <c r="Y635" s="32">
        <v>0.7</v>
      </c>
      <c r="Z635" s="32">
        <v>0.37898199999999999</v>
      </c>
      <c r="AA635" s="32">
        <v>36.700000000000003</v>
      </c>
      <c r="AB635" s="32">
        <v>553</v>
      </c>
      <c r="AC635" s="32">
        <v>19</v>
      </c>
      <c r="AD635" s="32">
        <v>36</v>
      </c>
      <c r="AE635" s="32">
        <v>0</v>
      </c>
      <c r="AF635" s="32">
        <v>0</v>
      </c>
      <c r="AG635" s="32">
        <v>7</v>
      </c>
    </row>
    <row r="636" spans="1:33">
      <c r="A636" s="32" t="s">
        <v>2473</v>
      </c>
      <c r="B636" s="32" t="s">
        <v>131</v>
      </c>
      <c r="C636" s="32" t="s">
        <v>2474</v>
      </c>
      <c r="D636" s="32" t="s">
        <v>2475</v>
      </c>
      <c r="E636" s="32" t="s">
        <v>2476</v>
      </c>
      <c r="F636" s="32" t="s">
        <v>2477</v>
      </c>
      <c r="G636" s="32" t="s">
        <v>2164</v>
      </c>
      <c r="H636" s="32" t="s">
        <v>2165</v>
      </c>
      <c r="I636" s="32" t="s">
        <v>198</v>
      </c>
      <c r="J636" s="32" t="s">
        <v>199</v>
      </c>
      <c r="K636" s="32">
        <v>1.992075</v>
      </c>
      <c r="L636" s="33">
        <v>1775</v>
      </c>
      <c r="M636" s="32">
        <v>418</v>
      </c>
      <c r="N636" s="32">
        <v>285</v>
      </c>
      <c r="O636" s="32">
        <v>428</v>
      </c>
      <c r="P636" s="32">
        <v>462</v>
      </c>
      <c r="Q636" s="32">
        <v>182</v>
      </c>
      <c r="R636" s="32">
        <v>2</v>
      </c>
      <c r="S636" s="32">
        <v>10.917400000000001</v>
      </c>
      <c r="T636" s="32">
        <v>7.1782399999999997</v>
      </c>
      <c r="U636" s="32">
        <v>1.023815959</v>
      </c>
      <c r="V636" s="32">
        <v>4</v>
      </c>
      <c r="W636" s="32">
        <v>0.90326300000000004</v>
      </c>
      <c r="X636" s="32">
        <v>6.9141999999999995E-2</v>
      </c>
      <c r="Y636" s="32">
        <v>0.7</v>
      </c>
      <c r="Z636" s="32">
        <v>0.34545500000000001</v>
      </c>
      <c r="AA636" s="32">
        <v>56</v>
      </c>
      <c r="AB636" s="32">
        <v>506</v>
      </c>
      <c r="AC636" s="32">
        <v>22</v>
      </c>
      <c r="AD636" s="32">
        <v>37</v>
      </c>
      <c r="AE636" s="32">
        <v>0</v>
      </c>
      <c r="AF636" s="32" t="s">
        <v>200</v>
      </c>
      <c r="AG636" s="32" t="s">
        <v>200</v>
      </c>
    </row>
    <row r="637" spans="1:33">
      <c r="A637" s="32" t="s">
        <v>2478</v>
      </c>
      <c r="B637" s="32" t="s">
        <v>131</v>
      </c>
      <c r="C637" s="32" t="s">
        <v>2479</v>
      </c>
      <c r="D637" s="32" t="s">
        <v>2480</v>
      </c>
      <c r="E637" s="32" t="s">
        <v>2476</v>
      </c>
      <c r="F637" s="32" t="s">
        <v>2477</v>
      </c>
      <c r="G637" s="32" t="s">
        <v>2164</v>
      </c>
      <c r="H637" s="32" t="s">
        <v>2165</v>
      </c>
      <c r="I637" s="32" t="s">
        <v>198</v>
      </c>
      <c r="J637" s="32" t="s">
        <v>199</v>
      </c>
      <c r="K637" s="32">
        <v>2.0882809999999998</v>
      </c>
      <c r="L637" s="33">
        <v>1799</v>
      </c>
      <c r="M637" s="32">
        <v>290</v>
      </c>
      <c r="N637" s="32">
        <v>282</v>
      </c>
      <c r="O637" s="32">
        <v>546</v>
      </c>
      <c r="P637" s="32">
        <v>471</v>
      </c>
      <c r="Q637" s="32">
        <v>210</v>
      </c>
      <c r="R637" s="32">
        <v>2</v>
      </c>
      <c r="S637" s="32">
        <v>10.6966</v>
      </c>
      <c r="T637" s="32">
        <v>6.4383499999999998</v>
      </c>
      <c r="U637" s="32">
        <v>1.0555542440000001</v>
      </c>
      <c r="V637" s="32">
        <v>4</v>
      </c>
      <c r="W637" s="32">
        <v>0.90722700000000001</v>
      </c>
      <c r="X637" s="32">
        <v>5.7588E-2</v>
      </c>
      <c r="Y637" s="32">
        <v>0.7</v>
      </c>
      <c r="Z637" s="32">
        <v>0.43313800000000002</v>
      </c>
      <c r="AA637" s="32">
        <v>52.7</v>
      </c>
      <c r="AB637" s="32">
        <v>446</v>
      </c>
      <c r="AC637" s="32">
        <v>13</v>
      </c>
      <c r="AD637" s="32">
        <v>32</v>
      </c>
      <c r="AE637" s="32" t="s">
        <v>200</v>
      </c>
      <c r="AF637" s="32">
        <v>0</v>
      </c>
      <c r="AG637" s="32" t="s">
        <v>200</v>
      </c>
    </row>
    <row r="638" spans="1:33">
      <c r="A638" s="32" t="s">
        <v>2481</v>
      </c>
      <c r="B638" s="32" t="s">
        <v>131</v>
      </c>
      <c r="C638" s="32" t="s">
        <v>2482</v>
      </c>
      <c r="D638" s="32" t="s">
        <v>2483</v>
      </c>
      <c r="E638" s="32" t="s">
        <v>2484</v>
      </c>
      <c r="F638" s="32" t="s">
        <v>2485</v>
      </c>
      <c r="G638" s="32" t="s">
        <v>2164</v>
      </c>
      <c r="H638" s="32" t="s">
        <v>2165</v>
      </c>
      <c r="I638" s="32" t="s">
        <v>198</v>
      </c>
      <c r="J638" s="32" t="s">
        <v>199</v>
      </c>
      <c r="K638" s="32">
        <v>2.1531709999999999</v>
      </c>
      <c r="L638" s="33">
        <v>1834</v>
      </c>
      <c r="M638" s="32">
        <v>459</v>
      </c>
      <c r="N638" s="32">
        <v>275</v>
      </c>
      <c r="O638" s="32">
        <v>549</v>
      </c>
      <c r="P638" s="32">
        <v>408</v>
      </c>
      <c r="Q638" s="32">
        <v>143</v>
      </c>
      <c r="R638" s="32">
        <v>4</v>
      </c>
      <c r="S638" s="32">
        <v>30.730899999999998</v>
      </c>
      <c r="T638" s="32">
        <v>11.5442</v>
      </c>
      <c r="U638" s="32">
        <v>1.288119748</v>
      </c>
      <c r="V638" s="32">
        <v>2</v>
      </c>
      <c r="W638" s="32">
        <v>0.906829</v>
      </c>
      <c r="X638" s="32">
        <v>0.13187299999999999</v>
      </c>
      <c r="Y638" s="32">
        <v>0.67125599999999996</v>
      </c>
      <c r="Z638" s="32">
        <v>0.45599000000000001</v>
      </c>
      <c r="AA638" s="32">
        <v>62.8</v>
      </c>
      <c r="AB638" s="32">
        <v>376</v>
      </c>
      <c r="AC638" s="32">
        <v>14</v>
      </c>
      <c r="AD638" s="32">
        <v>38</v>
      </c>
      <c r="AE638" s="32" t="s">
        <v>200</v>
      </c>
      <c r="AF638" s="32" t="s">
        <v>200</v>
      </c>
      <c r="AG638" s="32" t="s">
        <v>200</v>
      </c>
    </row>
    <row r="639" spans="1:33">
      <c r="A639" s="32" t="s">
        <v>2486</v>
      </c>
      <c r="B639" s="32" t="s">
        <v>131</v>
      </c>
      <c r="C639" s="32" t="s">
        <v>2487</v>
      </c>
      <c r="D639" s="32" t="s">
        <v>2488</v>
      </c>
      <c r="E639" s="32" t="s">
        <v>2484</v>
      </c>
      <c r="F639" s="32" t="s">
        <v>2485</v>
      </c>
      <c r="G639" s="32" t="s">
        <v>2164</v>
      </c>
      <c r="H639" s="32" t="s">
        <v>2165</v>
      </c>
      <c r="I639" s="32" t="s">
        <v>198</v>
      </c>
      <c r="J639" s="32" t="s">
        <v>199</v>
      </c>
      <c r="K639" s="32">
        <v>2.252618</v>
      </c>
      <c r="L639" s="33">
        <v>1998</v>
      </c>
      <c r="M639" s="32">
        <v>455</v>
      </c>
      <c r="N639" s="32">
        <v>323</v>
      </c>
      <c r="O639" s="32">
        <v>508</v>
      </c>
      <c r="P639" s="32">
        <v>495</v>
      </c>
      <c r="Q639" s="32">
        <v>217</v>
      </c>
      <c r="R639" s="32">
        <v>5</v>
      </c>
      <c r="S639" s="32">
        <v>30.582699999999999</v>
      </c>
      <c r="T639" s="32">
        <v>8.8207299999999993</v>
      </c>
      <c r="U639" s="32">
        <v>1.071344109</v>
      </c>
      <c r="V639" s="32">
        <v>3</v>
      </c>
      <c r="W639" s="32">
        <v>0.91047400000000001</v>
      </c>
      <c r="X639" s="32">
        <v>0.19147900000000001</v>
      </c>
      <c r="Y639" s="32">
        <v>0.7</v>
      </c>
      <c r="Z639" s="32">
        <v>0.46898299999999998</v>
      </c>
      <c r="AA639" s="32">
        <v>63.4</v>
      </c>
      <c r="AB639" s="32">
        <v>345</v>
      </c>
      <c r="AC639" s="32">
        <v>14</v>
      </c>
      <c r="AD639" s="32">
        <v>39</v>
      </c>
      <c r="AE639" s="32" t="s">
        <v>200</v>
      </c>
      <c r="AF639" s="32" t="s">
        <v>200</v>
      </c>
      <c r="AG639" s="32" t="s">
        <v>200</v>
      </c>
    </row>
    <row r="640" spans="1:33">
      <c r="A640" s="32" t="s">
        <v>2489</v>
      </c>
      <c r="B640" s="32" t="s">
        <v>131</v>
      </c>
      <c r="C640" s="32" t="s">
        <v>2490</v>
      </c>
      <c r="D640" s="32" t="s">
        <v>2491</v>
      </c>
      <c r="E640" s="32" t="s">
        <v>2484</v>
      </c>
      <c r="F640" s="32" t="s">
        <v>2485</v>
      </c>
      <c r="G640" s="32" t="s">
        <v>2164</v>
      </c>
      <c r="H640" s="32" t="s">
        <v>2165</v>
      </c>
      <c r="I640" s="32" t="s">
        <v>198</v>
      </c>
      <c r="J640" s="32" t="s">
        <v>199</v>
      </c>
      <c r="K640" s="32">
        <v>2.083272</v>
      </c>
      <c r="L640" s="33">
        <v>1362</v>
      </c>
      <c r="M640" s="32">
        <v>278</v>
      </c>
      <c r="N640" s="32">
        <v>229</v>
      </c>
      <c r="O640" s="32">
        <v>374</v>
      </c>
      <c r="P640" s="32">
        <v>385</v>
      </c>
      <c r="Q640" s="32">
        <v>96</v>
      </c>
      <c r="R640" s="32">
        <v>2</v>
      </c>
      <c r="S640" s="32">
        <v>11.769</v>
      </c>
      <c r="T640" s="32">
        <v>2.31792</v>
      </c>
      <c r="U640" s="32">
        <v>1.2394278240000001</v>
      </c>
      <c r="V640" s="32">
        <v>2</v>
      </c>
      <c r="W640" s="32">
        <v>0.90073499999999995</v>
      </c>
      <c r="X640" s="32">
        <v>8.9376999999999998E-2</v>
      </c>
      <c r="Y640" s="32">
        <v>0.698905</v>
      </c>
      <c r="Z640" s="32">
        <v>0.39560400000000001</v>
      </c>
      <c r="AA640" s="32">
        <v>61.7</v>
      </c>
      <c r="AB640" s="32">
        <v>378</v>
      </c>
      <c r="AC640" s="32">
        <v>18</v>
      </c>
      <c r="AD640" s="32">
        <v>28</v>
      </c>
      <c r="AE640" s="32">
        <v>0</v>
      </c>
      <c r="AF640" s="32">
        <v>0</v>
      </c>
      <c r="AG640" s="32">
        <v>0</v>
      </c>
    </row>
    <row r="641" spans="1:33">
      <c r="A641" s="32" t="s">
        <v>2492</v>
      </c>
      <c r="B641" s="32" t="s">
        <v>131</v>
      </c>
      <c r="C641" s="32" t="s">
        <v>2493</v>
      </c>
      <c r="D641" s="32" t="s">
        <v>2494</v>
      </c>
      <c r="E641" s="32" t="s">
        <v>2495</v>
      </c>
      <c r="F641" s="32" t="s">
        <v>2496</v>
      </c>
      <c r="G641" s="32" t="s">
        <v>2164</v>
      </c>
      <c r="H641" s="32" t="s">
        <v>2165</v>
      </c>
      <c r="I641" s="32" t="s">
        <v>198</v>
      </c>
      <c r="J641" s="32" t="s">
        <v>199</v>
      </c>
      <c r="K641" s="32">
        <v>2.3055759999999998</v>
      </c>
      <c r="L641" s="33">
        <v>1896</v>
      </c>
      <c r="M641" s="32">
        <v>434</v>
      </c>
      <c r="N641" s="32">
        <v>312</v>
      </c>
      <c r="O641" s="32">
        <v>500</v>
      </c>
      <c r="P641" s="32">
        <v>484</v>
      </c>
      <c r="Q641" s="32">
        <v>166</v>
      </c>
      <c r="R641" s="32">
        <v>3</v>
      </c>
      <c r="S641" s="32">
        <v>14.1076</v>
      </c>
      <c r="T641" s="32">
        <v>7.4285300000000003</v>
      </c>
      <c r="U641" s="32">
        <v>0.99320235800000001</v>
      </c>
      <c r="V641" s="32">
        <v>3</v>
      </c>
      <c r="W641" s="32">
        <v>0.90233799999999997</v>
      </c>
      <c r="X641" s="32">
        <v>0.19783400000000001</v>
      </c>
      <c r="Y641" s="32">
        <v>0.7</v>
      </c>
      <c r="Z641" s="32">
        <v>0.49220999999999998</v>
      </c>
      <c r="AA641" s="32">
        <v>49.9</v>
      </c>
      <c r="AB641" s="32">
        <v>488</v>
      </c>
      <c r="AC641" s="32">
        <v>35</v>
      </c>
      <c r="AD641" s="32">
        <v>67</v>
      </c>
      <c r="AE641" s="32" t="s">
        <v>200</v>
      </c>
      <c r="AF641" s="32">
        <v>0</v>
      </c>
      <c r="AG641" s="32" t="s">
        <v>200</v>
      </c>
    </row>
    <row r="642" spans="1:33">
      <c r="A642" s="32" t="s">
        <v>2497</v>
      </c>
      <c r="B642" s="32" t="s">
        <v>131</v>
      </c>
      <c r="C642" s="32" t="s">
        <v>2498</v>
      </c>
      <c r="D642" s="32" t="s">
        <v>2499</v>
      </c>
      <c r="E642" s="32" t="s">
        <v>2500</v>
      </c>
      <c r="F642" s="32" t="s">
        <v>2501</v>
      </c>
      <c r="G642" s="32" t="s">
        <v>2164</v>
      </c>
      <c r="H642" s="32" t="s">
        <v>2165</v>
      </c>
      <c r="I642" s="32" t="s">
        <v>198</v>
      </c>
      <c r="J642" s="32" t="s">
        <v>199</v>
      </c>
      <c r="K642" s="32">
        <v>2.4740609999999998</v>
      </c>
      <c r="L642" s="33">
        <v>1824</v>
      </c>
      <c r="M642" s="32">
        <v>467</v>
      </c>
      <c r="N642" s="32">
        <v>230</v>
      </c>
      <c r="O642" s="32">
        <v>507</v>
      </c>
      <c r="P642" s="32">
        <v>416</v>
      </c>
      <c r="Q642" s="32">
        <v>204</v>
      </c>
      <c r="R642" s="32">
        <v>2</v>
      </c>
      <c r="S642" s="32">
        <v>13.185600000000001</v>
      </c>
      <c r="T642" s="32">
        <v>4.38619</v>
      </c>
      <c r="U642" s="32">
        <v>0.90010764899999995</v>
      </c>
      <c r="V642" s="32">
        <v>3</v>
      </c>
      <c r="W642" s="32">
        <v>0.90716699999999995</v>
      </c>
      <c r="X642" s="32">
        <v>0.36785099999999998</v>
      </c>
      <c r="Y642" s="32">
        <v>0.7</v>
      </c>
      <c r="Z642" s="32">
        <v>0.47819400000000001</v>
      </c>
      <c r="AA642" s="32">
        <v>48.7</v>
      </c>
      <c r="AB642" s="32">
        <v>559</v>
      </c>
      <c r="AC642" s="32">
        <v>24</v>
      </c>
      <c r="AD642" s="32">
        <v>28</v>
      </c>
      <c r="AE642" s="32">
        <v>0</v>
      </c>
      <c r="AF642" s="32" t="s">
        <v>200</v>
      </c>
      <c r="AG642" s="32" t="s">
        <v>200</v>
      </c>
    </row>
    <row r="643" spans="1:33">
      <c r="A643" s="32" t="s">
        <v>2502</v>
      </c>
      <c r="B643" s="32" t="s">
        <v>131</v>
      </c>
      <c r="C643" s="32" t="s">
        <v>2503</v>
      </c>
      <c r="D643" s="32" t="s">
        <v>2504</v>
      </c>
      <c r="E643" s="32" t="s">
        <v>2500</v>
      </c>
      <c r="F643" s="32" t="s">
        <v>2501</v>
      </c>
      <c r="G643" s="32" t="s">
        <v>2164</v>
      </c>
      <c r="H643" s="32" t="s">
        <v>2165</v>
      </c>
      <c r="I643" s="32" t="s">
        <v>198</v>
      </c>
      <c r="J643" s="32" t="s">
        <v>199</v>
      </c>
      <c r="K643" s="32">
        <v>2.3585039999999999</v>
      </c>
      <c r="L643" s="33">
        <v>1613</v>
      </c>
      <c r="M643" s="32">
        <v>317</v>
      </c>
      <c r="N643" s="32">
        <v>216</v>
      </c>
      <c r="O643" s="32">
        <v>387</v>
      </c>
      <c r="P643" s="32">
        <v>452</v>
      </c>
      <c r="Q643" s="32">
        <v>241</v>
      </c>
      <c r="R643" s="32">
        <v>2</v>
      </c>
      <c r="S643" s="32">
        <v>12.936999999999999</v>
      </c>
      <c r="T643" s="32">
        <v>4.0242699999999996</v>
      </c>
      <c r="U643" s="32">
        <v>0.75330637300000003</v>
      </c>
      <c r="V643" s="32">
        <v>6</v>
      </c>
      <c r="W643" s="32">
        <v>0.90122899999999995</v>
      </c>
      <c r="X643" s="32">
        <v>0.246673</v>
      </c>
      <c r="Y643" s="32">
        <v>0.7</v>
      </c>
      <c r="Z643" s="32">
        <v>0.51081600000000005</v>
      </c>
      <c r="AA643" s="32">
        <v>32.700000000000003</v>
      </c>
      <c r="AB643" s="32">
        <v>493</v>
      </c>
      <c r="AC643" s="32">
        <v>13</v>
      </c>
      <c r="AD643" s="32">
        <v>43</v>
      </c>
      <c r="AE643" s="32" t="s">
        <v>200</v>
      </c>
      <c r="AF643" s="32">
        <v>0</v>
      </c>
      <c r="AG643" s="32" t="s">
        <v>200</v>
      </c>
    </row>
    <row r="644" spans="1:33">
      <c r="A644" s="32" t="s">
        <v>2505</v>
      </c>
      <c r="B644" s="32" t="s">
        <v>131</v>
      </c>
      <c r="C644" s="32" t="s">
        <v>2506</v>
      </c>
      <c r="D644" s="32" t="s">
        <v>2507</v>
      </c>
      <c r="E644" s="32" t="s">
        <v>2495</v>
      </c>
      <c r="F644" s="32" t="s">
        <v>2496</v>
      </c>
      <c r="G644" s="32" t="s">
        <v>2164</v>
      </c>
      <c r="H644" s="32" t="s">
        <v>2165</v>
      </c>
      <c r="I644" s="32" t="s">
        <v>198</v>
      </c>
      <c r="J644" s="32" t="s">
        <v>199</v>
      </c>
      <c r="K644" s="32">
        <v>2.079907</v>
      </c>
      <c r="L644" s="33">
        <v>1842</v>
      </c>
      <c r="M644" s="32">
        <v>337</v>
      </c>
      <c r="N644" s="32">
        <v>303</v>
      </c>
      <c r="O644" s="32">
        <v>577</v>
      </c>
      <c r="P644" s="32">
        <v>452</v>
      </c>
      <c r="Q644" s="32">
        <v>173</v>
      </c>
      <c r="R644" s="32">
        <v>2</v>
      </c>
      <c r="S644" s="32">
        <v>11.589600000000001</v>
      </c>
      <c r="T644" s="32">
        <v>2.7818000000000001</v>
      </c>
      <c r="U644" s="32">
        <v>0.99167100799999996</v>
      </c>
      <c r="V644" s="32">
        <v>4</v>
      </c>
      <c r="W644" s="32">
        <v>0.90303699999999998</v>
      </c>
      <c r="X644" s="32">
        <v>5.4975999999999997E-2</v>
      </c>
      <c r="Y644" s="32">
        <v>0.69506999999999997</v>
      </c>
      <c r="Z644" s="32">
        <v>0.40985899999999997</v>
      </c>
      <c r="AA644" s="32">
        <v>51.1</v>
      </c>
      <c r="AB644" s="32">
        <v>438</v>
      </c>
      <c r="AC644" s="32">
        <v>20</v>
      </c>
      <c r="AD644" s="32">
        <v>18</v>
      </c>
      <c r="AE644" s="32">
        <v>0</v>
      </c>
      <c r="AF644" s="32">
        <v>0</v>
      </c>
      <c r="AG644" s="32" t="s">
        <v>200</v>
      </c>
    </row>
    <row r="645" spans="1:33">
      <c r="A645" s="32" t="s">
        <v>2285</v>
      </c>
      <c r="B645" s="32" t="s">
        <v>131</v>
      </c>
      <c r="C645" s="32" t="s">
        <v>2286</v>
      </c>
      <c r="D645" s="32" t="s">
        <v>2287</v>
      </c>
      <c r="E645" s="32" t="s">
        <v>2278</v>
      </c>
      <c r="F645" s="32" t="s">
        <v>2279</v>
      </c>
      <c r="G645" s="32" t="s">
        <v>2077</v>
      </c>
      <c r="H645" s="32" t="s">
        <v>2078</v>
      </c>
      <c r="I645" s="32" t="s">
        <v>198</v>
      </c>
      <c r="J645" s="32" t="s">
        <v>199</v>
      </c>
      <c r="K645" s="32">
        <v>2.3660239999999999</v>
      </c>
      <c r="L645" s="33">
        <v>1477</v>
      </c>
      <c r="M645" s="32">
        <v>283</v>
      </c>
      <c r="N645" s="32">
        <v>259</v>
      </c>
      <c r="O645" s="32">
        <v>305</v>
      </c>
      <c r="P645" s="32">
        <v>367</v>
      </c>
      <c r="Q645" s="32">
        <v>263</v>
      </c>
      <c r="R645" s="32">
        <v>2</v>
      </c>
      <c r="S645" s="32">
        <v>11.502800000000001</v>
      </c>
      <c r="T645" s="32">
        <v>2.6467499999999999</v>
      </c>
      <c r="U645" s="32">
        <v>0.83150925499999995</v>
      </c>
      <c r="V645" s="32">
        <v>5</v>
      </c>
      <c r="W645" s="32">
        <v>0.90817300000000001</v>
      </c>
      <c r="X645" s="32">
        <v>0.26405099999999998</v>
      </c>
      <c r="Y645" s="32">
        <v>0.64571900000000004</v>
      </c>
      <c r="Z645" s="32">
        <v>0.53897499999999998</v>
      </c>
      <c r="AA645" s="32">
        <v>36.799999999999997</v>
      </c>
      <c r="AB645" s="32">
        <v>624</v>
      </c>
      <c r="AC645" s="32">
        <v>35</v>
      </c>
      <c r="AD645" s="32">
        <v>30</v>
      </c>
      <c r="AE645" s="32" t="s">
        <v>200</v>
      </c>
      <c r="AF645" s="32" t="s">
        <v>200</v>
      </c>
      <c r="AG645" s="32">
        <v>14</v>
      </c>
    </row>
    <row r="646" spans="1:33">
      <c r="A646" s="32" t="s">
        <v>2508</v>
      </c>
      <c r="B646" s="32" t="s">
        <v>131</v>
      </c>
      <c r="C646" s="32" t="s">
        <v>2509</v>
      </c>
      <c r="D646" s="32" t="s">
        <v>2510</v>
      </c>
      <c r="E646" s="32" t="s">
        <v>2291</v>
      </c>
      <c r="F646" s="32" t="s">
        <v>2292</v>
      </c>
      <c r="G646" s="32" t="s">
        <v>2077</v>
      </c>
      <c r="H646" s="32" t="s">
        <v>2078</v>
      </c>
      <c r="I646" s="32" t="s">
        <v>198</v>
      </c>
      <c r="J646" s="32" t="s">
        <v>199</v>
      </c>
      <c r="K646" s="32">
        <v>2.3326920000000002</v>
      </c>
      <c r="L646" s="33">
        <v>1623</v>
      </c>
      <c r="M646" s="32">
        <v>395</v>
      </c>
      <c r="N646" s="32">
        <v>268</v>
      </c>
      <c r="O646" s="32">
        <v>357</v>
      </c>
      <c r="P646" s="32">
        <v>408</v>
      </c>
      <c r="Q646" s="32">
        <v>195</v>
      </c>
      <c r="R646" s="32" t="s">
        <v>225</v>
      </c>
      <c r="S646" s="32">
        <v>8.8075200000000002</v>
      </c>
      <c r="T646" s="32">
        <v>1.86511</v>
      </c>
      <c r="U646" s="32">
        <v>1.0997825969999999</v>
      </c>
      <c r="V646" s="32">
        <v>2</v>
      </c>
      <c r="W646" s="32">
        <v>0.90854699999999999</v>
      </c>
      <c r="X646" s="32">
        <v>0.29755599999999999</v>
      </c>
      <c r="Y646" s="32">
        <v>0.651864</v>
      </c>
      <c r="Z646" s="32">
        <v>0.47726800000000003</v>
      </c>
      <c r="AA646" s="32">
        <v>31.6</v>
      </c>
      <c r="AB646" s="32">
        <v>546</v>
      </c>
      <c r="AC646" s="32">
        <v>23</v>
      </c>
      <c r="AD646" s="32">
        <v>42</v>
      </c>
      <c r="AE646" s="32">
        <v>0</v>
      </c>
      <c r="AF646" s="32">
        <v>0</v>
      </c>
      <c r="AG646" s="32" t="s">
        <v>200</v>
      </c>
    </row>
    <row r="647" spans="1:33">
      <c r="A647" s="32" t="s">
        <v>2511</v>
      </c>
      <c r="B647" s="32" t="s">
        <v>77</v>
      </c>
      <c r="C647" s="32" t="s">
        <v>2512</v>
      </c>
      <c r="D647" s="32" t="s">
        <v>2513</v>
      </c>
      <c r="E647" s="32" t="s">
        <v>2514</v>
      </c>
      <c r="F647" s="32" t="s">
        <v>2515</v>
      </c>
      <c r="G647" s="32" t="s">
        <v>2516</v>
      </c>
      <c r="H647" s="32" t="s">
        <v>2517</v>
      </c>
      <c r="I647" s="32" t="s">
        <v>198</v>
      </c>
      <c r="J647" s="32" t="s">
        <v>199</v>
      </c>
      <c r="K647" s="32">
        <v>1.8254300000000001</v>
      </c>
      <c r="L647" s="33">
        <v>1278</v>
      </c>
      <c r="M647" s="32">
        <v>205</v>
      </c>
      <c r="N647" s="32">
        <v>162</v>
      </c>
      <c r="O647" s="32">
        <v>262</v>
      </c>
      <c r="P647" s="32">
        <v>336</v>
      </c>
      <c r="Q647" s="32">
        <v>313</v>
      </c>
      <c r="R647" s="32" t="s">
        <v>225</v>
      </c>
      <c r="S647" s="32">
        <v>13.0764</v>
      </c>
      <c r="T647" s="32">
        <v>0</v>
      </c>
      <c r="U647" s="32">
        <v>1.075560506</v>
      </c>
      <c r="V647" s="32">
        <v>6</v>
      </c>
      <c r="W647" s="32">
        <v>0.81407700000000005</v>
      </c>
      <c r="X647" s="32">
        <v>3.4759999999999999E-2</v>
      </c>
      <c r="Y647" s="32">
        <v>0.7</v>
      </c>
      <c r="Z647" s="32">
        <v>0.27761999999999998</v>
      </c>
      <c r="AA647" s="32">
        <v>19.899999999999999</v>
      </c>
      <c r="AB647" s="32">
        <v>628</v>
      </c>
      <c r="AC647" s="32">
        <v>33</v>
      </c>
      <c r="AD647" s="32">
        <v>38</v>
      </c>
      <c r="AE647" s="32">
        <v>0</v>
      </c>
      <c r="AF647" s="32">
        <v>0</v>
      </c>
      <c r="AG647" s="32" t="s">
        <v>200</v>
      </c>
    </row>
    <row r="648" spans="1:33">
      <c r="A648" s="32" t="s">
        <v>2518</v>
      </c>
      <c r="B648" s="32" t="s">
        <v>77</v>
      </c>
      <c r="C648" s="32" t="s">
        <v>2519</v>
      </c>
      <c r="D648" s="32" t="s">
        <v>2520</v>
      </c>
      <c r="E648" s="32" t="s">
        <v>2521</v>
      </c>
      <c r="F648" s="32" t="s">
        <v>2522</v>
      </c>
      <c r="G648" s="32" t="s">
        <v>2516</v>
      </c>
      <c r="H648" s="32" t="s">
        <v>2517</v>
      </c>
      <c r="I648" s="32" t="s">
        <v>198</v>
      </c>
      <c r="J648" s="32" t="s">
        <v>199</v>
      </c>
      <c r="K648" s="32">
        <v>2.0541309999999999</v>
      </c>
      <c r="L648" s="33">
        <v>1539</v>
      </c>
      <c r="M648" s="32">
        <v>377</v>
      </c>
      <c r="N648" s="32">
        <v>283</v>
      </c>
      <c r="O648" s="32">
        <v>310</v>
      </c>
      <c r="P648" s="32">
        <v>372</v>
      </c>
      <c r="Q648" s="32">
        <v>197</v>
      </c>
      <c r="R648" s="32" t="s">
        <v>225</v>
      </c>
      <c r="S648" s="32">
        <v>7.7232599999999998</v>
      </c>
      <c r="T648" s="32">
        <v>0</v>
      </c>
      <c r="U648" s="32">
        <v>1.1798631319999999</v>
      </c>
      <c r="V648" s="32">
        <v>3</v>
      </c>
      <c r="W648" s="32">
        <v>0.81203700000000001</v>
      </c>
      <c r="X648" s="32">
        <v>0.28761599999999998</v>
      </c>
      <c r="Y648" s="32">
        <v>0.6</v>
      </c>
      <c r="Z648" s="32">
        <v>0.360342</v>
      </c>
      <c r="AA648" s="32">
        <v>13.3</v>
      </c>
      <c r="AB648" s="32">
        <v>612</v>
      </c>
      <c r="AC648" s="32">
        <v>26</v>
      </c>
      <c r="AD648" s="32">
        <v>58</v>
      </c>
      <c r="AE648" s="32" t="s">
        <v>200</v>
      </c>
      <c r="AF648" s="32" t="s">
        <v>200</v>
      </c>
      <c r="AG648" s="32">
        <v>5</v>
      </c>
    </row>
    <row r="649" spans="1:33">
      <c r="A649" s="32" t="s">
        <v>2523</v>
      </c>
      <c r="B649" s="32" t="s">
        <v>77</v>
      </c>
      <c r="C649" s="32" t="s">
        <v>2524</v>
      </c>
      <c r="D649" s="32" t="s">
        <v>2525</v>
      </c>
      <c r="E649" s="32" t="s">
        <v>2526</v>
      </c>
      <c r="F649" s="32" t="s">
        <v>2527</v>
      </c>
      <c r="G649" s="32" t="s">
        <v>2516</v>
      </c>
      <c r="H649" s="32" t="s">
        <v>2517</v>
      </c>
      <c r="I649" s="32" t="s">
        <v>198</v>
      </c>
      <c r="J649" s="32" t="s">
        <v>199</v>
      </c>
      <c r="K649" s="32">
        <v>1.672588</v>
      </c>
      <c r="L649" s="33">
        <v>1482</v>
      </c>
      <c r="M649" s="32">
        <v>288</v>
      </c>
      <c r="N649" s="32">
        <v>269</v>
      </c>
      <c r="O649" s="32">
        <v>299</v>
      </c>
      <c r="P649" s="32">
        <v>374</v>
      </c>
      <c r="Q649" s="32">
        <v>252</v>
      </c>
      <c r="R649" s="32" t="s">
        <v>214</v>
      </c>
      <c r="S649" s="32">
        <v>4.6034800000000002</v>
      </c>
      <c r="T649" s="32">
        <v>0</v>
      </c>
      <c r="U649" s="32">
        <v>1.2993504069999999</v>
      </c>
      <c r="V649" s="32">
        <v>4</v>
      </c>
      <c r="W649" s="32">
        <v>0.80306100000000002</v>
      </c>
      <c r="X649" s="32">
        <v>7.8909999999999994E-2</v>
      </c>
      <c r="Y649" s="32">
        <v>0.6</v>
      </c>
      <c r="Z649" s="32">
        <v>0.18979499999999999</v>
      </c>
      <c r="AA649" s="32">
        <v>15.1</v>
      </c>
      <c r="AB649" s="32">
        <v>698</v>
      </c>
      <c r="AC649" s="32">
        <v>22</v>
      </c>
      <c r="AD649" s="32">
        <v>65</v>
      </c>
      <c r="AE649" s="32">
        <v>0</v>
      </c>
      <c r="AF649" s="32">
        <v>0</v>
      </c>
      <c r="AG649" s="32">
        <v>6</v>
      </c>
    </row>
    <row r="650" spans="1:33">
      <c r="A650" s="32" t="s">
        <v>2528</v>
      </c>
      <c r="B650" s="32" t="s">
        <v>77</v>
      </c>
      <c r="C650" s="32" t="s">
        <v>2529</v>
      </c>
      <c r="D650" s="32" t="s">
        <v>2530</v>
      </c>
      <c r="E650" s="32" t="s">
        <v>2531</v>
      </c>
      <c r="F650" s="32" t="s">
        <v>2532</v>
      </c>
      <c r="G650" s="32" t="s">
        <v>2221</v>
      </c>
      <c r="H650" s="32" t="s">
        <v>2222</v>
      </c>
      <c r="I650" s="32" t="s">
        <v>198</v>
      </c>
      <c r="J650" s="32" t="s">
        <v>199</v>
      </c>
      <c r="K650" s="32">
        <v>2.1697220000000002</v>
      </c>
      <c r="L650" s="33">
        <v>1539</v>
      </c>
      <c r="M650" s="32">
        <v>341</v>
      </c>
      <c r="N650" s="32">
        <v>272</v>
      </c>
      <c r="O650" s="32">
        <v>292</v>
      </c>
      <c r="P650" s="32">
        <v>379</v>
      </c>
      <c r="Q650" s="32">
        <v>255</v>
      </c>
      <c r="R650" s="32">
        <v>2</v>
      </c>
      <c r="S650" s="32">
        <v>10.734</v>
      </c>
      <c r="T650" s="32">
        <v>0</v>
      </c>
      <c r="U650" s="32">
        <v>1.1756625169999999</v>
      </c>
      <c r="V650" s="32">
        <v>2</v>
      </c>
      <c r="W650" s="32">
        <v>0.813944</v>
      </c>
      <c r="X650" s="32">
        <v>0.28130300000000003</v>
      </c>
      <c r="Y650" s="32">
        <v>0.6</v>
      </c>
      <c r="Z650" s="32">
        <v>0.469613</v>
      </c>
      <c r="AA650" s="32">
        <v>20.2</v>
      </c>
      <c r="AB650" s="32">
        <v>538</v>
      </c>
      <c r="AC650" s="32">
        <v>13</v>
      </c>
      <c r="AD650" s="32">
        <v>118</v>
      </c>
      <c r="AE650" s="32" t="s">
        <v>200</v>
      </c>
      <c r="AF650" s="32" t="s">
        <v>200</v>
      </c>
      <c r="AG650" s="32" t="s">
        <v>200</v>
      </c>
    </row>
    <row r="651" spans="1:33">
      <c r="A651" s="32" t="s">
        <v>2533</v>
      </c>
      <c r="B651" s="32" t="s">
        <v>77</v>
      </c>
      <c r="C651" s="32" t="s">
        <v>2534</v>
      </c>
      <c r="D651" s="32" t="s">
        <v>2535</v>
      </c>
      <c r="E651" s="32" t="s">
        <v>2536</v>
      </c>
      <c r="F651" s="32" t="s">
        <v>2537</v>
      </c>
      <c r="G651" s="32" t="s">
        <v>2221</v>
      </c>
      <c r="H651" s="32" t="s">
        <v>2222</v>
      </c>
      <c r="I651" s="32" t="s">
        <v>198</v>
      </c>
      <c r="J651" s="32" t="s">
        <v>199</v>
      </c>
      <c r="K651" s="32">
        <v>1.873769</v>
      </c>
      <c r="L651" s="33">
        <v>1637</v>
      </c>
      <c r="M651" s="32">
        <v>318</v>
      </c>
      <c r="N651" s="32">
        <v>210</v>
      </c>
      <c r="O651" s="32">
        <v>315</v>
      </c>
      <c r="P651" s="32">
        <v>431</v>
      </c>
      <c r="Q651" s="32">
        <v>363</v>
      </c>
      <c r="R651" s="32">
        <v>2</v>
      </c>
      <c r="S651" s="32">
        <v>10.1937</v>
      </c>
      <c r="T651" s="32">
        <v>1.5066600000000001</v>
      </c>
      <c r="U651" s="32">
        <v>0.81339808999999996</v>
      </c>
      <c r="V651" s="32">
        <v>10</v>
      </c>
      <c r="W651" s="32">
        <v>0.81810300000000002</v>
      </c>
      <c r="X651" s="32">
        <v>0.17100399999999999</v>
      </c>
      <c r="Y651" s="32">
        <v>0.6</v>
      </c>
      <c r="Z651" s="32">
        <v>0.28041899999999997</v>
      </c>
      <c r="AA651" s="32">
        <v>8.1</v>
      </c>
      <c r="AB651" s="32">
        <v>722</v>
      </c>
      <c r="AC651" s="32">
        <v>26</v>
      </c>
      <c r="AD651" s="32">
        <v>77</v>
      </c>
      <c r="AE651" s="32" t="s">
        <v>200</v>
      </c>
      <c r="AF651" s="32">
        <v>0</v>
      </c>
      <c r="AG651" s="32">
        <v>5</v>
      </c>
    </row>
    <row r="652" spans="1:33">
      <c r="A652" s="32" t="s">
        <v>2538</v>
      </c>
      <c r="B652" s="32" t="s">
        <v>77</v>
      </c>
      <c r="C652" s="32" t="s">
        <v>2539</v>
      </c>
      <c r="D652" s="32" t="s">
        <v>2540</v>
      </c>
      <c r="E652" s="32" t="s">
        <v>2541</v>
      </c>
      <c r="F652" s="32" t="s">
        <v>2542</v>
      </c>
      <c r="G652" s="32" t="s">
        <v>2221</v>
      </c>
      <c r="H652" s="32" t="s">
        <v>2222</v>
      </c>
      <c r="I652" s="32" t="s">
        <v>198</v>
      </c>
      <c r="J652" s="32" t="s">
        <v>199</v>
      </c>
      <c r="K652" s="32">
        <v>1.8110649999999999</v>
      </c>
      <c r="L652" s="33">
        <v>1594</v>
      </c>
      <c r="M652" s="32">
        <v>297</v>
      </c>
      <c r="N652" s="32">
        <v>259</v>
      </c>
      <c r="O652" s="32">
        <v>374</v>
      </c>
      <c r="P652" s="32">
        <v>414</v>
      </c>
      <c r="Q652" s="32">
        <v>250</v>
      </c>
      <c r="R652" s="32" t="s">
        <v>225</v>
      </c>
      <c r="S652" s="32">
        <v>5.7485900000000001</v>
      </c>
      <c r="T652" s="32">
        <v>0</v>
      </c>
      <c r="U652" s="32">
        <v>0.92614785300000002</v>
      </c>
      <c r="V652" s="32">
        <v>8</v>
      </c>
      <c r="W652" s="32">
        <v>0.81825700000000001</v>
      </c>
      <c r="X652" s="32">
        <v>0.196384</v>
      </c>
      <c r="Y652" s="32">
        <v>0.6</v>
      </c>
      <c r="Z652" s="32">
        <v>0.2</v>
      </c>
      <c r="AA652" s="32">
        <v>8.1999999999999993</v>
      </c>
      <c r="AB652" s="32">
        <v>728</v>
      </c>
      <c r="AC652" s="32">
        <v>23</v>
      </c>
      <c r="AD652" s="32">
        <v>74</v>
      </c>
      <c r="AE652" s="32">
        <v>0</v>
      </c>
      <c r="AF652" s="32" t="s">
        <v>200</v>
      </c>
      <c r="AG652" s="32">
        <v>10</v>
      </c>
    </row>
    <row r="653" spans="1:33">
      <c r="A653" s="32" t="s">
        <v>2543</v>
      </c>
      <c r="B653" s="32" t="s">
        <v>77</v>
      </c>
      <c r="C653" s="32" t="s">
        <v>2544</v>
      </c>
      <c r="D653" s="32" t="s">
        <v>2545</v>
      </c>
      <c r="E653" s="32" t="s">
        <v>2541</v>
      </c>
      <c r="F653" s="32" t="s">
        <v>2542</v>
      </c>
      <c r="G653" s="32" t="s">
        <v>2221</v>
      </c>
      <c r="H653" s="32" t="s">
        <v>2222</v>
      </c>
      <c r="I653" s="32" t="s">
        <v>198</v>
      </c>
      <c r="J653" s="32" t="s">
        <v>199</v>
      </c>
      <c r="K653" s="32">
        <v>1.7750220000000001</v>
      </c>
      <c r="L653" s="33">
        <v>2225</v>
      </c>
      <c r="M653" s="32">
        <v>427</v>
      </c>
      <c r="N653" s="32">
        <v>381</v>
      </c>
      <c r="O653" s="32">
        <v>409</v>
      </c>
      <c r="P653" s="32">
        <v>515</v>
      </c>
      <c r="Q653" s="32">
        <v>493</v>
      </c>
      <c r="R653" s="32" t="s">
        <v>225</v>
      </c>
      <c r="S653" s="32">
        <v>12.502700000000001</v>
      </c>
      <c r="T653" s="32">
        <v>0</v>
      </c>
      <c r="U653" s="32">
        <v>1.0041565210000001</v>
      </c>
      <c r="V653" s="32">
        <v>7</v>
      </c>
      <c r="W653" s="32">
        <v>0.80806</v>
      </c>
      <c r="X653" s="32">
        <v>0.14569699999999999</v>
      </c>
      <c r="Y653" s="32">
        <v>0.6</v>
      </c>
      <c r="Z653" s="32">
        <v>0.228964</v>
      </c>
      <c r="AA653" s="32">
        <v>8.3000000000000007</v>
      </c>
      <c r="AB653" s="32">
        <v>991</v>
      </c>
      <c r="AC653" s="32">
        <v>49</v>
      </c>
      <c r="AD653" s="32">
        <v>56</v>
      </c>
      <c r="AE653" s="32">
        <v>0</v>
      </c>
      <c r="AF653" s="32">
        <v>0</v>
      </c>
      <c r="AG653" s="32">
        <v>6</v>
      </c>
    </row>
    <row r="654" spans="1:33">
      <c r="A654" s="32" t="s">
        <v>2546</v>
      </c>
      <c r="B654" s="32" t="s">
        <v>77</v>
      </c>
      <c r="C654" s="32" t="s">
        <v>2547</v>
      </c>
      <c r="D654" s="32" t="s">
        <v>2548</v>
      </c>
      <c r="E654" s="32" t="s">
        <v>2549</v>
      </c>
      <c r="F654" s="32" t="s">
        <v>2550</v>
      </c>
      <c r="G654" s="32" t="s">
        <v>2221</v>
      </c>
      <c r="H654" s="32" t="s">
        <v>2222</v>
      </c>
      <c r="I654" s="32" t="s">
        <v>198</v>
      </c>
      <c r="J654" s="32" t="s">
        <v>199</v>
      </c>
      <c r="K654" s="32">
        <v>2.0409929999999998</v>
      </c>
      <c r="L654" s="33">
        <v>1860</v>
      </c>
      <c r="M654" s="32">
        <v>232</v>
      </c>
      <c r="N654" s="32">
        <v>414</v>
      </c>
      <c r="O654" s="32">
        <v>365</v>
      </c>
      <c r="P654" s="32">
        <v>391</v>
      </c>
      <c r="Q654" s="32">
        <v>458</v>
      </c>
      <c r="R654" s="32">
        <v>2</v>
      </c>
      <c r="S654" s="32">
        <v>21.407599999999999</v>
      </c>
      <c r="T654" s="32">
        <v>0</v>
      </c>
      <c r="U654" s="32">
        <v>1.0591431979999999</v>
      </c>
      <c r="V654" s="32">
        <v>4</v>
      </c>
      <c r="W654" s="32">
        <v>0.81178499999999998</v>
      </c>
      <c r="X654" s="32">
        <v>0.28749999999999998</v>
      </c>
      <c r="Y654" s="32">
        <v>0.6</v>
      </c>
      <c r="Z654" s="32">
        <v>0.34015200000000001</v>
      </c>
      <c r="AA654" s="32">
        <v>17.2</v>
      </c>
      <c r="AB654" s="32">
        <v>709</v>
      </c>
      <c r="AC654" s="32">
        <v>12</v>
      </c>
      <c r="AD654" s="32">
        <v>52</v>
      </c>
      <c r="AE654" s="32">
        <v>0</v>
      </c>
      <c r="AF654" s="32" t="s">
        <v>200</v>
      </c>
      <c r="AG654" s="32">
        <v>12</v>
      </c>
    </row>
    <row r="655" spans="1:33">
      <c r="A655" s="32" t="s">
        <v>2551</v>
      </c>
      <c r="B655" s="32" t="s">
        <v>77</v>
      </c>
      <c r="C655" s="32" t="s">
        <v>2552</v>
      </c>
      <c r="D655" s="32" t="s">
        <v>2553</v>
      </c>
      <c r="E655" s="32" t="s">
        <v>2291</v>
      </c>
      <c r="F655" s="32" t="s">
        <v>2292</v>
      </c>
      <c r="G655" s="32" t="s">
        <v>2077</v>
      </c>
      <c r="H655" s="32" t="s">
        <v>2078</v>
      </c>
      <c r="I655" s="32" t="s">
        <v>198</v>
      </c>
      <c r="J655" s="32" t="s">
        <v>199</v>
      </c>
      <c r="K655" s="32">
        <v>2.141591</v>
      </c>
      <c r="L655" s="33">
        <v>1578</v>
      </c>
      <c r="M655" s="32">
        <v>418</v>
      </c>
      <c r="N655" s="32">
        <v>233</v>
      </c>
      <c r="O655" s="32">
        <v>390</v>
      </c>
      <c r="P655" s="32">
        <v>359</v>
      </c>
      <c r="Q655" s="32">
        <v>178</v>
      </c>
      <c r="R655" s="32" t="s">
        <v>225</v>
      </c>
      <c r="S655" s="32">
        <v>4.9847299999999999</v>
      </c>
      <c r="T655" s="32">
        <v>1.72492</v>
      </c>
      <c r="U655" s="32">
        <v>1.29804823</v>
      </c>
      <c r="V655" s="32">
        <v>2</v>
      </c>
      <c r="W655" s="32">
        <v>0.88709300000000002</v>
      </c>
      <c r="X655" s="32">
        <v>0.17660999999999999</v>
      </c>
      <c r="Y655" s="32">
        <v>0.69868799999999998</v>
      </c>
      <c r="Z655" s="32">
        <v>0.38112000000000001</v>
      </c>
      <c r="AA655" s="32">
        <v>18.399999999999999</v>
      </c>
      <c r="AB655" s="32">
        <v>451</v>
      </c>
      <c r="AC655" s="32">
        <v>28</v>
      </c>
      <c r="AD655" s="32">
        <v>32</v>
      </c>
      <c r="AE655" s="32" t="s">
        <v>200</v>
      </c>
      <c r="AF655" s="32" t="s">
        <v>200</v>
      </c>
      <c r="AG655" s="32" t="s">
        <v>200</v>
      </c>
    </row>
    <row r="656" spans="1:33">
      <c r="A656" s="32" t="s">
        <v>2554</v>
      </c>
      <c r="B656" s="32" t="s">
        <v>77</v>
      </c>
      <c r="C656" s="32" t="s">
        <v>2555</v>
      </c>
      <c r="D656" s="32" t="s">
        <v>2556</v>
      </c>
      <c r="E656" s="32" t="s">
        <v>2291</v>
      </c>
      <c r="F656" s="32" t="s">
        <v>2292</v>
      </c>
      <c r="G656" s="32" t="s">
        <v>2077</v>
      </c>
      <c r="H656" s="32" t="s">
        <v>2078</v>
      </c>
      <c r="I656" s="32" t="s">
        <v>198</v>
      </c>
      <c r="J656" s="32" t="s">
        <v>199</v>
      </c>
      <c r="K656" s="32">
        <v>2.0653570000000001</v>
      </c>
      <c r="L656" s="33">
        <v>1654</v>
      </c>
      <c r="M656" s="32">
        <v>407</v>
      </c>
      <c r="N656" s="32">
        <v>279</v>
      </c>
      <c r="O656" s="32">
        <v>435</v>
      </c>
      <c r="P656" s="32">
        <v>380</v>
      </c>
      <c r="Q656" s="32">
        <v>153</v>
      </c>
      <c r="R656" s="32">
        <v>2</v>
      </c>
      <c r="S656" s="32">
        <v>22.172799999999999</v>
      </c>
      <c r="T656" s="32">
        <v>0</v>
      </c>
      <c r="U656" s="32">
        <v>1.4446592149999999</v>
      </c>
      <c r="V656" s="32">
        <v>2</v>
      </c>
      <c r="W656" s="32">
        <v>0.841059</v>
      </c>
      <c r="X656" s="32">
        <v>0.121669</v>
      </c>
      <c r="Y656" s="32">
        <v>0.7</v>
      </c>
      <c r="Z656" s="32">
        <v>0.40304499999999999</v>
      </c>
      <c r="AA656" s="32">
        <v>19.2</v>
      </c>
      <c r="AB656" s="32">
        <v>437</v>
      </c>
      <c r="AC656" s="32">
        <v>25</v>
      </c>
      <c r="AD656" s="32">
        <v>26</v>
      </c>
      <c r="AE656" s="32" t="s">
        <v>200</v>
      </c>
      <c r="AF656" s="32">
        <v>0</v>
      </c>
      <c r="AG656" s="32">
        <v>5</v>
      </c>
    </row>
    <row r="657" spans="1:33">
      <c r="A657" s="32" t="s">
        <v>2508</v>
      </c>
      <c r="B657" s="32" t="s">
        <v>77</v>
      </c>
      <c r="C657" s="32" t="s">
        <v>2509</v>
      </c>
      <c r="D657" s="32" t="s">
        <v>2510</v>
      </c>
      <c r="E657" s="32" t="s">
        <v>2291</v>
      </c>
      <c r="F657" s="32" t="s">
        <v>2292</v>
      </c>
      <c r="G657" s="32" t="s">
        <v>2077</v>
      </c>
      <c r="H657" s="32" t="s">
        <v>2078</v>
      </c>
      <c r="I657" s="32" t="s">
        <v>198</v>
      </c>
      <c r="J657" s="32" t="s">
        <v>199</v>
      </c>
      <c r="K657" s="32">
        <v>2.3326920000000002</v>
      </c>
      <c r="L657" s="33">
        <v>1623</v>
      </c>
      <c r="M657" s="32">
        <v>395</v>
      </c>
      <c r="N657" s="32">
        <v>268</v>
      </c>
      <c r="O657" s="32">
        <v>357</v>
      </c>
      <c r="P657" s="32">
        <v>408</v>
      </c>
      <c r="Q657" s="32">
        <v>195</v>
      </c>
      <c r="R657" s="32" t="s">
        <v>225</v>
      </c>
      <c r="S657" s="32">
        <v>8.8075200000000002</v>
      </c>
      <c r="T657" s="32">
        <v>1.86511</v>
      </c>
      <c r="U657" s="32">
        <v>1.0997825969999999</v>
      </c>
      <c r="V657" s="32">
        <v>2</v>
      </c>
      <c r="W657" s="32">
        <v>0.90854699999999999</v>
      </c>
      <c r="X657" s="32">
        <v>0.29755599999999999</v>
      </c>
      <c r="Y657" s="32">
        <v>0.651864</v>
      </c>
      <c r="Z657" s="32">
        <v>0.47726800000000003</v>
      </c>
      <c r="AA657" s="32">
        <v>31.6</v>
      </c>
      <c r="AB657" s="32">
        <v>546</v>
      </c>
      <c r="AC657" s="32">
        <v>23</v>
      </c>
      <c r="AD657" s="32">
        <v>42</v>
      </c>
      <c r="AE657" s="32">
        <v>0</v>
      </c>
      <c r="AF657" s="32">
        <v>0</v>
      </c>
      <c r="AG657" s="32" t="s">
        <v>200</v>
      </c>
    </row>
    <row r="658" spans="1:33">
      <c r="A658" s="32" t="s">
        <v>2557</v>
      </c>
      <c r="B658" s="32" t="s">
        <v>77</v>
      </c>
      <c r="C658" s="32" t="s">
        <v>2558</v>
      </c>
      <c r="D658" s="32" t="s">
        <v>2559</v>
      </c>
      <c r="E658" s="32" t="s">
        <v>2560</v>
      </c>
      <c r="F658" s="32" t="s">
        <v>2561</v>
      </c>
      <c r="G658" s="32" t="s">
        <v>2077</v>
      </c>
      <c r="H658" s="32" t="s">
        <v>2078</v>
      </c>
      <c r="I658" s="32" t="s">
        <v>198</v>
      </c>
      <c r="J658" s="32" t="s">
        <v>199</v>
      </c>
      <c r="K658" s="32">
        <v>2.2100219999999999</v>
      </c>
      <c r="L658" s="33">
        <v>1552</v>
      </c>
      <c r="M658" s="32">
        <v>301</v>
      </c>
      <c r="N658" s="32">
        <v>235</v>
      </c>
      <c r="O658" s="32">
        <v>276</v>
      </c>
      <c r="P658" s="32">
        <v>447</v>
      </c>
      <c r="Q658" s="32">
        <v>293</v>
      </c>
      <c r="R658" s="32">
        <v>2</v>
      </c>
      <c r="S658" s="32">
        <v>12.798999999999999</v>
      </c>
      <c r="T658" s="32">
        <v>4.6706700000000003</v>
      </c>
      <c r="U658" s="32">
        <v>0.83841637300000005</v>
      </c>
      <c r="V658" s="32">
        <v>6</v>
      </c>
      <c r="W658" s="32">
        <v>0.86145400000000005</v>
      </c>
      <c r="X658" s="32">
        <v>0.25454500000000002</v>
      </c>
      <c r="Y658" s="32">
        <v>0.7</v>
      </c>
      <c r="Z658" s="32">
        <v>0.39460899999999999</v>
      </c>
      <c r="AA658" s="32">
        <v>24.7</v>
      </c>
      <c r="AB658" s="32">
        <v>669</v>
      </c>
      <c r="AC658" s="32">
        <v>23</v>
      </c>
      <c r="AD658" s="32">
        <v>45</v>
      </c>
      <c r="AE658" s="32">
        <v>0</v>
      </c>
      <c r="AF658" s="32" t="s">
        <v>200</v>
      </c>
      <c r="AG658" s="32" t="s">
        <v>200</v>
      </c>
    </row>
    <row r="659" spans="1:33">
      <c r="A659" s="32" t="s">
        <v>2562</v>
      </c>
      <c r="B659" s="32" t="s">
        <v>77</v>
      </c>
      <c r="C659" s="32" t="s">
        <v>2563</v>
      </c>
      <c r="D659" s="32" t="s">
        <v>2564</v>
      </c>
      <c r="E659" s="32" t="s">
        <v>2560</v>
      </c>
      <c r="F659" s="32" t="s">
        <v>2561</v>
      </c>
      <c r="G659" s="32" t="s">
        <v>2077</v>
      </c>
      <c r="H659" s="32" t="s">
        <v>2078</v>
      </c>
      <c r="I659" s="32" t="s">
        <v>198</v>
      </c>
      <c r="J659" s="32" t="s">
        <v>199</v>
      </c>
      <c r="K659" s="32">
        <v>2.0206490000000001</v>
      </c>
      <c r="L659" s="33">
        <v>1549</v>
      </c>
      <c r="M659" s="32">
        <v>286</v>
      </c>
      <c r="N659" s="32">
        <v>251</v>
      </c>
      <c r="O659" s="32">
        <v>292</v>
      </c>
      <c r="P659" s="32">
        <v>410</v>
      </c>
      <c r="Q659" s="32">
        <v>310</v>
      </c>
      <c r="R659" s="32">
        <v>2</v>
      </c>
      <c r="S659" s="32">
        <v>12.0915</v>
      </c>
      <c r="T659" s="32">
        <v>1.7260200000000001</v>
      </c>
      <c r="U659" s="32">
        <v>0.91742578399999997</v>
      </c>
      <c r="V659" s="32">
        <v>7</v>
      </c>
      <c r="W659" s="32">
        <v>0.82547499999999996</v>
      </c>
      <c r="X659" s="32">
        <v>0.14526800000000001</v>
      </c>
      <c r="Y659" s="32">
        <v>0.69739499999999999</v>
      </c>
      <c r="Z659" s="32">
        <v>0.35960500000000001</v>
      </c>
      <c r="AA659" s="32">
        <v>21</v>
      </c>
      <c r="AB659" s="32">
        <v>717</v>
      </c>
      <c r="AC659" s="32">
        <v>26</v>
      </c>
      <c r="AD659" s="32">
        <v>51</v>
      </c>
      <c r="AE659" s="32" t="s">
        <v>200</v>
      </c>
      <c r="AF659" s="32">
        <v>0</v>
      </c>
      <c r="AG659" s="32">
        <v>6</v>
      </c>
    </row>
    <row r="660" spans="1:33">
      <c r="A660" s="32" t="s">
        <v>2565</v>
      </c>
      <c r="B660" s="32" t="s">
        <v>77</v>
      </c>
      <c r="C660" s="32" t="s">
        <v>2566</v>
      </c>
      <c r="D660" s="32" t="s">
        <v>2567</v>
      </c>
      <c r="E660" s="32" t="s">
        <v>2568</v>
      </c>
      <c r="F660" s="32" t="s">
        <v>2569</v>
      </c>
      <c r="G660" s="32" t="s">
        <v>2077</v>
      </c>
      <c r="H660" s="32" t="s">
        <v>2078</v>
      </c>
      <c r="I660" s="32" t="s">
        <v>198</v>
      </c>
      <c r="J660" s="32" t="s">
        <v>199</v>
      </c>
      <c r="K660" s="32">
        <v>1.930728</v>
      </c>
      <c r="L660" s="33">
        <v>1765</v>
      </c>
      <c r="M660" s="32">
        <v>401</v>
      </c>
      <c r="N660" s="32">
        <v>276</v>
      </c>
      <c r="O660" s="32">
        <v>395</v>
      </c>
      <c r="P660" s="32">
        <v>420</v>
      </c>
      <c r="Q660" s="32">
        <v>273</v>
      </c>
      <c r="R660" s="32">
        <v>2</v>
      </c>
      <c r="S660" s="32">
        <v>11.0204</v>
      </c>
      <c r="T660" s="32">
        <v>1.86964</v>
      </c>
      <c r="U660" s="32">
        <v>0.99709974000000001</v>
      </c>
      <c r="V660" s="32">
        <v>6</v>
      </c>
      <c r="W660" s="32">
        <v>0.82956700000000005</v>
      </c>
      <c r="X660" s="32">
        <v>6.9409999999999999E-2</v>
      </c>
      <c r="Y660" s="32">
        <v>0.68271599999999999</v>
      </c>
      <c r="Z660" s="32">
        <v>0.35243200000000002</v>
      </c>
      <c r="AA660" s="32">
        <v>19.100000000000001</v>
      </c>
      <c r="AB660" s="32">
        <v>714</v>
      </c>
      <c r="AC660" s="32">
        <v>31</v>
      </c>
      <c r="AD660" s="32">
        <v>116</v>
      </c>
      <c r="AE660" s="32" t="s">
        <v>200</v>
      </c>
      <c r="AF660" s="32">
        <v>0</v>
      </c>
      <c r="AG660" s="32">
        <v>12</v>
      </c>
    </row>
    <row r="661" spans="1:33">
      <c r="A661" s="32" t="s">
        <v>2570</v>
      </c>
      <c r="B661" s="32" t="s">
        <v>77</v>
      </c>
      <c r="C661" s="32" t="s">
        <v>2571</v>
      </c>
      <c r="D661" s="32" t="s">
        <v>2572</v>
      </c>
      <c r="E661" s="32" t="s">
        <v>2568</v>
      </c>
      <c r="F661" s="32" t="s">
        <v>2569</v>
      </c>
      <c r="G661" s="32" t="s">
        <v>2077</v>
      </c>
      <c r="H661" s="32" t="s">
        <v>2078</v>
      </c>
      <c r="I661" s="32" t="s">
        <v>198</v>
      </c>
      <c r="J661" s="32" t="s">
        <v>199</v>
      </c>
      <c r="K661" s="32">
        <v>2.0587170000000001</v>
      </c>
      <c r="L661" s="33">
        <v>1572</v>
      </c>
      <c r="M661" s="32">
        <v>298</v>
      </c>
      <c r="N661" s="32">
        <v>286</v>
      </c>
      <c r="O661" s="32">
        <v>350</v>
      </c>
      <c r="P661" s="32">
        <v>385</v>
      </c>
      <c r="Q661" s="32">
        <v>253</v>
      </c>
      <c r="R661" s="32">
        <v>3</v>
      </c>
      <c r="S661" s="32">
        <v>15.992800000000001</v>
      </c>
      <c r="T661" s="32">
        <v>4.9129899999999997</v>
      </c>
      <c r="U661" s="32">
        <v>0.87766321199999997</v>
      </c>
      <c r="V661" s="32">
        <v>7</v>
      </c>
      <c r="W661" s="32">
        <v>0.84527799999999997</v>
      </c>
      <c r="X661" s="32">
        <v>0.154251</v>
      </c>
      <c r="Y661" s="32">
        <v>0.66286100000000003</v>
      </c>
      <c r="Z661" s="32">
        <v>0.4</v>
      </c>
      <c r="AA661" s="32">
        <v>17.399999999999999</v>
      </c>
      <c r="AB661" s="32">
        <v>600</v>
      </c>
      <c r="AC661" s="32">
        <v>36</v>
      </c>
      <c r="AD661" s="32">
        <v>47</v>
      </c>
      <c r="AE661" s="32">
        <v>0</v>
      </c>
      <c r="AF661" s="32">
        <v>0</v>
      </c>
      <c r="AG661" s="32">
        <v>9</v>
      </c>
    </row>
    <row r="662" spans="1:33">
      <c r="A662" s="32" t="s">
        <v>2573</v>
      </c>
      <c r="B662" s="32" t="s">
        <v>77</v>
      </c>
      <c r="C662" s="32" t="s">
        <v>2574</v>
      </c>
      <c r="D662" s="32" t="s">
        <v>2575</v>
      </c>
      <c r="E662" s="32" t="s">
        <v>2568</v>
      </c>
      <c r="F662" s="32" t="s">
        <v>2569</v>
      </c>
      <c r="G662" s="32" t="s">
        <v>2077</v>
      </c>
      <c r="H662" s="32" t="s">
        <v>2078</v>
      </c>
      <c r="I662" s="32" t="s">
        <v>198</v>
      </c>
      <c r="J662" s="32" t="s">
        <v>199</v>
      </c>
      <c r="K662" s="32">
        <v>1.949524</v>
      </c>
      <c r="L662" s="33">
        <v>1558</v>
      </c>
      <c r="M662" s="32">
        <v>277</v>
      </c>
      <c r="N662" s="32">
        <v>233</v>
      </c>
      <c r="O662" s="32">
        <v>295</v>
      </c>
      <c r="P662" s="32">
        <v>399</v>
      </c>
      <c r="Q662" s="32">
        <v>354</v>
      </c>
      <c r="R662" s="32">
        <v>2</v>
      </c>
      <c r="S662" s="32">
        <v>16.9541</v>
      </c>
      <c r="T662" s="32">
        <v>1.57043</v>
      </c>
      <c r="U662" s="32">
        <v>0.93072713100000004</v>
      </c>
      <c r="V662" s="32">
        <v>8</v>
      </c>
      <c r="W662" s="32">
        <v>0.82326500000000002</v>
      </c>
      <c r="X662" s="32">
        <v>0.17306099999999999</v>
      </c>
      <c r="Y662" s="32">
        <v>0.60230700000000004</v>
      </c>
      <c r="Z662" s="32">
        <v>0.34815800000000002</v>
      </c>
      <c r="AA662" s="32">
        <v>13.5</v>
      </c>
      <c r="AB662" s="32">
        <v>670</v>
      </c>
      <c r="AC662" s="32">
        <v>23</v>
      </c>
      <c r="AD662" s="32">
        <v>37</v>
      </c>
      <c r="AE662" s="32" t="s">
        <v>200</v>
      </c>
      <c r="AF662" s="32">
        <v>0</v>
      </c>
      <c r="AG662" s="32">
        <v>13</v>
      </c>
    </row>
    <row r="663" spans="1:33">
      <c r="A663" s="32" t="s">
        <v>2576</v>
      </c>
      <c r="B663" s="32" t="s">
        <v>77</v>
      </c>
      <c r="C663" s="32" t="s">
        <v>2577</v>
      </c>
      <c r="D663" s="32" t="s">
        <v>2578</v>
      </c>
      <c r="E663" s="32" t="s">
        <v>2579</v>
      </c>
      <c r="F663" s="32" t="s">
        <v>2580</v>
      </c>
      <c r="G663" s="32" t="s">
        <v>2516</v>
      </c>
      <c r="H663" s="32" t="s">
        <v>2517</v>
      </c>
      <c r="I663" s="32" t="s">
        <v>198</v>
      </c>
      <c r="J663" s="32" t="s">
        <v>199</v>
      </c>
      <c r="K663" s="32">
        <v>1.837599</v>
      </c>
      <c r="L663" s="33">
        <v>1609</v>
      </c>
      <c r="M663" s="32">
        <v>315</v>
      </c>
      <c r="N663" s="32">
        <v>235</v>
      </c>
      <c r="O663" s="32">
        <v>324</v>
      </c>
      <c r="P663" s="32">
        <v>414</v>
      </c>
      <c r="Q663" s="32">
        <v>321</v>
      </c>
      <c r="R663" s="32" t="s">
        <v>214</v>
      </c>
      <c r="S663" s="32">
        <v>0</v>
      </c>
      <c r="T663" s="32">
        <v>0</v>
      </c>
      <c r="U663" s="32">
        <v>0</v>
      </c>
      <c r="V663" s="32">
        <v>5</v>
      </c>
      <c r="W663" s="32">
        <v>0.80282900000000001</v>
      </c>
      <c r="X663" s="32">
        <v>0.22509499999999999</v>
      </c>
      <c r="Y663" s="32">
        <v>0.599831</v>
      </c>
      <c r="Z663" s="32">
        <v>0.21212</v>
      </c>
      <c r="AA663" s="32">
        <v>13.6</v>
      </c>
      <c r="AB663" s="32">
        <v>835</v>
      </c>
      <c r="AC663" s="32">
        <v>32</v>
      </c>
      <c r="AD663" s="32">
        <v>126</v>
      </c>
      <c r="AE663" s="32">
        <v>8</v>
      </c>
      <c r="AF663" s="32" t="s">
        <v>200</v>
      </c>
      <c r="AG663" s="32">
        <v>17</v>
      </c>
    </row>
    <row r="664" spans="1:33">
      <c r="A664" s="32" t="s">
        <v>2581</v>
      </c>
      <c r="B664" s="32" t="s">
        <v>141</v>
      </c>
      <c r="C664" s="32" t="s">
        <v>2582</v>
      </c>
      <c r="D664" s="32" t="s">
        <v>2583</v>
      </c>
      <c r="E664" s="32" t="s">
        <v>2584</v>
      </c>
      <c r="F664" s="32" t="s">
        <v>2585</v>
      </c>
      <c r="G664" s="32" t="s">
        <v>2164</v>
      </c>
      <c r="H664" s="32" t="s">
        <v>2165</v>
      </c>
      <c r="I664" s="32" t="s">
        <v>198</v>
      </c>
      <c r="J664" s="32" t="s">
        <v>199</v>
      </c>
      <c r="K664" s="32">
        <v>2.2007249999999998</v>
      </c>
      <c r="L664" s="33">
        <v>1513</v>
      </c>
      <c r="M664" s="32">
        <v>297</v>
      </c>
      <c r="N664" s="32">
        <v>257</v>
      </c>
      <c r="O664" s="32">
        <v>383</v>
      </c>
      <c r="P664" s="32">
        <v>441</v>
      </c>
      <c r="Q664" s="32">
        <v>135</v>
      </c>
      <c r="R664" s="32">
        <v>3</v>
      </c>
      <c r="S664" s="32">
        <v>24.095700000000001</v>
      </c>
      <c r="T664" s="32">
        <v>8.5164500000000007</v>
      </c>
      <c r="U664" s="32">
        <v>0.98770458400000005</v>
      </c>
      <c r="V664" s="32">
        <v>4</v>
      </c>
      <c r="W664" s="32">
        <v>0.900725</v>
      </c>
      <c r="X664" s="32">
        <v>0.179426</v>
      </c>
      <c r="Y664" s="32">
        <v>0.63254200000000005</v>
      </c>
      <c r="Z664" s="32">
        <v>0.49711499999999997</v>
      </c>
      <c r="AA664" s="32">
        <v>55.3</v>
      </c>
      <c r="AB664" s="32">
        <v>372</v>
      </c>
      <c r="AC664" s="32">
        <v>16</v>
      </c>
      <c r="AD664" s="32">
        <v>18</v>
      </c>
      <c r="AE664" s="32">
        <v>0</v>
      </c>
      <c r="AF664" s="32" t="s">
        <v>200</v>
      </c>
      <c r="AG664" s="32" t="s">
        <v>200</v>
      </c>
    </row>
    <row r="665" spans="1:33">
      <c r="A665" s="32" t="s">
        <v>2586</v>
      </c>
      <c r="B665" s="32" t="s">
        <v>141</v>
      </c>
      <c r="C665" s="32" t="s">
        <v>2587</v>
      </c>
      <c r="D665" s="32" t="s">
        <v>2588</v>
      </c>
      <c r="E665" s="32" t="s">
        <v>2584</v>
      </c>
      <c r="F665" s="32" t="s">
        <v>2585</v>
      </c>
      <c r="G665" s="32" t="s">
        <v>2164</v>
      </c>
      <c r="H665" s="32" t="s">
        <v>2165</v>
      </c>
      <c r="I665" s="32" t="s">
        <v>198</v>
      </c>
      <c r="J665" s="32" t="s">
        <v>199</v>
      </c>
      <c r="K665" s="32">
        <v>2.2466219999999999</v>
      </c>
      <c r="L665" s="33">
        <v>1812</v>
      </c>
      <c r="M665" s="32">
        <v>439</v>
      </c>
      <c r="N665" s="32">
        <v>272</v>
      </c>
      <c r="O665" s="32">
        <v>544</v>
      </c>
      <c r="P665" s="32">
        <v>435</v>
      </c>
      <c r="Q665" s="32">
        <v>122</v>
      </c>
      <c r="R665" s="32">
        <v>5</v>
      </c>
      <c r="S665" s="32">
        <v>29.8079</v>
      </c>
      <c r="T665" s="32">
        <v>15.761100000000001</v>
      </c>
      <c r="U665" s="32">
        <v>1.172359146</v>
      </c>
      <c r="V665" s="32">
        <v>2</v>
      </c>
      <c r="W665" s="32">
        <v>0.90574299999999996</v>
      </c>
      <c r="X665" s="32">
        <v>0.15524499999999999</v>
      </c>
      <c r="Y665" s="32">
        <v>0.64722199999999996</v>
      </c>
      <c r="Z665" s="32">
        <v>0.532192</v>
      </c>
      <c r="AA665" s="32">
        <v>63.8</v>
      </c>
      <c r="AB665" s="32">
        <v>307</v>
      </c>
      <c r="AC665" s="32">
        <v>40</v>
      </c>
      <c r="AD665" s="32">
        <v>28</v>
      </c>
      <c r="AE665" s="32">
        <v>0</v>
      </c>
      <c r="AF665" s="32">
        <v>0</v>
      </c>
      <c r="AG665" s="32">
        <v>0</v>
      </c>
    </row>
    <row r="666" spans="1:33">
      <c r="A666" s="32" t="s">
        <v>2481</v>
      </c>
      <c r="B666" s="32" t="s">
        <v>141</v>
      </c>
      <c r="C666" s="32" t="s">
        <v>2482</v>
      </c>
      <c r="D666" s="32" t="s">
        <v>2483</v>
      </c>
      <c r="E666" s="32" t="s">
        <v>2484</v>
      </c>
      <c r="F666" s="32" t="s">
        <v>2485</v>
      </c>
      <c r="G666" s="32" t="s">
        <v>2164</v>
      </c>
      <c r="H666" s="32" t="s">
        <v>2165</v>
      </c>
      <c r="I666" s="32" t="s">
        <v>198</v>
      </c>
      <c r="J666" s="32" t="s">
        <v>199</v>
      </c>
      <c r="K666" s="32">
        <v>2.1531709999999999</v>
      </c>
      <c r="L666" s="33">
        <v>1834</v>
      </c>
      <c r="M666" s="32">
        <v>459</v>
      </c>
      <c r="N666" s="32">
        <v>275</v>
      </c>
      <c r="O666" s="32">
        <v>549</v>
      </c>
      <c r="P666" s="32">
        <v>408</v>
      </c>
      <c r="Q666" s="32">
        <v>143</v>
      </c>
      <c r="R666" s="32">
        <v>4</v>
      </c>
      <c r="S666" s="32">
        <v>30.730899999999998</v>
      </c>
      <c r="T666" s="32">
        <v>11.5442</v>
      </c>
      <c r="U666" s="32">
        <v>1.288119748</v>
      </c>
      <c r="V666" s="32">
        <v>2</v>
      </c>
      <c r="W666" s="32">
        <v>0.906829</v>
      </c>
      <c r="X666" s="32">
        <v>0.13187299999999999</v>
      </c>
      <c r="Y666" s="32">
        <v>0.67125599999999996</v>
      </c>
      <c r="Z666" s="32">
        <v>0.45599000000000001</v>
      </c>
      <c r="AA666" s="32">
        <v>62.8</v>
      </c>
      <c r="AB666" s="32">
        <v>376</v>
      </c>
      <c r="AC666" s="32">
        <v>14</v>
      </c>
      <c r="AD666" s="32">
        <v>38</v>
      </c>
      <c r="AE666" s="32" t="s">
        <v>200</v>
      </c>
      <c r="AF666" s="32" t="s">
        <v>200</v>
      </c>
      <c r="AG666" s="32" t="s">
        <v>200</v>
      </c>
    </row>
    <row r="667" spans="1:33">
      <c r="A667" s="32" t="s">
        <v>2589</v>
      </c>
      <c r="B667" s="32" t="s">
        <v>141</v>
      </c>
      <c r="C667" s="32" t="s">
        <v>2590</v>
      </c>
      <c r="D667" s="32" t="s">
        <v>2591</v>
      </c>
      <c r="E667" s="32" t="s">
        <v>2584</v>
      </c>
      <c r="F667" s="32" t="s">
        <v>2585</v>
      </c>
      <c r="G667" s="32" t="s">
        <v>2164</v>
      </c>
      <c r="H667" s="32" t="s">
        <v>2165</v>
      </c>
      <c r="I667" s="32" t="s">
        <v>198</v>
      </c>
      <c r="J667" s="32" t="s">
        <v>199</v>
      </c>
      <c r="K667" s="32">
        <v>2.3809819999999999</v>
      </c>
      <c r="L667" s="33">
        <v>1955</v>
      </c>
      <c r="M667" s="32">
        <v>434</v>
      </c>
      <c r="N667" s="32">
        <v>389</v>
      </c>
      <c r="O667" s="32">
        <v>520</v>
      </c>
      <c r="P667" s="32">
        <v>444</v>
      </c>
      <c r="Q667" s="32">
        <v>168</v>
      </c>
      <c r="R667" s="32" t="s">
        <v>302</v>
      </c>
      <c r="S667" s="32">
        <v>35.0901</v>
      </c>
      <c r="T667" s="32">
        <v>1.85707</v>
      </c>
      <c r="U667" s="32">
        <v>1.32290738</v>
      </c>
      <c r="V667" s="32">
        <v>1</v>
      </c>
      <c r="W667" s="32">
        <v>0.91022499999999995</v>
      </c>
      <c r="X667" s="32">
        <v>0.34515800000000002</v>
      </c>
      <c r="Y667" s="32">
        <v>0.62761800000000001</v>
      </c>
      <c r="Z667" s="32">
        <v>0.49959100000000001</v>
      </c>
      <c r="AA667" s="32">
        <v>59.5</v>
      </c>
      <c r="AB667" s="32">
        <v>414</v>
      </c>
      <c r="AC667" s="32">
        <v>37</v>
      </c>
      <c r="AD667" s="32">
        <v>31</v>
      </c>
      <c r="AE667" s="32" t="s">
        <v>200</v>
      </c>
      <c r="AF667" s="32" t="s">
        <v>200</v>
      </c>
      <c r="AG667" s="32">
        <v>8</v>
      </c>
    </row>
    <row r="668" spans="1:33">
      <c r="A668" s="32" t="s">
        <v>2592</v>
      </c>
      <c r="B668" s="32" t="s">
        <v>141</v>
      </c>
      <c r="C668" s="32" t="s">
        <v>2593</v>
      </c>
      <c r="D668" s="32" t="s">
        <v>2594</v>
      </c>
      <c r="E668" s="32" t="s">
        <v>2317</v>
      </c>
      <c r="F668" s="32" t="s">
        <v>2318</v>
      </c>
      <c r="G668" s="32" t="s">
        <v>2164</v>
      </c>
      <c r="H668" s="32" t="s">
        <v>2165</v>
      </c>
      <c r="I668" s="32" t="s">
        <v>198</v>
      </c>
      <c r="J668" s="32" t="s">
        <v>199</v>
      </c>
      <c r="K668" s="32">
        <v>2.1040199999999998</v>
      </c>
      <c r="L668" s="33">
        <v>1418</v>
      </c>
      <c r="M668" s="32">
        <v>310</v>
      </c>
      <c r="N668" s="32">
        <v>236</v>
      </c>
      <c r="O668" s="32">
        <v>359</v>
      </c>
      <c r="P668" s="32">
        <v>356</v>
      </c>
      <c r="Q668" s="32">
        <v>157</v>
      </c>
      <c r="R668" s="32">
        <v>4</v>
      </c>
      <c r="S668" s="32">
        <v>26.448499999999999</v>
      </c>
      <c r="T668" s="32">
        <v>9.5865200000000002</v>
      </c>
      <c r="U668" s="32">
        <v>1.5122515299999999</v>
      </c>
      <c r="V668" s="32">
        <v>1</v>
      </c>
      <c r="W668" s="32">
        <v>0.90402000000000005</v>
      </c>
      <c r="X668" s="32">
        <v>0.149114</v>
      </c>
      <c r="Y668" s="32">
        <v>0.60328300000000001</v>
      </c>
      <c r="Z668" s="32">
        <v>0.45919399999999999</v>
      </c>
      <c r="AA668" s="32">
        <v>58.9</v>
      </c>
      <c r="AB668" s="32">
        <v>329</v>
      </c>
      <c r="AC668" s="32">
        <v>21</v>
      </c>
      <c r="AD668" s="32">
        <v>17</v>
      </c>
      <c r="AE668" s="32">
        <v>0</v>
      </c>
      <c r="AF668" s="32">
        <v>0</v>
      </c>
      <c r="AG668" s="32" t="s">
        <v>200</v>
      </c>
    </row>
    <row r="669" spans="1:33">
      <c r="A669" s="32" t="s">
        <v>2595</v>
      </c>
      <c r="B669" s="32" t="s">
        <v>141</v>
      </c>
      <c r="C669" s="32" t="s">
        <v>2596</v>
      </c>
      <c r="D669" s="32" t="s">
        <v>2597</v>
      </c>
      <c r="E669" s="32" t="s">
        <v>2495</v>
      </c>
      <c r="F669" s="32" t="s">
        <v>2496</v>
      </c>
      <c r="G669" s="32" t="s">
        <v>2164</v>
      </c>
      <c r="H669" s="32" t="s">
        <v>2165</v>
      </c>
      <c r="I669" s="32" t="s">
        <v>198</v>
      </c>
      <c r="J669" s="32" t="s">
        <v>199</v>
      </c>
      <c r="K669" s="32">
        <v>1.9860869999999999</v>
      </c>
      <c r="L669" s="33">
        <v>1583</v>
      </c>
      <c r="M669" s="32">
        <v>289</v>
      </c>
      <c r="N669" s="32">
        <v>262</v>
      </c>
      <c r="O669" s="32">
        <v>515</v>
      </c>
      <c r="P669" s="32">
        <v>393</v>
      </c>
      <c r="Q669" s="32">
        <v>124</v>
      </c>
      <c r="R669" s="32">
        <v>3</v>
      </c>
      <c r="S669" s="32">
        <v>19.011600000000001</v>
      </c>
      <c r="T669" s="32">
        <v>10.9551</v>
      </c>
      <c r="U669" s="32">
        <v>1.1727544919999999</v>
      </c>
      <c r="V669" s="32">
        <v>3</v>
      </c>
      <c r="W669" s="32">
        <v>0.90289900000000001</v>
      </c>
      <c r="X669" s="32">
        <v>4.8710999999999997E-2</v>
      </c>
      <c r="Y669" s="32">
        <v>0.6</v>
      </c>
      <c r="Z669" s="32">
        <v>0.43458200000000002</v>
      </c>
      <c r="AA669" s="32">
        <v>53.3</v>
      </c>
      <c r="AB669" s="32">
        <v>333</v>
      </c>
      <c r="AC669" s="32">
        <v>19</v>
      </c>
      <c r="AD669" s="32">
        <v>29</v>
      </c>
      <c r="AE669" s="32">
        <v>0</v>
      </c>
      <c r="AF669" s="32" t="s">
        <v>200</v>
      </c>
      <c r="AG669" s="32" t="s">
        <v>200</v>
      </c>
    </row>
    <row r="670" spans="1:33">
      <c r="A670" s="32" t="s">
        <v>2598</v>
      </c>
      <c r="B670" s="32" t="s">
        <v>141</v>
      </c>
      <c r="C670" s="32" t="s">
        <v>2599</v>
      </c>
      <c r="D670" s="32" t="s">
        <v>2600</v>
      </c>
      <c r="E670" s="32" t="s">
        <v>2317</v>
      </c>
      <c r="F670" s="32" t="s">
        <v>2318</v>
      </c>
      <c r="G670" s="32" t="s">
        <v>2164</v>
      </c>
      <c r="H670" s="32" t="s">
        <v>2165</v>
      </c>
      <c r="I670" s="32" t="s">
        <v>198</v>
      </c>
      <c r="J670" s="32" t="s">
        <v>199</v>
      </c>
      <c r="K670" s="32">
        <v>2.8274159999999999</v>
      </c>
      <c r="L670" s="33">
        <v>5959</v>
      </c>
      <c r="M670" s="32">
        <v>924</v>
      </c>
      <c r="N670" s="33">
        <v>1926</v>
      </c>
      <c r="O670" s="33">
        <v>2153</v>
      </c>
      <c r="P670" s="32">
        <v>793</v>
      </c>
      <c r="Q670" s="32">
        <v>163</v>
      </c>
      <c r="R670" s="32" t="s">
        <v>668</v>
      </c>
      <c r="S670" s="32">
        <v>68.727099999999993</v>
      </c>
      <c r="T670" s="32">
        <v>17.3339</v>
      </c>
      <c r="U670" s="32">
        <v>0.741858028</v>
      </c>
      <c r="V670" s="32">
        <v>3</v>
      </c>
      <c r="W670" s="32">
        <v>0.90986199999999995</v>
      </c>
      <c r="X670" s="32">
        <v>0.40316800000000003</v>
      </c>
      <c r="Y670" s="32">
        <v>0.7</v>
      </c>
      <c r="Z670" s="32">
        <v>0.81093599999999999</v>
      </c>
      <c r="AA670" s="32">
        <v>51.3</v>
      </c>
      <c r="AB670" s="32">
        <v>637</v>
      </c>
      <c r="AC670" s="32">
        <v>30</v>
      </c>
      <c r="AD670" s="32">
        <v>24</v>
      </c>
      <c r="AE670" s="32">
        <v>0</v>
      </c>
      <c r="AF670" s="32" t="s">
        <v>200</v>
      </c>
      <c r="AG670" s="32" t="s">
        <v>200</v>
      </c>
    </row>
    <row r="671" spans="1:33">
      <c r="A671" s="32" t="s">
        <v>2601</v>
      </c>
      <c r="B671" s="32" t="s">
        <v>141</v>
      </c>
      <c r="C671" s="32" t="s">
        <v>2602</v>
      </c>
      <c r="D671" s="32" t="s">
        <v>2603</v>
      </c>
      <c r="E671" s="32" t="s">
        <v>2317</v>
      </c>
      <c r="F671" s="32" t="s">
        <v>2318</v>
      </c>
      <c r="G671" s="32" t="s">
        <v>2164</v>
      </c>
      <c r="H671" s="32" t="s">
        <v>2165</v>
      </c>
      <c r="I671" s="32" t="s">
        <v>198</v>
      </c>
      <c r="J671" s="32" t="s">
        <v>199</v>
      </c>
      <c r="K671" s="32">
        <v>2.5179510000000001</v>
      </c>
      <c r="L671" s="33">
        <v>2051</v>
      </c>
      <c r="M671" s="32">
        <v>270</v>
      </c>
      <c r="N671" s="32">
        <v>529</v>
      </c>
      <c r="O671" s="32">
        <v>741</v>
      </c>
      <c r="P671" s="32">
        <v>356</v>
      </c>
      <c r="Q671" s="32">
        <v>155</v>
      </c>
      <c r="R671" s="32" t="s">
        <v>302</v>
      </c>
      <c r="S671" s="32">
        <v>61.6068</v>
      </c>
      <c r="T671" s="32">
        <v>21.2621</v>
      </c>
      <c r="U671" s="32">
        <v>0.98508890000000005</v>
      </c>
      <c r="V671" s="32">
        <v>2</v>
      </c>
      <c r="W671" s="32">
        <v>0.90813100000000002</v>
      </c>
      <c r="X671" s="32">
        <v>0.27788400000000002</v>
      </c>
      <c r="Y671" s="32">
        <v>0.68113800000000002</v>
      </c>
      <c r="Z671" s="32">
        <v>0.65650799999999998</v>
      </c>
      <c r="AA671" s="32">
        <v>47</v>
      </c>
      <c r="AB671" s="32">
        <v>404</v>
      </c>
      <c r="AC671" s="32">
        <v>27</v>
      </c>
      <c r="AD671" s="32">
        <v>179</v>
      </c>
      <c r="AE671" s="32">
        <v>38</v>
      </c>
      <c r="AF671" s="32">
        <v>40</v>
      </c>
      <c r="AG671" s="32">
        <v>10</v>
      </c>
    </row>
    <row r="672" spans="1:33">
      <c r="A672" s="32" t="s">
        <v>2604</v>
      </c>
      <c r="B672" s="32" t="s">
        <v>141</v>
      </c>
      <c r="C672" s="32" t="s">
        <v>2605</v>
      </c>
      <c r="D672" s="32" t="s">
        <v>2606</v>
      </c>
      <c r="E672" s="32" t="s">
        <v>2317</v>
      </c>
      <c r="F672" s="32" t="s">
        <v>2318</v>
      </c>
      <c r="G672" s="32" t="s">
        <v>2164</v>
      </c>
      <c r="H672" s="32" t="s">
        <v>2165</v>
      </c>
      <c r="I672" s="32" t="s">
        <v>198</v>
      </c>
      <c r="J672" s="32" t="s">
        <v>199</v>
      </c>
      <c r="K672" s="32">
        <v>2.4075519999999999</v>
      </c>
      <c r="L672" s="33">
        <v>1315</v>
      </c>
      <c r="M672" s="32">
        <v>365</v>
      </c>
      <c r="N672" s="32">
        <v>223</v>
      </c>
      <c r="O672" s="32">
        <v>379</v>
      </c>
      <c r="P672" s="32">
        <v>268</v>
      </c>
      <c r="Q672" s="32">
        <v>80</v>
      </c>
      <c r="R672" s="32" t="s">
        <v>302</v>
      </c>
      <c r="S672" s="32">
        <v>48.346299999999999</v>
      </c>
      <c r="T672" s="32">
        <v>22.6083</v>
      </c>
      <c r="U672" s="32">
        <v>1.029068286</v>
      </c>
      <c r="V672" s="32">
        <v>3</v>
      </c>
      <c r="W672" s="32">
        <v>0.910937</v>
      </c>
      <c r="X672" s="32">
        <v>0.20425499999999999</v>
      </c>
      <c r="Y672" s="32">
        <v>0.67313800000000001</v>
      </c>
      <c r="Z672" s="32">
        <v>0.62838499999999997</v>
      </c>
      <c r="AA672" s="32">
        <v>58.9</v>
      </c>
      <c r="AB672" s="32">
        <v>216</v>
      </c>
      <c r="AC672" s="32">
        <v>7</v>
      </c>
      <c r="AD672" s="32">
        <v>15</v>
      </c>
      <c r="AE672" s="32">
        <v>0</v>
      </c>
      <c r="AF672" s="32">
        <v>0</v>
      </c>
      <c r="AG672" s="32" t="s">
        <v>200</v>
      </c>
    </row>
    <row r="673" spans="1:33">
      <c r="A673" s="32" t="s">
        <v>2607</v>
      </c>
      <c r="B673" s="32" t="s">
        <v>79</v>
      </c>
      <c r="C673" s="32" t="s">
        <v>2608</v>
      </c>
      <c r="D673" s="32" t="s">
        <v>2609</v>
      </c>
      <c r="E673" s="32" t="s">
        <v>2169</v>
      </c>
      <c r="F673" s="32" t="s">
        <v>2170</v>
      </c>
      <c r="G673" s="32" t="s">
        <v>2164</v>
      </c>
      <c r="H673" s="32" t="s">
        <v>2165</v>
      </c>
      <c r="I673" s="32" t="s">
        <v>198</v>
      </c>
      <c r="J673" s="32" t="s">
        <v>199</v>
      </c>
      <c r="K673" s="32">
        <v>2.4029410000000002</v>
      </c>
      <c r="L673" s="33">
        <v>2047</v>
      </c>
      <c r="M673" s="32">
        <v>327</v>
      </c>
      <c r="N673" s="32">
        <v>739</v>
      </c>
      <c r="O673" s="32">
        <v>433</v>
      </c>
      <c r="P673" s="32">
        <v>418</v>
      </c>
      <c r="Q673" s="32">
        <v>130</v>
      </c>
      <c r="R673" s="32" t="s">
        <v>302</v>
      </c>
      <c r="S673" s="32">
        <v>36.053400000000003</v>
      </c>
      <c r="T673" s="32">
        <v>15.9049</v>
      </c>
      <c r="U673" s="32">
        <v>0.96423051800000004</v>
      </c>
      <c r="V673" s="32">
        <v>4</v>
      </c>
      <c r="W673" s="32">
        <v>0.90989299999999995</v>
      </c>
      <c r="X673" s="32">
        <v>8.2702999999999999E-2</v>
      </c>
      <c r="Y673" s="32">
        <v>0.7</v>
      </c>
      <c r="Z673" s="32">
        <v>0.71128999999999998</v>
      </c>
      <c r="AA673" s="32">
        <v>53.9</v>
      </c>
      <c r="AB673" s="32">
        <v>314</v>
      </c>
      <c r="AC673" s="32">
        <v>13</v>
      </c>
      <c r="AD673" s="32">
        <v>26</v>
      </c>
      <c r="AE673" s="32">
        <v>0</v>
      </c>
      <c r="AF673" s="32">
        <v>0</v>
      </c>
      <c r="AG673" s="32" t="s">
        <v>200</v>
      </c>
    </row>
    <row r="674" spans="1:33">
      <c r="A674" s="32" t="s">
        <v>2610</v>
      </c>
      <c r="B674" s="32" t="s">
        <v>79</v>
      </c>
      <c r="C674" s="32" t="s">
        <v>2611</v>
      </c>
      <c r="D674" s="32" t="s">
        <v>2612</v>
      </c>
      <c r="E674" s="32" t="s">
        <v>2169</v>
      </c>
      <c r="F674" s="32" t="s">
        <v>2170</v>
      </c>
      <c r="G674" s="32" t="s">
        <v>2164</v>
      </c>
      <c r="H674" s="32" t="s">
        <v>2165</v>
      </c>
      <c r="I674" s="32" t="s">
        <v>198</v>
      </c>
      <c r="J674" s="32" t="s">
        <v>199</v>
      </c>
      <c r="K674" s="32">
        <v>2.4317380000000002</v>
      </c>
      <c r="L674" s="33">
        <v>1993</v>
      </c>
      <c r="M674" s="32">
        <v>337</v>
      </c>
      <c r="N674" s="32">
        <v>433</v>
      </c>
      <c r="O674" s="32">
        <v>768</v>
      </c>
      <c r="P674" s="32">
        <v>360</v>
      </c>
      <c r="Q674" s="32">
        <v>95</v>
      </c>
      <c r="R674" s="32" t="s">
        <v>302</v>
      </c>
      <c r="S674" s="32">
        <v>39.123199999999997</v>
      </c>
      <c r="T674" s="32">
        <v>13.954800000000001</v>
      </c>
      <c r="U674" s="32">
        <v>0.85490758200000005</v>
      </c>
      <c r="V674" s="32">
        <v>4</v>
      </c>
      <c r="W674" s="32">
        <v>0.90461000000000003</v>
      </c>
      <c r="X674" s="32">
        <v>0.131802</v>
      </c>
      <c r="Y674" s="32">
        <v>0.7</v>
      </c>
      <c r="Z674" s="32">
        <v>0.69433599999999995</v>
      </c>
      <c r="AA674" s="32">
        <v>36.299999999999997</v>
      </c>
      <c r="AB674" s="32">
        <v>360</v>
      </c>
      <c r="AC674" s="32">
        <v>9</v>
      </c>
      <c r="AD674" s="32">
        <v>33</v>
      </c>
      <c r="AE674" s="32">
        <v>0</v>
      </c>
      <c r="AF674" s="32" t="s">
        <v>200</v>
      </c>
      <c r="AG674" s="32">
        <v>0</v>
      </c>
    </row>
    <row r="675" spans="1:33">
      <c r="A675" s="32" t="s">
        <v>2613</v>
      </c>
      <c r="B675" s="32" t="s">
        <v>79</v>
      </c>
      <c r="C675" s="32" t="s">
        <v>2614</v>
      </c>
      <c r="D675" s="32" t="s">
        <v>2615</v>
      </c>
      <c r="E675" s="32" t="s">
        <v>2200</v>
      </c>
      <c r="F675" s="32" t="s">
        <v>2201</v>
      </c>
      <c r="G675" s="32" t="s">
        <v>2164</v>
      </c>
      <c r="H675" s="32" t="s">
        <v>2165</v>
      </c>
      <c r="I675" s="32" t="s">
        <v>198</v>
      </c>
      <c r="J675" s="32" t="s">
        <v>199</v>
      </c>
      <c r="K675" s="32">
        <v>2.3652989999999998</v>
      </c>
      <c r="L675" s="33">
        <v>1555</v>
      </c>
      <c r="M675" s="32">
        <v>256</v>
      </c>
      <c r="N675" s="32">
        <v>326</v>
      </c>
      <c r="O675" s="32">
        <v>562</v>
      </c>
      <c r="P675" s="32">
        <v>307</v>
      </c>
      <c r="Q675" s="32">
        <v>104</v>
      </c>
      <c r="R675" s="32">
        <v>4</v>
      </c>
      <c r="S675" s="32">
        <v>30.970300000000002</v>
      </c>
      <c r="T675" s="32">
        <v>12.5084</v>
      </c>
      <c r="U675" s="32">
        <v>0.88730426500000004</v>
      </c>
      <c r="V675" s="32">
        <v>4</v>
      </c>
      <c r="W675" s="32">
        <v>0.90564100000000003</v>
      </c>
      <c r="X675" s="32">
        <v>0.24143800000000001</v>
      </c>
      <c r="Y675" s="32">
        <v>0.7</v>
      </c>
      <c r="Z675" s="32">
        <v>0.517235</v>
      </c>
      <c r="AA675" s="32">
        <v>33.799999999999997</v>
      </c>
      <c r="AB675" s="32">
        <v>329</v>
      </c>
      <c r="AC675" s="32">
        <v>21</v>
      </c>
      <c r="AD675" s="32">
        <v>19</v>
      </c>
      <c r="AE675" s="32">
        <v>0</v>
      </c>
      <c r="AF675" s="32">
        <v>6</v>
      </c>
      <c r="AG675" s="32">
        <v>0</v>
      </c>
    </row>
    <row r="676" spans="1:33">
      <c r="A676" s="32" t="s">
        <v>2616</v>
      </c>
      <c r="B676" s="32" t="s">
        <v>79</v>
      </c>
      <c r="C676" s="32" t="s">
        <v>2617</v>
      </c>
      <c r="D676" s="32" t="s">
        <v>2618</v>
      </c>
      <c r="E676" s="32" t="s">
        <v>2169</v>
      </c>
      <c r="F676" s="32" t="s">
        <v>2170</v>
      </c>
      <c r="G676" s="32" t="s">
        <v>2164</v>
      </c>
      <c r="H676" s="32" t="s">
        <v>2165</v>
      </c>
      <c r="I676" s="32" t="s">
        <v>198</v>
      </c>
      <c r="J676" s="32" t="s">
        <v>199</v>
      </c>
      <c r="K676" s="32">
        <v>2.7793679999999998</v>
      </c>
      <c r="L676" s="33">
        <v>2038</v>
      </c>
      <c r="M676" s="32">
        <v>295</v>
      </c>
      <c r="N676" s="32">
        <v>889</v>
      </c>
      <c r="O676" s="32">
        <v>519</v>
      </c>
      <c r="P676" s="32">
        <v>244</v>
      </c>
      <c r="Q676" s="32">
        <v>91</v>
      </c>
      <c r="R676" s="32" t="s">
        <v>302</v>
      </c>
      <c r="S676" s="32">
        <v>45.970399999999998</v>
      </c>
      <c r="T676" s="32">
        <v>32.466299999999997</v>
      </c>
      <c r="U676" s="32">
        <v>0.72129545299999998</v>
      </c>
      <c r="V676" s="32">
        <v>4</v>
      </c>
      <c r="W676" s="32">
        <v>0.91996699999999998</v>
      </c>
      <c r="X676" s="32">
        <v>0.32954899999999998</v>
      </c>
      <c r="Y676" s="32">
        <v>0.7</v>
      </c>
      <c r="Z676" s="32">
        <v>0.84875599999999995</v>
      </c>
      <c r="AA676" s="32">
        <v>46.1</v>
      </c>
      <c r="AB676" s="32">
        <v>191</v>
      </c>
      <c r="AC676" s="32">
        <v>14</v>
      </c>
      <c r="AD676" s="32">
        <v>36</v>
      </c>
      <c r="AE676" s="32" t="s">
        <v>200</v>
      </c>
      <c r="AF676" s="32">
        <v>0</v>
      </c>
      <c r="AG676" s="32">
        <v>9</v>
      </c>
    </row>
    <row r="677" spans="1:33">
      <c r="A677" s="32" t="s">
        <v>2619</v>
      </c>
      <c r="B677" s="32" t="s">
        <v>79</v>
      </c>
      <c r="C677" s="32" t="s">
        <v>2620</v>
      </c>
      <c r="D677" s="32" t="s">
        <v>2621</v>
      </c>
      <c r="E677" s="32" t="s">
        <v>2622</v>
      </c>
      <c r="F677" s="32" t="s">
        <v>2623</v>
      </c>
      <c r="G677" s="32" t="s">
        <v>2164</v>
      </c>
      <c r="H677" s="32" t="s">
        <v>2165</v>
      </c>
      <c r="I677" s="32" t="s">
        <v>198</v>
      </c>
      <c r="J677" s="32" t="s">
        <v>199</v>
      </c>
      <c r="K677" s="32">
        <v>2.07891</v>
      </c>
      <c r="L677" s="33">
        <v>1814</v>
      </c>
      <c r="M677" s="32">
        <v>279</v>
      </c>
      <c r="N677" s="32">
        <v>358</v>
      </c>
      <c r="O677" s="32">
        <v>600</v>
      </c>
      <c r="P677" s="32">
        <v>431</v>
      </c>
      <c r="Q677" s="32">
        <v>146</v>
      </c>
      <c r="R677" s="32">
        <v>4</v>
      </c>
      <c r="S677" s="32">
        <v>26.429600000000001</v>
      </c>
      <c r="T677" s="32">
        <v>9.4642999999999997</v>
      </c>
      <c r="U677" s="32">
        <v>1.037030194</v>
      </c>
      <c r="V677" s="32">
        <v>4</v>
      </c>
      <c r="W677" s="32">
        <v>0.90165899999999999</v>
      </c>
      <c r="X677" s="32">
        <v>4.4907000000000002E-2</v>
      </c>
      <c r="Y677" s="32">
        <v>0.7</v>
      </c>
      <c r="Z677" s="32">
        <v>0.438915</v>
      </c>
      <c r="AA677" s="32">
        <v>39</v>
      </c>
      <c r="AB677" s="32">
        <v>418</v>
      </c>
      <c r="AC677" s="32">
        <v>23</v>
      </c>
      <c r="AD677" s="32">
        <v>25</v>
      </c>
      <c r="AE677" s="32" t="s">
        <v>200</v>
      </c>
      <c r="AF677" s="32">
        <v>0</v>
      </c>
      <c r="AG677" s="32">
        <v>0</v>
      </c>
    </row>
    <row r="678" spans="1:33">
      <c r="A678" s="32" t="s">
        <v>2624</v>
      </c>
      <c r="B678" s="32" t="s">
        <v>79</v>
      </c>
      <c r="C678" s="32" t="s">
        <v>2625</v>
      </c>
      <c r="D678" s="32" t="s">
        <v>2626</v>
      </c>
      <c r="E678" s="32" t="s">
        <v>2622</v>
      </c>
      <c r="F678" s="32" t="s">
        <v>2623</v>
      </c>
      <c r="G678" s="32" t="s">
        <v>2164</v>
      </c>
      <c r="H678" s="32" t="s">
        <v>2165</v>
      </c>
      <c r="I678" s="32" t="s">
        <v>198</v>
      </c>
      <c r="J678" s="32" t="s">
        <v>199</v>
      </c>
      <c r="K678" s="32">
        <v>2.3746610000000001</v>
      </c>
      <c r="L678" s="33">
        <v>1989</v>
      </c>
      <c r="M678" s="32">
        <v>343</v>
      </c>
      <c r="N678" s="32">
        <v>466</v>
      </c>
      <c r="O678" s="32">
        <v>598</v>
      </c>
      <c r="P678" s="32">
        <v>405</v>
      </c>
      <c r="Q678" s="32">
        <v>177</v>
      </c>
      <c r="R678" s="32" t="s">
        <v>302</v>
      </c>
      <c r="S678" s="32">
        <v>42.516199999999998</v>
      </c>
      <c r="T678" s="32">
        <v>13.5684</v>
      </c>
      <c r="U678" s="32">
        <v>0.86630668399999999</v>
      </c>
      <c r="V678" s="32">
        <v>4</v>
      </c>
      <c r="W678" s="32">
        <v>0.90429899999999996</v>
      </c>
      <c r="X678" s="32">
        <v>0.19678899999999999</v>
      </c>
      <c r="Y678" s="32">
        <v>0.7</v>
      </c>
      <c r="Z678" s="32">
        <v>0.58116599999999996</v>
      </c>
      <c r="AA678" s="32">
        <v>51.2</v>
      </c>
      <c r="AB678" s="32">
        <v>469</v>
      </c>
      <c r="AC678" s="32">
        <v>28</v>
      </c>
      <c r="AD678" s="32">
        <v>34</v>
      </c>
      <c r="AE678" s="32">
        <v>0</v>
      </c>
      <c r="AF678" s="32">
        <v>0</v>
      </c>
      <c r="AG678" s="32">
        <v>0</v>
      </c>
    </row>
    <row r="679" spans="1:33">
      <c r="A679" s="32" t="s">
        <v>2627</v>
      </c>
      <c r="B679" s="32" t="s">
        <v>79</v>
      </c>
      <c r="C679" s="32" t="s">
        <v>2628</v>
      </c>
      <c r="D679" s="32" t="s">
        <v>2629</v>
      </c>
      <c r="E679" s="32" t="s">
        <v>2200</v>
      </c>
      <c r="F679" s="32" t="s">
        <v>2201</v>
      </c>
      <c r="G679" s="32" t="s">
        <v>2164</v>
      </c>
      <c r="H679" s="32" t="s">
        <v>2165</v>
      </c>
      <c r="I679" s="32" t="s">
        <v>198</v>
      </c>
      <c r="J679" s="32" t="s">
        <v>199</v>
      </c>
      <c r="K679" s="32">
        <v>2.635993</v>
      </c>
      <c r="L679" s="33">
        <v>1593</v>
      </c>
      <c r="M679" s="32">
        <v>282</v>
      </c>
      <c r="N679" s="32">
        <v>360</v>
      </c>
      <c r="O679" s="32">
        <v>387</v>
      </c>
      <c r="P679" s="32">
        <v>367</v>
      </c>
      <c r="Q679" s="32">
        <v>197</v>
      </c>
      <c r="R679" s="32">
        <v>5</v>
      </c>
      <c r="S679" s="32">
        <v>29.566800000000001</v>
      </c>
      <c r="T679" s="32">
        <v>9.0090599999999998</v>
      </c>
      <c r="U679" s="32">
        <v>0.88463470399999999</v>
      </c>
      <c r="V679" s="32">
        <v>3</v>
      </c>
      <c r="W679" s="32">
        <v>0.90482399999999996</v>
      </c>
      <c r="X679" s="32">
        <v>0.28968100000000002</v>
      </c>
      <c r="Y679" s="32">
        <v>0.7</v>
      </c>
      <c r="Z679" s="32">
        <v>0.74357499999999999</v>
      </c>
      <c r="AA679" s="32">
        <v>39.9</v>
      </c>
      <c r="AB679" s="32">
        <v>374</v>
      </c>
      <c r="AC679" s="32">
        <v>9</v>
      </c>
      <c r="AD679" s="32">
        <v>22</v>
      </c>
      <c r="AE679" s="32">
        <v>0</v>
      </c>
      <c r="AF679" s="32" t="s">
        <v>200</v>
      </c>
      <c r="AG679" s="32" t="s">
        <v>200</v>
      </c>
    </row>
    <row r="680" spans="1:33">
      <c r="A680" s="32" t="s">
        <v>2630</v>
      </c>
      <c r="B680" s="32" t="s">
        <v>142</v>
      </c>
      <c r="C680" s="32" t="s">
        <v>2631</v>
      </c>
      <c r="D680" s="32" t="s">
        <v>2632</v>
      </c>
      <c r="E680" s="32" t="s">
        <v>2633</v>
      </c>
      <c r="F680" s="32" t="s">
        <v>2634</v>
      </c>
      <c r="G680" s="32" t="s">
        <v>2164</v>
      </c>
      <c r="H680" s="32" t="s">
        <v>2165</v>
      </c>
      <c r="I680" s="32" t="s">
        <v>198</v>
      </c>
      <c r="J680" s="32" t="s">
        <v>199</v>
      </c>
      <c r="K680" s="32">
        <v>1.9263870000000001</v>
      </c>
      <c r="L680" s="33">
        <v>1955</v>
      </c>
      <c r="M680" s="32">
        <v>500</v>
      </c>
      <c r="N680" s="32">
        <v>300</v>
      </c>
      <c r="O680" s="32">
        <v>500</v>
      </c>
      <c r="P680" s="32">
        <v>445</v>
      </c>
      <c r="Q680" s="32">
        <v>210</v>
      </c>
      <c r="R680" s="32">
        <v>2</v>
      </c>
      <c r="S680" s="32">
        <v>12.9359</v>
      </c>
      <c r="T680" s="32">
        <v>5.4045300000000003</v>
      </c>
      <c r="U680" s="32">
        <v>1.3653744670000001</v>
      </c>
      <c r="V680" s="32">
        <v>3</v>
      </c>
      <c r="W680" s="32">
        <v>0.88905500000000004</v>
      </c>
      <c r="X680" s="32">
        <v>5.0598999999999998E-2</v>
      </c>
      <c r="Y680" s="32">
        <v>0.7</v>
      </c>
      <c r="Z680" s="32">
        <v>0.289238</v>
      </c>
      <c r="AA680" s="32">
        <v>39.6</v>
      </c>
      <c r="AB680" s="32">
        <v>586</v>
      </c>
      <c r="AC680" s="32">
        <v>29</v>
      </c>
      <c r="AD680" s="32">
        <v>35</v>
      </c>
      <c r="AE680" s="32">
        <v>0</v>
      </c>
      <c r="AF680" s="32">
        <v>0</v>
      </c>
      <c r="AG680" s="32" t="s">
        <v>200</v>
      </c>
    </row>
    <row r="681" spans="1:33">
      <c r="A681" s="32" t="s">
        <v>2635</v>
      </c>
      <c r="B681" s="32" t="s">
        <v>142</v>
      </c>
      <c r="C681" s="32" t="s">
        <v>2636</v>
      </c>
      <c r="D681" s="32" t="s">
        <v>2637</v>
      </c>
      <c r="E681" s="32" t="s">
        <v>2633</v>
      </c>
      <c r="F681" s="32" t="s">
        <v>2634</v>
      </c>
      <c r="G681" s="32" t="s">
        <v>2164</v>
      </c>
      <c r="H681" s="32" t="s">
        <v>2165</v>
      </c>
      <c r="I681" s="32" t="s">
        <v>198</v>
      </c>
      <c r="J681" s="32" t="s">
        <v>199</v>
      </c>
      <c r="K681" s="32">
        <v>2.2002510000000002</v>
      </c>
      <c r="L681" s="33">
        <v>1669</v>
      </c>
      <c r="M681" s="32">
        <v>250</v>
      </c>
      <c r="N681" s="32">
        <v>196</v>
      </c>
      <c r="O681" s="32">
        <v>354</v>
      </c>
      <c r="P681" s="32">
        <v>479</v>
      </c>
      <c r="Q681" s="32">
        <v>390</v>
      </c>
      <c r="R681" s="32">
        <v>3</v>
      </c>
      <c r="S681" s="32">
        <v>14.5472</v>
      </c>
      <c r="T681" s="32">
        <v>4.9638400000000003</v>
      </c>
      <c r="U681" s="32">
        <v>1.1270140609999999</v>
      </c>
      <c r="V681" s="32">
        <v>3</v>
      </c>
      <c r="W681" s="32">
        <v>0.89635699999999996</v>
      </c>
      <c r="X681" s="32">
        <v>0.297481</v>
      </c>
      <c r="Y681" s="32">
        <v>0.7</v>
      </c>
      <c r="Z681" s="32">
        <v>0.32042900000000002</v>
      </c>
      <c r="AA681" s="32">
        <v>50.1</v>
      </c>
      <c r="AB681" s="32">
        <v>513</v>
      </c>
      <c r="AC681" s="32">
        <v>18</v>
      </c>
      <c r="AD681" s="32">
        <v>34</v>
      </c>
      <c r="AE681" s="32" t="s">
        <v>200</v>
      </c>
      <c r="AF681" s="32" t="s">
        <v>200</v>
      </c>
      <c r="AG681" s="32" t="s">
        <v>200</v>
      </c>
    </row>
    <row r="682" spans="1:33">
      <c r="A682" s="32" t="s">
        <v>2638</v>
      </c>
      <c r="B682" s="32" t="s">
        <v>142</v>
      </c>
      <c r="C682" s="32" t="s">
        <v>2639</v>
      </c>
      <c r="D682" s="32" t="s">
        <v>2640</v>
      </c>
      <c r="E682" s="32" t="s">
        <v>2633</v>
      </c>
      <c r="F682" s="32" t="s">
        <v>2634</v>
      </c>
      <c r="G682" s="32" t="s">
        <v>2164</v>
      </c>
      <c r="H682" s="32" t="s">
        <v>2165</v>
      </c>
      <c r="I682" s="32" t="s">
        <v>198</v>
      </c>
      <c r="J682" s="32" t="s">
        <v>199</v>
      </c>
      <c r="K682" s="32">
        <v>1.980378</v>
      </c>
      <c r="L682" s="33">
        <v>1499</v>
      </c>
      <c r="M682" s="32">
        <v>343</v>
      </c>
      <c r="N682" s="32">
        <v>262</v>
      </c>
      <c r="O682" s="32">
        <v>359</v>
      </c>
      <c r="P682" s="32">
        <v>365</v>
      </c>
      <c r="Q682" s="32">
        <v>170</v>
      </c>
      <c r="R682" s="32">
        <v>2</v>
      </c>
      <c r="S682" s="32">
        <v>10.5886</v>
      </c>
      <c r="T682" s="32">
        <v>0</v>
      </c>
      <c r="U682" s="32">
        <v>1.3705953529999999</v>
      </c>
      <c r="V682" s="32">
        <v>2</v>
      </c>
      <c r="W682" s="32">
        <v>0.86468</v>
      </c>
      <c r="X682" s="32">
        <v>0.148116</v>
      </c>
      <c r="Y682" s="32">
        <v>0.7</v>
      </c>
      <c r="Z682" s="32">
        <v>0.271843</v>
      </c>
      <c r="AA682" s="32">
        <v>44.5</v>
      </c>
      <c r="AB682" s="32">
        <v>486</v>
      </c>
      <c r="AC682" s="32">
        <v>19</v>
      </c>
      <c r="AD682" s="32">
        <v>43</v>
      </c>
      <c r="AE682" s="32">
        <v>0</v>
      </c>
      <c r="AF682" s="32">
        <v>0</v>
      </c>
      <c r="AG682" s="32" t="s">
        <v>200</v>
      </c>
    </row>
    <row r="683" spans="1:33">
      <c r="A683" s="32" t="s">
        <v>2641</v>
      </c>
      <c r="B683" s="32" t="s">
        <v>142</v>
      </c>
      <c r="C683" s="32" t="s">
        <v>2642</v>
      </c>
      <c r="D683" s="32" t="s">
        <v>2643</v>
      </c>
      <c r="E683" s="32" t="s">
        <v>2644</v>
      </c>
      <c r="F683" s="32" t="s">
        <v>2645</v>
      </c>
      <c r="G683" s="32" t="s">
        <v>2164</v>
      </c>
      <c r="H683" s="32" t="s">
        <v>2165</v>
      </c>
      <c r="I683" s="32" t="s">
        <v>198</v>
      </c>
      <c r="J683" s="32" t="s">
        <v>199</v>
      </c>
      <c r="K683" s="32">
        <v>2.1535359999999999</v>
      </c>
      <c r="L683" s="33">
        <v>2148</v>
      </c>
      <c r="M683" s="32">
        <v>481</v>
      </c>
      <c r="N683" s="32">
        <v>358</v>
      </c>
      <c r="O683" s="32">
        <v>531</v>
      </c>
      <c r="P683" s="32">
        <v>520</v>
      </c>
      <c r="Q683" s="32">
        <v>258</v>
      </c>
      <c r="R683" s="32">
        <v>4</v>
      </c>
      <c r="S683" s="32">
        <v>27.989899999999999</v>
      </c>
      <c r="T683" s="32">
        <v>5.0404900000000001</v>
      </c>
      <c r="U683" s="32">
        <v>1.11542177</v>
      </c>
      <c r="V683" s="32">
        <v>3</v>
      </c>
      <c r="W683" s="32">
        <v>0.90500499999999995</v>
      </c>
      <c r="X683" s="32">
        <v>0.18701300000000001</v>
      </c>
      <c r="Y683" s="32">
        <v>0.68176899999999996</v>
      </c>
      <c r="Z683" s="32">
        <v>0.39123400000000003</v>
      </c>
      <c r="AA683" s="32">
        <v>57.4</v>
      </c>
      <c r="AB683" s="32">
        <v>584</v>
      </c>
      <c r="AC683" s="32">
        <v>28</v>
      </c>
      <c r="AD683" s="32">
        <v>43</v>
      </c>
      <c r="AE683" s="32">
        <v>0</v>
      </c>
      <c r="AF683" s="32" t="s">
        <v>200</v>
      </c>
      <c r="AG683" s="32" t="s">
        <v>200</v>
      </c>
    </row>
    <row r="684" spans="1:33">
      <c r="A684" s="32" t="s">
        <v>2646</v>
      </c>
      <c r="B684" s="32" t="s">
        <v>142</v>
      </c>
      <c r="C684" s="32" t="s">
        <v>2647</v>
      </c>
      <c r="D684" s="32" t="s">
        <v>2648</v>
      </c>
      <c r="E684" s="32" t="s">
        <v>2644</v>
      </c>
      <c r="F684" s="32" t="s">
        <v>2645</v>
      </c>
      <c r="G684" s="32" t="s">
        <v>2164</v>
      </c>
      <c r="H684" s="32" t="s">
        <v>2165</v>
      </c>
      <c r="I684" s="32" t="s">
        <v>198</v>
      </c>
      <c r="J684" s="32" t="s">
        <v>199</v>
      </c>
      <c r="K684" s="32">
        <v>1.9929429999999999</v>
      </c>
      <c r="L684" s="33">
        <v>1677</v>
      </c>
      <c r="M684" s="32">
        <v>280</v>
      </c>
      <c r="N684" s="32">
        <v>306</v>
      </c>
      <c r="O684" s="32">
        <v>326</v>
      </c>
      <c r="P684" s="32">
        <v>509</v>
      </c>
      <c r="Q684" s="32">
        <v>256</v>
      </c>
      <c r="R684" s="32">
        <v>3</v>
      </c>
      <c r="S684" s="32">
        <v>20.255500000000001</v>
      </c>
      <c r="T684" s="32">
        <v>0</v>
      </c>
      <c r="U684" s="32">
        <v>0.95776873500000004</v>
      </c>
      <c r="V684" s="32">
        <v>6</v>
      </c>
      <c r="W684" s="32">
        <v>0.90107700000000002</v>
      </c>
      <c r="X684" s="32">
        <v>7.4608999999999995E-2</v>
      </c>
      <c r="Y684" s="32">
        <v>0.69987900000000003</v>
      </c>
      <c r="Z684" s="32">
        <v>0.318577</v>
      </c>
      <c r="AA684" s="32">
        <v>54.6</v>
      </c>
      <c r="AB684" s="32">
        <v>696</v>
      </c>
      <c r="AC684" s="32">
        <v>45</v>
      </c>
      <c r="AD684" s="32">
        <v>78</v>
      </c>
      <c r="AE684" s="32">
        <v>0</v>
      </c>
      <c r="AF684" s="32" t="s">
        <v>200</v>
      </c>
      <c r="AG684" s="32">
        <v>6</v>
      </c>
    </row>
    <row r="685" spans="1:33">
      <c r="A685" s="32" t="s">
        <v>2649</v>
      </c>
      <c r="B685" s="32" t="s">
        <v>142</v>
      </c>
      <c r="C685" s="32" t="s">
        <v>2650</v>
      </c>
      <c r="D685" s="32" t="s">
        <v>2651</v>
      </c>
      <c r="E685" s="32" t="s">
        <v>2633</v>
      </c>
      <c r="F685" s="32" t="s">
        <v>2634</v>
      </c>
      <c r="G685" s="32" t="s">
        <v>2164</v>
      </c>
      <c r="H685" s="32" t="s">
        <v>2165</v>
      </c>
      <c r="I685" s="32" t="s">
        <v>198</v>
      </c>
      <c r="J685" s="32" t="s">
        <v>199</v>
      </c>
      <c r="K685" s="32">
        <v>1.8849100000000001</v>
      </c>
      <c r="L685" s="33">
        <v>1314</v>
      </c>
      <c r="M685" s="32">
        <v>276</v>
      </c>
      <c r="N685" s="32">
        <v>229</v>
      </c>
      <c r="O685" s="32">
        <v>285</v>
      </c>
      <c r="P685" s="32">
        <v>364</v>
      </c>
      <c r="Q685" s="32">
        <v>160</v>
      </c>
      <c r="R685" s="32" t="s">
        <v>225</v>
      </c>
      <c r="S685" s="32">
        <v>7.2717799999999997</v>
      </c>
      <c r="T685" s="32">
        <v>0</v>
      </c>
      <c r="U685" s="32">
        <v>1.2313350030000001</v>
      </c>
      <c r="V685" s="32">
        <v>3</v>
      </c>
      <c r="W685" s="32">
        <v>0.81681700000000002</v>
      </c>
      <c r="X685" s="32">
        <v>0.14744699999999999</v>
      </c>
      <c r="Y685" s="32">
        <v>0.7</v>
      </c>
      <c r="Z685" s="32">
        <v>0.22783200000000001</v>
      </c>
      <c r="AA685" s="32">
        <v>36.799999999999997</v>
      </c>
      <c r="AB685" s="32">
        <v>612</v>
      </c>
      <c r="AC685" s="32">
        <v>30</v>
      </c>
      <c r="AD685" s="32">
        <v>48</v>
      </c>
      <c r="AE685" s="32">
        <v>0</v>
      </c>
      <c r="AF685" s="32" t="s">
        <v>200</v>
      </c>
      <c r="AG685" s="32" t="s">
        <v>200</v>
      </c>
    </row>
    <row r="686" spans="1:33">
      <c r="A686" s="32" t="s">
        <v>2652</v>
      </c>
      <c r="B686" s="32" t="s">
        <v>142</v>
      </c>
      <c r="C686" s="32" t="s">
        <v>2653</v>
      </c>
      <c r="D686" s="32" t="s">
        <v>2654</v>
      </c>
      <c r="E686" s="32" t="s">
        <v>2655</v>
      </c>
      <c r="F686" s="32" t="s">
        <v>2656</v>
      </c>
      <c r="G686" s="32" t="s">
        <v>2164</v>
      </c>
      <c r="H686" s="32" t="s">
        <v>2165</v>
      </c>
      <c r="I686" s="32" t="s">
        <v>198</v>
      </c>
      <c r="J686" s="32" t="s">
        <v>199</v>
      </c>
      <c r="K686" s="32">
        <v>1.945365</v>
      </c>
      <c r="L686" s="33">
        <v>1664</v>
      </c>
      <c r="M686" s="32">
        <v>383</v>
      </c>
      <c r="N686" s="32">
        <v>266</v>
      </c>
      <c r="O686" s="32">
        <v>376</v>
      </c>
      <c r="P686" s="32">
        <v>433</v>
      </c>
      <c r="Q686" s="32">
        <v>206</v>
      </c>
      <c r="R686" s="32">
        <v>2</v>
      </c>
      <c r="S686" s="32">
        <v>17.1386</v>
      </c>
      <c r="T686" s="32">
        <v>1.5026299999999999</v>
      </c>
      <c r="U686" s="32">
        <v>1.180135927</v>
      </c>
      <c r="V686" s="32">
        <v>4</v>
      </c>
      <c r="W686" s="32">
        <v>0.90196299999999996</v>
      </c>
      <c r="X686" s="32">
        <v>4.9287999999999998E-2</v>
      </c>
      <c r="Y686" s="32">
        <v>0.7</v>
      </c>
      <c r="Z686" s="32">
        <v>0.29627199999999998</v>
      </c>
      <c r="AA686" s="32">
        <v>47.5</v>
      </c>
      <c r="AB686" s="32">
        <v>569</v>
      </c>
      <c r="AC686" s="32">
        <v>21</v>
      </c>
      <c r="AD686" s="32">
        <v>44</v>
      </c>
      <c r="AE686" s="32">
        <v>0</v>
      </c>
      <c r="AF686" s="32">
        <v>0</v>
      </c>
      <c r="AG686" s="32" t="s">
        <v>200</v>
      </c>
    </row>
    <row r="687" spans="1:33">
      <c r="A687" s="32" t="s">
        <v>2657</v>
      </c>
      <c r="B687" s="32" t="s">
        <v>142</v>
      </c>
      <c r="C687" s="32" t="s">
        <v>2658</v>
      </c>
      <c r="D687" s="32" t="s">
        <v>2659</v>
      </c>
      <c r="E687" s="32" t="s">
        <v>2655</v>
      </c>
      <c r="F687" s="32" t="s">
        <v>2656</v>
      </c>
      <c r="G687" s="32" t="s">
        <v>2164</v>
      </c>
      <c r="H687" s="32" t="s">
        <v>2165</v>
      </c>
      <c r="I687" s="32" t="s">
        <v>198</v>
      </c>
      <c r="J687" s="32" t="s">
        <v>199</v>
      </c>
      <c r="K687" s="32">
        <v>2.27217</v>
      </c>
      <c r="L687" s="33">
        <v>2440</v>
      </c>
      <c r="M687" s="32">
        <v>594</v>
      </c>
      <c r="N687" s="32">
        <v>405</v>
      </c>
      <c r="O687" s="32">
        <v>535</v>
      </c>
      <c r="P687" s="32">
        <v>607</v>
      </c>
      <c r="Q687" s="32">
        <v>299</v>
      </c>
      <c r="R687" s="32">
        <v>3</v>
      </c>
      <c r="S687" s="32">
        <v>18.121700000000001</v>
      </c>
      <c r="T687" s="32">
        <v>8.9756499999999999</v>
      </c>
      <c r="U687" s="32">
        <v>1.067435245</v>
      </c>
      <c r="V687" s="32">
        <v>3</v>
      </c>
      <c r="W687" s="32">
        <v>0.90487399999999996</v>
      </c>
      <c r="X687" s="32">
        <v>0.28742099999999998</v>
      </c>
      <c r="Y687" s="32">
        <v>0.7</v>
      </c>
      <c r="Z687" s="32">
        <v>0.38390600000000003</v>
      </c>
      <c r="AA687" s="32">
        <v>51.2</v>
      </c>
      <c r="AB687" s="32">
        <v>702</v>
      </c>
      <c r="AC687" s="32">
        <v>13</v>
      </c>
      <c r="AD687" s="32">
        <v>48</v>
      </c>
      <c r="AE687" s="32">
        <v>5</v>
      </c>
      <c r="AF687" s="32" t="s">
        <v>200</v>
      </c>
      <c r="AG687" s="32">
        <v>7</v>
      </c>
    </row>
    <row r="688" spans="1:33">
      <c r="A688" s="32" t="s">
        <v>2660</v>
      </c>
      <c r="B688" s="32" t="s">
        <v>142</v>
      </c>
      <c r="C688" s="32" t="s">
        <v>2661</v>
      </c>
      <c r="D688" s="32" t="s">
        <v>2662</v>
      </c>
      <c r="E688" s="32" t="s">
        <v>2655</v>
      </c>
      <c r="F688" s="32" t="s">
        <v>2656</v>
      </c>
      <c r="G688" s="32" t="s">
        <v>2164</v>
      </c>
      <c r="H688" s="32" t="s">
        <v>2165</v>
      </c>
      <c r="I688" s="32" t="s">
        <v>198</v>
      </c>
      <c r="J688" s="32" t="s">
        <v>199</v>
      </c>
      <c r="K688" s="32">
        <v>1.979079</v>
      </c>
      <c r="L688" s="33">
        <v>1844</v>
      </c>
      <c r="M688" s="32">
        <v>395</v>
      </c>
      <c r="N688" s="32">
        <v>310</v>
      </c>
      <c r="O688" s="32">
        <v>426</v>
      </c>
      <c r="P688" s="32">
        <v>474</v>
      </c>
      <c r="Q688" s="32">
        <v>239</v>
      </c>
      <c r="R688" s="32">
        <v>2</v>
      </c>
      <c r="S688" s="32">
        <v>14.440799999999999</v>
      </c>
      <c r="T688" s="32">
        <v>3.1660200000000001</v>
      </c>
      <c r="U688" s="32">
        <v>1.0476531019999999</v>
      </c>
      <c r="V688" s="32">
        <v>4</v>
      </c>
      <c r="W688" s="32">
        <v>0.90181299999999998</v>
      </c>
      <c r="X688" s="32">
        <v>7.2576000000000002E-2</v>
      </c>
      <c r="Y688" s="32">
        <v>0.7</v>
      </c>
      <c r="Z688" s="32">
        <v>0.30097099999999999</v>
      </c>
      <c r="AA688" s="32">
        <v>47.5</v>
      </c>
      <c r="AB688" s="32">
        <v>742</v>
      </c>
      <c r="AC688" s="32">
        <v>34</v>
      </c>
      <c r="AD688" s="32">
        <v>51</v>
      </c>
      <c r="AE688" s="32">
        <v>0</v>
      </c>
      <c r="AF688" s="32">
        <v>0</v>
      </c>
      <c r="AG688" s="32" t="s">
        <v>200</v>
      </c>
    </row>
    <row r="689" spans="1:33">
      <c r="A689" s="32" t="s">
        <v>2589</v>
      </c>
      <c r="B689" s="32" t="s">
        <v>142</v>
      </c>
      <c r="C689" s="32" t="s">
        <v>2590</v>
      </c>
      <c r="D689" s="32" t="s">
        <v>2591</v>
      </c>
      <c r="E689" s="32" t="s">
        <v>2584</v>
      </c>
      <c r="F689" s="32" t="s">
        <v>2585</v>
      </c>
      <c r="G689" s="32" t="s">
        <v>2164</v>
      </c>
      <c r="H689" s="32" t="s">
        <v>2165</v>
      </c>
      <c r="I689" s="32" t="s">
        <v>198</v>
      </c>
      <c r="J689" s="32" t="s">
        <v>199</v>
      </c>
      <c r="K689" s="32">
        <v>2.3809819999999999</v>
      </c>
      <c r="L689" s="33">
        <v>1955</v>
      </c>
      <c r="M689" s="32">
        <v>434</v>
      </c>
      <c r="N689" s="32">
        <v>389</v>
      </c>
      <c r="O689" s="32">
        <v>520</v>
      </c>
      <c r="P689" s="32">
        <v>444</v>
      </c>
      <c r="Q689" s="32">
        <v>168</v>
      </c>
      <c r="R689" s="32" t="s">
        <v>302</v>
      </c>
      <c r="S689" s="32">
        <v>35.0901</v>
      </c>
      <c r="T689" s="32">
        <v>1.85707</v>
      </c>
      <c r="U689" s="32">
        <v>1.32290738</v>
      </c>
      <c r="V689" s="32">
        <v>1</v>
      </c>
      <c r="W689" s="32">
        <v>0.91022499999999995</v>
      </c>
      <c r="X689" s="32">
        <v>0.34515800000000002</v>
      </c>
      <c r="Y689" s="32">
        <v>0.62761800000000001</v>
      </c>
      <c r="Z689" s="32">
        <v>0.49959100000000001</v>
      </c>
      <c r="AA689" s="32">
        <v>59.5</v>
      </c>
      <c r="AB689" s="32">
        <v>414</v>
      </c>
      <c r="AC689" s="32">
        <v>37</v>
      </c>
      <c r="AD689" s="32">
        <v>31</v>
      </c>
      <c r="AE689" s="32" t="s">
        <v>200</v>
      </c>
      <c r="AF689" s="32" t="s">
        <v>200</v>
      </c>
      <c r="AG689" s="32">
        <v>8</v>
      </c>
    </row>
    <row r="690" spans="1:33">
      <c r="A690" s="32" t="s">
        <v>2663</v>
      </c>
      <c r="B690" s="32" t="s">
        <v>142</v>
      </c>
      <c r="C690" s="32" t="s">
        <v>2664</v>
      </c>
      <c r="D690" s="32" t="s">
        <v>2665</v>
      </c>
      <c r="E690" s="32" t="s">
        <v>2666</v>
      </c>
      <c r="F690" s="32" t="s">
        <v>2667</v>
      </c>
      <c r="G690" s="32" t="s">
        <v>2516</v>
      </c>
      <c r="H690" s="32" t="s">
        <v>2517</v>
      </c>
      <c r="I690" s="32" t="s">
        <v>198</v>
      </c>
      <c r="J690" s="32" t="s">
        <v>199</v>
      </c>
      <c r="K690" s="32">
        <v>1.7562500000000001</v>
      </c>
      <c r="L690" s="33">
        <v>1507</v>
      </c>
      <c r="M690" s="32">
        <v>273</v>
      </c>
      <c r="N690" s="32">
        <v>183</v>
      </c>
      <c r="O690" s="32">
        <v>243</v>
      </c>
      <c r="P690" s="32">
        <v>358</v>
      </c>
      <c r="Q690" s="32">
        <v>450</v>
      </c>
      <c r="R690" s="32">
        <v>2</v>
      </c>
      <c r="S690" s="32">
        <v>10.0822</v>
      </c>
      <c r="T690" s="32">
        <v>0</v>
      </c>
      <c r="U690" s="32">
        <v>0.94579265599999995</v>
      </c>
      <c r="V690" s="32">
        <v>8</v>
      </c>
      <c r="W690" s="32">
        <v>0.82679899999999995</v>
      </c>
      <c r="X690" s="32">
        <v>3.2571000000000003E-2</v>
      </c>
      <c r="Y690" s="32">
        <v>0.63595100000000004</v>
      </c>
      <c r="Z690" s="32">
        <v>0.25606800000000002</v>
      </c>
      <c r="AA690" s="32">
        <v>18.5</v>
      </c>
      <c r="AB690" s="32">
        <v>768</v>
      </c>
      <c r="AC690" s="32">
        <v>17</v>
      </c>
      <c r="AD690" s="32">
        <v>42</v>
      </c>
      <c r="AE690" s="32" t="s">
        <v>200</v>
      </c>
      <c r="AF690" s="32">
        <v>0</v>
      </c>
      <c r="AG690" s="32" t="s">
        <v>200</v>
      </c>
    </row>
    <row r="691" spans="1:33">
      <c r="A691" s="32" t="s">
        <v>2668</v>
      </c>
      <c r="B691" s="32" t="s">
        <v>142</v>
      </c>
      <c r="C691" s="32" t="s">
        <v>2669</v>
      </c>
      <c r="D691" s="32" t="s">
        <v>2670</v>
      </c>
      <c r="E691" s="32" t="s">
        <v>2633</v>
      </c>
      <c r="F691" s="32" t="s">
        <v>2634</v>
      </c>
      <c r="G691" s="32" t="s">
        <v>2164</v>
      </c>
      <c r="H691" s="32" t="s">
        <v>2165</v>
      </c>
      <c r="I691" s="32" t="s">
        <v>198</v>
      </c>
      <c r="J691" s="32" t="s">
        <v>199</v>
      </c>
      <c r="K691" s="32">
        <v>1.8995150000000001</v>
      </c>
      <c r="L691" s="33">
        <v>1647</v>
      </c>
      <c r="M691" s="32">
        <v>403</v>
      </c>
      <c r="N691" s="32">
        <v>237</v>
      </c>
      <c r="O691" s="32">
        <v>378</v>
      </c>
      <c r="P691" s="32">
        <v>405</v>
      </c>
      <c r="Q691" s="32">
        <v>224</v>
      </c>
      <c r="R691" s="32" t="s">
        <v>225</v>
      </c>
      <c r="S691" s="32">
        <v>6.6839500000000003</v>
      </c>
      <c r="T691" s="32">
        <v>1.75603</v>
      </c>
      <c r="U691" s="32">
        <v>1.3997455379999999</v>
      </c>
      <c r="V691" s="32">
        <v>2</v>
      </c>
      <c r="W691" s="32">
        <v>0.83203899999999997</v>
      </c>
      <c r="X691" s="32">
        <v>7.3955000000000007E-2</v>
      </c>
      <c r="Y691" s="32">
        <v>0.7</v>
      </c>
      <c r="Z691" s="32">
        <v>0.29180099999999998</v>
      </c>
      <c r="AA691" s="32">
        <v>39.5</v>
      </c>
      <c r="AB691" s="32">
        <v>477</v>
      </c>
      <c r="AC691" s="32">
        <v>12</v>
      </c>
      <c r="AD691" s="32">
        <v>41</v>
      </c>
      <c r="AE691" s="32">
        <v>0</v>
      </c>
      <c r="AF691" s="32">
        <v>0</v>
      </c>
      <c r="AG691" s="32" t="s">
        <v>200</v>
      </c>
    </row>
    <row r="692" spans="1:33">
      <c r="A692" s="32" t="s">
        <v>2671</v>
      </c>
      <c r="B692" s="32" t="s">
        <v>142</v>
      </c>
      <c r="C692" s="32" t="s">
        <v>2672</v>
      </c>
      <c r="D692" s="32" t="s">
        <v>2673</v>
      </c>
      <c r="E692" s="32" t="s">
        <v>2674</v>
      </c>
      <c r="F692" s="32" t="s">
        <v>2675</v>
      </c>
      <c r="G692" s="32" t="s">
        <v>2516</v>
      </c>
      <c r="H692" s="32" t="s">
        <v>2517</v>
      </c>
      <c r="I692" s="32" t="s">
        <v>198</v>
      </c>
      <c r="J692" s="32" t="s">
        <v>199</v>
      </c>
      <c r="K692" s="32">
        <v>1.8212250000000001</v>
      </c>
      <c r="L692" s="33">
        <v>1741</v>
      </c>
      <c r="M692" s="32">
        <v>324</v>
      </c>
      <c r="N692" s="32">
        <v>222</v>
      </c>
      <c r="O692" s="32">
        <v>415</v>
      </c>
      <c r="P692" s="32">
        <v>427</v>
      </c>
      <c r="Q692" s="32">
        <v>353</v>
      </c>
      <c r="R692" s="32" t="s">
        <v>225</v>
      </c>
      <c r="S692" s="32">
        <v>7.0405899999999999</v>
      </c>
      <c r="T692" s="32">
        <v>1.5945</v>
      </c>
      <c r="U692" s="32">
        <v>0.91784014999999997</v>
      </c>
      <c r="V692" s="32">
        <v>9</v>
      </c>
      <c r="W692" s="32">
        <v>0.81170699999999996</v>
      </c>
      <c r="X692" s="32">
        <v>5.5747999999999999E-2</v>
      </c>
      <c r="Y692" s="32">
        <v>0.7</v>
      </c>
      <c r="Z692" s="32">
        <v>0.25311499999999998</v>
      </c>
      <c r="AA692" s="32">
        <v>17.2</v>
      </c>
      <c r="AB692" s="32">
        <v>682</v>
      </c>
      <c r="AC692" s="32">
        <v>30</v>
      </c>
      <c r="AD692" s="32">
        <v>34</v>
      </c>
      <c r="AE692" s="32">
        <v>0</v>
      </c>
      <c r="AF692" s="32">
        <v>0</v>
      </c>
      <c r="AG692" s="32" t="s">
        <v>200</v>
      </c>
    </row>
    <row r="693" spans="1:33">
      <c r="A693" s="32" t="s">
        <v>2676</v>
      </c>
      <c r="B693" s="32" t="s">
        <v>142</v>
      </c>
      <c r="C693" s="32" t="s">
        <v>2677</v>
      </c>
      <c r="D693" s="32" t="s">
        <v>2678</v>
      </c>
      <c r="E693" s="32" t="s">
        <v>2679</v>
      </c>
      <c r="F693" s="32" t="s">
        <v>2680</v>
      </c>
      <c r="G693" s="32" t="s">
        <v>2516</v>
      </c>
      <c r="H693" s="32" t="s">
        <v>2517</v>
      </c>
      <c r="I693" s="32" t="s">
        <v>198</v>
      </c>
      <c r="J693" s="32" t="s">
        <v>199</v>
      </c>
      <c r="K693" s="32">
        <v>1.982504</v>
      </c>
      <c r="L693" s="33">
        <v>1810</v>
      </c>
      <c r="M693" s="32">
        <v>347</v>
      </c>
      <c r="N693" s="32">
        <v>298</v>
      </c>
      <c r="O693" s="32">
        <v>508</v>
      </c>
      <c r="P693" s="32">
        <v>395</v>
      </c>
      <c r="Q693" s="32">
        <v>262</v>
      </c>
      <c r="R693" s="32">
        <v>3</v>
      </c>
      <c r="S693" s="32">
        <v>27.414400000000001</v>
      </c>
      <c r="T693" s="32">
        <v>3.0707300000000002</v>
      </c>
      <c r="U693" s="32">
        <v>0.91483773599999996</v>
      </c>
      <c r="V693" s="32">
        <v>7</v>
      </c>
      <c r="W693" s="32">
        <v>0.87049699999999997</v>
      </c>
      <c r="X693" s="32">
        <v>0.114286</v>
      </c>
      <c r="Y693" s="32">
        <v>0.68157000000000001</v>
      </c>
      <c r="Z693" s="32">
        <v>0.30618600000000001</v>
      </c>
      <c r="AA693" s="32">
        <v>18.399999999999999</v>
      </c>
      <c r="AB693" s="32">
        <v>607</v>
      </c>
      <c r="AC693" s="32">
        <v>24</v>
      </c>
      <c r="AD693" s="32">
        <v>33</v>
      </c>
      <c r="AE693" s="32" t="s">
        <v>200</v>
      </c>
      <c r="AF693" s="32" t="s">
        <v>200</v>
      </c>
      <c r="AG693" s="32" t="s">
        <v>200</v>
      </c>
    </row>
    <row r="694" spans="1:33">
      <c r="A694" s="32" t="s">
        <v>2681</v>
      </c>
      <c r="B694" s="32" t="s">
        <v>142</v>
      </c>
      <c r="C694" s="32" t="s">
        <v>2682</v>
      </c>
      <c r="D694" s="32" t="s">
        <v>2683</v>
      </c>
      <c r="E694" s="32" t="s">
        <v>2679</v>
      </c>
      <c r="F694" s="32" t="s">
        <v>2680</v>
      </c>
      <c r="G694" s="32" t="s">
        <v>2516</v>
      </c>
      <c r="H694" s="32" t="s">
        <v>2517</v>
      </c>
      <c r="I694" s="32" t="s">
        <v>198</v>
      </c>
      <c r="J694" s="32" t="s">
        <v>199</v>
      </c>
      <c r="K694" s="32">
        <v>1.9497629999999999</v>
      </c>
      <c r="L694" s="33">
        <v>1737</v>
      </c>
      <c r="M694" s="32">
        <v>394</v>
      </c>
      <c r="N694" s="32">
        <v>238</v>
      </c>
      <c r="O694" s="32">
        <v>478</v>
      </c>
      <c r="P694" s="32">
        <v>403</v>
      </c>
      <c r="Q694" s="32">
        <v>224</v>
      </c>
      <c r="R694" s="32">
        <v>2</v>
      </c>
      <c r="S694" s="32">
        <v>12.658300000000001</v>
      </c>
      <c r="T694" s="32">
        <v>3.7019500000000001</v>
      </c>
      <c r="U694" s="32">
        <v>0.93042644600000002</v>
      </c>
      <c r="V694" s="32">
        <v>7</v>
      </c>
      <c r="W694" s="32">
        <v>0.89036300000000002</v>
      </c>
      <c r="X694" s="32">
        <v>0.11065800000000001</v>
      </c>
      <c r="Y694" s="32">
        <v>0.62162200000000001</v>
      </c>
      <c r="Z694" s="32">
        <v>0.32800600000000002</v>
      </c>
      <c r="AA694" s="32">
        <v>19.600000000000001</v>
      </c>
      <c r="AB694" s="32">
        <v>584</v>
      </c>
      <c r="AC694" s="32">
        <v>19</v>
      </c>
      <c r="AD694" s="32">
        <v>32</v>
      </c>
      <c r="AE694" s="32">
        <v>0</v>
      </c>
      <c r="AF694" s="32">
        <v>0</v>
      </c>
      <c r="AG694" s="32" t="s">
        <v>200</v>
      </c>
    </row>
    <row r="695" spans="1:33">
      <c r="A695" s="32" t="s">
        <v>2684</v>
      </c>
      <c r="B695" s="32" t="s">
        <v>142</v>
      </c>
      <c r="C695" s="32" t="s">
        <v>2685</v>
      </c>
      <c r="D695" s="32" t="s">
        <v>2686</v>
      </c>
      <c r="E695" s="32" t="s">
        <v>2679</v>
      </c>
      <c r="F695" s="32" t="s">
        <v>2680</v>
      </c>
      <c r="G695" s="32" t="s">
        <v>2516</v>
      </c>
      <c r="H695" s="32" t="s">
        <v>2517</v>
      </c>
      <c r="I695" s="32" t="s">
        <v>198</v>
      </c>
      <c r="J695" s="32" t="s">
        <v>199</v>
      </c>
      <c r="K695" s="32">
        <v>2.0832679999999999</v>
      </c>
      <c r="L695" s="33">
        <v>1343</v>
      </c>
      <c r="M695" s="32">
        <v>271</v>
      </c>
      <c r="N695" s="32">
        <v>203</v>
      </c>
      <c r="O695" s="32">
        <v>367</v>
      </c>
      <c r="P695" s="32">
        <v>387</v>
      </c>
      <c r="Q695" s="32">
        <v>115</v>
      </c>
      <c r="R695" s="32">
        <v>4</v>
      </c>
      <c r="S695" s="32">
        <v>21.3688</v>
      </c>
      <c r="T695" s="32">
        <v>3.9053200000000001</v>
      </c>
      <c r="U695" s="32">
        <v>0.92477156400000005</v>
      </c>
      <c r="V695" s="32">
        <v>6</v>
      </c>
      <c r="W695" s="32">
        <v>0.90315000000000001</v>
      </c>
      <c r="X695" s="32">
        <v>0.14046700000000001</v>
      </c>
      <c r="Y695" s="32">
        <v>0.60039100000000001</v>
      </c>
      <c r="Z695" s="32">
        <v>0.44398399999999999</v>
      </c>
      <c r="AA695" s="32">
        <v>15.6</v>
      </c>
      <c r="AB695" s="32">
        <v>527</v>
      </c>
      <c r="AC695" s="32">
        <v>15</v>
      </c>
      <c r="AD695" s="32">
        <v>78</v>
      </c>
      <c r="AE695" s="32">
        <v>0</v>
      </c>
      <c r="AF695" s="32">
        <v>0</v>
      </c>
      <c r="AG695" s="32" t="s">
        <v>200</v>
      </c>
    </row>
    <row r="696" spans="1:33">
      <c r="A696" s="32" t="s">
        <v>2687</v>
      </c>
      <c r="B696" s="32" t="s">
        <v>81</v>
      </c>
      <c r="C696" s="32" t="s">
        <v>2688</v>
      </c>
      <c r="D696" s="32" t="s">
        <v>2689</v>
      </c>
      <c r="E696" s="32" t="s">
        <v>2690</v>
      </c>
      <c r="F696" s="32" t="s">
        <v>2691</v>
      </c>
      <c r="G696" s="32" t="s">
        <v>2516</v>
      </c>
      <c r="H696" s="32" t="s">
        <v>2517</v>
      </c>
      <c r="I696" s="32" t="s">
        <v>198</v>
      </c>
      <c r="J696" s="32" t="s">
        <v>199</v>
      </c>
      <c r="K696" s="32">
        <v>1.774081</v>
      </c>
      <c r="L696" s="33">
        <v>1629</v>
      </c>
      <c r="M696" s="32">
        <v>313</v>
      </c>
      <c r="N696" s="32">
        <v>216</v>
      </c>
      <c r="O696" s="32">
        <v>227</v>
      </c>
      <c r="P696" s="32">
        <v>478</v>
      </c>
      <c r="Q696" s="32">
        <v>395</v>
      </c>
      <c r="R696" s="32" t="s">
        <v>225</v>
      </c>
      <c r="S696" s="32">
        <v>11.8788</v>
      </c>
      <c r="T696" s="32">
        <v>0</v>
      </c>
      <c r="U696" s="32">
        <v>0.88184367600000002</v>
      </c>
      <c r="V696" s="32">
        <v>10</v>
      </c>
      <c r="W696" s="32">
        <v>0.80523599999999995</v>
      </c>
      <c r="X696" s="32">
        <v>8.2352999999999996E-2</v>
      </c>
      <c r="Y696" s="32">
        <v>0.60875199999999996</v>
      </c>
      <c r="Z696" s="32">
        <v>0.27635799999999999</v>
      </c>
      <c r="AA696" s="32">
        <v>11.5</v>
      </c>
      <c r="AB696" s="32">
        <v>1022</v>
      </c>
      <c r="AC696" s="32">
        <v>26</v>
      </c>
      <c r="AD696" s="32">
        <v>68</v>
      </c>
      <c r="AE696" s="32" t="s">
        <v>200</v>
      </c>
      <c r="AF696" s="32" t="s">
        <v>200</v>
      </c>
      <c r="AG696" s="32" t="s">
        <v>200</v>
      </c>
    </row>
    <row r="697" spans="1:33">
      <c r="A697" s="32" t="s">
        <v>2692</v>
      </c>
      <c r="B697" s="32" t="s">
        <v>81</v>
      </c>
      <c r="C697" s="32" t="s">
        <v>2693</v>
      </c>
      <c r="D697" s="32" t="s">
        <v>2694</v>
      </c>
      <c r="E697" s="32" t="s">
        <v>2695</v>
      </c>
      <c r="F697" s="32" t="s">
        <v>2696</v>
      </c>
      <c r="G697" s="32" t="s">
        <v>2516</v>
      </c>
      <c r="H697" s="32" t="s">
        <v>2517</v>
      </c>
      <c r="I697" s="32" t="s">
        <v>198</v>
      </c>
      <c r="J697" s="32" t="s">
        <v>199</v>
      </c>
      <c r="K697" s="32">
        <v>1.8570150000000001</v>
      </c>
      <c r="L697" s="33">
        <v>2385</v>
      </c>
      <c r="M697" s="32">
        <v>477</v>
      </c>
      <c r="N697" s="32">
        <v>372</v>
      </c>
      <c r="O697" s="32">
        <v>678</v>
      </c>
      <c r="P697" s="32">
        <v>515</v>
      </c>
      <c r="Q697" s="32">
        <v>343</v>
      </c>
      <c r="R697" s="32">
        <v>3</v>
      </c>
      <c r="S697" s="32">
        <v>24.886299999999999</v>
      </c>
      <c r="T697" s="32">
        <v>1.66998</v>
      </c>
      <c r="U697" s="32">
        <v>0.93834718299999997</v>
      </c>
      <c r="V697" s="32">
        <v>8</v>
      </c>
      <c r="W697" s="32">
        <v>0.827264</v>
      </c>
      <c r="X697" s="32">
        <v>0.110108</v>
      </c>
      <c r="Y697" s="32">
        <v>0.6</v>
      </c>
      <c r="Z697" s="32">
        <v>0.330762</v>
      </c>
      <c r="AA697" s="32">
        <v>17.3</v>
      </c>
      <c r="AB697" s="32">
        <v>819</v>
      </c>
      <c r="AC697" s="32">
        <v>35</v>
      </c>
      <c r="AD697" s="32">
        <v>61</v>
      </c>
      <c r="AE697" s="32">
        <v>5</v>
      </c>
      <c r="AF697" s="32" t="s">
        <v>200</v>
      </c>
      <c r="AG697" s="32" t="s">
        <v>200</v>
      </c>
    </row>
    <row r="698" spans="1:33">
      <c r="A698" s="32" t="s">
        <v>2697</v>
      </c>
      <c r="B698" s="32" t="s">
        <v>81</v>
      </c>
      <c r="C698" s="32" t="s">
        <v>2698</v>
      </c>
      <c r="D698" s="32" t="s">
        <v>2699</v>
      </c>
      <c r="E698" s="32" t="s">
        <v>2700</v>
      </c>
      <c r="F698" s="32" t="s">
        <v>2701</v>
      </c>
      <c r="G698" s="32" t="s">
        <v>2516</v>
      </c>
      <c r="H698" s="32" t="s">
        <v>2517</v>
      </c>
      <c r="I698" s="32" t="s">
        <v>198</v>
      </c>
      <c r="J698" s="32" t="s">
        <v>199</v>
      </c>
      <c r="K698" s="32">
        <v>2.274499</v>
      </c>
      <c r="L698" s="33">
        <v>2332</v>
      </c>
      <c r="M698" s="32">
        <v>384</v>
      </c>
      <c r="N698" s="32">
        <v>484</v>
      </c>
      <c r="O698" s="32">
        <v>671</v>
      </c>
      <c r="P698" s="32">
        <v>499</v>
      </c>
      <c r="Q698" s="32">
        <v>294</v>
      </c>
      <c r="R698" s="32">
        <v>5</v>
      </c>
      <c r="S698" s="32">
        <v>41.052399999999999</v>
      </c>
      <c r="T698" s="32">
        <v>0</v>
      </c>
      <c r="U698" s="32">
        <v>0.75554678399999997</v>
      </c>
      <c r="V698" s="32">
        <v>8</v>
      </c>
      <c r="W698" s="32">
        <v>0.89198</v>
      </c>
      <c r="X698" s="32">
        <v>0.18774199999999999</v>
      </c>
      <c r="Y698" s="32">
        <v>0.6</v>
      </c>
      <c r="Z698" s="32">
        <v>0.59600699999999995</v>
      </c>
      <c r="AA698" s="32">
        <v>22.7</v>
      </c>
      <c r="AB698" s="32">
        <v>795</v>
      </c>
      <c r="AC698" s="32">
        <v>38</v>
      </c>
      <c r="AD698" s="32">
        <v>103</v>
      </c>
      <c r="AE698" s="32">
        <v>16</v>
      </c>
      <c r="AF698" s="32">
        <v>15</v>
      </c>
      <c r="AG698" s="32">
        <v>7</v>
      </c>
    </row>
    <row r="699" spans="1:33">
      <c r="A699" s="32" t="s">
        <v>2702</v>
      </c>
      <c r="B699" s="32" t="s">
        <v>81</v>
      </c>
      <c r="C699" s="32" t="s">
        <v>2703</v>
      </c>
      <c r="D699" s="32" t="s">
        <v>2704</v>
      </c>
      <c r="E699" s="32" t="s">
        <v>2679</v>
      </c>
      <c r="F699" s="32" t="s">
        <v>2680</v>
      </c>
      <c r="G699" s="32" t="s">
        <v>2516</v>
      </c>
      <c r="H699" s="32" t="s">
        <v>2517</v>
      </c>
      <c r="I699" s="32" t="s">
        <v>198</v>
      </c>
      <c r="J699" s="32" t="s">
        <v>199</v>
      </c>
      <c r="K699" s="32">
        <v>2.2819129999999999</v>
      </c>
      <c r="L699" s="33">
        <v>2135</v>
      </c>
      <c r="M699" s="32">
        <v>418</v>
      </c>
      <c r="N699" s="32">
        <v>399</v>
      </c>
      <c r="O699" s="32">
        <v>697</v>
      </c>
      <c r="P699" s="32">
        <v>414</v>
      </c>
      <c r="Q699" s="32">
        <v>207</v>
      </c>
      <c r="R699" s="32" t="s">
        <v>302</v>
      </c>
      <c r="S699" s="32">
        <v>40.974600000000002</v>
      </c>
      <c r="T699" s="32">
        <v>14.5519</v>
      </c>
      <c r="U699" s="32">
        <v>0.96102530900000005</v>
      </c>
      <c r="V699" s="32">
        <v>5</v>
      </c>
      <c r="W699" s="32">
        <v>0.90592499999999998</v>
      </c>
      <c r="X699" s="32">
        <v>0.19833700000000001</v>
      </c>
      <c r="Y699" s="32">
        <v>0.60303300000000004</v>
      </c>
      <c r="Z699" s="32">
        <v>0.57526100000000002</v>
      </c>
      <c r="AA699" s="32">
        <v>22.3</v>
      </c>
      <c r="AB699" s="32">
        <v>552</v>
      </c>
      <c r="AC699" s="32">
        <v>31</v>
      </c>
      <c r="AD699" s="32">
        <v>73</v>
      </c>
      <c r="AE699" s="32" t="s">
        <v>200</v>
      </c>
      <c r="AF699" s="32" t="s">
        <v>200</v>
      </c>
      <c r="AG699" s="32" t="s">
        <v>200</v>
      </c>
    </row>
    <row r="700" spans="1:33">
      <c r="A700" s="32" t="s">
        <v>2705</v>
      </c>
      <c r="B700" s="32" t="s">
        <v>81</v>
      </c>
      <c r="C700" s="32" t="s">
        <v>2706</v>
      </c>
      <c r="D700" s="32" t="s">
        <v>2707</v>
      </c>
      <c r="E700" s="32" t="s">
        <v>2708</v>
      </c>
      <c r="F700" s="32" t="s">
        <v>2709</v>
      </c>
      <c r="G700" s="32" t="s">
        <v>2516</v>
      </c>
      <c r="H700" s="32" t="s">
        <v>2517</v>
      </c>
      <c r="I700" s="32" t="s">
        <v>198</v>
      </c>
      <c r="J700" s="32" t="s">
        <v>199</v>
      </c>
      <c r="K700" s="32">
        <v>2.053855</v>
      </c>
      <c r="L700" s="33">
        <v>1916</v>
      </c>
      <c r="M700" s="32">
        <v>431</v>
      </c>
      <c r="N700" s="32">
        <v>285</v>
      </c>
      <c r="O700" s="32">
        <v>466</v>
      </c>
      <c r="P700" s="32">
        <v>477</v>
      </c>
      <c r="Q700" s="32">
        <v>257</v>
      </c>
      <c r="R700" s="32">
        <v>3</v>
      </c>
      <c r="S700" s="32">
        <v>32.021099999999997</v>
      </c>
      <c r="T700" s="32">
        <v>0</v>
      </c>
      <c r="U700" s="32">
        <v>0.81850924800000002</v>
      </c>
      <c r="V700" s="32">
        <v>8</v>
      </c>
      <c r="W700" s="32">
        <v>0.84544399999999997</v>
      </c>
      <c r="X700" s="32">
        <v>0.17172699999999999</v>
      </c>
      <c r="Y700" s="32">
        <v>0.6</v>
      </c>
      <c r="Z700" s="32">
        <v>0.42579499999999998</v>
      </c>
      <c r="AA700" s="32">
        <v>16.3</v>
      </c>
      <c r="AB700" s="32">
        <v>727</v>
      </c>
      <c r="AC700" s="32">
        <v>18</v>
      </c>
      <c r="AD700" s="32">
        <v>65</v>
      </c>
      <c r="AE700" s="32" t="s">
        <v>200</v>
      </c>
      <c r="AF700" s="32" t="s">
        <v>200</v>
      </c>
      <c r="AG700" s="32">
        <v>13</v>
      </c>
    </row>
    <row r="701" spans="1:33">
      <c r="A701" s="32" t="s">
        <v>2710</v>
      </c>
      <c r="B701" s="32" t="s">
        <v>81</v>
      </c>
      <c r="C701" s="32" t="s">
        <v>2711</v>
      </c>
      <c r="D701" s="32" t="s">
        <v>2712</v>
      </c>
      <c r="E701" s="32" t="s">
        <v>2713</v>
      </c>
      <c r="F701" s="32" t="s">
        <v>2714</v>
      </c>
      <c r="G701" s="32" t="s">
        <v>2516</v>
      </c>
      <c r="H701" s="32" t="s">
        <v>2517</v>
      </c>
      <c r="I701" s="32" t="s">
        <v>198</v>
      </c>
      <c r="J701" s="32" t="s">
        <v>199</v>
      </c>
      <c r="K701" s="32">
        <v>1.788554</v>
      </c>
      <c r="L701" s="33">
        <v>2720</v>
      </c>
      <c r="M701" s="32">
        <v>800</v>
      </c>
      <c r="N701" s="32">
        <v>414</v>
      </c>
      <c r="O701" s="32">
        <v>689</v>
      </c>
      <c r="P701" s="32">
        <v>571</v>
      </c>
      <c r="Q701" s="32">
        <v>246</v>
      </c>
      <c r="R701" s="32">
        <v>2</v>
      </c>
      <c r="S701" s="32">
        <v>10.2699</v>
      </c>
      <c r="T701" s="32">
        <v>0</v>
      </c>
      <c r="U701" s="32">
        <v>1.6028434620000001</v>
      </c>
      <c r="V701" s="32">
        <v>2</v>
      </c>
      <c r="W701" s="32">
        <v>0.80483199999999999</v>
      </c>
      <c r="X701" s="32">
        <v>0.14621500000000001</v>
      </c>
      <c r="Y701" s="32">
        <v>0.63965899999999998</v>
      </c>
      <c r="Z701" s="32">
        <v>0.19599</v>
      </c>
      <c r="AA701" s="32">
        <v>20.8</v>
      </c>
      <c r="AB701" s="32">
        <v>944</v>
      </c>
      <c r="AC701" s="32">
        <v>42</v>
      </c>
      <c r="AD701" s="32">
        <v>69</v>
      </c>
      <c r="AE701" s="32">
        <v>0</v>
      </c>
      <c r="AF701" s="32" t="s">
        <v>200</v>
      </c>
      <c r="AG701" s="32">
        <v>6</v>
      </c>
    </row>
    <row r="702" spans="1:33">
      <c r="A702" s="32" t="s">
        <v>2715</v>
      </c>
      <c r="B702" s="32" t="s">
        <v>81</v>
      </c>
      <c r="C702" s="32" t="s">
        <v>2716</v>
      </c>
      <c r="D702" s="32" t="s">
        <v>2717</v>
      </c>
      <c r="E702" s="32" t="s">
        <v>2713</v>
      </c>
      <c r="F702" s="32" t="s">
        <v>2714</v>
      </c>
      <c r="G702" s="32" t="s">
        <v>2516</v>
      </c>
      <c r="H702" s="32" t="s">
        <v>2517</v>
      </c>
      <c r="I702" s="32" t="s">
        <v>198</v>
      </c>
      <c r="J702" s="32" t="s">
        <v>199</v>
      </c>
      <c r="K702" s="32">
        <v>1.6176889999999999</v>
      </c>
      <c r="L702" s="33">
        <v>1693</v>
      </c>
      <c r="M702" s="32">
        <v>380</v>
      </c>
      <c r="N702" s="32">
        <v>251</v>
      </c>
      <c r="O702" s="32">
        <v>321</v>
      </c>
      <c r="P702" s="32">
        <v>448</v>
      </c>
      <c r="Q702" s="32">
        <v>293</v>
      </c>
      <c r="R702" s="32" t="s">
        <v>214</v>
      </c>
      <c r="S702" s="32">
        <v>8.0992300000000004</v>
      </c>
      <c r="T702" s="32">
        <v>0</v>
      </c>
      <c r="U702" s="32">
        <v>1.1823771569999999</v>
      </c>
      <c r="V702" s="32">
        <v>5</v>
      </c>
      <c r="W702" s="32">
        <v>0.80017899999999997</v>
      </c>
      <c r="X702" s="32">
        <v>3.6640000000000002E-3</v>
      </c>
      <c r="Y702" s="32">
        <v>0.67923800000000001</v>
      </c>
      <c r="Z702" s="32">
        <v>0.13470699999999999</v>
      </c>
      <c r="AA702" s="32">
        <v>13.4</v>
      </c>
      <c r="AB702" s="32">
        <v>844</v>
      </c>
      <c r="AC702" s="32">
        <v>29</v>
      </c>
      <c r="AD702" s="32">
        <v>94</v>
      </c>
      <c r="AE702" s="32">
        <v>5</v>
      </c>
      <c r="AF702" s="32">
        <v>0</v>
      </c>
      <c r="AG702" s="32">
        <v>14</v>
      </c>
    </row>
    <row r="703" spans="1:33">
      <c r="A703" s="32" t="s">
        <v>2718</v>
      </c>
      <c r="B703" s="32" t="s">
        <v>81</v>
      </c>
      <c r="C703" s="32" t="s">
        <v>2719</v>
      </c>
      <c r="D703" s="32" t="s">
        <v>2720</v>
      </c>
      <c r="E703" s="32" t="s">
        <v>2690</v>
      </c>
      <c r="F703" s="32" t="s">
        <v>2691</v>
      </c>
      <c r="G703" s="32" t="s">
        <v>2516</v>
      </c>
      <c r="H703" s="32" t="s">
        <v>2517</v>
      </c>
      <c r="I703" s="32" t="s">
        <v>198</v>
      </c>
      <c r="J703" s="32" t="s">
        <v>199</v>
      </c>
      <c r="K703" s="32">
        <v>1.842684</v>
      </c>
      <c r="L703" s="33">
        <v>1834</v>
      </c>
      <c r="M703" s="32">
        <v>365</v>
      </c>
      <c r="N703" s="32">
        <v>289</v>
      </c>
      <c r="O703" s="32">
        <v>359</v>
      </c>
      <c r="P703" s="32">
        <v>501</v>
      </c>
      <c r="Q703" s="32">
        <v>320</v>
      </c>
      <c r="R703" s="32">
        <v>2</v>
      </c>
      <c r="S703" s="32">
        <v>10.0802</v>
      </c>
      <c r="T703" s="32">
        <v>0</v>
      </c>
      <c r="U703" s="32">
        <v>0.96652921400000003</v>
      </c>
      <c r="V703" s="32">
        <v>8</v>
      </c>
      <c r="W703" s="32">
        <v>0.80493499999999996</v>
      </c>
      <c r="X703" s="32">
        <v>0.157476</v>
      </c>
      <c r="Y703" s="32">
        <v>0.68453600000000003</v>
      </c>
      <c r="Z703" s="32">
        <v>0.20064899999999999</v>
      </c>
      <c r="AA703" s="32">
        <v>11.6</v>
      </c>
      <c r="AB703" s="32">
        <v>944</v>
      </c>
      <c r="AC703" s="32">
        <v>31</v>
      </c>
      <c r="AD703" s="32">
        <v>153</v>
      </c>
      <c r="AE703" s="32" t="s">
        <v>200</v>
      </c>
      <c r="AF703" s="32" t="s">
        <v>200</v>
      </c>
      <c r="AG703" s="32">
        <v>10</v>
      </c>
    </row>
    <row r="704" spans="1:33">
      <c r="A704" s="32" t="s">
        <v>2721</v>
      </c>
      <c r="B704" s="32" t="s">
        <v>81</v>
      </c>
      <c r="C704" s="32" t="s">
        <v>2722</v>
      </c>
      <c r="D704" s="32" t="s">
        <v>2723</v>
      </c>
      <c r="E704" s="32" t="s">
        <v>2695</v>
      </c>
      <c r="F704" s="32" t="s">
        <v>2696</v>
      </c>
      <c r="G704" s="32" t="s">
        <v>2516</v>
      </c>
      <c r="H704" s="32" t="s">
        <v>2517</v>
      </c>
      <c r="I704" s="32" t="s">
        <v>198</v>
      </c>
      <c r="J704" s="32" t="s">
        <v>199</v>
      </c>
      <c r="K704" s="32">
        <v>1.7349300000000001</v>
      </c>
      <c r="L704" s="33">
        <v>2109</v>
      </c>
      <c r="M704" s="32">
        <v>424</v>
      </c>
      <c r="N704" s="32">
        <v>280</v>
      </c>
      <c r="O704" s="32">
        <v>621</v>
      </c>
      <c r="P704" s="32">
        <v>500</v>
      </c>
      <c r="Q704" s="32">
        <v>284</v>
      </c>
      <c r="R704" s="32">
        <v>2</v>
      </c>
      <c r="S704" s="32">
        <v>10.453900000000001</v>
      </c>
      <c r="T704" s="32">
        <v>0</v>
      </c>
      <c r="U704" s="32">
        <v>1.020954922</v>
      </c>
      <c r="V704" s="32">
        <v>7</v>
      </c>
      <c r="W704" s="32">
        <v>0.80958300000000005</v>
      </c>
      <c r="X704" s="32">
        <v>8.1781000000000006E-2</v>
      </c>
      <c r="Y704" s="32">
        <v>0.6</v>
      </c>
      <c r="Z704" s="32">
        <v>0.24664900000000001</v>
      </c>
      <c r="AA704" s="32">
        <v>13.9</v>
      </c>
      <c r="AB704" s="32">
        <v>865</v>
      </c>
      <c r="AC704" s="32">
        <v>25</v>
      </c>
      <c r="AD704" s="32">
        <v>122</v>
      </c>
      <c r="AE704" s="32">
        <v>7</v>
      </c>
      <c r="AF704" s="32" t="s">
        <v>200</v>
      </c>
      <c r="AG704" s="32">
        <v>8</v>
      </c>
    </row>
    <row r="705" spans="1:33">
      <c r="A705" s="32" t="s">
        <v>2724</v>
      </c>
      <c r="B705" s="32" t="s">
        <v>81</v>
      </c>
      <c r="C705" s="32" t="s">
        <v>2725</v>
      </c>
      <c r="D705" s="32" t="s">
        <v>2726</v>
      </c>
      <c r="E705" s="32" t="s">
        <v>2695</v>
      </c>
      <c r="F705" s="32" t="s">
        <v>2696</v>
      </c>
      <c r="G705" s="32" t="s">
        <v>2516</v>
      </c>
      <c r="H705" s="32" t="s">
        <v>2517</v>
      </c>
      <c r="I705" s="32" t="s">
        <v>198</v>
      </c>
      <c r="J705" s="32" t="s">
        <v>199</v>
      </c>
      <c r="K705" s="32">
        <v>1.689157</v>
      </c>
      <c r="L705" s="33">
        <v>1672</v>
      </c>
      <c r="M705" s="32">
        <v>340</v>
      </c>
      <c r="N705" s="32">
        <v>211</v>
      </c>
      <c r="O705" s="32">
        <v>438</v>
      </c>
      <c r="P705" s="32">
        <v>476</v>
      </c>
      <c r="Q705" s="32">
        <v>207</v>
      </c>
      <c r="R705" s="32">
        <v>2</v>
      </c>
      <c r="S705" s="32">
        <v>9.2039000000000009</v>
      </c>
      <c r="T705" s="32">
        <v>6.1390700000000002</v>
      </c>
      <c r="U705" s="32">
        <v>0.99355685599999999</v>
      </c>
      <c r="V705" s="32">
        <v>8</v>
      </c>
      <c r="W705" s="32">
        <v>0.80220899999999995</v>
      </c>
      <c r="X705" s="32">
        <v>1.8036E-2</v>
      </c>
      <c r="Y705" s="32">
        <v>0.6</v>
      </c>
      <c r="Z705" s="32">
        <v>0.266733</v>
      </c>
      <c r="AA705" s="32">
        <v>10.199999999999999</v>
      </c>
      <c r="AB705" s="32">
        <v>724</v>
      </c>
      <c r="AC705" s="32">
        <v>39</v>
      </c>
      <c r="AD705" s="32">
        <v>67</v>
      </c>
      <c r="AE705" s="32">
        <v>0</v>
      </c>
      <c r="AF705" s="32">
        <v>0</v>
      </c>
      <c r="AG705" s="32">
        <v>5</v>
      </c>
    </row>
    <row r="706" spans="1:33">
      <c r="A706" s="32" t="s">
        <v>2727</v>
      </c>
      <c r="B706" s="32" t="s">
        <v>81</v>
      </c>
      <c r="C706" s="32" t="s">
        <v>2728</v>
      </c>
      <c r="D706" s="32" t="s">
        <v>2729</v>
      </c>
      <c r="E706" s="32" t="s">
        <v>2700</v>
      </c>
      <c r="F706" s="32" t="s">
        <v>2701</v>
      </c>
      <c r="G706" s="32" t="s">
        <v>2516</v>
      </c>
      <c r="H706" s="32" t="s">
        <v>2517</v>
      </c>
      <c r="I706" s="32" t="s">
        <v>198</v>
      </c>
      <c r="J706" s="32" t="s">
        <v>199</v>
      </c>
      <c r="K706" s="32">
        <v>1.8633660000000001</v>
      </c>
      <c r="L706" s="33">
        <v>2135</v>
      </c>
      <c r="M706" s="32">
        <v>368</v>
      </c>
      <c r="N706" s="32">
        <v>336</v>
      </c>
      <c r="O706" s="32">
        <v>566</v>
      </c>
      <c r="P706" s="32">
        <v>522</v>
      </c>
      <c r="Q706" s="32">
        <v>343</v>
      </c>
      <c r="R706" s="32">
        <v>5</v>
      </c>
      <c r="S706" s="32">
        <v>34.415599999999998</v>
      </c>
      <c r="T706" s="32">
        <v>2.1455799999999998</v>
      </c>
      <c r="U706" s="32">
        <v>0.87609721799999996</v>
      </c>
      <c r="V706" s="32">
        <v>10</v>
      </c>
      <c r="W706" s="32">
        <v>0.82241299999999995</v>
      </c>
      <c r="X706" s="32">
        <v>4.6051000000000002E-2</v>
      </c>
      <c r="Y706" s="32">
        <v>0.60560099999999994</v>
      </c>
      <c r="Z706" s="32">
        <v>0.39015699999999998</v>
      </c>
      <c r="AA706" s="32">
        <v>23</v>
      </c>
      <c r="AB706" s="32">
        <v>812</v>
      </c>
      <c r="AC706" s="32">
        <v>23</v>
      </c>
      <c r="AD706" s="32">
        <v>43</v>
      </c>
      <c r="AE706" s="32">
        <v>24</v>
      </c>
      <c r="AF706" s="32" t="s">
        <v>200</v>
      </c>
      <c r="AG706" s="32" t="s">
        <v>200</v>
      </c>
    </row>
    <row r="707" spans="1:33">
      <c r="A707" s="32" t="s">
        <v>2730</v>
      </c>
      <c r="B707" s="32" t="s">
        <v>82</v>
      </c>
      <c r="C707" s="32" t="s">
        <v>2731</v>
      </c>
      <c r="D707" s="32" t="s">
        <v>2732</v>
      </c>
      <c r="E707" s="32" t="s">
        <v>2733</v>
      </c>
      <c r="F707" s="32" t="s">
        <v>2734</v>
      </c>
      <c r="G707" s="32" t="s">
        <v>2516</v>
      </c>
      <c r="H707" s="32" t="s">
        <v>2517</v>
      </c>
      <c r="I707" s="32" t="s">
        <v>198</v>
      </c>
      <c r="J707" s="32" t="s">
        <v>199</v>
      </c>
      <c r="K707" s="32">
        <v>1.6403000000000001</v>
      </c>
      <c r="L707" s="33">
        <v>2084</v>
      </c>
      <c r="M707" s="32">
        <v>461</v>
      </c>
      <c r="N707" s="32">
        <v>288</v>
      </c>
      <c r="O707" s="32">
        <v>406</v>
      </c>
      <c r="P707" s="32">
        <v>546</v>
      </c>
      <c r="Q707" s="32">
        <v>383</v>
      </c>
      <c r="R707" s="32" t="s">
        <v>214</v>
      </c>
      <c r="S707" s="32">
        <v>11.0701</v>
      </c>
      <c r="T707" s="32">
        <v>0</v>
      </c>
      <c r="U707" s="32">
        <v>0.99258730299999998</v>
      </c>
      <c r="V707" s="32">
        <v>9</v>
      </c>
      <c r="W707" s="32">
        <v>0.80148200000000003</v>
      </c>
      <c r="X707" s="32">
        <v>3.6048999999999998E-2</v>
      </c>
      <c r="Y707" s="32">
        <v>0.6</v>
      </c>
      <c r="Z707" s="32">
        <v>0.200964</v>
      </c>
      <c r="AA707" s="32">
        <v>17.7</v>
      </c>
      <c r="AB707" s="32">
        <v>975</v>
      </c>
      <c r="AC707" s="32">
        <v>34</v>
      </c>
      <c r="AD707" s="32">
        <v>72</v>
      </c>
      <c r="AE707" s="32">
        <v>0</v>
      </c>
      <c r="AF707" s="32" t="s">
        <v>200</v>
      </c>
      <c r="AG707" s="32">
        <v>9</v>
      </c>
    </row>
    <row r="708" spans="1:33">
      <c r="A708" s="32" t="s">
        <v>2735</v>
      </c>
      <c r="B708" s="32" t="s">
        <v>82</v>
      </c>
      <c r="C708" s="32" t="s">
        <v>2736</v>
      </c>
      <c r="D708" s="32" t="s">
        <v>2737</v>
      </c>
      <c r="E708" s="32" t="s">
        <v>2733</v>
      </c>
      <c r="F708" s="32" t="s">
        <v>2734</v>
      </c>
      <c r="G708" s="32" t="s">
        <v>2516</v>
      </c>
      <c r="H708" s="32" t="s">
        <v>2517</v>
      </c>
      <c r="I708" s="32" t="s">
        <v>198</v>
      </c>
      <c r="J708" s="32" t="s">
        <v>199</v>
      </c>
      <c r="K708" s="32">
        <v>1.623648</v>
      </c>
      <c r="L708" s="33">
        <v>1722</v>
      </c>
      <c r="M708" s="32">
        <v>312</v>
      </c>
      <c r="N708" s="32">
        <v>181</v>
      </c>
      <c r="O708" s="32">
        <v>264</v>
      </c>
      <c r="P708" s="32">
        <v>446</v>
      </c>
      <c r="Q708" s="32">
        <v>519</v>
      </c>
      <c r="R708" s="32" t="s">
        <v>214</v>
      </c>
      <c r="S708" s="32">
        <v>6.2851800000000004</v>
      </c>
      <c r="T708" s="32">
        <v>0</v>
      </c>
      <c r="U708" s="32">
        <v>1.0189394279999999</v>
      </c>
      <c r="V708" s="32">
        <v>9</v>
      </c>
      <c r="W708" s="32">
        <v>0.80212700000000003</v>
      </c>
      <c r="X708" s="32">
        <v>6.2169000000000002E-2</v>
      </c>
      <c r="Y708" s="32">
        <v>0.6</v>
      </c>
      <c r="Z708" s="32">
        <v>0.16073499999999999</v>
      </c>
      <c r="AA708" s="32">
        <v>5</v>
      </c>
      <c r="AB708" s="32">
        <v>876</v>
      </c>
      <c r="AC708" s="32">
        <v>28</v>
      </c>
      <c r="AD708" s="32">
        <v>86</v>
      </c>
      <c r="AE708" s="32" t="s">
        <v>200</v>
      </c>
      <c r="AF708" s="32" t="s">
        <v>200</v>
      </c>
      <c r="AG708" s="32" t="s">
        <v>200</v>
      </c>
    </row>
    <row r="709" spans="1:33">
      <c r="A709" s="32" t="s">
        <v>2687</v>
      </c>
      <c r="B709" s="32" t="s">
        <v>82</v>
      </c>
      <c r="C709" s="32" t="s">
        <v>2688</v>
      </c>
      <c r="D709" s="32" t="s">
        <v>2689</v>
      </c>
      <c r="E709" s="32" t="s">
        <v>2690</v>
      </c>
      <c r="F709" s="32" t="s">
        <v>2691</v>
      </c>
      <c r="G709" s="32" t="s">
        <v>2516</v>
      </c>
      <c r="H709" s="32" t="s">
        <v>2517</v>
      </c>
      <c r="I709" s="32" t="s">
        <v>198</v>
      </c>
      <c r="J709" s="32" t="s">
        <v>199</v>
      </c>
      <c r="K709" s="32">
        <v>1.774081</v>
      </c>
      <c r="L709" s="33">
        <v>1629</v>
      </c>
      <c r="M709" s="32">
        <v>313</v>
      </c>
      <c r="N709" s="32">
        <v>216</v>
      </c>
      <c r="O709" s="32">
        <v>227</v>
      </c>
      <c r="P709" s="32">
        <v>478</v>
      </c>
      <c r="Q709" s="32">
        <v>395</v>
      </c>
      <c r="R709" s="32" t="s">
        <v>225</v>
      </c>
      <c r="S709" s="32">
        <v>11.8788</v>
      </c>
      <c r="T709" s="32">
        <v>0</v>
      </c>
      <c r="U709" s="32">
        <v>0.88184367600000002</v>
      </c>
      <c r="V709" s="32">
        <v>10</v>
      </c>
      <c r="W709" s="32">
        <v>0.80523599999999995</v>
      </c>
      <c r="X709" s="32">
        <v>8.2352999999999996E-2</v>
      </c>
      <c r="Y709" s="32">
        <v>0.60875199999999996</v>
      </c>
      <c r="Z709" s="32">
        <v>0.27635799999999999</v>
      </c>
      <c r="AA709" s="32">
        <v>11.5</v>
      </c>
      <c r="AB709" s="32">
        <v>1022</v>
      </c>
      <c r="AC709" s="32">
        <v>26</v>
      </c>
      <c r="AD709" s="32">
        <v>68</v>
      </c>
      <c r="AE709" s="32" t="s">
        <v>200</v>
      </c>
      <c r="AF709" s="32" t="s">
        <v>200</v>
      </c>
      <c r="AG709" s="32" t="s">
        <v>200</v>
      </c>
    </row>
    <row r="710" spans="1:33">
      <c r="A710" s="32" t="s">
        <v>2738</v>
      </c>
      <c r="B710" s="32" t="s">
        <v>82</v>
      </c>
      <c r="C710" s="32" t="s">
        <v>2739</v>
      </c>
      <c r="D710" s="32" t="s">
        <v>2740</v>
      </c>
      <c r="E710" s="32" t="s">
        <v>2741</v>
      </c>
      <c r="F710" s="32" t="s">
        <v>2742</v>
      </c>
      <c r="G710" s="32" t="s">
        <v>2516</v>
      </c>
      <c r="H710" s="32" t="s">
        <v>2517</v>
      </c>
      <c r="I710" s="32" t="s">
        <v>198</v>
      </c>
      <c r="J710" s="32" t="s">
        <v>199</v>
      </c>
      <c r="K710" s="32">
        <v>1.7527600000000001</v>
      </c>
      <c r="L710" s="33">
        <v>1622</v>
      </c>
      <c r="M710" s="32">
        <v>283</v>
      </c>
      <c r="N710" s="32">
        <v>202</v>
      </c>
      <c r="O710" s="32">
        <v>288</v>
      </c>
      <c r="P710" s="32">
        <v>449</v>
      </c>
      <c r="Q710" s="32">
        <v>400</v>
      </c>
      <c r="R710" s="32" t="s">
        <v>225</v>
      </c>
      <c r="S710" s="32">
        <v>5.9241900000000003</v>
      </c>
      <c r="T710" s="32">
        <v>0</v>
      </c>
      <c r="U710" s="32">
        <v>0.90984691799999995</v>
      </c>
      <c r="V710" s="32">
        <v>9</v>
      </c>
      <c r="W710" s="32">
        <v>0.805006</v>
      </c>
      <c r="X710" s="32">
        <v>0.18151500000000001</v>
      </c>
      <c r="Y710" s="32">
        <v>0.6</v>
      </c>
      <c r="Z710" s="32">
        <v>0.170796</v>
      </c>
      <c r="AA710" s="32">
        <v>6.6</v>
      </c>
      <c r="AB710" s="32">
        <v>811</v>
      </c>
      <c r="AC710" s="32">
        <v>25</v>
      </c>
      <c r="AD710" s="32">
        <v>48</v>
      </c>
      <c r="AE710" s="32">
        <v>10</v>
      </c>
      <c r="AF710" s="32" t="s">
        <v>200</v>
      </c>
      <c r="AG710" s="32" t="s">
        <v>200</v>
      </c>
    </row>
    <row r="711" spans="1:33">
      <c r="A711" s="32" t="s">
        <v>2743</v>
      </c>
      <c r="B711" s="32" t="s">
        <v>82</v>
      </c>
      <c r="C711" s="32" t="s">
        <v>2744</v>
      </c>
      <c r="D711" s="32" t="s">
        <v>2745</v>
      </c>
      <c r="E711" s="32" t="s">
        <v>2741</v>
      </c>
      <c r="F711" s="32" t="s">
        <v>2742</v>
      </c>
      <c r="G711" s="32" t="s">
        <v>2516</v>
      </c>
      <c r="H711" s="32" t="s">
        <v>2517</v>
      </c>
      <c r="I711" s="32" t="s">
        <v>198</v>
      </c>
      <c r="J711" s="32" t="s">
        <v>199</v>
      </c>
      <c r="K711" s="32">
        <v>1.5775490000000001</v>
      </c>
      <c r="L711" s="33">
        <v>1367</v>
      </c>
      <c r="M711" s="32">
        <v>262</v>
      </c>
      <c r="N711" s="32">
        <v>160</v>
      </c>
      <c r="O711" s="32">
        <v>232</v>
      </c>
      <c r="P711" s="32">
        <v>423</v>
      </c>
      <c r="Q711" s="32">
        <v>290</v>
      </c>
      <c r="R711" s="32" t="s">
        <v>214</v>
      </c>
      <c r="S711" s="32">
        <v>6.8452099999999998</v>
      </c>
      <c r="T711" s="32">
        <v>0</v>
      </c>
      <c r="U711" s="32">
        <v>0.94728828799999998</v>
      </c>
      <c r="V711" s="32">
        <v>10</v>
      </c>
      <c r="W711" s="32">
        <v>0.80003999999999997</v>
      </c>
      <c r="X711" s="32">
        <v>7.2463E-2</v>
      </c>
      <c r="Y711" s="32">
        <v>0.6</v>
      </c>
      <c r="Z711" s="32">
        <v>0.10270600000000001</v>
      </c>
      <c r="AA711" s="32">
        <v>8.6</v>
      </c>
      <c r="AB711" s="32">
        <v>820</v>
      </c>
      <c r="AC711" s="32">
        <v>16</v>
      </c>
      <c r="AD711" s="32">
        <v>49</v>
      </c>
      <c r="AE711" s="32" t="s">
        <v>200</v>
      </c>
      <c r="AF711" s="32">
        <v>0</v>
      </c>
      <c r="AG711" s="32" t="s">
        <v>200</v>
      </c>
    </row>
    <row r="712" spans="1:33">
      <c r="A712" s="32" t="s">
        <v>2692</v>
      </c>
      <c r="B712" s="32" t="s">
        <v>82</v>
      </c>
      <c r="C712" s="32" t="s">
        <v>2693</v>
      </c>
      <c r="D712" s="32" t="s">
        <v>2694</v>
      </c>
      <c r="E712" s="32" t="s">
        <v>2695</v>
      </c>
      <c r="F712" s="32" t="s">
        <v>2696</v>
      </c>
      <c r="G712" s="32" t="s">
        <v>2516</v>
      </c>
      <c r="H712" s="32" t="s">
        <v>2517</v>
      </c>
      <c r="I712" s="32" t="s">
        <v>198</v>
      </c>
      <c r="J712" s="32" t="s">
        <v>199</v>
      </c>
      <c r="K712" s="32">
        <v>1.8570150000000001</v>
      </c>
      <c r="L712" s="33">
        <v>2385</v>
      </c>
      <c r="M712" s="32">
        <v>477</v>
      </c>
      <c r="N712" s="32">
        <v>372</v>
      </c>
      <c r="O712" s="32">
        <v>678</v>
      </c>
      <c r="P712" s="32">
        <v>515</v>
      </c>
      <c r="Q712" s="32">
        <v>343</v>
      </c>
      <c r="R712" s="32">
        <v>3</v>
      </c>
      <c r="S712" s="32">
        <v>24.886299999999999</v>
      </c>
      <c r="T712" s="32">
        <v>1.66998</v>
      </c>
      <c r="U712" s="32">
        <v>0.93834718299999997</v>
      </c>
      <c r="V712" s="32">
        <v>8</v>
      </c>
      <c r="W712" s="32">
        <v>0.827264</v>
      </c>
      <c r="X712" s="32">
        <v>0.110108</v>
      </c>
      <c r="Y712" s="32">
        <v>0.6</v>
      </c>
      <c r="Z712" s="32">
        <v>0.330762</v>
      </c>
      <c r="AA712" s="32">
        <v>17.3</v>
      </c>
      <c r="AB712" s="32">
        <v>819</v>
      </c>
      <c r="AC712" s="32">
        <v>35</v>
      </c>
      <c r="AD712" s="32">
        <v>61</v>
      </c>
      <c r="AE712" s="32">
        <v>5</v>
      </c>
      <c r="AF712" s="32" t="s">
        <v>200</v>
      </c>
      <c r="AG712" s="32" t="s">
        <v>200</v>
      </c>
    </row>
    <row r="713" spans="1:33">
      <c r="A713" s="32" t="s">
        <v>2697</v>
      </c>
      <c r="B713" s="32" t="s">
        <v>82</v>
      </c>
      <c r="C713" s="32" t="s">
        <v>2698</v>
      </c>
      <c r="D713" s="32" t="s">
        <v>2699</v>
      </c>
      <c r="E713" s="32" t="s">
        <v>2700</v>
      </c>
      <c r="F713" s="32" t="s">
        <v>2701</v>
      </c>
      <c r="G713" s="32" t="s">
        <v>2516</v>
      </c>
      <c r="H713" s="32" t="s">
        <v>2517</v>
      </c>
      <c r="I713" s="32" t="s">
        <v>198</v>
      </c>
      <c r="J713" s="32" t="s">
        <v>199</v>
      </c>
      <c r="K713" s="32">
        <v>2.274499</v>
      </c>
      <c r="L713" s="33">
        <v>2332</v>
      </c>
      <c r="M713" s="32">
        <v>384</v>
      </c>
      <c r="N713" s="32">
        <v>484</v>
      </c>
      <c r="O713" s="32">
        <v>671</v>
      </c>
      <c r="P713" s="32">
        <v>499</v>
      </c>
      <c r="Q713" s="32">
        <v>294</v>
      </c>
      <c r="R713" s="32">
        <v>5</v>
      </c>
      <c r="S713" s="32">
        <v>41.052399999999999</v>
      </c>
      <c r="T713" s="32">
        <v>0</v>
      </c>
      <c r="U713" s="32">
        <v>0.75554678399999997</v>
      </c>
      <c r="V713" s="32">
        <v>8</v>
      </c>
      <c r="W713" s="32">
        <v>0.89198</v>
      </c>
      <c r="X713" s="32">
        <v>0.18774199999999999</v>
      </c>
      <c r="Y713" s="32">
        <v>0.6</v>
      </c>
      <c r="Z713" s="32">
        <v>0.59600699999999995</v>
      </c>
      <c r="AA713" s="32">
        <v>22.7</v>
      </c>
      <c r="AB713" s="32">
        <v>795</v>
      </c>
      <c r="AC713" s="32">
        <v>38</v>
      </c>
      <c r="AD713" s="32">
        <v>103</v>
      </c>
      <c r="AE713" s="32">
        <v>16</v>
      </c>
      <c r="AF713" s="32">
        <v>15</v>
      </c>
      <c r="AG713" s="32">
        <v>7</v>
      </c>
    </row>
    <row r="714" spans="1:33">
      <c r="A714" s="32" t="s">
        <v>2702</v>
      </c>
      <c r="B714" s="32" t="s">
        <v>82</v>
      </c>
      <c r="C714" s="32" t="s">
        <v>2703</v>
      </c>
      <c r="D714" s="32" t="s">
        <v>2704</v>
      </c>
      <c r="E714" s="32" t="s">
        <v>2679</v>
      </c>
      <c r="F714" s="32" t="s">
        <v>2680</v>
      </c>
      <c r="G714" s="32" t="s">
        <v>2516</v>
      </c>
      <c r="H714" s="32" t="s">
        <v>2517</v>
      </c>
      <c r="I714" s="32" t="s">
        <v>198</v>
      </c>
      <c r="J714" s="32" t="s">
        <v>199</v>
      </c>
      <c r="K714" s="32">
        <v>2.2819129999999999</v>
      </c>
      <c r="L714" s="33">
        <v>2135</v>
      </c>
      <c r="M714" s="32">
        <v>418</v>
      </c>
      <c r="N714" s="32">
        <v>399</v>
      </c>
      <c r="O714" s="32">
        <v>697</v>
      </c>
      <c r="P714" s="32">
        <v>414</v>
      </c>
      <c r="Q714" s="32">
        <v>207</v>
      </c>
      <c r="R714" s="32" t="s">
        <v>302</v>
      </c>
      <c r="S714" s="32">
        <v>40.974600000000002</v>
      </c>
      <c r="T714" s="32">
        <v>14.5519</v>
      </c>
      <c r="U714" s="32">
        <v>0.96102530900000005</v>
      </c>
      <c r="V714" s="32">
        <v>5</v>
      </c>
      <c r="W714" s="32">
        <v>0.90592499999999998</v>
      </c>
      <c r="X714" s="32">
        <v>0.19833700000000001</v>
      </c>
      <c r="Y714" s="32">
        <v>0.60303300000000004</v>
      </c>
      <c r="Z714" s="32">
        <v>0.57526100000000002</v>
      </c>
      <c r="AA714" s="32">
        <v>22.3</v>
      </c>
      <c r="AB714" s="32">
        <v>552</v>
      </c>
      <c r="AC714" s="32">
        <v>31</v>
      </c>
      <c r="AD714" s="32">
        <v>73</v>
      </c>
      <c r="AE714" s="32" t="s">
        <v>200</v>
      </c>
      <c r="AF714" s="32" t="s">
        <v>200</v>
      </c>
      <c r="AG714" s="32" t="s">
        <v>200</v>
      </c>
    </row>
    <row r="715" spans="1:33">
      <c r="A715" s="32" t="s">
        <v>2705</v>
      </c>
      <c r="B715" s="32" t="s">
        <v>82</v>
      </c>
      <c r="C715" s="32" t="s">
        <v>2706</v>
      </c>
      <c r="D715" s="32" t="s">
        <v>2707</v>
      </c>
      <c r="E715" s="32" t="s">
        <v>2708</v>
      </c>
      <c r="F715" s="32" t="s">
        <v>2709</v>
      </c>
      <c r="G715" s="32" t="s">
        <v>2516</v>
      </c>
      <c r="H715" s="32" t="s">
        <v>2517</v>
      </c>
      <c r="I715" s="32" t="s">
        <v>198</v>
      </c>
      <c r="J715" s="32" t="s">
        <v>199</v>
      </c>
      <c r="K715" s="32">
        <v>2.053855</v>
      </c>
      <c r="L715" s="33">
        <v>1916</v>
      </c>
      <c r="M715" s="32">
        <v>431</v>
      </c>
      <c r="N715" s="32">
        <v>285</v>
      </c>
      <c r="O715" s="32">
        <v>466</v>
      </c>
      <c r="P715" s="32">
        <v>477</v>
      </c>
      <c r="Q715" s="32">
        <v>257</v>
      </c>
      <c r="R715" s="32">
        <v>3</v>
      </c>
      <c r="S715" s="32">
        <v>32.021099999999997</v>
      </c>
      <c r="T715" s="32">
        <v>0</v>
      </c>
      <c r="U715" s="32">
        <v>0.81850924800000002</v>
      </c>
      <c r="V715" s="32">
        <v>8</v>
      </c>
      <c r="W715" s="32">
        <v>0.84544399999999997</v>
      </c>
      <c r="X715" s="32">
        <v>0.17172699999999999</v>
      </c>
      <c r="Y715" s="32">
        <v>0.6</v>
      </c>
      <c r="Z715" s="32">
        <v>0.42579499999999998</v>
      </c>
      <c r="AA715" s="32">
        <v>16.3</v>
      </c>
      <c r="AB715" s="32">
        <v>727</v>
      </c>
      <c r="AC715" s="32">
        <v>18</v>
      </c>
      <c r="AD715" s="32">
        <v>65</v>
      </c>
      <c r="AE715" s="32" t="s">
        <v>200</v>
      </c>
      <c r="AF715" s="32" t="s">
        <v>200</v>
      </c>
      <c r="AG715" s="32">
        <v>13</v>
      </c>
    </row>
    <row r="716" spans="1:33">
      <c r="A716" s="32" t="s">
        <v>2746</v>
      </c>
      <c r="B716" s="32" t="s">
        <v>82</v>
      </c>
      <c r="C716" s="32" t="s">
        <v>2747</v>
      </c>
      <c r="D716" s="32" t="s">
        <v>2748</v>
      </c>
      <c r="E716" s="32" t="s">
        <v>2749</v>
      </c>
      <c r="F716" s="32" t="s">
        <v>2750</v>
      </c>
      <c r="G716" s="32" t="s">
        <v>2516</v>
      </c>
      <c r="H716" s="32" t="s">
        <v>2517</v>
      </c>
      <c r="I716" s="32" t="s">
        <v>198</v>
      </c>
      <c r="J716" s="32" t="s">
        <v>199</v>
      </c>
      <c r="K716" s="32">
        <v>1.7426090000000001</v>
      </c>
      <c r="L716" s="33">
        <v>1589</v>
      </c>
      <c r="M716" s="32">
        <v>337</v>
      </c>
      <c r="N716" s="32">
        <v>155</v>
      </c>
      <c r="O716" s="32">
        <v>309</v>
      </c>
      <c r="P716" s="32">
        <v>418</v>
      </c>
      <c r="Q716" s="32">
        <v>370</v>
      </c>
      <c r="R716" s="32" t="s">
        <v>225</v>
      </c>
      <c r="S716" s="32">
        <v>6.1220600000000003</v>
      </c>
      <c r="T716" s="32">
        <v>2.0179299999999998</v>
      </c>
      <c r="U716" s="32">
        <v>0.87145445399999999</v>
      </c>
      <c r="V716" s="32">
        <v>10</v>
      </c>
      <c r="W716" s="32">
        <v>0.80447199999999996</v>
      </c>
      <c r="X716" s="32">
        <v>0.13012299999999999</v>
      </c>
      <c r="Y716" s="32">
        <v>0.6</v>
      </c>
      <c r="Z716" s="32">
        <v>0.2</v>
      </c>
      <c r="AA716" s="32">
        <v>7.7</v>
      </c>
      <c r="AB716" s="32">
        <v>788</v>
      </c>
      <c r="AC716" s="32">
        <v>19</v>
      </c>
      <c r="AD716" s="32">
        <v>50</v>
      </c>
      <c r="AE716" s="32">
        <v>0</v>
      </c>
      <c r="AF716" s="32" t="s">
        <v>200</v>
      </c>
      <c r="AG716" s="32" t="s">
        <v>200</v>
      </c>
    </row>
    <row r="717" spans="1:33">
      <c r="A717" s="32" t="s">
        <v>2751</v>
      </c>
      <c r="B717" s="32" t="s">
        <v>82</v>
      </c>
      <c r="C717" s="32" t="s">
        <v>2752</v>
      </c>
      <c r="D717" s="32" t="s">
        <v>2753</v>
      </c>
      <c r="E717" s="32" t="s">
        <v>2741</v>
      </c>
      <c r="F717" s="32" t="s">
        <v>2742</v>
      </c>
      <c r="G717" s="32" t="s">
        <v>2516</v>
      </c>
      <c r="H717" s="32" t="s">
        <v>2517</v>
      </c>
      <c r="I717" s="32" t="s">
        <v>198</v>
      </c>
      <c r="J717" s="32" t="s">
        <v>199</v>
      </c>
      <c r="K717" s="32">
        <v>1.7912170000000001</v>
      </c>
      <c r="L717" s="33">
        <v>1524</v>
      </c>
      <c r="M717" s="32">
        <v>289</v>
      </c>
      <c r="N717" s="32">
        <v>181</v>
      </c>
      <c r="O717" s="32">
        <v>248</v>
      </c>
      <c r="P717" s="32">
        <v>401</v>
      </c>
      <c r="Q717" s="32">
        <v>405</v>
      </c>
      <c r="R717" s="32">
        <v>2</v>
      </c>
      <c r="S717" s="32">
        <v>7.6194899999999999</v>
      </c>
      <c r="T717" s="32">
        <v>2.1099299999999999</v>
      </c>
      <c r="U717" s="32">
        <v>0.90798354800000003</v>
      </c>
      <c r="V717" s="32">
        <v>9</v>
      </c>
      <c r="W717" s="32">
        <v>0.80733299999999997</v>
      </c>
      <c r="X717" s="32">
        <v>0.189355</v>
      </c>
      <c r="Y717" s="32">
        <v>0.6</v>
      </c>
      <c r="Z717" s="32">
        <v>0.20752999999999999</v>
      </c>
      <c r="AA717" s="32">
        <v>8.1</v>
      </c>
      <c r="AB717" s="32">
        <v>734</v>
      </c>
      <c r="AC717" s="32">
        <v>28</v>
      </c>
      <c r="AD717" s="32">
        <v>53</v>
      </c>
      <c r="AE717" s="32" t="s">
        <v>200</v>
      </c>
      <c r="AF717" s="32" t="s">
        <v>200</v>
      </c>
      <c r="AG717" s="32" t="s">
        <v>200</v>
      </c>
    </row>
    <row r="718" spans="1:33">
      <c r="A718" s="32" t="s">
        <v>2710</v>
      </c>
      <c r="B718" s="32" t="s">
        <v>82</v>
      </c>
      <c r="C718" s="32" t="s">
        <v>2711</v>
      </c>
      <c r="D718" s="32" t="s">
        <v>2712</v>
      </c>
      <c r="E718" s="32" t="s">
        <v>2713</v>
      </c>
      <c r="F718" s="32" t="s">
        <v>2714</v>
      </c>
      <c r="G718" s="32" t="s">
        <v>2516</v>
      </c>
      <c r="H718" s="32" t="s">
        <v>2517</v>
      </c>
      <c r="I718" s="32" t="s">
        <v>198</v>
      </c>
      <c r="J718" s="32" t="s">
        <v>199</v>
      </c>
      <c r="K718" s="32">
        <v>1.788554</v>
      </c>
      <c r="L718" s="33">
        <v>2720</v>
      </c>
      <c r="M718" s="32">
        <v>800</v>
      </c>
      <c r="N718" s="32">
        <v>414</v>
      </c>
      <c r="O718" s="32">
        <v>689</v>
      </c>
      <c r="P718" s="32">
        <v>571</v>
      </c>
      <c r="Q718" s="32">
        <v>246</v>
      </c>
      <c r="R718" s="32">
        <v>2</v>
      </c>
      <c r="S718" s="32">
        <v>10.2699</v>
      </c>
      <c r="T718" s="32">
        <v>0</v>
      </c>
      <c r="U718" s="32">
        <v>1.6028434620000001</v>
      </c>
      <c r="V718" s="32">
        <v>2</v>
      </c>
      <c r="W718" s="32">
        <v>0.80483199999999999</v>
      </c>
      <c r="X718" s="32">
        <v>0.14621500000000001</v>
      </c>
      <c r="Y718" s="32">
        <v>0.63965899999999998</v>
      </c>
      <c r="Z718" s="32">
        <v>0.19599</v>
      </c>
      <c r="AA718" s="32">
        <v>20.8</v>
      </c>
      <c r="AB718" s="32">
        <v>944</v>
      </c>
      <c r="AC718" s="32">
        <v>42</v>
      </c>
      <c r="AD718" s="32">
        <v>69</v>
      </c>
      <c r="AE718" s="32">
        <v>0</v>
      </c>
      <c r="AF718" s="32" t="s">
        <v>200</v>
      </c>
      <c r="AG718" s="32">
        <v>6</v>
      </c>
    </row>
    <row r="719" spans="1:33">
      <c r="A719" s="32" t="s">
        <v>2715</v>
      </c>
      <c r="B719" s="32" t="s">
        <v>82</v>
      </c>
      <c r="C719" s="32" t="s">
        <v>2716</v>
      </c>
      <c r="D719" s="32" t="s">
        <v>2717</v>
      </c>
      <c r="E719" s="32" t="s">
        <v>2713</v>
      </c>
      <c r="F719" s="32" t="s">
        <v>2714</v>
      </c>
      <c r="G719" s="32" t="s">
        <v>2516</v>
      </c>
      <c r="H719" s="32" t="s">
        <v>2517</v>
      </c>
      <c r="I719" s="32" t="s">
        <v>198</v>
      </c>
      <c r="J719" s="32" t="s">
        <v>199</v>
      </c>
      <c r="K719" s="32">
        <v>1.6176889999999999</v>
      </c>
      <c r="L719" s="33">
        <v>1693</v>
      </c>
      <c r="M719" s="32">
        <v>380</v>
      </c>
      <c r="N719" s="32">
        <v>251</v>
      </c>
      <c r="O719" s="32">
        <v>321</v>
      </c>
      <c r="P719" s="32">
        <v>448</v>
      </c>
      <c r="Q719" s="32">
        <v>293</v>
      </c>
      <c r="R719" s="32" t="s">
        <v>214</v>
      </c>
      <c r="S719" s="32">
        <v>8.0992300000000004</v>
      </c>
      <c r="T719" s="32">
        <v>0</v>
      </c>
      <c r="U719" s="32">
        <v>1.1823771569999999</v>
      </c>
      <c r="V719" s="32">
        <v>5</v>
      </c>
      <c r="W719" s="32">
        <v>0.80017899999999997</v>
      </c>
      <c r="X719" s="32">
        <v>3.6640000000000002E-3</v>
      </c>
      <c r="Y719" s="32">
        <v>0.67923800000000001</v>
      </c>
      <c r="Z719" s="32">
        <v>0.13470699999999999</v>
      </c>
      <c r="AA719" s="32">
        <v>13.4</v>
      </c>
      <c r="AB719" s="32">
        <v>844</v>
      </c>
      <c r="AC719" s="32">
        <v>29</v>
      </c>
      <c r="AD719" s="32">
        <v>94</v>
      </c>
      <c r="AE719" s="32">
        <v>5</v>
      </c>
      <c r="AF719" s="32">
        <v>0</v>
      </c>
      <c r="AG719" s="32">
        <v>14</v>
      </c>
    </row>
    <row r="720" spans="1:33">
      <c r="A720" s="32" t="s">
        <v>2718</v>
      </c>
      <c r="B720" s="32" t="s">
        <v>82</v>
      </c>
      <c r="C720" s="32" t="s">
        <v>2719</v>
      </c>
      <c r="D720" s="32" t="s">
        <v>2720</v>
      </c>
      <c r="E720" s="32" t="s">
        <v>2690</v>
      </c>
      <c r="F720" s="32" t="s">
        <v>2691</v>
      </c>
      <c r="G720" s="32" t="s">
        <v>2516</v>
      </c>
      <c r="H720" s="32" t="s">
        <v>2517</v>
      </c>
      <c r="I720" s="32" t="s">
        <v>198</v>
      </c>
      <c r="J720" s="32" t="s">
        <v>199</v>
      </c>
      <c r="K720" s="32">
        <v>1.842684</v>
      </c>
      <c r="L720" s="33">
        <v>1834</v>
      </c>
      <c r="M720" s="32">
        <v>365</v>
      </c>
      <c r="N720" s="32">
        <v>289</v>
      </c>
      <c r="O720" s="32">
        <v>359</v>
      </c>
      <c r="P720" s="32">
        <v>501</v>
      </c>
      <c r="Q720" s="32">
        <v>320</v>
      </c>
      <c r="R720" s="32">
        <v>2</v>
      </c>
      <c r="S720" s="32">
        <v>10.0802</v>
      </c>
      <c r="T720" s="32">
        <v>0</v>
      </c>
      <c r="U720" s="32">
        <v>0.96652921400000003</v>
      </c>
      <c r="V720" s="32">
        <v>8</v>
      </c>
      <c r="W720" s="32">
        <v>0.80493499999999996</v>
      </c>
      <c r="X720" s="32">
        <v>0.157476</v>
      </c>
      <c r="Y720" s="32">
        <v>0.68453600000000003</v>
      </c>
      <c r="Z720" s="32">
        <v>0.20064899999999999</v>
      </c>
      <c r="AA720" s="32">
        <v>11.6</v>
      </c>
      <c r="AB720" s="32">
        <v>944</v>
      </c>
      <c r="AC720" s="32">
        <v>31</v>
      </c>
      <c r="AD720" s="32">
        <v>153</v>
      </c>
      <c r="AE720" s="32" t="s">
        <v>200</v>
      </c>
      <c r="AF720" s="32" t="s">
        <v>200</v>
      </c>
      <c r="AG720" s="32">
        <v>10</v>
      </c>
    </row>
    <row r="721" spans="1:33">
      <c r="A721" s="32" t="s">
        <v>2721</v>
      </c>
      <c r="B721" s="32" t="s">
        <v>82</v>
      </c>
      <c r="C721" s="32" t="s">
        <v>2722</v>
      </c>
      <c r="D721" s="32" t="s">
        <v>2723</v>
      </c>
      <c r="E721" s="32" t="s">
        <v>2695</v>
      </c>
      <c r="F721" s="32" t="s">
        <v>2696</v>
      </c>
      <c r="G721" s="32" t="s">
        <v>2516</v>
      </c>
      <c r="H721" s="32" t="s">
        <v>2517</v>
      </c>
      <c r="I721" s="32" t="s">
        <v>198</v>
      </c>
      <c r="J721" s="32" t="s">
        <v>199</v>
      </c>
      <c r="K721" s="32">
        <v>1.7349300000000001</v>
      </c>
      <c r="L721" s="33">
        <v>2109</v>
      </c>
      <c r="M721" s="32">
        <v>424</v>
      </c>
      <c r="N721" s="32">
        <v>280</v>
      </c>
      <c r="O721" s="32">
        <v>621</v>
      </c>
      <c r="P721" s="32">
        <v>500</v>
      </c>
      <c r="Q721" s="32">
        <v>284</v>
      </c>
      <c r="R721" s="32">
        <v>2</v>
      </c>
      <c r="S721" s="32">
        <v>10.453900000000001</v>
      </c>
      <c r="T721" s="32">
        <v>0</v>
      </c>
      <c r="U721" s="32">
        <v>1.020954922</v>
      </c>
      <c r="V721" s="32">
        <v>7</v>
      </c>
      <c r="W721" s="32">
        <v>0.80958300000000005</v>
      </c>
      <c r="X721" s="32">
        <v>8.1781000000000006E-2</v>
      </c>
      <c r="Y721" s="32">
        <v>0.6</v>
      </c>
      <c r="Z721" s="32">
        <v>0.24664900000000001</v>
      </c>
      <c r="AA721" s="32">
        <v>13.9</v>
      </c>
      <c r="AB721" s="32">
        <v>865</v>
      </c>
      <c r="AC721" s="32">
        <v>25</v>
      </c>
      <c r="AD721" s="32">
        <v>122</v>
      </c>
      <c r="AE721" s="32">
        <v>7</v>
      </c>
      <c r="AF721" s="32" t="s">
        <v>200</v>
      </c>
      <c r="AG721" s="32">
        <v>8</v>
      </c>
    </row>
    <row r="722" spans="1:33">
      <c r="A722" s="32" t="s">
        <v>2724</v>
      </c>
      <c r="B722" s="32" t="s">
        <v>82</v>
      </c>
      <c r="C722" s="32" t="s">
        <v>2725</v>
      </c>
      <c r="D722" s="32" t="s">
        <v>2726</v>
      </c>
      <c r="E722" s="32" t="s">
        <v>2695</v>
      </c>
      <c r="F722" s="32" t="s">
        <v>2696</v>
      </c>
      <c r="G722" s="32" t="s">
        <v>2516</v>
      </c>
      <c r="H722" s="32" t="s">
        <v>2517</v>
      </c>
      <c r="I722" s="32" t="s">
        <v>198</v>
      </c>
      <c r="J722" s="32" t="s">
        <v>199</v>
      </c>
      <c r="K722" s="32">
        <v>1.689157</v>
      </c>
      <c r="L722" s="33">
        <v>1672</v>
      </c>
      <c r="M722" s="32">
        <v>340</v>
      </c>
      <c r="N722" s="32">
        <v>211</v>
      </c>
      <c r="O722" s="32">
        <v>438</v>
      </c>
      <c r="P722" s="32">
        <v>476</v>
      </c>
      <c r="Q722" s="32">
        <v>207</v>
      </c>
      <c r="R722" s="32">
        <v>2</v>
      </c>
      <c r="S722" s="32">
        <v>9.2039000000000009</v>
      </c>
      <c r="T722" s="32">
        <v>6.1390700000000002</v>
      </c>
      <c r="U722" s="32">
        <v>0.99355685599999999</v>
      </c>
      <c r="V722" s="32">
        <v>8</v>
      </c>
      <c r="W722" s="32">
        <v>0.80220899999999995</v>
      </c>
      <c r="X722" s="32">
        <v>1.8036E-2</v>
      </c>
      <c r="Y722" s="32">
        <v>0.6</v>
      </c>
      <c r="Z722" s="32">
        <v>0.266733</v>
      </c>
      <c r="AA722" s="32">
        <v>10.199999999999999</v>
      </c>
      <c r="AB722" s="32">
        <v>724</v>
      </c>
      <c r="AC722" s="32">
        <v>39</v>
      </c>
      <c r="AD722" s="32">
        <v>67</v>
      </c>
      <c r="AE722" s="32">
        <v>0</v>
      </c>
      <c r="AF722" s="32">
        <v>0</v>
      </c>
      <c r="AG722" s="32">
        <v>5</v>
      </c>
    </row>
    <row r="723" spans="1:33">
      <c r="A723" s="32" t="s">
        <v>2727</v>
      </c>
      <c r="B723" s="32" t="s">
        <v>82</v>
      </c>
      <c r="C723" s="32" t="s">
        <v>2728</v>
      </c>
      <c r="D723" s="32" t="s">
        <v>2729</v>
      </c>
      <c r="E723" s="32" t="s">
        <v>2700</v>
      </c>
      <c r="F723" s="32" t="s">
        <v>2701</v>
      </c>
      <c r="G723" s="32" t="s">
        <v>2516</v>
      </c>
      <c r="H723" s="32" t="s">
        <v>2517</v>
      </c>
      <c r="I723" s="32" t="s">
        <v>198</v>
      </c>
      <c r="J723" s="32" t="s">
        <v>199</v>
      </c>
      <c r="K723" s="32">
        <v>1.8633660000000001</v>
      </c>
      <c r="L723" s="33">
        <v>2135</v>
      </c>
      <c r="M723" s="32">
        <v>368</v>
      </c>
      <c r="N723" s="32">
        <v>336</v>
      </c>
      <c r="O723" s="32">
        <v>566</v>
      </c>
      <c r="P723" s="32">
        <v>522</v>
      </c>
      <c r="Q723" s="32">
        <v>343</v>
      </c>
      <c r="R723" s="32">
        <v>5</v>
      </c>
      <c r="S723" s="32">
        <v>34.415599999999998</v>
      </c>
      <c r="T723" s="32">
        <v>2.1455799999999998</v>
      </c>
      <c r="U723" s="32">
        <v>0.87609721799999996</v>
      </c>
      <c r="V723" s="32">
        <v>10</v>
      </c>
      <c r="W723" s="32">
        <v>0.82241299999999995</v>
      </c>
      <c r="X723" s="32">
        <v>4.6051000000000002E-2</v>
      </c>
      <c r="Y723" s="32">
        <v>0.60560099999999994</v>
      </c>
      <c r="Z723" s="32">
        <v>0.39015699999999998</v>
      </c>
      <c r="AA723" s="32">
        <v>23</v>
      </c>
      <c r="AB723" s="32">
        <v>812</v>
      </c>
      <c r="AC723" s="32">
        <v>23</v>
      </c>
      <c r="AD723" s="32">
        <v>43</v>
      </c>
      <c r="AE723" s="32">
        <v>24</v>
      </c>
      <c r="AF723" s="32" t="s">
        <v>200</v>
      </c>
      <c r="AG723" s="32" t="s">
        <v>200</v>
      </c>
    </row>
    <row r="724" spans="1:33">
      <c r="A724" s="32" t="s">
        <v>2754</v>
      </c>
      <c r="B724" s="32" t="s">
        <v>83</v>
      </c>
      <c r="C724" s="32" t="s">
        <v>2755</v>
      </c>
      <c r="D724" s="32" t="s">
        <v>2756</v>
      </c>
      <c r="E724" s="32" t="s">
        <v>2757</v>
      </c>
      <c r="F724" s="32" t="s">
        <v>2758</v>
      </c>
      <c r="G724" s="32" t="s">
        <v>2759</v>
      </c>
      <c r="H724" s="32" t="s">
        <v>2760</v>
      </c>
      <c r="I724" s="32" t="s">
        <v>198</v>
      </c>
      <c r="J724" s="32" t="s">
        <v>199</v>
      </c>
      <c r="K724" s="32">
        <v>2.7719170000000002</v>
      </c>
      <c r="L724" s="33">
        <v>2045</v>
      </c>
      <c r="M724" s="32">
        <v>527</v>
      </c>
      <c r="N724" s="32">
        <v>361</v>
      </c>
      <c r="O724" s="32">
        <v>520</v>
      </c>
      <c r="P724" s="32">
        <v>464</v>
      </c>
      <c r="Q724" s="32">
        <v>173</v>
      </c>
      <c r="R724" s="32">
        <v>5</v>
      </c>
      <c r="S724" s="32">
        <v>28.885400000000001</v>
      </c>
      <c r="T724" s="32">
        <v>8.8616700000000002</v>
      </c>
      <c r="U724" s="32">
        <v>0.78379910100000005</v>
      </c>
      <c r="V724" s="32">
        <v>3</v>
      </c>
      <c r="W724" s="32">
        <v>0.90721099999999999</v>
      </c>
      <c r="X724" s="32">
        <v>0.34444399999999997</v>
      </c>
      <c r="Y724" s="32">
        <v>0.7</v>
      </c>
      <c r="Z724" s="32">
        <v>0.82157999999999998</v>
      </c>
      <c r="AA724" s="32">
        <v>43.7</v>
      </c>
      <c r="AB724" s="32">
        <v>467</v>
      </c>
      <c r="AC724" s="32">
        <v>20</v>
      </c>
      <c r="AD724" s="32">
        <v>73</v>
      </c>
      <c r="AE724" s="32" t="s">
        <v>200</v>
      </c>
      <c r="AF724" s="32" t="s">
        <v>200</v>
      </c>
      <c r="AG724" s="32" t="s">
        <v>200</v>
      </c>
    </row>
    <row r="725" spans="1:33">
      <c r="A725" s="32" t="s">
        <v>2761</v>
      </c>
      <c r="B725" s="32" t="s">
        <v>83</v>
      </c>
      <c r="C725" s="32" t="s">
        <v>2762</v>
      </c>
      <c r="D725" s="32" t="s">
        <v>2763</v>
      </c>
      <c r="E725" s="32" t="s">
        <v>2757</v>
      </c>
      <c r="F725" s="32" t="s">
        <v>2758</v>
      </c>
      <c r="G725" s="32" t="s">
        <v>2759</v>
      </c>
      <c r="H725" s="32" t="s">
        <v>2760</v>
      </c>
      <c r="I725" s="32" t="s">
        <v>198</v>
      </c>
      <c r="J725" s="32" t="s">
        <v>199</v>
      </c>
      <c r="K725" s="32">
        <v>2.5142419999999999</v>
      </c>
      <c r="L725" s="33">
        <v>1800</v>
      </c>
      <c r="M725" s="32">
        <v>380</v>
      </c>
      <c r="N725" s="32">
        <v>308</v>
      </c>
      <c r="O725" s="32">
        <v>434</v>
      </c>
      <c r="P725" s="32">
        <v>476</v>
      </c>
      <c r="Q725" s="32">
        <v>202</v>
      </c>
      <c r="R725" s="32">
        <v>3</v>
      </c>
      <c r="S725" s="32">
        <v>19.968900000000001</v>
      </c>
      <c r="T725" s="32">
        <v>8.4764300000000006</v>
      </c>
      <c r="U725" s="32">
        <v>0.73669537600000001</v>
      </c>
      <c r="V725" s="32">
        <v>5</v>
      </c>
      <c r="W725" s="32">
        <v>0.90107199999999998</v>
      </c>
      <c r="X725" s="32">
        <v>0.211621</v>
      </c>
      <c r="Y725" s="32">
        <v>0.7</v>
      </c>
      <c r="Z725" s="32">
        <v>0.69004600000000005</v>
      </c>
      <c r="AA725" s="32">
        <v>41.5</v>
      </c>
      <c r="AB725" s="32">
        <v>585</v>
      </c>
      <c r="AC725" s="32">
        <v>26</v>
      </c>
      <c r="AD725" s="32">
        <v>221</v>
      </c>
      <c r="AE725" s="32" t="s">
        <v>200</v>
      </c>
      <c r="AF725" s="32">
        <v>13</v>
      </c>
      <c r="AG725" s="32">
        <v>5</v>
      </c>
    </row>
    <row r="726" spans="1:33">
      <c r="A726" s="32" t="s">
        <v>2764</v>
      </c>
      <c r="B726" s="32" t="s">
        <v>83</v>
      </c>
      <c r="C726" s="32" t="s">
        <v>2765</v>
      </c>
      <c r="D726" s="32" t="s">
        <v>2766</v>
      </c>
      <c r="E726" s="32" t="s">
        <v>2767</v>
      </c>
      <c r="F726" s="32" t="s">
        <v>2768</v>
      </c>
      <c r="G726" s="32" t="s">
        <v>2759</v>
      </c>
      <c r="H726" s="32" t="s">
        <v>2760</v>
      </c>
      <c r="I726" s="32" t="s">
        <v>198</v>
      </c>
      <c r="J726" s="32" t="s">
        <v>199</v>
      </c>
      <c r="K726" s="32">
        <v>1.856854</v>
      </c>
      <c r="L726" s="33">
        <v>1509</v>
      </c>
      <c r="M726" s="32">
        <v>176</v>
      </c>
      <c r="N726" s="32">
        <v>183</v>
      </c>
      <c r="O726" s="32">
        <v>218</v>
      </c>
      <c r="P726" s="32">
        <v>439</v>
      </c>
      <c r="Q726" s="32">
        <v>493</v>
      </c>
      <c r="R726" s="32">
        <v>2</v>
      </c>
      <c r="S726" s="32">
        <v>8.1983800000000002</v>
      </c>
      <c r="T726" s="32">
        <v>1.6029</v>
      </c>
      <c r="U726" s="32">
        <v>0.92719735999999997</v>
      </c>
      <c r="V726" s="32">
        <v>7</v>
      </c>
      <c r="W726" s="32">
        <v>0.80818800000000002</v>
      </c>
      <c r="X726" s="32">
        <v>8.3225999999999994E-2</v>
      </c>
      <c r="Y726" s="32">
        <v>0.68144400000000005</v>
      </c>
      <c r="Z726" s="32">
        <v>0.28116999999999998</v>
      </c>
      <c r="AA726" s="32">
        <v>24.4</v>
      </c>
      <c r="AB726" s="32">
        <v>811</v>
      </c>
      <c r="AC726" s="32">
        <v>33</v>
      </c>
      <c r="AD726" s="32">
        <v>52</v>
      </c>
      <c r="AE726" s="32" t="s">
        <v>200</v>
      </c>
      <c r="AF726" s="32">
        <v>0</v>
      </c>
      <c r="AG726" s="32">
        <v>6</v>
      </c>
    </row>
    <row r="727" spans="1:33">
      <c r="A727" s="32" t="s">
        <v>2769</v>
      </c>
      <c r="B727" s="32" t="s">
        <v>83</v>
      </c>
      <c r="C727" s="32" t="s">
        <v>2770</v>
      </c>
      <c r="D727" s="32" t="s">
        <v>2771</v>
      </c>
      <c r="E727" s="32" t="s">
        <v>2772</v>
      </c>
      <c r="F727" s="32" t="s">
        <v>2773</v>
      </c>
      <c r="G727" s="32" t="s">
        <v>2759</v>
      </c>
      <c r="H727" s="32" t="s">
        <v>2760</v>
      </c>
      <c r="I727" s="32" t="s">
        <v>198</v>
      </c>
      <c r="J727" s="32" t="s">
        <v>199</v>
      </c>
      <c r="K727" s="32">
        <v>1.8230040000000001</v>
      </c>
      <c r="L727" s="33">
        <v>1677</v>
      </c>
      <c r="M727" s="32">
        <v>270</v>
      </c>
      <c r="N727" s="32">
        <v>265</v>
      </c>
      <c r="O727" s="32">
        <v>316</v>
      </c>
      <c r="P727" s="32">
        <v>506</v>
      </c>
      <c r="Q727" s="32">
        <v>320</v>
      </c>
      <c r="R727" s="32" t="s">
        <v>225</v>
      </c>
      <c r="S727" s="32">
        <v>10.4518</v>
      </c>
      <c r="T727" s="32">
        <v>1.6713199999999999</v>
      </c>
      <c r="U727" s="32">
        <v>0.98567526699999997</v>
      </c>
      <c r="V727" s="32">
        <v>8</v>
      </c>
      <c r="W727" s="32">
        <v>0.80228100000000002</v>
      </c>
      <c r="X727" s="32">
        <v>3.4225999999999999E-2</v>
      </c>
      <c r="Y727" s="32">
        <v>0.68449800000000005</v>
      </c>
      <c r="Z727" s="32">
        <v>0.29637400000000003</v>
      </c>
      <c r="AA727" s="32">
        <v>26.6</v>
      </c>
      <c r="AB727" s="32">
        <v>818</v>
      </c>
      <c r="AC727" s="32">
        <v>15</v>
      </c>
      <c r="AD727" s="32">
        <v>45</v>
      </c>
      <c r="AE727" s="32" t="s">
        <v>200</v>
      </c>
      <c r="AF727" s="32" t="s">
        <v>200</v>
      </c>
      <c r="AG727" s="32">
        <v>6</v>
      </c>
    </row>
    <row r="728" spans="1:33">
      <c r="A728" s="32" t="s">
        <v>2774</v>
      </c>
      <c r="B728" s="32" t="s">
        <v>83</v>
      </c>
      <c r="C728" s="32" t="s">
        <v>2775</v>
      </c>
      <c r="D728" s="32" t="s">
        <v>2776</v>
      </c>
      <c r="E728" s="32" t="s">
        <v>2777</v>
      </c>
      <c r="F728" s="32" t="s">
        <v>2778</v>
      </c>
      <c r="G728" s="32" t="s">
        <v>2759</v>
      </c>
      <c r="H728" s="32" t="s">
        <v>2760</v>
      </c>
      <c r="I728" s="32" t="s">
        <v>198</v>
      </c>
      <c r="J728" s="32" t="s">
        <v>199</v>
      </c>
      <c r="K728" s="32">
        <v>1.7560530000000001</v>
      </c>
      <c r="L728" s="33">
        <v>1656</v>
      </c>
      <c r="M728" s="32">
        <v>272</v>
      </c>
      <c r="N728" s="32">
        <v>262</v>
      </c>
      <c r="O728" s="32">
        <v>245</v>
      </c>
      <c r="P728" s="32">
        <v>484</v>
      </c>
      <c r="Q728" s="32">
        <v>393</v>
      </c>
      <c r="R728" s="32">
        <v>2</v>
      </c>
      <c r="S728" s="32">
        <v>7.6145300000000002</v>
      </c>
      <c r="T728" s="32">
        <v>0</v>
      </c>
      <c r="U728" s="32">
        <v>0.94843981399999999</v>
      </c>
      <c r="V728" s="32">
        <v>9</v>
      </c>
      <c r="W728" s="32">
        <v>0.81006299999999998</v>
      </c>
      <c r="X728" s="32">
        <v>7.9242000000000007E-2</v>
      </c>
      <c r="Y728" s="32">
        <v>0.60663500000000004</v>
      </c>
      <c r="Z728" s="32">
        <v>0.26611499999999999</v>
      </c>
      <c r="AA728" s="32">
        <v>27.8</v>
      </c>
      <c r="AB728" s="32">
        <v>861</v>
      </c>
      <c r="AC728" s="32">
        <v>31</v>
      </c>
      <c r="AD728" s="32">
        <v>52</v>
      </c>
      <c r="AE728" s="32" t="s">
        <v>200</v>
      </c>
      <c r="AF728" s="32" t="s">
        <v>200</v>
      </c>
      <c r="AG728" s="32">
        <v>7</v>
      </c>
    </row>
    <row r="729" spans="1:33">
      <c r="A729" s="32" t="s">
        <v>2779</v>
      </c>
      <c r="B729" s="32" t="s">
        <v>83</v>
      </c>
      <c r="C729" s="32" t="s">
        <v>2780</v>
      </c>
      <c r="D729" s="32" t="s">
        <v>2781</v>
      </c>
      <c r="E729" s="32" t="s">
        <v>2767</v>
      </c>
      <c r="F729" s="32" t="s">
        <v>2768</v>
      </c>
      <c r="G729" s="32" t="s">
        <v>2759</v>
      </c>
      <c r="H729" s="32" t="s">
        <v>2760</v>
      </c>
      <c r="I729" s="32" t="s">
        <v>198</v>
      </c>
      <c r="J729" s="32" t="s">
        <v>199</v>
      </c>
      <c r="K729" s="32">
        <v>1.7870379999999999</v>
      </c>
      <c r="L729" s="33">
        <v>1463</v>
      </c>
      <c r="M729" s="32">
        <v>183</v>
      </c>
      <c r="N729" s="32">
        <v>193</v>
      </c>
      <c r="O729" s="32">
        <v>185</v>
      </c>
      <c r="P729" s="32">
        <v>399</v>
      </c>
      <c r="Q729" s="32">
        <v>503</v>
      </c>
      <c r="R729" s="32" t="s">
        <v>225</v>
      </c>
      <c r="S729" s="32">
        <v>10.8545</v>
      </c>
      <c r="T729" s="32">
        <v>0</v>
      </c>
      <c r="U729" s="32">
        <v>0.94184828700000001</v>
      </c>
      <c r="V729" s="32">
        <v>8</v>
      </c>
      <c r="W729" s="32">
        <v>0.80651099999999998</v>
      </c>
      <c r="X729" s="32">
        <v>3.9794000000000003E-2</v>
      </c>
      <c r="Y729" s="32">
        <v>0.70391499999999996</v>
      </c>
      <c r="Z729" s="32">
        <v>0.23841999999999999</v>
      </c>
      <c r="AA729" s="32">
        <v>30.1</v>
      </c>
      <c r="AB729" s="32">
        <v>786</v>
      </c>
      <c r="AC729" s="32">
        <v>18</v>
      </c>
      <c r="AD729" s="32">
        <v>63</v>
      </c>
      <c r="AE729" s="32">
        <v>0</v>
      </c>
      <c r="AF729" s="32" t="s">
        <v>200</v>
      </c>
      <c r="AG729" s="32">
        <v>5</v>
      </c>
    </row>
    <row r="730" spans="1:33">
      <c r="A730" s="32" t="s">
        <v>2782</v>
      </c>
      <c r="B730" s="32" t="s">
        <v>83</v>
      </c>
      <c r="C730" s="32" t="s">
        <v>2783</v>
      </c>
      <c r="D730" s="32" t="s">
        <v>2784</v>
      </c>
      <c r="E730" s="32" t="s">
        <v>2767</v>
      </c>
      <c r="F730" s="32" t="s">
        <v>2768</v>
      </c>
      <c r="G730" s="32" t="s">
        <v>2759</v>
      </c>
      <c r="H730" s="32" t="s">
        <v>2760</v>
      </c>
      <c r="I730" s="32" t="s">
        <v>198</v>
      </c>
      <c r="J730" s="32" t="s">
        <v>199</v>
      </c>
      <c r="K730" s="32">
        <v>1.7967139999999999</v>
      </c>
      <c r="L730" s="33">
        <v>1558</v>
      </c>
      <c r="M730" s="32">
        <v>276</v>
      </c>
      <c r="N730" s="32">
        <v>231</v>
      </c>
      <c r="O730" s="32">
        <v>237</v>
      </c>
      <c r="P730" s="32">
        <v>516</v>
      </c>
      <c r="Q730" s="32">
        <v>298</v>
      </c>
      <c r="R730" s="32">
        <v>2</v>
      </c>
      <c r="S730" s="32">
        <v>11.7065</v>
      </c>
      <c r="T730" s="32">
        <v>2.1141800000000002</v>
      </c>
      <c r="U730" s="32">
        <v>0.914573953</v>
      </c>
      <c r="V730" s="32">
        <v>9</v>
      </c>
      <c r="W730" s="32">
        <v>0.81434799999999996</v>
      </c>
      <c r="X730" s="32">
        <v>5.6009000000000003E-2</v>
      </c>
      <c r="Y730" s="32">
        <v>0.7</v>
      </c>
      <c r="Z730" s="32">
        <v>0.241786</v>
      </c>
      <c r="AA730" s="32">
        <v>26.3</v>
      </c>
      <c r="AB730" s="32">
        <v>776</v>
      </c>
      <c r="AC730" s="32">
        <v>28</v>
      </c>
      <c r="AD730" s="32">
        <v>54</v>
      </c>
      <c r="AE730" s="32">
        <v>0</v>
      </c>
      <c r="AF730" s="32">
        <v>0</v>
      </c>
      <c r="AG730" s="32" t="s">
        <v>200</v>
      </c>
    </row>
    <row r="731" spans="1:33">
      <c r="A731" s="32" t="s">
        <v>2785</v>
      </c>
      <c r="B731" s="32" t="s">
        <v>83</v>
      </c>
      <c r="C731" s="32" t="s">
        <v>2786</v>
      </c>
      <c r="D731" s="32" t="s">
        <v>2787</v>
      </c>
      <c r="E731" s="32" t="s">
        <v>2788</v>
      </c>
      <c r="F731" s="32" t="s">
        <v>2789</v>
      </c>
      <c r="G731" s="32" t="s">
        <v>2759</v>
      </c>
      <c r="H731" s="32" t="s">
        <v>2760</v>
      </c>
      <c r="I731" s="32" t="s">
        <v>198</v>
      </c>
      <c r="J731" s="32" t="s">
        <v>199</v>
      </c>
      <c r="K731" s="32">
        <v>2.7370969999999999</v>
      </c>
      <c r="L731" s="33">
        <v>3780</v>
      </c>
      <c r="M731" s="32">
        <v>825</v>
      </c>
      <c r="N731" s="32">
        <v>860</v>
      </c>
      <c r="O731" s="33">
        <v>1353</v>
      </c>
      <c r="P731" s="32">
        <v>597</v>
      </c>
      <c r="Q731" s="32">
        <v>145</v>
      </c>
      <c r="R731" s="32" t="s">
        <v>668</v>
      </c>
      <c r="S731" s="32">
        <v>92.984300000000005</v>
      </c>
      <c r="T731" s="32">
        <v>23.3521</v>
      </c>
      <c r="U731" s="32">
        <v>0.82702041699999995</v>
      </c>
      <c r="V731" s="32">
        <v>3</v>
      </c>
      <c r="W731" s="32">
        <v>0.90705599999999997</v>
      </c>
      <c r="X731" s="32">
        <v>0.19720299999999999</v>
      </c>
      <c r="Y731" s="32">
        <v>0.7</v>
      </c>
      <c r="Z731" s="32">
        <v>0.93093300000000001</v>
      </c>
      <c r="AA731" s="32">
        <v>49.8</v>
      </c>
      <c r="AB731" s="32">
        <v>781</v>
      </c>
      <c r="AC731" s="32">
        <v>58</v>
      </c>
      <c r="AD731" s="32">
        <v>137</v>
      </c>
      <c r="AE731" s="32">
        <v>14</v>
      </c>
      <c r="AF731" s="32">
        <v>11</v>
      </c>
      <c r="AG731" s="32">
        <v>32</v>
      </c>
    </row>
    <row r="732" spans="1:33">
      <c r="A732" s="32" t="s">
        <v>2790</v>
      </c>
      <c r="B732" s="32" t="s">
        <v>83</v>
      </c>
      <c r="C732" s="32" t="s">
        <v>2791</v>
      </c>
      <c r="D732" s="32" t="s">
        <v>2792</v>
      </c>
      <c r="E732" s="32" t="s">
        <v>2788</v>
      </c>
      <c r="F732" s="32" t="s">
        <v>2789</v>
      </c>
      <c r="G732" s="32" t="s">
        <v>2759</v>
      </c>
      <c r="H732" s="32" t="s">
        <v>2760</v>
      </c>
      <c r="I732" s="32" t="s">
        <v>198</v>
      </c>
      <c r="J732" s="32" t="s">
        <v>199</v>
      </c>
      <c r="K732" s="32">
        <v>2.8668849999999999</v>
      </c>
      <c r="L732" s="33">
        <v>3637</v>
      </c>
      <c r="M732" s="32">
        <v>561</v>
      </c>
      <c r="N732" s="32">
        <v>906</v>
      </c>
      <c r="O732" s="33">
        <v>1342</v>
      </c>
      <c r="P732" s="32">
        <v>574</v>
      </c>
      <c r="Q732" s="32">
        <v>254</v>
      </c>
      <c r="R732" s="32" t="s">
        <v>668</v>
      </c>
      <c r="S732" s="32">
        <v>92.987099999999998</v>
      </c>
      <c r="T732" s="32">
        <v>3.0088200000000001</v>
      </c>
      <c r="U732" s="32">
        <v>0.71183039999999997</v>
      </c>
      <c r="V732" s="32">
        <v>2</v>
      </c>
      <c r="W732" s="32">
        <v>0.90751300000000001</v>
      </c>
      <c r="X732" s="32">
        <v>0.28419499999999998</v>
      </c>
      <c r="Y732" s="32">
        <v>0.71430700000000003</v>
      </c>
      <c r="Z732" s="32">
        <v>0.96253699999999998</v>
      </c>
      <c r="AA732" s="32">
        <v>41.5</v>
      </c>
      <c r="AB732" s="32">
        <v>682</v>
      </c>
      <c r="AC732" s="32">
        <v>32</v>
      </c>
      <c r="AD732" s="32">
        <v>152</v>
      </c>
      <c r="AE732" s="32" t="s">
        <v>200</v>
      </c>
      <c r="AF732" s="32">
        <v>0</v>
      </c>
      <c r="AG732" s="32" t="s">
        <v>200</v>
      </c>
    </row>
    <row r="733" spans="1:33">
      <c r="A733" s="32" t="s">
        <v>2793</v>
      </c>
      <c r="B733" s="32" t="s">
        <v>83</v>
      </c>
      <c r="C733" s="32" t="s">
        <v>2794</v>
      </c>
      <c r="D733" s="32" t="s">
        <v>2795</v>
      </c>
      <c r="E733" s="32" t="s">
        <v>2796</v>
      </c>
      <c r="F733" s="32" t="s">
        <v>2797</v>
      </c>
      <c r="G733" s="32" t="s">
        <v>2759</v>
      </c>
      <c r="H733" s="32" t="s">
        <v>2760</v>
      </c>
      <c r="I733" s="32" t="s">
        <v>198</v>
      </c>
      <c r="J733" s="32" t="s">
        <v>199</v>
      </c>
      <c r="K733" s="32">
        <v>2.1377619999999999</v>
      </c>
      <c r="L733" s="33">
        <v>1782</v>
      </c>
      <c r="M733" s="32">
        <v>420</v>
      </c>
      <c r="N733" s="32">
        <v>229</v>
      </c>
      <c r="O733" s="32">
        <v>558</v>
      </c>
      <c r="P733" s="32">
        <v>338</v>
      </c>
      <c r="Q733" s="32">
        <v>237</v>
      </c>
      <c r="R733" s="32">
        <v>5</v>
      </c>
      <c r="S733" s="32">
        <v>40.454500000000003</v>
      </c>
      <c r="T733" s="32">
        <v>4.9135799999999996</v>
      </c>
      <c r="U733" s="32">
        <v>0.78943564899999996</v>
      </c>
      <c r="V733" s="32">
        <v>8</v>
      </c>
      <c r="W733" s="32">
        <v>0.84860100000000005</v>
      </c>
      <c r="X733" s="32">
        <v>8.7762000000000007E-2</v>
      </c>
      <c r="Y733" s="32">
        <v>0.72021100000000005</v>
      </c>
      <c r="Z733" s="32">
        <v>0.483099</v>
      </c>
      <c r="AA733" s="32">
        <v>59.5</v>
      </c>
      <c r="AB733" s="32">
        <v>507</v>
      </c>
      <c r="AC733" s="32">
        <v>18</v>
      </c>
      <c r="AD733" s="32">
        <v>20</v>
      </c>
      <c r="AE733" s="32">
        <v>0</v>
      </c>
      <c r="AF733" s="32">
        <v>0</v>
      </c>
      <c r="AG733" s="32" t="s">
        <v>200</v>
      </c>
    </row>
    <row r="734" spans="1:33">
      <c r="A734" s="32" t="s">
        <v>2798</v>
      </c>
      <c r="B734" s="32" t="s">
        <v>83</v>
      </c>
      <c r="C734" s="32" t="s">
        <v>2799</v>
      </c>
      <c r="D734" s="32" t="s">
        <v>2800</v>
      </c>
      <c r="E734" s="32" t="s">
        <v>2796</v>
      </c>
      <c r="F734" s="32" t="s">
        <v>2797</v>
      </c>
      <c r="G734" s="32" t="s">
        <v>2759</v>
      </c>
      <c r="H734" s="32" t="s">
        <v>2760</v>
      </c>
      <c r="I734" s="32" t="s">
        <v>198</v>
      </c>
      <c r="J734" s="32" t="s">
        <v>199</v>
      </c>
      <c r="K734" s="32">
        <v>1.9354009999999999</v>
      </c>
      <c r="L734" s="33">
        <v>1553</v>
      </c>
      <c r="M734" s="32">
        <v>254</v>
      </c>
      <c r="N734" s="32">
        <v>233</v>
      </c>
      <c r="O734" s="32">
        <v>296</v>
      </c>
      <c r="P734" s="32">
        <v>392</v>
      </c>
      <c r="Q734" s="32">
        <v>378</v>
      </c>
      <c r="R734" s="32" t="s">
        <v>225</v>
      </c>
      <c r="S734" s="32">
        <v>23.2133</v>
      </c>
      <c r="T734" s="32">
        <v>0</v>
      </c>
      <c r="U734" s="32">
        <v>0.90839260899999996</v>
      </c>
      <c r="V734" s="32">
        <v>7</v>
      </c>
      <c r="W734" s="32">
        <v>0.80617499999999997</v>
      </c>
      <c r="X734" s="32">
        <v>6.5020999999999995E-2</v>
      </c>
      <c r="Y734" s="32">
        <v>0.791987</v>
      </c>
      <c r="Z734" s="32">
        <v>0.27493800000000002</v>
      </c>
      <c r="AA734" s="32">
        <v>50.8</v>
      </c>
      <c r="AB734" s="32">
        <v>703</v>
      </c>
      <c r="AC734" s="32">
        <v>13</v>
      </c>
      <c r="AD734" s="32">
        <v>46</v>
      </c>
      <c r="AE734" s="32">
        <v>0</v>
      </c>
      <c r="AF734" s="32" t="s">
        <v>200</v>
      </c>
      <c r="AG734" s="32" t="s">
        <v>200</v>
      </c>
    </row>
    <row r="735" spans="1:33">
      <c r="A735" s="32" t="s">
        <v>2801</v>
      </c>
      <c r="B735" s="32" t="s">
        <v>83</v>
      </c>
      <c r="C735" s="32" t="s">
        <v>2802</v>
      </c>
      <c r="D735" s="32" t="s">
        <v>2803</v>
      </c>
      <c r="E735" s="32" t="s">
        <v>2796</v>
      </c>
      <c r="F735" s="32" t="s">
        <v>2797</v>
      </c>
      <c r="G735" s="32" t="s">
        <v>2759</v>
      </c>
      <c r="H735" s="32" t="s">
        <v>2760</v>
      </c>
      <c r="I735" s="32" t="s">
        <v>198</v>
      </c>
      <c r="J735" s="32" t="s">
        <v>199</v>
      </c>
      <c r="K735" s="32">
        <v>2.4123169999999998</v>
      </c>
      <c r="L735" s="33">
        <v>1758</v>
      </c>
      <c r="M735" s="32">
        <v>364</v>
      </c>
      <c r="N735" s="32">
        <v>225</v>
      </c>
      <c r="O735" s="32">
        <v>477</v>
      </c>
      <c r="P735" s="32">
        <v>304</v>
      </c>
      <c r="Q735" s="32">
        <v>388</v>
      </c>
      <c r="R735" s="32" t="s">
        <v>302</v>
      </c>
      <c r="S735" s="32">
        <v>54.497700000000002</v>
      </c>
      <c r="T735" s="32">
        <v>16.977399999999999</v>
      </c>
      <c r="U735" s="32">
        <v>0.82741510600000001</v>
      </c>
      <c r="V735" s="32">
        <v>4</v>
      </c>
      <c r="W735" s="32">
        <v>0.89352799999999999</v>
      </c>
      <c r="X735" s="32">
        <v>0.20083200000000001</v>
      </c>
      <c r="Y735" s="32">
        <v>0.71446299999999996</v>
      </c>
      <c r="Z735" s="32">
        <v>0.62240700000000004</v>
      </c>
      <c r="AA735" s="32">
        <v>49.3</v>
      </c>
      <c r="AB735" s="32">
        <v>387</v>
      </c>
      <c r="AC735" s="32">
        <v>9</v>
      </c>
      <c r="AD735" s="32">
        <v>16</v>
      </c>
      <c r="AE735" s="32">
        <v>0</v>
      </c>
      <c r="AF735" s="32">
        <v>0</v>
      </c>
      <c r="AG735" s="32" t="s">
        <v>200</v>
      </c>
    </row>
    <row r="736" spans="1:33">
      <c r="A736" s="32" t="s">
        <v>2804</v>
      </c>
      <c r="B736" s="32" t="s">
        <v>83</v>
      </c>
      <c r="C736" s="32" t="s">
        <v>2805</v>
      </c>
      <c r="D736" s="32" t="s">
        <v>2806</v>
      </c>
      <c r="E736" s="32" t="s">
        <v>2807</v>
      </c>
      <c r="F736" s="32" t="s">
        <v>2808</v>
      </c>
      <c r="G736" s="32" t="s">
        <v>2759</v>
      </c>
      <c r="H736" s="32" t="s">
        <v>2760</v>
      </c>
      <c r="I736" s="32" t="s">
        <v>198</v>
      </c>
      <c r="J736" s="32" t="s">
        <v>199</v>
      </c>
      <c r="K736" s="32">
        <v>2.122738</v>
      </c>
      <c r="L736" s="33">
        <v>1841</v>
      </c>
      <c r="M736" s="32">
        <v>396</v>
      </c>
      <c r="N736" s="32">
        <v>341</v>
      </c>
      <c r="O736" s="32">
        <v>381</v>
      </c>
      <c r="P736" s="32">
        <v>394</v>
      </c>
      <c r="Q736" s="32">
        <v>329</v>
      </c>
      <c r="R736" s="32">
        <v>3</v>
      </c>
      <c r="S736" s="32">
        <v>20.727699999999999</v>
      </c>
      <c r="T736" s="32">
        <v>2.0354000000000001</v>
      </c>
      <c r="U736" s="32">
        <v>1.054849033</v>
      </c>
      <c r="V736" s="32">
        <v>4</v>
      </c>
      <c r="W736" s="32">
        <v>0.82331799999999999</v>
      </c>
      <c r="X736" s="32">
        <v>4.5413000000000002E-2</v>
      </c>
      <c r="Y736" s="32">
        <v>0.7</v>
      </c>
      <c r="Z736" s="32">
        <v>0.55642199999999997</v>
      </c>
      <c r="AA736" s="32">
        <v>47.5</v>
      </c>
      <c r="AB736" s="32">
        <v>495</v>
      </c>
      <c r="AC736" s="32">
        <v>34</v>
      </c>
      <c r="AD736" s="32">
        <v>23</v>
      </c>
      <c r="AE736" s="32">
        <v>0</v>
      </c>
      <c r="AF736" s="32">
        <v>0</v>
      </c>
      <c r="AG736" s="32" t="s">
        <v>200</v>
      </c>
    </row>
    <row r="737" spans="1:33">
      <c r="A737" s="32" t="s">
        <v>2809</v>
      </c>
      <c r="B737" s="32" t="s">
        <v>83</v>
      </c>
      <c r="C737" s="32" t="s">
        <v>2810</v>
      </c>
      <c r="D737" s="32" t="s">
        <v>2811</v>
      </c>
      <c r="E737" s="32" t="s">
        <v>2812</v>
      </c>
      <c r="F737" s="32" t="s">
        <v>2813</v>
      </c>
      <c r="G737" s="32" t="s">
        <v>2516</v>
      </c>
      <c r="H737" s="32" t="s">
        <v>2517</v>
      </c>
      <c r="I737" s="32" t="s">
        <v>198</v>
      </c>
      <c r="J737" s="32" t="s">
        <v>199</v>
      </c>
      <c r="K737" s="32">
        <v>1.78061</v>
      </c>
      <c r="L737" s="33">
        <v>1496</v>
      </c>
      <c r="M737" s="32">
        <v>261</v>
      </c>
      <c r="N737" s="32">
        <v>202</v>
      </c>
      <c r="O737" s="32">
        <v>221</v>
      </c>
      <c r="P737" s="32">
        <v>465</v>
      </c>
      <c r="Q737" s="32">
        <v>347</v>
      </c>
      <c r="R737" s="32">
        <v>2</v>
      </c>
      <c r="S737" s="32">
        <v>12.3986</v>
      </c>
      <c r="T737" s="32">
        <v>1.2543800000000001</v>
      </c>
      <c r="U737" s="32">
        <v>0.90994734200000005</v>
      </c>
      <c r="V737" s="32">
        <v>8</v>
      </c>
      <c r="W737" s="32">
        <v>0.80312700000000004</v>
      </c>
      <c r="X737" s="32">
        <v>7.4843999999999994E-2</v>
      </c>
      <c r="Y737" s="32">
        <v>0.69859499999999997</v>
      </c>
      <c r="Z737" s="32">
        <v>0.200546</v>
      </c>
      <c r="AA737" s="32">
        <v>6.9</v>
      </c>
      <c r="AB737" s="32">
        <v>848</v>
      </c>
      <c r="AC737" s="32">
        <v>42</v>
      </c>
      <c r="AD737" s="32">
        <v>43</v>
      </c>
      <c r="AE737" s="32" t="s">
        <v>200</v>
      </c>
      <c r="AF737" s="32" t="s">
        <v>200</v>
      </c>
      <c r="AG737" s="32" t="s">
        <v>200</v>
      </c>
    </row>
    <row r="738" spans="1:33">
      <c r="A738" s="32" t="s">
        <v>2814</v>
      </c>
      <c r="B738" s="32" t="s">
        <v>83</v>
      </c>
      <c r="C738" s="32" t="s">
        <v>2815</v>
      </c>
      <c r="D738" s="32" t="s">
        <v>2816</v>
      </c>
      <c r="E738" s="32" t="s">
        <v>2812</v>
      </c>
      <c r="F738" s="32" t="s">
        <v>2813</v>
      </c>
      <c r="G738" s="32" t="s">
        <v>2516</v>
      </c>
      <c r="H738" s="32" t="s">
        <v>2517</v>
      </c>
      <c r="I738" s="32" t="s">
        <v>198</v>
      </c>
      <c r="J738" s="32" t="s">
        <v>199</v>
      </c>
      <c r="K738" s="32">
        <v>1.704054</v>
      </c>
      <c r="L738" s="33">
        <v>1523</v>
      </c>
      <c r="M738" s="32">
        <v>270</v>
      </c>
      <c r="N738" s="32">
        <v>208</v>
      </c>
      <c r="O738" s="32">
        <v>235</v>
      </c>
      <c r="P738" s="32">
        <v>447</v>
      </c>
      <c r="Q738" s="32">
        <v>363</v>
      </c>
      <c r="R738" s="32" t="s">
        <v>225</v>
      </c>
      <c r="S738" s="32">
        <v>11.148999999999999</v>
      </c>
      <c r="T738" s="32">
        <v>1.5848599999999999</v>
      </c>
      <c r="U738" s="32">
        <v>1.0082225149999999</v>
      </c>
      <c r="V738" s="32">
        <v>8</v>
      </c>
      <c r="W738" s="32">
        <v>0.80910400000000005</v>
      </c>
      <c r="X738" s="32">
        <v>8.3309999999999995E-2</v>
      </c>
      <c r="Y738" s="32">
        <v>0.62244999999999995</v>
      </c>
      <c r="Z738" s="32">
        <v>0.19950100000000001</v>
      </c>
      <c r="AA738" s="32">
        <v>6.5</v>
      </c>
      <c r="AB738" s="32">
        <v>746</v>
      </c>
      <c r="AC738" s="32">
        <v>32</v>
      </c>
      <c r="AD738" s="32">
        <v>89</v>
      </c>
      <c r="AE738" s="32" t="s">
        <v>200</v>
      </c>
      <c r="AF738" s="32" t="s">
        <v>200</v>
      </c>
      <c r="AG738" s="32">
        <v>6</v>
      </c>
    </row>
    <row r="739" spans="1:33">
      <c r="A739" s="32" t="s">
        <v>2817</v>
      </c>
      <c r="B739" s="32" t="s">
        <v>83</v>
      </c>
      <c r="C739" s="32" t="s">
        <v>2818</v>
      </c>
      <c r="D739" s="32" t="s">
        <v>2819</v>
      </c>
      <c r="E739" s="32" t="s">
        <v>2812</v>
      </c>
      <c r="F739" s="32" t="s">
        <v>2813</v>
      </c>
      <c r="G739" s="32" t="s">
        <v>2516</v>
      </c>
      <c r="H739" s="32" t="s">
        <v>2517</v>
      </c>
      <c r="I739" s="32" t="s">
        <v>198</v>
      </c>
      <c r="J739" s="32" t="s">
        <v>199</v>
      </c>
      <c r="K739" s="32">
        <v>1.6719139999999999</v>
      </c>
      <c r="L739" s="33">
        <v>1586</v>
      </c>
      <c r="M739" s="32">
        <v>304</v>
      </c>
      <c r="N739" s="32">
        <v>222</v>
      </c>
      <c r="O739" s="32">
        <v>236</v>
      </c>
      <c r="P739" s="32">
        <v>514</v>
      </c>
      <c r="Q739" s="32">
        <v>310</v>
      </c>
      <c r="R739" s="32" t="s">
        <v>214</v>
      </c>
      <c r="S739" s="32">
        <v>6.5485699999999998</v>
      </c>
      <c r="T739" s="32">
        <v>0</v>
      </c>
      <c r="U739" s="32">
        <v>0.98433949200000004</v>
      </c>
      <c r="V739" s="32">
        <v>9</v>
      </c>
      <c r="W739" s="32">
        <v>0.80440100000000003</v>
      </c>
      <c r="X739" s="32">
        <v>9.7382999999999997E-2</v>
      </c>
      <c r="Y739" s="32">
        <v>0.60690299999999997</v>
      </c>
      <c r="Z739" s="32">
        <v>0.152726</v>
      </c>
      <c r="AA739" s="32">
        <v>7.1</v>
      </c>
      <c r="AB739" s="32">
        <v>845</v>
      </c>
      <c r="AC739" s="32">
        <v>44</v>
      </c>
      <c r="AD739" s="32">
        <v>61</v>
      </c>
      <c r="AE739" s="32">
        <v>0</v>
      </c>
      <c r="AF739" s="32">
        <v>0</v>
      </c>
      <c r="AG739" s="32">
        <v>7</v>
      </c>
    </row>
    <row r="740" spans="1:33">
      <c r="A740" s="32" t="s">
        <v>2820</v>
      </c>
      <c r="B740" s="32" t="s">
        <v>83</v>
      </c>
      <c r="C740" s="32" t="s">
        <v>2821</v>
      </c>
      <c r="D740" s="32" t="s">
        <v>2822</v>
      </c>
      <c r="E740" s="32" t="s">
        <v>2690</v>
      </c>
      <c r="F740" s="32" t="s">
        <v>2691</v>
      </c>
      <c r="G740" s="32" t="s">
        <v>2516</v>
      </c>
      <c r="H740" s="32" t="s">
        <v>2517</v>
      </c>
      <c r="I740" s="32" t="s">
        <v>198</v>
      </c>
      <c r="J740" s="32" t="s">
        <v>199</v>
      </c>
      <c r="K740" s="32">
        <v>1.5746070000000001</v>
      </c>
      <c r="L740" s="33">
        <v>1856</v>
      </c>
      <c r="M740" s="32">
        <v>274</v>
      </c>
      <c r="N740" s="32">
        <v>236</v>
      </c>
      <c r="O740" s="32">
        <v>257</v>
      </c>
      <c r="P740" s="32">
        <v>550</v>
      </c>
      <c r="Q740" s="32">
        <v>539</v>
      </c>
      <c r="R740" s="32" t="s">
        <v>214</v>
      </c>
      <c r="S740" s="32">
        <v>5.7532199999999998</v>
      </c>
      <c r="T740" s="32">
        <v>0</v>
      </c>
      <c r="U740" s="32">
        <v>0.98561265300000001</v>
      </c>
      <c r="V740" s="32">
        <v>10</v>
      </c>
      <c r="W740" s="32">
        <v>0.80217899999999998</v>
      </c>
      <c r="X740" s="32">
        <v>8.7068000000000006E-2</v>
      </c>
      <c r="Y740" s="32">
        <v>0.55604699999999996</v>
      </c>
      <c r="Z740" s="32">
        <v>0.124888</v>
      </c>
      <c r="AA740" s="32">
        <v>5.7</v>
      </c>
      <c r="AB740" s="32">
        <v>1253</v>
      </c>
      <c r="AC740" s="32">
        <v>57</v>
      </c>
      <c r="AD740" s="32">
        <v>104</v>
      </c>
      <c r="AE740" s="32">
        <v>13</v>
      </c>
      <c r="AF740" s="32" t="s">
        <v>200</v>
      </c>
      <c r="AG740" s="32">
        <v>9</v>
      </c>
    </row>
    <row r="741" spans="1:33">
      <c r="A741" s="32" t="s">
        <v>2823</v>
      </c>
      <c r="B741" s="32" t="s">
        <v>83</v>
      </c>
      <c r="C741" s="32" t="s">
        <v>2824</v>
      </c>
      <c r="D741" s="32" t="s">
        <v>2825</v>
      </c>
      <c r="E741" s="32" t="s">
        <v>2690</v>
      </c>
      <c r="F741" s="32" t="s">
        <v>2691</v>
      </c>
      <c r="G741" s="32" t="s">
        <v>2516</v>
      </c>
      <c r="H741" s="32" t="s">
        <v>2517</v>
      </c>
      <c r="I741" s="32" t="s">
        <v>198</v>
      </c>
      <c r="J741" s="32" t="s">
        <v>199</v>
      </c>
      <c r="K741" s="32">
        <v>1.8212250000000001</v>
      </c>
      <c r="L741" s="33">
        <v>1641</v>
      </c>
      <c r="M741" s="32">
        <v>291</v>
      </c>
      <c r="N741" s="32">
        <v>244</v>
      </c>
      <c r="O741" s="32">
        <v>192</v>
      </c>
      <c r="P741" s="32">
        <v>513</v>
      </c>
      <c r="Q741" s="32">
        <v>401</v>
      </c>
      <c r="R741" s="32">
        <v>2</v>
      </c>
      <c r="S741" s="32">
        <v>12.0703</v>
      </c>
      <c r="T741" s="32">
        <v>0</v>
      </c>
      <c r="U741" s="32">
        <v>0.877865754</v>
      </c>
      <c r="V741" s="32">
        <v>9</v>
      </c>
      <c r="W741" s="32">
        <v>0.80806100000000003</v>
      </c>
      <c r="X741" s="32">
        <v>0.12812899999999999</v>
      </c>
      <c r="Y741" s="32">
        <v>0.618946</v>
      </c>
      <c r="Z741" s="32">
        <v>0.26835399999999998</v>
      </c>
      <c r="AA741" s="32">
        <v>10.6</v>
      </c>
      <c r="AB741" s="32">
        <v>1083</v>
      </c>
      <c r="AC741" s="32">
        <v>28</v>
      </c>
      <c r="AD741" s="32">
        <v>75</v>
      </c>
      <c r="AE741" s="32" t="s">
        <v>200</v>
      </c>
      <c r="AF741" s="32">
        <v>0</v>
      </c>
      <c r="AG741" s="32">
        <v>6</v>
      </c>
    </row>
    <row r="742" spans="1:33">
      <c r="A742" s="32" t="s">
        <v>2826</v>
      </c>
      <c r="B742" s="32" t="s">
        <v>83</v>
      </c>
      <c r="C742" s="32" t="s">
        <v>2827</v>
      </c>
      <c r="D742" s="32" t="s">
        <v>2828</v>
      </c>
      <c r="E742" s="32" t="s">
        <v>2829</v>
      </c>
      <c r="F742" s="32" t="s">
        <v>2830</v>
      </c>
      <c r="G742" s="32" t="s">
        <v>2516</v>
      </c>
      <c r="H742" s="32" t="s">
        <v>2517</v>
      </c>
      <c r="I742" s="32" t="s">
        <v>198</v>
      </c>
      <c r="J742" s="32" t="s">
        <v>199</v>
      </c>
      <c r="K742" s="32">
        <v>1.7935080000000001</v>
      </c>
      <c r="L742" s="33">
        <v>1734</v>
      </c>
      <c r="M742" s="32">
        <v>406</v>
      </c>
      <c r="N742" s="32">
        <v>277</v>
      </c>
      <c r="O742" s="32">
        <v>300</v>
      </c>
      <c r="P742" s="32">
        <v>477</v>
      </c>
      <c r="Q742" s="32">
        <v>274</v>
      </c>
      <c r="R742" s="32">
        <v>2</v>
      </c>
      <c r="S742" s="32">
        <v>9.5419199999999993</v>
      </c>
      <c r="T742" s="32">
        <v>4.1635200000000001</v>
      </c>
      <c r="U742" s="32">
        <v>0.93111250700000003</v>
      </c>
      <c r="V742" s="32">
        <v>9</v>
      </c>
      <c r="W742" s="32">
        <v>0.82303700000000002</v>
      </c>
      <c r="X742" s="32">
        <v>0.168101</v>
      </c>
      <c r="Y742" s="32">
        <v>0.60062800000000005</v>
      </c>
      <c r="Z742" s="32">
        <v>0.2</v>
      </c>
      <c r="AA742" s="32">
        <v>10.8</v>
      </c>
      <c r="AB742" s="32">
        <v>722</v>
      </c>
      <c r="AC742" s="32">
        <v>35</v>
      </c>
      <c r="AD742" s="32">
        <v>65</v>
      </c>
      <c r="AE742" s="32">
        <v>0</v>
      </c>
      <c r="AF742" s="32" t="s">
        <v>200</v>
      </c>
      <c r="AG742" s="32">
        <v>5</v>
      </c>
    </row>
    <row r="743" spans="1:33">
      <c r="A743" s="32" t="s">
        <v>2831</v>
      </c>
      <c r="B743" s="32" t="s">
        <v>83</v>
      </c>
      <c r="C743" s="32" t="s">
        <v>2832</v>
      </c>
      <c r="D743" s="32" t="s">
        <v>2833</v>
      </c>
      <c r="E743" s="32" t="s">
        <v>2829</v>
      </c>
      <c r="F743" s="32" t="s">
        <v>2830</v>
      </c>
      <c r="G743" s="32" t="s">
        <v>2516</v>
      </c>
      <c r="H743" s="32" t="s">
        <v>2517</v>
      </c>
      <c r="I743" s="32" t="s">
        <v>198</v>
      </c>
      <c r="J743" s="32" t="s">
        <v>199</v>
      </c>
      <c r="K743" s="32">
        <v>1.772877</v>
      </c>
      <c r="L743" s="33">
        <v>1465</v>
      </c>
      <c r="M743" s="32">
        <v>269</v>
      </c>
      <c r="N743" s="32">
        <v>199</v>
      </c>
      <c r="O743" s="32">
        <v>241</v>
      </c>
      <c r="P743" s="32">
        <v>403</v>
      </c>
      <c r="Q743" s="32">
        <v>353</v>
      </c>
      <c r="R743" s="32" t="s">
        <v>225</v>
      </c>
      <c r="S743" s="32">
        <v>11.4899</v>
      </c>
      <c r="T743" s="32">
        <v>0</v>
      </c>
      <c r="U743" s="32">
        <v>0.88850461999999997</v>
      </c>
      <c r="V743" s="32">
        <v>10</v>
      </c>
      <c r="W743" s="32">
        <v>0.80441099999999999</v>
      </c>
      <c r="X743" s="32">
        <v>9.4896999999999995E-2</v>
      </c>
      <c r="Y743" s="32">
        <v>0.66453499999999999</v>
      </c>
      <c r="Z743" s="32">
        <v>0.21155399999999999</v>
      </c>
      <c r="AA743" s="32">
        <v>9.6999999999999993</v>
      </c>
      <c r="AB743" s="32">
        <v>761</v>
      </c>
      <c r="AC743" s="32">
        <v>21</v>
      </c>
      <c r="AD743" s="32">
        <v>42</v>
      </c>
      <c r="AE743" s="32">
        <v>0</v>
      </c>
      <c r="AF743" s="32" t="s">
        <v>200</v>
      </c>
      <c r="AG743" s="32" t="s">
        <v>200</v>
      </c>
    </row>
    <row r="744" spans="1:33">
      <c r="A744" s="32" t="s">
        <v>2834</v>
      </c>
      <c r="B744" s="32" t="s">
        <v>83</v>
      </c>
      <c r="C744" s="32" t="s">
        <v>2835</v>
      </c>
      <c r="D744" s="32" t="s">
        <v>2836</v>
      </c>
      <c r="E744" s="32" t="s">
        <v>2829</v>
      </c>
      <c r="F744" s="32" t="s">
        <v>2830</v>
      </c>
      <c r="G744" s="32" t="s">
        <v>2516</v>
      </c>
      <c r="H744" s="32" t="s">
        <v>2517</v>
      </c>
      <c r="I744" s="32" t="s">
        <v>198</v>
      </c>
      <c r="J744" s="32" t="s">
        <v>199</v>
      </c>
      <c r="K744" s="32">
        <v>1.690299</v>
      </c>
      <c r="L744" s="33">
        <v>1655</v>
      </c>
      <c r="M744" s="32">
        <v>323</v>
      </c>
      <c r="N744" s="32">
        <v>216</v>
      </c>
      <c r="O744" s="32">
        <v>265</v>
      </c>
      <c r="P744" s="32">
        <v>465</v>
      </c>
      <c r="Q744" s="32">
        <v>386</v>
      </c>
      <c r="R744" s="32" t="s">
        <v>225</v>
      </c>
      <c r="S744" s="32">
        <v>9.0773499999999991</v>
      </c>
      <c r="T744" s="32">
        <v>0</v>
      </c>
      <c r="U744" s="32">
        <v>0.92066164699999997</v>
      </c>
      <c r="V744" s="32">
        <v>10</v>
      </c>
      <c r="W744" s="32">
        <v>0.81207399999999996</v>
      </c>
      <c r="X744" s="32">
        <v>8.3523E-2</v>
      </c>
      <c r="Y744" s="32">
        <v>0.6</v>
      </c>
      <c r="Z744" s="32">
        <v>0.19730600000000001</v>
      </c>
      <c r="AA744" s="32">
        <v>9</v>
      </c>
      <c r="AB744" s="32">
        <v>1192</v>
      </c>
      <c r="AC744" s="32">
        <v>52</v>
      </c>
      <c r="AD744" s="32">
        <v>68</v>
      </c>
      <c r="AE744" s="32">
        <v>0</v>
      </c>
      <c r="AF744" s="32">
        <v>0</v>
      </c>
      <c r="AG744" s="32">
        <v>6</v>
      </c>
    </row>
    <row r="745" spans="1:33">
      <c r="A745" s="32" t="s">
        <v>2837</v>
      </c>
      <c r="B745" s="32" t="s">
        <v>83</v>
      </c>
      <c r="C745" s="32" t="s">
        <v>2838</v>
      </c>
      <c r="D745" s="32" t="s">
        <v>2839</v>
      </c>
      <c r="E745" s="32" t="s">
        <v>2757</v>
      </c>
      <c r="F745" s="32" t="s">
        <v>2758</v>
      </c>
      <c r="G745" s="32" t="s">
        <v>2759</v>
      </c>
      <c r="H745" s="32" t="s">
        <v>2760</v>
      </c>
      <c r="I745" s="32" t="s">
        <v>198</v>
      </c>
      <c r="J745" s="32" t="s">
        <v>199</v>
      </c>
      <c r="K745" s="32">
        <v>2.8363779999999998</v>
      </c>
      <c r="L745" s="33">
        <v>2288</v>
      </c>
      <c r="M745" s="32">
        <v>516</v>
      </c>
      <c r="N745" s="32">
        <v>447</v>
      </c>
      <c r="O745" s="32">
        <v>707</v>
      </c>
      <c r="P745" s="32">
        <v>481</v>
      </c>
      <c r="Q745" s="32">
        <v>137</v>
      </c>
      <c r="R745" s="32" t="s">
        <v>302</v>
      </c>
      <c r="S745" s="32">
        <v>74.361999999999995</v>
      </c>
      <c r="T745" s="32">
        <v>23.111799999999999</v>
      </c>
      <c r="U745" s="32">
        <v>0.88901594900000003</v>
      </c>
      <c r="V745" s="32">
        <v>2</v>
      </c>
      <c r="W745" s="32">
        <v>0.914192</v>
      </c>
      <c r="X745" s="32">
        <v>0.27110400000000001</v>
      </c>
      <c r="Y745" s="32">
        <v>0.7</v>
      </c>
      <c r="Z745" s="32">
        <v>0.96781600000000001</v>
      </c>
      <c r="AA745" s="32">
        <v>44.3</v>
      </c>
      <c r="AB745" s="32">
        <v>452</v>
      </c>
      <c r="AC745" s="32">
        <v>27</v>
      </c>
      <c r="AD745" s="32">
        <v>59</v>
      </c>
      <c r="AE745" s="32">
        <v>7</v>
      </c>
      <c r="AF745" s="32" t="s">
        <v>200</v>
      </c>
      <c r="AG745" s="32" t="s">
        <v>200</v>
      </c>
    </row>
    <row r="746" spans="1:33">
      <c r="A746" s="32" t="s">
        <v>2840</v>
      </c>
      <c r="B746" s="32" t="s">
        <v>83</v>
      </c>
      <c r="C746" s="32" t="s">
        <v>2841</v>
      </c>
      <c r="D746" s="32" t="s">
        <v>2842</v>
      </c>
      <c r="E746" s="32" t="s">
        <v>2843</v>
      </c>
      <c r="F746" s="32" t="s">
        <v>2844</v>
      </c>
      <c r="G746" s="32" t="s">
        <v>2759</v>
      </c>
      <c r="H746" s="32" t="s">
        <v>2760</v>
      </c>
      <c r="I746" s="32" t="s">
        <v>198</v>
      </c>
      <c r="J746" s="32" t="s">
        <v>199</v>
      </c>
      <c r="K746" s="32">
        <v>2.20919</v>
      </c>
      <c r="L746" s="33">
        <v>1799</v>
      </c>
      <c r="M746" s="32">
        <v>309</v>
      </c>
      <c r="N746" s="32">
        <v>373</v>
      </c>
      <c r="O746" s="32">
        <v>523</v>
      </c>
      <c r="P746" s="32">
        <v>386</v>
      </c>
      <c r="Q746" s="32">
        <v>208</v>
      </c>
      <c r="R746" s="32">
        <v>4</v>
      </c>
      <c r="S746" s="32">
        <v>21.689900000000002</v>
      </c>
      <c r="T746" s="32">
        <v>16.275400000000001</v>
      </c>
      <c r="U746" s="32">
        <v>0.953236627</v>
      </c>
      <c r="V746" s="32">
        <v>5</v>
      </c>
      <c r="W746" s="32">
        <v>0.87439800000000001</v>
      </c>
      <c r="X746" s="32">
        <v>7.9736000000000001E-2</v>
      </c>
      <c r="Y746" s="32">
        <v>0.74377800000000005</v>
      </c>
      <c r="Z746" s="32">
        <v>0.51053800000000005</v>
      </c>
      <c r="AA746" s="32">
        <v>42.5</v>
      </c>
      <c r="AB746" s="32">
        <v>412</v>
      </c>
      <c r="AC746" s="32">
        <v>21</v>
      </c>
      <c r="AD746" s="32">
        <v>36</v>
      </c>
      <c r="AE746" s="32" t="s">
        <v>200</v>
      </c>
      <c r="AF746" s="32">
        <v>0</v>
      </c>
      <c r="AG746" s="32" t="s">
        <v>200</v>
      </c>
    </row>
    <row r="747" spans="1:33">
      <c r="A747" s="32" t="s">
        <v>2845</v>
      </c>
      <c r="B747" s="32" t="s">
        <v>83</v>
      </c>
      <c r="C747" s="32" t="s">
        <v>2846</v>
      </c>
      <c r="D747" s="32" t="s">
        <v>2847</v>
      </c>
      <c r="E747" s="32" t="s">
        <v>2848</v>
      </c>
      <c r="F747" s="32" t="s">
        <v>2849</v>
      </c>
      <c r="G747" s="32" t="s">
        <v>2759</v>
      </c>
      <c r="H747" s="32" t="s">
        <v>2760</v>
      </c>
      <c r="I747" s="32" t="s">
        <v>198</v>
      </c>
      <c r="J747" s="32" t="s">
        <v>199</v>
      </c>
      <c r="K747" s="32">
        <v>2.0618780000000001</v>
      </c>
      <c r="L747" s="33">
        <v>1719</v>
      </c>
      <c r="M747" s="32">
        <v>309</v>
      </c>
      <c r="N747" s="32">
        <v>271</v>
      </c>
      <c r="O747" s="32">
        <v>317</v>
      </c>
      <c r="P747" s="32">
        <v>500</v>
      </c>
      <c r="Q747" s="32">
        <v>322</v>
      </c>
      <c r="R747" s="32">
        <v>3</v>
      </c>
      <c r="S747" s="32">
        <v>15.7135</v>
      </c>
      <c r="T747" s="32">
        <v>7.09727</v>
      </c>
      <c r="U747" s="32">
        <v>0.84738592700000004</v>
      </c>
      <c r="V747" s="32">
        <v>7</v>
      </c>
      <c r="W747" s="32">
        <v>0.82154700000000003</v>
      </c>
      <c r="X747" s="32">
        <v>9.7124000000000002E-2</v>
      </c>
      <c r="Y747" s="32">
        <v>0.73966900000000002</v>
      </c>
      <c r="Z747" s="32">
        <v>0.39933800000000003</v>
      </c>
      <c r="AA747" s="32">
        <v>36.9</v>
      </c>
      <c r="AB747" s="32">
        <v>695</v>
      </c>
      <c r="AC747" s="32">
        <v>28</v>
      </c>
      <c r="AD747" s="32">
        <v>49</v>
      </c>
      <c r="AE747" s="32">
        <v>0</v>
      </c>
      <c r="AF747" s="32" t="s">
        <v>200</v>
      </c>
      <c r="AG747" s="32">
        <v>8</v>
      </c>
    </row>
    <row r="748" spans="1:33">
      <c r="A748" s="32" t="s">
        <v>2850</v>
      </c>
      <c r="B748" s="32" t="s">
        <v>83</v>
      </c>
      <c r="C748" s="32" t="s">
        <v>2851</v>
      </c>
      <c r="D748" s="32" t="s">
        <v>2852</v>
      </c>
      <c r="E748" s="32" t="s">
        <v>2807</v>
      </c>
      <c r="F748" s="32" t="s">
        <v>2808</v>
      </c>
      <c r="G748" s="32" t="s">
        <v>2759</v>
      </c>
      <c r="H748" s="32" t="s">
        <v>2760</v>
      </c>
      <c r="I748" s="32" t="s">
        <v>198</v>
      </c>
      <c r="J748" s="32" t="s">
        <v>199</v>
      </c>
      <c r="K748" s="32">
        <v>2.0360179999999999</v>
      </c>
      <c r="L748" s="33">
        <v>1720</v>
      </c>
      <c r="M748" s="32">
        <v>454</v>
      </c>
      <c r="N748" s="32">
        <v>269</v>
      </c>
      <c r="O748" s="32">
        <v>347</v>
      </c>
      <c r="P748" s="32">
        <v>442</v>
      </c>
      <c r="Q748" s="32">
        <v>208</v>
      </c>
      <c r="R748" s="32">
        <v>2</v>
      </c>
      <c r="S748" s="32">
        <v>0</v>
      </c>
      <c r="T748" s="32">
        <v>0</v>
      </c>
      <c r="U748" s="32">
        <v>0</v>
      </c>
      <c r="V748" s="32">
        <v>3</v>
      </c>
      <c r="W748" s="32">
        <v>0.81552000000000002</v>
      </c>
      <c r="X748" s="32">
        <v>8.5419999999999992E-3</v>
      </c>
      <c r="Y748" s="32">
        <v>0.7</v>
      </c>
      <c r="Z748" s="32">
        <v>0.51249999999999996</v>
      </c>
      <c r="AA748" s="32">
        <v>45.1</v>
      </c>
      <c r="AB748" s="32">
        <v>571</v>
      </c>
      <c r="AC748" s="32">
        <v>9</v>
      </c>
      <c r="AD748" s="32">
        <v>31</v>
      </c>
      <c r="AE748" s="32" t="s">
        <v>200</v>
      </c>
      <c r="AF748" s="32">
        <v>0</v>
      </c>
      <c r="AG748" s="32">
        <v>7</v>
      </c>
    </row>
    <row r="749" spans="1:33">
      <c r="A749" s="32" t="s">
        <v>2853</v>
      </c>
      <c r="B749" s="32" t="s">
        <v>83</v>
      </c>
      <c r="C749" s="32" t="s">
        <v>2854</v>
      </c>
      <c r="D749" s="32" t="s">
        <v>2855</v>
      </c>
      <c r="E749" s="32" t="s">
        <v>2796</v>
      </c>
      <c r="F749" s="32" t="s">
        <v>2797</v>
      </c>
      <c r="G749" s="32" t="s">
        <v>2759</v>
      </c>
      <c r="H749" s="32" t="s">
        <v>2760</v>
      </c>
      <c r="I749" s="32" t="s">
        <v>198</v>
      </c>
      <c r="J749" s="32" t="s">
        <v>199</v>
      </c>
      <c r="K749" s="32">
        <v>2.2251829999999999</v>
      </c>
      <c r="L749" s="33">
        <v>2003</v>
      </c>
      <c r="M749" s="32">
        <v>425</v>
      </c>
      <c r="N749" s="32">
        <v>214</v>
      </c>
      <c r="O749" s="32">
        <v>519</v>
      </c>
      <c r="P749" s="32">
        <v>451</v>
      </c>
      <c r="Q749" s="32">
        <v>394</v>
      </c>
      <c r="R749" s="32">
        <v>2</v>
      </c>
      <c r="S749" s="32">
        <v>0</v>
      </c>
      <c r="T749" s="32">
        <v>0</v>
      </c>
      <c r="U749" s="32">
        <v>0</v>
      </c>
      <c r="V749" s="32">
        <v>8</v>
      </c>
      <c r="W749" s="32">
        <v>0.82550900000000005</v>
      </c>
      <c r="X749" s="32">
        <v>8.8033E-2</v>
      </c>
      <c r="Y749" s="32">
        <v>0.77694200000000002</v>
      </c>
      <c r="Z749" s="32">
        <v>0.532443</v>
      </c>
      <c r="AA749" s="32">
        <v>20.5</v>
      </c>
      <c r="AB749" s="32">
        <v>858</v>
      </c>
      <c r="AC749" s="32">
        <v>32</v>
      </c>
      <c r="AD749" s="32">
        <v>63</v>
      </c>
      <c r="AE749" s="32" t="s">
        <v>200</v>
      </c>
      <c r="AF749" s="32">
        <v>0</v>
      </c>
      <c r="AG749" s="32" t="s">
        <v>200</v>
      </c>
    </row>
    <row r="750" spans="1:33">
      <c r="A750" s="32" t="s">
        <v>2856</v>
      </c>
      <c r="B750" s="32" t="s">
        <v>83</v>
      </c>
      <c r="C750" s="32" t="s">
        <v>2857</v>
      </c>
      <c r="D750" s="32" t="s">
        <v>2858</v>
      </c>
      <c r="E750" s="32" t="s">
        <v>2829</v>
      </c>
      <c r="F750" s="32" t="s">
        <v>2830</v>
      </c>
      <c r="G750" s="32" t="s">
        <v>2516</v>
      </c>
      <c r="H750" s="32" t="s">
        <v>2517</v>
      </c>
      <c r="I750" s="32" t="s">
        <v>198</v>
      </c>
      <c r="J750" s="32" t="s">
        <v>199</v>
      </c>
      <c r="K750" s="32">
        <v>1.7543599999999999</v>
      </c>
      <c r="L750" s="33">
        <v>1540</v>
      </c>
      <c r="M750" s="32">
        <v>331</v>
      </c>
      <c r="N750" s="32">
        <v>201</v>
      </c>
      <c r="O750" s="32">
        <v>246</v>
      </c>
      <c r="P750" s="32">
        <v>436</v>
      </c>
      <c r="Q750" s="32">
        <v>326</v>
      </c>
      <c r="R750" s="32">
        <v>2</v>
      </c>
      <c r="S750" s="32">
        <v>0</v>
      </c>
      <c r="T750" s="32">
        <v>0</v>
      </c>
      <c r="U750" s="32">
        <v>0</v>
      </c>
      <c r="V750" s="32">
        <v>8</v>
      </c>
      <c r="W750" s="32">
        <v>0.80879400000000001</v>
      </c>
      <c r="X750" s="32">
        <v>9.5327999999999996E-2</v>
      </c>
      <c r="Y750" s="32">
        <v>0.65159699999999998</v>
      </c>
      <c r="Z750" s="32">
        <v>0.2</v>
      </c>
      <c r="AA750" s="32">
        <v>14.7</v>
      </c>
      <c r="AB750" s="32">
        <v>708</v>
      </c>
      <c r="AC750" s="32">
        <v>24</v>
      </c>
      <c r="AD750" s="32">
        <v>30</v>
      </c>
      <c r="AE750" s="32">
        <v>0</v>
      </c>
      <c r="AF750" s="32" t="s">
        <v>200</v>
      </c>
      <c r="AG750" s="32" t="s">
        <v>200</v>
      </c>
    </row>
    <row r="751" spans="1:33">
      <c r="A751" s="32" t="s">
        <v>2859</v>
      </c>
      <c r="B751" s="32" t="s">
        <v>84</v>
      </c>
      <c r="C751" s="32" t="s">
        <v>2860</v>
      </c>
      <c r="D751" s="32" t="s">
        <v>2861</v>
      </c>
      <c r="E751" s="32" t="s">
        <v>2862</v>
      </c>
      <c r="F751" s="32" t="s">
        <v>2863</v>
      </c>
      <c r="G751" s="32" t="s">
        <v>2759</v>
      </c>
      <c r="H751" s="32" t="s">
        <v>2760</v>
      </c>
      <c r="I751" s="32" t="s">
        <v>198</v>
      </c>
      <c r="J751" s="32" t="s">
        <v>199</v>
      </c>
      <c r="K751" s="32">
        <v>2.4062299999999999</v>
      </c>
      <c r="L751" s="33">
        <v>2569</v>
      </c>
      <c r="M751" s="32">
        <v>540</v>
      </c>
      <c r="N751" s="32">
        <v>401</v>
      </c>
      <c r="O751" s="32">
        <v>760</v>
      </c>
      <c r="P751" s="32">
        <v>512</v>
      </c>
      <c r="Q751" s="32">
        <v>356</v>
      </c>
      <c r="R751" s="32">
        <v>4</v>
      </c>
      <c r="S751" s="32">
        <v>24.593800000000002</v>
      </c>
      <c r="T751" s="32">
        <v>0</v>
      </c>
      <c r="U751" s="32">
        <v>0.85305753900000003</v>
      </c>
      <c r="V751" s="32">
        <v>4</v>
      </c>
      <c r="W751" s="32">
        <v>0.83343800000000001</v>
      </c>
      <c r="X751" s="32">
        <v>0.367585</v>
      </c>
      <c r="Y751" s="32">
        <v>0.7</v>
      </c>
      <c r="Z751" s="32">
        <v>0.50660899999999998</v>
      </c>
      <c r="AA751" s="32">
        <v>32.9</v>
      </c>
      <c r="AB751" s="32">
        <v>701</v>
      </c>
      <c r="AC751" s="32">
        <v>28</v>
      </c>
      <c r="AD751" s="32">
        <v>40</v>
      </c>
      <c r="AE751" s="32" t="s">
        <v>200</v>
      </c>
      <c r="AF751" s="32" t="s">
        <v>200</v>
      </c>
      <c r="AG751" s="32">
        <v>5</v>
      </c>
    </row>
    <row r="752" spans="1:33">
      <c r="A752" s="32" t="s">
        <v>2864</v>
      </c>
      <c r="B752" s="32" t="s">
        <v>84</v>
      </c>
      <c r="C752" s="32" t="s">
        <v>2865</v>
      </c>
      <c r="D752" s="32" t="s">
        <v>2866</v>
      </c>
      <c r="E752" s="32" t="s">
        <v>2867</v>
      </c>
      <c r="F752" s="32" t="s">
        <v>2868</v>
      </c>
      <c r="G752" s="32" t="s">
        <v>2759</v>
      </c>
      <c r="H752" s="32" t="s">
        <v>2760</v>
      </c>
      <c r="I752" s="32" t="s">
        <v>198</v>
      </c>
      <c r="J752" s="32" t="s">
        <v>199</v>
      </c>
      <c r="K752" s="32">
        <v>1.947141</v>
      </c>
      <c r="L752" s="33">
        <v>1503</v>
      </c>
      <c r="M752" s="32">
        <v>358</v>
      </c>
      <c r="N752" s="32">
        <v>229</v>
      </c>
      <c r="O752" s="32">
        <v>365</v>
      </c>
      <c r="P752" s="32">
        <v>362</v>
      </c>
      <c r="Q752" s="32">
        <v>189</v>
      </c>
      <c r="R752" s="32">
        <v>2</v>
      </c>
      <c r="S752" s="32">
        <v>12.609</v>
      </c>
      <c r="T752" s="32">
        <v>1.9169799999999999</v>
      </c>
      <c r="U752" s="32">
        <v>1.0413795539999999</v>
      </c>
      <c r="V752" s="32">
        <v>5</v>
      </c>
      <c r="W752" s="32">
        <v>0.81035500000000005</v>
      </c>
      <c r="X752" s="32">
        <v>0.194109</v>
      </c>
      <c r="Y752" s="32">
        <v>0.7</v>
      </c>
      <c r="Z752" s="32">
        <v>0.25046200000000002</v>
      </c>
      <c r="AA752" s="32">
        <v>27.9</v>
      </c>
      <c r="AB752" s="32">
        <v>667</v>
      </c>
      <c r="AC752" s="32">
        <v>19</v>
      </c>
      <c r="AD752" s="32">
        <v>33</v>
      </c>
      <c r="AE752" s="32">
        <v>0</v>
      </c>
      <c r="AF752" s="32">
        <v>0</v>
      </c>
      <c r="AG752" s="32" t="s">
        <v>200</v>
      </c>
    </row>
    <row r="753" spans="1:33">
      <c r="A753" s="32" t="s">
        <v>2869</v>
      </c>
      <c r="B753" s="32" t="s">
        <v>84</v>
      </c>
      <c r="C753" s="32" t="s">
        <v>2870</v>
      </c>
      <c r="D753" s="32" t="s">
        <v>2871</v>
      </c>
      <c r="E753" s="32" t="s">
        <v>2867</v>
      </c>
      <c r="F753" s="32" t="s">
        <v>2868</v>
      </c>
      <c r="G753" s="32" t="s">
        <v>2759</v>
      </c>
      <c r="H753" s="32" t="s">
        <v>2760</v>
      </c>
      <c r="I753" s="32" t="s">
        <v>198</v>
      </c>
      <c r="J753" s="32" t="s">
        <v>199</v>
      </c>
      <c r="K753" s="32">
        <v>1.871092</v>
      </c>
      <c r="L753" s="33">
        <v>1672</v>
      </c>
      <c r="M753" s="32">
        <v>392</v>
      </c>
      <c r="N753" s="32">
        <v>241</v>
      </c>
      <c r="O753" s="32">
        <v>444</v>
      </c>
      <c r="P753" s="32">
        <v>351</v>
      </c>
      <c r="Q753" s="32">
        <v>244</v>
      </c>
      <c r="R753" s="32">
        <v>2</v>
      </c>
      <c r="S753" s="32">
        <v>7.9830199999999998</v>
      </c>
      <c r="T753" s="32">
        <v>1.74664</v>
      </c>
      <c r="U753" s="32">
        <v>0.992438775</v>
      </c>
      <c r="V753" s="32">
        <v>7</v>
      </c>
      <c r="W753" s="32">
        <v>0.80565600000000004</v>
      </c>
      <c r="X753" s="32">
        <v>0.165884</v>
      </c>
      <c r="Y753" s="32">
        <v>0.7</v>
      </c>
      <c r="Z753" s="32">
        <v>0.2</v>
      </c>
      <c r="AA753" s="32">
        <v>18.2</v>
      </c>
      <c r="AB753" s="32">
        <v>661</v>
      </c>
      <c r="AC753" s="32">
        <v>21</v>
      </c>
      <c r="AD753" s="32">
        <v>39</v>
      </c>
      <c r="AE753" s="32">
        <v>0</v>
      </c>
      <c r="AF753" s="32" t="s">
        <v>200</v>
      </c>
      <c r="AG753" s="32" t="s">
        <v>200</v>
      </c>
    </row>
    <row r="754" spans="1:33">
      <c r="A754" s="32" t="s">
        <v>2872</v>
      </c>
      <c r="B754" s="32" t="s">
        <v>84</v>
      </c>
      <c r="C754" s="32" t="s">
        <v>2873</v>
      </c>
      <c r="D754" s="32" t="s">
        <v>2874</v>
      </c>
      <c r="E754" s="32" t="s">
        <v>2875</v>
      </c>
      <c r="F754" s="32" t="s">
        <v>2876</v>
      </c>
      <c r="G754" s="32" t="s">
        <v>2759</v>
      </c>
      <c r="H754" s="32" t="s">
        <v>2760</v>
      </c>
      <c r="I754" s="32" t="s">
        <v>198</v>
      </c>
      <c r="J754" s="32" t="s">
        <v>199</v>
      </c>
      <c r="K754" s="32">
        <v>1.7833810000000001</v>
      </c>
      <c r="L754" s="33">
        <v>1922</v>
      </c>
      <c r="M754" s="32">
        <v>399</v>
      </c>
      <c r="N754" s="32">
        <v>310</v>
      </c>
      <c r="O754" s="32">
        <v>361</v>
      </c>
      <c r="P754" s="32">
        <v>511</v>
      </c>
      <c r="Q754" s="32">
        <v>341</v>
      </c>
      <c r="R754" s="32" t="s">
        <v>225</v>
      </c>
      <c r="S754" s="32">
        <v>7.6650999999999998</v>
      </c>
      <c r="T754" s="32">
        <v>0</v>
      </c>
      <c r="U754" s="32">
        <v>1.1033332259999999</v>
      </c>
      <c r="V754" s="32">
        <v>6</v>
      </c>
      <c r="W754" s="32">
        <v>0.80223199999999995</v>
      </c>
      <c r="X754" s="32">
        <v>0.107853</v>
      </c>
      <c r="Y754" s="32">
        <v>0.7</v>
      </c>
      <c r="Z754" s="32">
        <v>0.174097</v>
      </c>
      <c r="AA754" s="32">
        <v>22</v>
      </c>
      <c r="AB754" s="32">
        <v>896</v>
      </c>
      <c r="AC754" s="32">
        <v>35</v>
      </c>
      <c r="AD754" s="32">
        <v>64</v>
      </c>
      <c r="AE754" s="32" t="s">
        <v>200</v>
      </c>
      <c r="AF754" s="32" t="s">
        <v>200</v>
      </c>
      <c r="AG754" s="32" t="s">
        <v>200</v>
      </c>
    </row>
    <row r="755" spans="1:33">
      <c r="A755" s="32" t="s">
        <v>2877</v>
      </c>
      <c r="B755" s="32" t="s">
        <v>84</v>
      </c>
      <c r="C755" s="32" t="s">
        <v>2878</v>
      </c>
      <c r="D755" s="32" t="s">
        <v>2879</v>
      </c>
      <c r="E755" s="32" t="s">
        <v>2875</v>
      </c>
      <c r="F755" s="32" t="s">
        <v>2876</v>
      </c>
      <c r="G755" s="32" t="s">
        <v>2759</v>
      </c>
      <c r="H755" s="32" t="s">
        <v>2760</v>
      </c>
      <c r="I755" s="32" t="s">
        <v>198</v>
      </c>
      <c r="J755" s="32" t="s">
        <v>199</v>
      </c>
      <c r="K755" s="32">
        <v>1.782146</v>
      </c>
      <c r="L755" s="33">
        <v>1933</v>
      </c>
      <c r="M755" s="32">
        <v>406</v>
      </c>
      <c r="N755" s="32">
        <v>291</v>
      </c>
      <c r="O755" s="32">
        <v>418</v>
      </c>
      <c r="P755" s="32">
        <v>561</v>
      </c>
      <c r="Q755" s="32">
        <v>257</v>
      </c>
      <c r="R755" s="32" t="s">
        <v>225</v>
      </c>
      <c r="S755" s="32">
        <v>8.9295899999999993</v>
      </c>
      <c r="T755" s="32">
        <v>0</v>
      </c>
      <c r="U755" s="32">
        <v>1.0042174109999999</v>
      </c>
      <c r="V755" s="32">
        <v>7</v>
      </c>
      <c r="W755" s="32">
        <v>0.80230999999999997</v>
      </c>
      <c r="X755" s="32">
        <v>0.106099</v>
      </c>
      <c r="Y755" s="32">
        <v>0.7</v>
      </c>
      <c r="Z755" s="32">
        <v>0.173842</v>
      </c>
      <c r="AA755" s="32">
        <v>16.3</v>
      </c>
      <c r="AB755" s="32">
        <v>929</v>
      </c>
      <c r="AC755" s="32">
        <v>30</v>
      </c>
      <c r="AD755" s="32">
        <v>231</v>
      </c>
      <c r="AE755" s="32" t="s">
        <v>200</v>
      </c>
      <c r="AF755" s="32">
        <v>0</v>
      </c>
      <c r="AG755" s="32" t="s">
        <v>200</v>
      </c>
    </row>
    <row r="756" spans="1:33">
      <c r="A756" s="32" t="s">
        <v>2880</v>
      </c>
      <c r="B756" s="32" t="s">
        <v>85</v>
      </c>
      <c r="C756" s="32" t="s">
        <v>2881</v>
      </c>
      <c r="D756" s="32" t="s">
        <v>2882</v>
      </c>
      <c r="E756" s="32" t="s">
        <v>2862</v>
      </c>
      <c r="F756" s="32" t="s">
        <v>2863</v>
      </c>
      <c r="G756" s="32" t="s">
        <v>2759</v>
      </c>
      <c r="H756" s="32" t="s">
        <v>2760</v>
      </c>
      <c r="I756" s="32" t="s">
        <v>198</v>
      </c>
      <c r="J756" s="32" t="s">
        <v>199</v>
      </c>
      <c r="K756" s="32">
        <v>2.065909</v>
      </c>
      <c r="L756" s="33">
        <v>1499</v>
      </c>
      <c r="M756" s="32">
        <v>301</v>
      </c>
      <c r="N756" s="32">
        <v>228</v>
      </c>
      <c r="O756" s="32">
        <v>376</v>
      </c>
      <c r="P756" s="32">
        <v>390</v>
      </c>
      <c r="Q756" s="32">
        <v>204</v>
      </c>
      <c r="R756" s="32">
        <v>2</v>
      </c>
      <c r="S756" s="32">
        <v>22.026</v>
      </c>
      <c r="T756" s="32">
        <v>0</v>
      </c>
      <c r="U756" s="32">
        <v>0.91129401200000004</v>
      </c>
      <c r="V756" s="32">
        <v>6</v>
      </c>
      <c r="W756" s="32">
        <v>0.80465900000000001</v>
      </c>
      <c r="X756" s="32">
        <v>0.21241499999999999</v>
      </c>
      <c r="Y756" s="32">
        <v>0.7</v>
      </c>
      <c r="Z756" s="32">
        <v>0.35972700000000002</v>
      </c>
      <c r="AA756" s="32">
        <v>25.8</v>
      </c>
      <c r="AB756" s="32">
        <v>564</v>
      </c>
      <c r="AC756" s="32">
        <v>18</v>
      </c>
      <c r="AD756" s="32">
        <v>27</v>
      </c>
      <c r="AE756" s="32">
        <v>0</v>
      </c>
      <c r="AF756" s="32" t="s">
        <v>200</v>
      </c>
      <c r="AG756" s="32" t="s">
        <v>200</v>
      </c>
    </row>
    <row r="757" spans="1:33">
      <c r="A757" s="32" t="s">
        <v>2883</v>
      </c>
      <c r="B757" s="32" t="s">
        <v>85</v>
      </c>
      <c r="C757" s="32" t="s">
        <v>2884</v>
      </c>
      <c r="D757" s="32" t="s">
        <v>2885</v>
      </c>
      <c r="E757" s="32" t="s">
        <v>2886</v>
      </c>
      <c r="F757" s="32" t="s">
        <v>2887</v>
      </c>
      <c r="G757" s="32" t="s">
        <v>2759</v>
      </c>
      <c r="H757" s="32" t="s">
        <v>2760</v>
      </c>
      <c r="I757" s="32" t="s">
        <v>198</v>
      </c>
      <c r="J757" s="32" t="s">
        <v>199</v>
      </c>
      <c r="K757" s="32">
        <v>2.1369129999999998</v>
      </c>
      <c r="L757" s="33">
        <v>2103</v>
      </c>
      <c r="M757" s="32">
        <v>458</v>
      </c>
      <c r="N757" s="32">
        <v>348</v>
      </c>
      <c r="O757" s="32">
        <v>516</v>
      </c>
      <c r="P757" s="32">
        <v>512</v>
      </c>
      <c r="Q757" s="32">
        <v>269</v>
      </c>
      <c r="R757" s="32">
        <v>2</v>
      </c>
      <c r="S757" s="32">
        <v>17.2133</v>
      </c>
      <c r="T757" s="32">
        <v>2.9615</v>
      </c>
      <c r="U757" s="32">
        <v>0.93510170400000003</v>
      </c>
      <c r="V757" s="32">
        <v>5</v>
      </c>
      <c r="W757" s="32">
        <v>0.81325499999999995</v>
      </c>
      <c r="X757" s="32">
        <v>0.37229699999999999</v>
      </c>
      <c r="Y757" s="32">
        <v>0.7</v>
      </c>
      <c r="Z757" s="32">
        <v>0.26733800000000002</v>
      </c>
      <c r="AA757" s="32">
        <v>30.7</v>
      </c>
      <c r="AB757" s="32">
        <v>821</v>
      </c>
      <c r="AC757" s="32">
        <v>23</v>
      </c>
      <c r="AD757" s="32">
        <v>37</v>
      </c>
      <c r="AE757" s="32" t="s">
        <v>200</v>
      </c>
      <c r="AF757" s="32" t="s">
        <v>200</v>
      </c>
      <c r="AG757" s="32" t="s">
        <v>200</v>
      </c>
    </row>
    <row r="758" spans="1:33">
      <c r="A758" s="32" t="s">
        <v>2888</v>
      </c>
      <c r="B758" s="32" t="s">
        <v>85</v>
      </c>
      <c r="C758" s="32" t="s">
        <v>2889</v>
      </c>
      <c r="D758" s="32" t="s">
        <v>2890</v>
      </c>
      <c r="E758" s="32" t="s">
        <v>2891</v>
      </c>
      <c r="F758" s="32" t="s">
        <v>2892</v>
      </c>
      <c r="G758" s="32" t="s">
        <v>2759</v>
      </c>
      <c r="H758" s="32" t="s">
        <v>2760</v>
      </c>
      <c r="I758" s="32" t="s">
        <v>198</v>
      </c>
      <c r="J758" s="32" t="s">
        <v>199</v>
      </c>
      <c r="K758" s="32">
        <v>1.7920480000000001</v>
      </c>
      <c r="L758" s="33">
        <v>2060</v>
      </c>
      <c r="M758" s="32">
        <v>547</v>
      </c>
      <c r="N758" s="32">
        <v>237</v>
      </c>
      <c r="O758" s="32">
        <v>518</v>
      </c>
      <c r="P758" s="32">
        <v>495</v>
      </c>
      <c r="Q758" s="32">
        <v>263</v>
      </c>
      <c r="R758" s="32" t="s">
        <v>214</v>
      </c>
      <c r="S758" s="32">
        <v>12.0093</v>
      </c>
      <c r="T758" s="32">
        <v>0</v>
      </c>
      <c r="U758" s="32">
        <v>0.97431279900000001</v>
      </c>
      <c r="V758" s="32">
        <v>8</v>
      </c>
      <c r="W758" s="32">
        <v>0.80587299999999995</v>
      </c>
      <c r="X758" s="32">
        <v>0.12766</v>
      </c>
      <c r="Y758" s="32">
        <v>0.7</v>
      </c>
      <c r="Z758" s="32">
        <v>0.15367400000000001</v>
      </c>
      <c r="AA758" s="32">
        <v>20.6</v>
      </c>
      <c r="AB758" s="32">
        <v>1224</v>
      </c>
      <c r="AC758" s="32">
        <v>47</v>
      </c>
      <c r="AD758" s="32">
        <v>66</v>
      </c>
      <c r="AE758" s="32" t="s">
        <v>200</v>
      </c>
      <c r="AF758" s="32">
        <v>0</v>
      </c>
      <c r="AG758" s="32">
        <v>6</v>
      </c>
    </row>
    <row r="759" spans="1:33">
      <c r="A759" s="32" t="s">
        <v>2893</v>
      </c>
      <c r="B759" s="32" t="s">
        <v>85</v>
      </c>
      <c r="C759" s="32" t="s">
        <v>2894</v>
      </c>
      <c r="D759" s="32" t="s">
        <v>2895</v>
      </c>
      <c r="E759" s="32" t="s">
        <v>2886</v>
      </c>
      <c r="F759" s="32" t="s">
        <v>2887</v>
      </c>
      <c r="G759" s="32" t="s">
        <v>2759</v>
      </c>
      <c r="H759" s="32" t="s">
        <v>2760</v>
      </c>
      <c r="I759" s="32" t="s">
        <v>198</v>
      </c>
      <c r="J759" s="32" t="s">
        <v>199</v>
      </c>
      <c r="K759" s="32">
        <v>1.923289</v>
      </c>
      <c r="L759" s="33">
        <v>1487</v>
      </c>
      <c r="M759" s="32">
        <v>344</v>
      </c>
      <c r="N759" s="32">
        <v>205</v>
      </c>
      <c r="O759" s="32">
        <v>283</v>
      </c>
      <c r="P759" s="32">
        <v>431</v>
      </c>
      <c r="Q759" s="32">
        <v>224</v>
      </c>
      <c r="R759" s="32">
        <v>2</v>
      </c>
      <c r="S759" s="32">
        <v>13.8415</v>
      </c>
      <c r="T759" s="32">
        <v>0.90279200000000004</v>
      </c>
      <c r="U759" s="32">
        <v>1.1298323669999999</v>
      </c>
      <c r="V759" s="32">
        <v>4</v>
      </c>
      <c r="W759" s="32">
        <v>0.80258799999999997</v>
      </c>
      <c r="X759" s="32">
        <v>8.4532999999999997E-2</v>
      </c>
      <c r="Y759" s="32">
        <v>0.7</v>
      </c>
      <c r="Z759" s="32">
        <v>0.34376000000000001</v>
      </c>
      <c r="AA759" s="32">
        <v>20.3</v>
      </c>
      <c r="AB759" s="32">
        <v>648</v>
      </c>
      <c r="AC759" s="32">
        <v>20</v>
      </c>
      <c r="AD759" s="32">
        <v>43</v>
      </c>
      <c r="AE759" s="32">
        <v>0</v>
      </c>
      <c r="AF759" s="32">
        <v>0</v>
      </c>
      <c r="AG759" s="32" t="s">
        <v>200</v>
      </c>
    </row>
    <row r="760" spans="1:33">
      <c r="A760" s="32" t="s">
        <v>2896</v>
      </c>
      <c r="B760" s="32" t="s">
        <v>85</v>
      </c>
      <c r="C760" s="32" t="s">
        <v>2897</v>
      </c>
      <c r="D760" s="32" t="s">
        <v>2898</v>
      </c>
      <c r="E760" s="32" t="s">
        <v>2886</v>
      </c>
      <c r="F760" s="32" t="s">
        <v>2887</v>
      </c>
      <c r="G760" s="32" t="s">
        <v>2759</v>
      </c>
      <c r="H760" s="32" t="s">
        <v>2760</v>
      </c>
      <c r="I760" s="32" t="s">
        <v>198</v>
      </c>
      <c r="J760" s="32" t="s">
        <v>199</v>
      </c>
      <c r="K760" s="32">
        <v>1.806243</v>
      </c>
      <c r="L760" s="33">
        <v>1780</v>
      </c>
      <c r="M760" s="32">
        <v>369</v>
      </c>
      <c r="N760" s="32">
        <v>224</v>
      </c>
      <c r="O760" s="32">
        <v>312</v>
      </c>
      <c r="P760" s="32">
        <v>486</v>
      </c>
      <c r="Q760" s="32">
        <v>389</v>
      </c>
      <c r="R760" s="32" t="s">
        <v>225</v>
      </c>
      <c r="S760" s="32">
        <v>11.0665</v>
      </c>
      <c r="T760" s="32">
        <v>0</v>
      </c>
      <c r="U760" s="32">
        <v>1.025766433</v>
      </c>
      <c r="V760" s="32">
        <v>6</v>
      </c>
      <c r="W760" s="32">
        <v>0.80007099999999998</v>
      </c>
      <c r="X760" s="32">
        <v>4.9804000000000001E-2</v>
      </c>
      <c r="Y760" s="32">
        <v>0.7</v>
      </c>
      <c r="Z760" s="32">
        <v>0.261355</v>
      </c>
      <c r="AA760" s="32">
        <v>21.3</v>
      </c>
      <c r="AB760" s="32">
        <v>975</v>
      </c>
      <c r="AC760" s="32">
        <v>35</v>
      </c>
      <c r="AD760" s="32">
        <v>228</v>
      </c>
      <c r="AE760" s="32">
        <v>0</v>
      </c>
      <c r="AF760" s="32" t="s">
        <v>200</v>
      </c>
      <c r="AG760" s="32">
        <v>6</v>
      </c>
    </row>
    <row r="761" spans="1:33">
      <c r="A761" s="32" t="s">
        <v>2899</v>
      </c>
      <c r="B761" s="32" t="s">
        <v>85</v>
      </c>
      <c r="C761" s="32" t="s">
        <v>2900</v>
      </c>
      <c r="D761" s="32" t="s">
        <v>2901</v>
      </c>
      <c r="E761" s="32" t="s">
        <v>2891</v>
      </c>
      <c r="F761" s="32" t="s">
        <v>2892</v>
      </c>
      <c r="G761" s="32" t="s">
        <v>2759</v>
      </c>
      <c r="H761" s="32" t="s">
        <v>2760</v>
      </c>
      <c r="I761" s="32" t="s">
        <v>198</v>
      </c>
      <c r="J761" s="32" t="s">
        <v>199</v>
      </c>
      <c r="K761" s="32">
        <v>1.692215</v>
      </c>
      <c r="L761" s="33">
        <v>1612</v>
      </c>
      <c r="M761" s="32">
        <v>323</v>
      </c>
      <c r="N761" s="32">
        <v>185</v>
      </c>
      <c r="O761" s="32">
        <v>323</v>
      </c>
      <c r="P761" s="32">
        <v>454</v>
      </c>
      <c r="Q761" s="32">
        <v>327</v>
      </c>
      <c r="R761" s="32" t="s">
        <v>214</v>
      </c>
      <c r="S761" s="32">
        <v>9.6621799999999993</v>
      </c>
      <c r="T761" s="32">
        <v>0</v>
      </c>
      <c r="U761" s="32">
        <v>0.97707949199999999</v>
      </c>
      <c r="V761" s="32">
        <v>9</v>
      </c>
      <c r="W761" s="32">
        <v>0.8</v>
      </c>
      <c r="X761" s="32">
        <v>5.0644000000000002E-2</v>
      </c>
      <c r="Y761" s="32">
        <v>0.7</v>
      </c>
      <c r="Z761" s="32">
        <v>0.14444799999999999</v>
      </c>
      <c r="AA761" s="32">
        <v>11.8</v>
      </c>
      <c r="AB761" s="32">
        <v>936</v>
      </c>
      <c r="AC761" s="32">
        <v>33</v>
      </c>
      <c r="AD761" s="32">
        <v>68</v>
      </c>
      <c r="AE761" s="32" t="s">
        <v>200</v>
      </c>
      <c r="AF761" s="32">
        <v>0</v>
      </c>
      <c r="AG761" s="32" t="s">
        <v>200</v>
      </c>
    </row>
    <row r="762" spans="1:33">
      <c r="A762" s="32" t="s">
        <v>2902</v>
      </c>
      <c r="B762" s="32" t="s">
        <v>85</v>
      </c>
      <c r="C762" s="32" t="s">
        <v>2903</v>
      </c>
      <c r="D762" s="32" t="s">
        <v>2904</v>
      </c>
      <c r="E762" s="32" t="s">
        <v>2886</v>
      </c>
      <c r="F762" s="32" t="s">
        <v>2887</v>
      </c>
      <c r="G762" s="32" t="s">
        <v>2759</v>
      </c>
      <c r="H762" s="32" t="s">
        <v>2760</v>
      </c>
      <c r="I762" s="32" t="s">
        <v>198</v>
      </c>
      <c r="J762" s="32" t="s">
        <v>199</v>
      </c>
      <c r="K762" s="32">
        <v>2.2360920000000002</v>
      </c>
      <c r="L762" s="33">
        <v>1903</v>
      </c>
      <c r="M762" s="32">
        <v>441</v>
      </c>
      <c r="N762" s="32">
        <v>276</v>
      </c>
      <c r="O762" s="32">
        <v>527</v>
      </c>
      <c r="P762" s="32">
        <v>415</v>
      </c>
      <c r="Q762" s="32">
        <v>244</v>
      </c>
      <c r="R762" s="32">
        <v>3</v>
      </c>
      <c r="S762" s="32">
        <v>16.3019</v>
      </c>
      <c r="T762" s="32">
        <v>0</v>
      </c>
      <c r="U762" s="32">
        <v>0.93421236699999999</v>
      </c>
      <c r="V762" s="32">
        <v>4</v>
      </c>
      <c r="W762" s="32">
        <v>0.81374899999999994</v>
      </c>
      <c r="X762" s="32">
        <v>0.30696499999999999</v>
      </c>
      <c r="Y762" s="32">
        <v>0.7</v>
      </c>
      <c r="Z762" s="32">
        <v>0.40255299999999999</v>
      </c>
      <c r="AA762" s="32">
        <v>31.3</v>
      </c>
      <c r="AB762" s="32">
        <v>979</v>
      </c>
      <c r="AC762" s="32">
        <v>66</v>
      </c>
      <c r="AD762" s="32">
        <v>69</v>
      </c>
      <c r="AE762" s="32">
        <v>0</v>
      </c>
      <c r="AF762" s="32" t="s">
        <v>200</v>
      </c>
      <c r="AG762" s="32" t="s">
        <v>200</v>
      </c>
    </row>
    <row r="763" spans="1:33">
      <c r="A763" s="32" t="s">
        <v>2905</v>
      </c>
      <c r="B763" s="32" t="s">
        <v>67</v>
      </c>
      <c r="C763" s="32" t="s">
        <v>2906</v>
      </c>
      <c r="D763" s="32" t="s">
        <v>2907</v>
      </c>
      <c r="E763" s="32" t="s">
        <v>2908</v>
      </c>
      <c r="F763" s="32" t="s">
        <v>2909</v>
      </c>
      <c r="G763" s="32" t="s">
        <v>655</v>
      </c>
      <c r="H763" s="32" t="s">
        <v>656</v>
      </c>
      <c r="I763" s="32" t="s">
        <v>198</v>
      </c>
      <c r="J763" s="32" t="s">
        <v>199</v>
      </c>
      <c r="K763" s="32">
        <v>2.6668769999999999</v>
      </c>
      <c r="L763" s="33">
        <v>2452</v>
      </c>
      <c r="M763" s="32">
        <v>727</v>
      </c>
      <c r="N763" s="32">
        <v>359</v>
      </c>
      <c r="O763" s="32">
        <v>649</v>
      </c>
      <c r="P763" s="32">
        <v>504</v>
      </c>
      <c r="Q763" s="32">
        <v>213</v>
      </c>
      <c r="R763" s="32">
        <v>4</v>
      </c>
      <c r="S763" s="32">
        <v>21.461200000000002</v>
      </c>
      <c r="T763" s="32">
        <v>10.2408</v>
      </c>
      <c r="U763" s="32">
        <v>0.91221331400000005</v>
      </c>
      <c r="V763" s="32">
        <v>3</v>
      </c>
      <c r="W763" s="32">
        <v>0.90725599999999995</v>
      </c>
      <c r="X763" s="32">
        <v>6.25E-2</v>
      </c>
      <c r="Y763" s="32">
        <v>0.7</v>
      </c>
      <c r="Z763" s="32">
        <v>0.99085199999999996</v>
      </c>
      <c r="AA763" s="32">
        <v>54.3</v>
      </c>
      <c r="AB763" s="32">
        <v>326</v>
      </c>
      <c r="AC763" s="32">
        <v>19</v>
      </c>
      <c r="AD763" s="32">
        <v>28</v>
      </c>
      <c r="AE763" s="32">
        <v>0</v>
      </c>
      <c r="AF763" s="32" t="s">
        <v>200</v>
      </c>
      <c r="AG763" s="32">
        <v>6</v>
      </c>
    </row>
    <row r="764" spans="1:33">
      <c r="A764" s="32" t="s">
        <v>2910</v>
      </c>
      <c r="B764" s="32" t="s">
        <v>67</v>
      </c>
      <c r="C764" s="32" t="s">
        <v>2911</v>
      </c>
      <c r="D764" s="32" t="s">
        <v>2912</v>
      </c>
      <c r="E764" s="32" t="s">
        <v>2342</v>
      </c>
      <c r="F764" s="32" t="s">
        <v>2343</v>
      </c>
      <c r="G764" s="32" t="s">
        <v>655</v>
      </c>
      <c r="H764" s="32" t="s">
        <v>656</v>
      </c>
      <c r="I764" s="32" t="s">
        <v>198</v>
      </c>
      <c r="J764" s="32" t="s">
        <v>199</v>
      </c>
      <c r="K764" s="32">
        <v>2.5944440000000002</v>
      </c>
      <c r="L764" s="33">
        <v>1872</v>
      </c>
      <c r="M764" s="32">
        <v>637</v>
      </c>
      <c r="N764" s="32">
        <v>358</v>
      </c>
      <c r="O764" s="32">
        <v>434</v>
      </c>
      <c r="P764" s="32">
        <v>307</v>
      </c>
      <c r="Q764" s="32">
        <v>136</v>
      </c>
      <c r="R764" s="32">
        <v>3</v>
      </c>
      <c r="S764" s="32">
        <v>19.183599999999998</v>
      </c>
      <c r="T764" s="32">
        <v>6.7252599999999996</v>
      </c>
      <c r="U764" s="32">
        <v>0.73983106399999998</v>
      </c>
      <c r="V764" s="32">
        <v>4</v>
      </c>
      <c r="W764" s="32">
        <v>0.900926</v>
      </c>
      <c r="X764" s="32">
        <v>4.3174999999999998E-2</v>
      </c>
      <c r="Y764" s="32">
        <v>0.7</v>
      </c>
      <c r="Z764" s="32">
        <v>0.94720499999999996</v>
      </c>
      <c r="AA764" s="32">
        <v>37.200000000000003</v>
      </c>
      <c r="AB764" s="32">
        <v>299</v>
      </c>
      <c r="AC764" s="32">
        <v>21</v>
      </c>
      <c r="AD764" s="32">
        <v>19</v>
      </c>
      <c r="AE764" s="32">
        <v>0</v>
      </c>
      <c r="AF764" s="32">
        <v>19</v>
      </c>
      <c r="AG764" s="32" t="s">
        <v>200</v>
      </c>
    </row>
    <row r="765" spans="1:33">
      <c r="A765" s="32" t="s">
        <v>2913</v>
      </c>
      <c r="B765" s="32" t="s">
        <v>67</v>
      </c>
      <c r="C765" s="32" t="s">
        <v>2914</v>
      </c>
      <c r="D765" s="32" t="s">
        <v>2915</v>
      </c>
      <c r="E765" s="32" t="s">
        <v>2908</v>
      </c>
      <c r="F765" s="32" t="s">
        <v>2909</v>
      </c>
      <c r="G765" s="32" t="s">
        <v>655</v>
      </c>
      <c r="H765" s="32" t="s">
        <v>656</v>
      </c>
      <c r="I765" s="32" t="s">
        <v>198</v>
      </c>
      <c r="J765" s="32" t="s">
        <v>199</v>
      </c>
      <c r="K765" s="32">
        <v>2.6872340000000001</v>
      </c>
      <c r="L765" s="33">
        <v>2157</v>
      </c>
      <c r="M765" s="32">
        <v>940</v>
      </c>
      <c r="N765" s="32">
        <v>429</v>
      </c>
      <c r="O765" s="32">
        <v>379</v>
      </c>
      <c r="P765" s="32">
        <v>271</v>
      </c>
      <c r="Q765" s="32">
        <v>138</v>
      </c>
      <c r="R765" s="32">
        <v>3</v>
      </c>
      <c r="S765" s="32">
        <v>16.669799999999999</v>
      </c>
      <c r="T765" s="32">
        <v>11.5823</v>
      </c>
      <c r="U765" s="32">
        <v>0.84025775899999999</v>
      </c>
      <c r="V765" s="32">
        <v>3</v>
      </c>
      <c r="W765" s="32">
        <v>0.90461000000000003</v>
      </c>
      <c r="X765" s="32">
        <v>0.159859</v>
      </c>
      <c r="Y765" s="32">
        <v>0.7</v>
      </c>
      <c r="Z765" s="32">
        <v>0.91180600000000001</v>
      </c>
      <c r="AA765" s="32">
        <v>42.2</v>
      </c>
      <c r="AB765" s="32">
        <v>291</v>
      </c>
      <c r="AC765" s="32">
        <v>10</v>
      </c>
      <c r="AD765" s="32">
        <v>11</v>
      </c>
      <c r="AE765" s="32">
        <v>0</v>
      </c>
      <c r="AF765" s="32" t="s">
        <v>200</v>
      </c>
      <c r="AG765" s="32">
        <v>0</v>
      </c>
    </row>
    <row r="766" spans="1:33">
      <c r="A766" s="32" t="s">
        <v>2916</v>
      </c>
      <c r="B766" s="32" t="s">
        <v>67</v>
      </c>
      <c r="C766" s="32" t="s">
        <v>2917</v>
      </c>
      <c r="D766" s="32" t="s">
        <v>2918</v>
      </c>
      <c r="E766" s="32" t="s">
        <v>2919</v>
      </c>
      <c r="F766" s="32" t="s">
        <v>2920</v>
      </c>
      <c r="G766" s="32" t="s">
        <v>655</v>
      </c>
      <c r="H766" s="32" t="s">
        <v>656</v>
      </c>
      <c r="I766" s="32" t="s">
        <v>198</v>
      </c>
      <c r="J766" s="32" t="s">
        <v>199</v>
      </c>
      <c r="K766" s="32">
        <v>2.791099</v>
      </c>
      <c r="L766" s="33">
        <v>2222</v>
      </c>
      <c r="M766" s="32">
        <v>512</v>
      </c>
      <c r="N766" s="32">
        <v>433</v>
      </c>
      <c r="O766" s="32">
        <v>670</v>
      </c>
      <c r="P766" s="32">
        <v>462</v>
      </c>
      <c r="Q766" s="32">
        <v>145</v>
      </c>
      <c r="R766" s="32">
        <v>4</v>
      </c>
      <c r="S766" s="32">
        <v>29.824999999999999</v>
      </c>
      <c r="T766" s="32">
        <v>13.050599999999999</v>
      </c>
      <c r="U766" s="32">
        <v>1.0376924380000001</v>
      </c>
      <c r="V766" s="32">
        <v>2</v>
      </c>
      <c r="W766" s="32">
        <v>0.90994799999999998</v>
      </c>
      <c r="X766" s="32">
        <v>0.18571399999999999</v>
      </c>
      <c r="Y766" s="32">
        <v>0.7</v>
      </c>
      <c r="Z766" s="32">
        <v>1</v>
      </c>
      <c r="AA766" s="32">
        <v>66.5</v>
      </c>
      <c r="AB766" s="32">
        <v>310</v>
      </c>
      <c r="AC766" s="32">
        <v>17</v>
      </c>
      <c r="AD766" s="32">
        <v>12</v>
      </c>
      <c r="AE766" s="32">
        <v>0</v>
      </c>
      <c r="AF766" s="32" t="s">
        <v>200</v>
      </c>
      <c r="AG766" s="32" t="s">
        <v>200</v>
      </c>
    </row>
    <row r="767" spans="1:33">
      <c r="A767" s="32" t="s">
        <v>2921</v>
      </c>
      <c r="B767" s="32" t="s">
        <v>67</v>
      </c>
      <c r="C767" s="32" t="s">
        <v>2922</v>
      </c>
      <c r="D767" s="32" t="s">
        <v>2923</v>
      </c>
      <c r="E767" s="32" t="s">
        <v>2919</v>
      </c>
      <c r="F767" s="32" t="s">
        <v>2920</v>
      </c>
      <c r="G767" s="32" t="s">
        <v>655</v>
      </c>
      <c r="H767" s="32" t="s">
        <v>656</v>
      </c>
      <c r="I767" s="32" t="s">
        <v>198</v>
      </c>
      <c r="J767" s="32" t="s">
        <v>199</v>
      </c>
      <c r="K767" s="32">
        <v>2.7738809999999998</v>
      </c>
      <c r="L767" s="33">
        <v>2362</v>
      </c>
      <c r="M767" s="32">
        <v>656</v>
      </c>
      <c r="N767" s="32">
        <v>387</v>
      </c>
      <c r="O767" s="32">
        <v>636</v>
      </c>
      <c r="P767" s="32">
        <v>516</v>
      </c>
      <c r="Q767" s="32">
        <v>167</v>
      </c>
      <c r="R767" s="32">
        <v>4</v>
      </c>
      <c r="S767" s="32">
        <v>29.129200000000001</v>
      </c>
      <c r="T767" s="32">
        <v>11.6021</v>
      </c>
      <c r="U767" s="32">
        <v>1.160835214</v>
      </c>
      <c r="V767" s="32">
        <v>1</v>
      </c>
      <c r="W767" s="32">
        <v>0.91218900000000003</v>
      </c>
      <c r="X767" s="32">
        <v>0.155443</v>
      </c>
      <c r="Y767" s="32">
        <v>0.7</v>
      </c>
      <c r="Z767" s="32">
        <v>1</v>
      </c>
      <c r="AA767" s="32">
        <v>63.4</v>
      </c>
      <c r="AB767" s="32">
        <v>301</v>
      </c>
      <c r="AC767" s="32">
        <v>12</v>
      </c>
      <c r="AD767" s="32">
        <v>17</v>
      </c>
      <c r="AE767" s="32" t="s">
        <v>200</v>
      </c>
      <c r="AF767" s="32">
        <v>0</v>
      </c>
      <c r="AG767" s="32">
        <v>0</v>
      </c>
    </row>
    <row r="768" spans="1:33">
      <c r="A768" s="32" t="s">
        <v>2924</v>
      </c>
      <c r="B768" s="32" t="s">
        <v>67</v>
      </c>
      <c r="C768" s="32" t="s">
        <v>2925</v>
      </c>
      <c r="D768" s="32" t="s">
        <v>2926</v>
      </c>
      <c r="E768" s="32" t="s">
        <v>2927</v>
      </c>
      <c r="F768" s="32" t="s">
        <v>2928</v>
      </c>
      <c r="G768" s="32" t="s">
        <v>655</v>
      </c>
      <c r="H768" s="32" t="s">
        <v>656</v>
      </c>
      <c r="I768" s="32" t="s">
        <v>198</v>
      </c>
      <c r="J768" s="32" t="s">
        <v>199</v>
      </c>
      <c r="K768" s="32">
        <v>2.6423890000000001</v>
      </c>
      <c r="L768" s="33">
        <v>1870</v>
      </c>
      <c r="M768" s="32">
        <v>348</v>
      </c>
      <c r="N768" s="32">
        <v>348</v>
      </c>
      <c r="O768" s="32">
        <v>715</v>
      </c>
      <c r="P768" s="32">
        <v>324</v>
      </c>
      <c r="Q768" s="32">
        <v>135</v>
      </c>
      <c r="R768" s="32">
        <v>4</v>
      </c>
      <c r="S768" s="32">
        <v>22.081700000000001</v>
      </c>
      <c r="T768" s="32">
        <v>10.165900000000001</v>
      </c>
      <c r="U768" s="32">
        <v>0.89264451300000003</v>
      </c>
      <c r="V768" s="32">
        <v>3</v>
      </c>
      <c r="W768" s="32">
        <v>0.90725999999999996</v>
      </c>
      <c r="X768" s="32">
        <v>6.7749000000000004E-2</v>
      </c>
      <c r="Y768" s="32">
        <v>0.7</v>
      </c>
      <c r="Z768" s="32">
        <v>0.95678200000000002</v>
      </c>
      <c r="AA768" s="32">
        <v>42.8</v>
      </c>
      <c r="AB768" s="32">
        <v>298</v>
      </c>
      <c r="AC768" s="32">
        <v>22</v>
      </c>
      <c r="AD768" s="32">
        <v>34</v>
      </c>
      <c r="AE768" s="32">
        <v>5</v>
      </c>
      <c r="AF768" s="32" t="s">
        <v>200</v>
      </c>
      <c r="AG768" s="32" t="s">
        <v>200</v>
      </c>
    </row>
    <row r="769" spans="1:33">
      <c r="A769" s="32" t="s">
        <v>2929</v>
      </c>
      <c r="B769" s="32" t="s">
        <v>67</v>
      </c>
      <c r="C769" s="32" t="s">
        <v>2930</v>
      </c>
      <c r="D769" s="32" t="s">
        <v>2931</v>
      </c>
      <c r="E769" s="32" t="s">
        <v>2932</v>
      </c>
      <c r="F769" s="32" t="s">
        <v>2933</v>
      </c>
      <c r="G769" s="32" t="s">
        <v>655</v>
      </c>
      <c r="H769" s="32" t="s">
        <v>656</v>
      </c>
      <c r="I769" s="32" t="s">
        <v>198</v>
      </c>
      <c r="J769" s="32" t="s">
        <v>199</v>
      </c>
      <c r="K769" s="32">
        <v>2.7985540000000002</v>
      </c>
      <c r="L769" s="33">
        <v>1995</v>
      </c>
      <c r="M769" s="32">
        <v>325</v>
      </c>
      <c r="N769" s="32">
        <v>413</v>
      </c>
      <c r="O769" s="32">
        <v>688</v>
      </c>
      <c r="P769" s="32">
        <v>408</v>
      </c>
      <c r="Q769" s="32">
        <v>161</v>
      </c>
      <c r="R769" s="32" t="s">
        <v>302</v>
      </c>
      <c r="S769" s="32">
        <v>41.747700000000002</v>
      </c>
      <c r="T769" s="32">
        <v>22.361000000000001</v>
      </c>
      <c r="U769" s="32">
        <v>0.89643810300000004</v>
      </c>
      <c r="V769" s="32">
        <v>2</v>
      </c>
      <c r="W769" s="32">
        <v>0.91204799999999997</v>
      </c>
      <c r="X769" s="32">
        <v>0.18427499999999999</v>
      </c>
      <c r="Y769" s="32">
        <v>0.7</v>
      </c>
      <c r="Z769" s="32">
        <v>1</v>
      </c>
      <c r="AA769" s="32">
        <v>44.8</v>
      </c>
      <c r="AB769" s="32">
        <v>262</v>
      </c>
      <c r="AC769" s="32">
        <v>17</v>
      </c>
      <c r="AD769" s="32">
        <v>25</v>
      </c>
      <c r="AE769" s="32" t="s">
        <v>200</v>
      </c>
      <c r="AF769" s="32">
        <v>0</v>
      </c>
      <c r="AG769" s="32" t="s">
        <v>200</v>
      </c>
    </row>
    <row r="770" spans="1:33">
      <c r="A770" s="32" t="s">
        <v>2934</v>
      </c>
      <c r="B770" s="32" t="s">
        <v>67</v>
      </c>
      <c r="C770" s="32" t="s">
        <v>2935</v>
      </c>
      <c r="D770" s="32" t="s">
        <v>2936</v>
      </c>
      <c r="E770" s="32" t="s">
        <v>2919</v>
      </c>
      <c r="F770" s="32" t="s">
        <v>2920</v>
      </c>
      <c r="G770" s="32" t="s">
        <v>655</v>
      </c>
      <c r="H770" s="32" t="s">
        <v>656</v>
      </c>
      <c r="I770" s="32" t="s">
        <v>198</v>
      </c>
      <c r="J770" s="32" t="s">
        <v>199</v>
      </c>
      <c r="K770" s="32">
        <v>2.8070349999999999</v>
      </c>
      <c r="L770" s="33">
        <v>1619</v>
      </c>
      <c r="M770" s="32">
        <v>290</v>
      </c>
      <c r="N770" s="32">
        <v>304</v>
      </c>
      <c r="O770" s="32">
        <v>475</v>
      </c>
      <c r="P770" s="32">
        <v>332</v>
      </c>
      <c r="Q770" s="32">
        <v>218</v>
      </c>
      <c r="R770" s="32" t="s">
        <v>302</v>
      </c>
      <c r="S770" s="32">
        <v>33.815399999999997</v>
      </c>
      <c r="T770" s="32">
        <v>16.281500000000001</v>
      </c>
      <c r="U770" s="32">
        <v>0.87754829599999995</v>
      </c>
      <c r="V770" s="32">
        <v>2</v>
      </c>
      <c r="W770" s="32">
        <v>0.90854299999999999</v>
      </c>
      <c r="X770" s="32">
        <v>0.20200000000000001</v>
      </c>
      <c r="Y770" s="32">
        <v>0.7</v>
      </c>
      <c r="Z770" s="32">
        <v>1</v>
      </c>
      <c r="AA770" s="32">
        <v>43.3</v>
      </c>
      <c r="AB770" s="32">
        <v>267</v>
      </c>
      <c r="AC770" s="32">
        <v>27</v>
      </c>
      <c r="AD770" s="32">
        <v>9</v>
      </c>
      <c r="AE770" s="32">
        <v>0</v>
      </c>
      <c r="AF770" s="32">
        <v>0</v>
      </c>
      <c r="AG770" s="32" t="s">
        <v>200</v>
      </c>
    </row>
    <row r="771" spans="1:33">
      <c r="A771" s="32" t="s">
        <v>2937</v>
      </c>
      <c r="B771" s="32" t="s">
        <v>67</v>
      </c>
      <c r="C771" s="32" t="s">
        <v>2938</v>
      </c>
      <c r="D771" s="32" t="s">
        <v>2939</v>
      </c>
      <c r="E771" s="32" t="s">
        <v>2940</v>
      </c>
      <c r="F771" s="32" t="s">
        <v>2941</v>
      </c>
      <c r="G771" s="32" t="s">
        <v>655</v>
      </c>
      <c r="H771" s="32" t="s">
        <v>656</v>
      </c>
      <c r="I771" s="32" t="s">
        <v>198</v>
      </c>
      <c r="J771" s="32" t="s">
        <v>199</v>
      </c>
      <c r="K771" s="32">
        <v>2.7618299999999998</v>
      </c>
      <c r="L771" s="33">
        <v>1764</v>
      </c>
      <c r="M771" s="32">
        <v>365</v>
      </c>
      <c r="N771" s="32">
        <v>310</v>
      </c>
      <c r="O771" s="32">
        <v>594</v>
      </c>
      <c r="P771" s="32">
        <v>359</v>
      </c>
      <c r="Q771" s="32">
        <v>136</v>
      </c>
      <c r="R771" s="32">
        <v>5</v>
      </c>
      <c r="S771" s="32">
        <v>29.244</v>
      </c>
      <c r="T771" s="32">
        <v>10.801399999999999</v>
      </c>
      <c r="U771" s="32">
        <v>0.857599212</v>
      </c>
      <c r="V771" s="32">
        <v>2</v>
      </c>
      <c r="W771" s="32">
        <v>0.90410100000000004</v>
      </c>
      <c r="X771" s="32">
        <v>0.14624999999999999</v>
      </c>
      <c r="Y771" s="32">
        <v>0.7</v>
      </c>
      <c r="Z771" s="32">
        <v>1</v>
      </c>
      <c r="AA771" s="32">
        <v>48.2</v>
      </c>
      <c r="AB771" s="32">
        <v>301</v>
      </c>
      <c r="AC771" s="32">
        <v>26</v>
      </c>
      <c r="AD771" s="32">
        <v>16</v>
      </c>
      <c r="AE771" s="32">
        <v>5</v>
      </c>
      <c r="AF771" s="32">
        <v>0</v>
      </c>
      <c r="AG771" s="32" t="s">
        <v>200</v>
      </c>
    </row>
    <row r="772" spans="1:33">
      <c r="A772" s="32" t="s">
        <v>2942</v>
      </c>
      <c r="B772" s="32" t="s">
        <v>67</v>
      </c>
      <c r="C772" s="32" t="s">
        <v>2943</v>
      </c>
      <c r="D772" s="32" t="s">
        <v>2944</v>
      </c>
      <c r="E772" s="32" t="s">
        <v>2940</v>
      </c>
      <c r="F772" s="32" t="s">
        <v>2941</v>
      </c>
      <c r="G772" s="32" t="s">
        <v>655</v>
      </c>
      <c r="H772" s="32" t="s">
        <v>656</v>
      </c>
      <c r="I772" s="32" t="s">
        <v>198</v>
      </c>
      <c r="J772" s="32" t="s">
        <v>199</v>
      </c>
      <c r="K772" s="32">
        <v>2.8106770000000001</v>
      </c>
      <c r="L772" s="33">
        <v>1924</v>
      </c>
      <c r="M772" s="32">
        <v>392</v>
      </c>
      <c r="N772" s="32">
        <v>337</v>
      </c>
      <c r="O772" s="32">
        <v>594</v>
      </c>
      <c r="P772" s="32">
        <v>429</v>
      </c>
      <c r="Q772" s="32">
        <v>172</v>
      </c>
      <c r="R772" s="32">
        <v>5</v>
      </c>
      <c r="S772" s="32">
        <v>32.136600000000001</v>
      </c>
      <c r="T772" s="32">
        <v>20.810400000000001</v>
      </c>
      <c r="U772" s="32">
        <v>0.89109118300000001</v>
      </c>
      <c r="V772" s="32">
        <v>2</v>
      </c>
      <c r="W772" s="32">
        <v>0.90859400000000001</v>
      </c>
      <c r="X772" s="32">
        <v>0.1875</v>
      </c>
      <c r="Y772" s="32">
        <v>0.7</v>
      </c>
      <c r="Z772" s="32">
        <v>1</v>
      </c>
      <c r="AA772" s="32">
        <v>59.6</v>
      </c>
      <c r="AB772" s="32">
        <v>282</v>
      </c>
      <c r="AC772" s="32">
        <v>18</v>
      </c>
      <c r="AD772" s="32">
        <v>17</v>
      </c>
      <c r="AE772" s="32" t="s">
        <v>200</v>
      </c>
      <c r="AF772" s="32" t="s">
        <v>200</v>
      </c>
      <c r="AG772" s="32">
        <v>8</v>
      </c>
    </row>
    <row r="773" spans="1:33">
      <c r="A773" s="32" t="s">
        <v>2945</v>
      </c>
      <c r="B773" s="32" t="s">
        <v>67</v>
      </c>
      <c r="C773" s="32" t="s">
        <v>2946</v>
      </c>
      <c r="D773" s="32" t="s">
        <v>2947</v>
      </c>
      <c r="E773" s="32" t="s">
        <v>2927</v>
      </c>
      <c r="F773" s="32" t="s">
        <v>2928</v>
      </c>
      <c r="G773" s="32" t="s">
        <v>655</v>
      </c>
      <c r="H773" s="32" t="s">
        <v>656</v>
      </c>
      <c r="I773" s="32" t="s">
        <v>198</v>
      </c>
      <c r="J773" s="32" t="s">
        <v>199</v>
      </c>
      <c r="K773" s="32">
        <v>2.4956990000000001</v>
      </c>
      <c r="L773" s="33">
        <v>1573</v>
      </c>
      <c r="M773" s="32">
        <v>291</v>
      </c>
      <c r="N773" s="32">
        <v>284</v>
      </c>
      <c r="O773" s="32">
        <v>499</v>
      </c>
      <c r="P773" s="32">
        <v>331</v>
      </c>
      <c r="Q773" s="32">
        <v>168</v>
      </c>
      <c r="R773" s="32">
        <v>3</v>
      </c>
      <c r="S773" s="32">
        <v>15.944100000000001</v>
      </c>
      <c r="T773" s="32">
        <v>10.698600000000001</v>
      </c>
      <c r="U773" s="32">
        <v>0.98742954599999999</v>
      </c>
      <c r="V773" s="32">
        <v>3</v>
      </c>
      <c r="W773" s="32">
        <v>0.90286699999999998</v>
      </c>
      <c r="X773" s="32">
        <v>6.3081999999999999E-2</v>
      </c>
      <c r="Y773" s="32">
        <v>0.7</v>
      </c>
      <c r="Z773" s="32">
        <v>0.82580600000000004</v>
      </c>
      <c r="AA773" s="32">
        <v>48.6</v>
      </c>
      <c r="AB773" s="32">
        <v>303</v>
      </c>
      <c r="AC773" s="32">
        <v>26</v>
      </c>
      <c r="AD773" s="32">
        <v>12</v>
      </c>
      <c r="AE773" s="32">
        <v>0</v>
      </c>
      <c r="AF773" s="32" t="s">
        <v>200</v>
      </c>
      <c r="AG773" s="32" t="s">
        <v>200</v>
      </c>
    </row>
    <row r="774" spans="1:33">
      <c r="A774" s="32" t="s">
        <v>2948</v>
      </c>
      <c r="B774" s="32" t="s">
        <v>67</v>
      </c>
      <c r="C774" s="32" t="s">
        <v>2949</v>
      </c>
      <c r="D774" s="32" t="s">
        <v>2950</v>
      </c>
      <c r="E774" s="32" t="s">
        <v>2951</v>
      </c>
      <c r="F774" s="32" t="s">
        <v>2952</v>
      </c>
      <c r="G774" s="32" t="s">
        <v>655</v>
      </c>
      <c r="H774" s="32" t="s">
        <v>656</v>
      </c>
      <c r="I774" s="32" t="s">
        <v>198</v>
      </c>
      <c r="J774" s="32" t="s">
        <v>199</v>
      </c>
      <c r="K774" s="32">
        <v>2.7880240000000001</v>
      </c>
      <c r="L774" s="33">
        <v>2027</v>
      </c>
      <c r="M774" s="32">
        <v>401</v>
      </c>
      <c r="N774" s="32">
        <v>323</v>
      </c>
      <c r="O774" s="32">
        <v>663</v>
      </c>
      <c r="P774" s="32">
        <v>452</v>
      </c>
      <c r="Q774" s="32">
        <v>188</v>
      </c>
      <c r="R774" s="32">
        <v>5</v>
      </c>
      <c r="S774" s="32">
        <v>25.841799999999999</v>
      </c>
      <c r="T774" s="32">
        <v>15.7836</v>
      </c>
      <c r="U774" s="32">
        <v>0.84400103900000001</v>
      </c>
      <c r="V774" s="32">
        <v>3</v>
      </c>
      <c r="W774" s="32">
        <v>0.91077799999999998</v>
      </c>
      <c r="X774" s="32">
        <v>0.26586300000000002</v>
      </c>
      <c r="Y774" s="32">
        <v>0.7</v>
      </c>
      <c r="Z774" s="32">
        <v>0.91783599999999999</v>
      </c>
      <c r="AA774" s="32">
        <v>54.5</v>
      </c>
      <c r="AB774" s="32">
        <v>366</v>
      </c>
      <c r="AC774" s="32">
        <v>32</v>
      </c>
      <c r="AD774" s="32">
        <v>21</v>
      </c>
      <c r="AE774" s="32" t="s">
        <v>200</v>
      </c>
      <c r="AF774" s="32" t="s">
        <v>200</v>
      </c>
      <c r="AG774" s="32">
        <v>0</v>
      </c>
    </row>
    <row r="775" spans="1:33">
      <c r="A775" s="32" t="s">
        <v>2953</v>
      </c>
      <c r="B775" s="32" t="s">
        <v>67</v>
      </c>
      <c r="C775" s="32" t="s">
        <v>2954</v>
      </c>
      <c r="D775" s="32" t="s">
        <v>2955</v>
      </c>
      <c r="E775" s="32" t="s">
        <v>2951</v>
      </c>
      <c r="F775" s="32" t="s">
        <v>2952</v>
      </c>
      <c r="G775" s="32" t="s">
        <v>655</v>
      </c>
      <c r="H775" s="32" t="s">
        <v>656</v>
      </c>
      <c r="I775" s="32" t="s">
        <v>198</v>
      </c>
      <c r="J775" s="32" t="s">
        <v>199</v>
      </c>
      <c r="K775" s="32">
        <v>2.6569150000000001</v>
      </c>
      <c r="L775" s="33">
        <v>2067</v>
      </c>
      <c r="M775" s="32">
        <v>309</v>
      </c>
      <c r="N775" s="32">
        <v>383</v>
      </c>
      <c r="O775" s="32">
        <v>664</v>
      </c>
      <c r="P775" s="32">
        <v>412</v>
      </c>
      <c r="Q775" s="32">
        <v>299</v>
      </c>
      <c r="R775" s="32">
        <v>5</v>
      </c>
      <c r="S775" s="32">
        <v>27.838000000000001</v>
      </c>
      <c r="T775" s="32">
        <v>16.217300000000002</v>
      </c>
      <c r="U775" s="32">
        <v>0.846933987</v>
      </c>
      <c r="V775" s="32">
        <v>4</v>
      </c>
      <c r="W775" s="32">
        <v>0.90611699999999995</v>
      </c>
      <c r="X775" s="32">
        <v>8.3157999999999996E-2</v>
      </c>
      <c r="Y775" s="32">
        <v>0.7</v>
      </c>
      <c r="Z775" s="32">
        <v>0.978016</v>
      </c>
      <c r="AA775" s="32">
        <v>46.1</v>
      </c>
      <c r="AB775" s="32">
        <v>378</v>
      </c>
      <c r="AC775" s="32">
        <v>21</v>
      </c>
      <c r="AD775" s="32">
        <v>29</v>
      </c>
      <c r="AE775" s="32">
        <v>0</v>
      </c>
      <c r="AF775" s="32" t="s">
        <v>200</v>
      </c>
      <c r="AG775" s="32" t="s">
        <v>200</v>
      </c>
    </row>
    <row r="776" spans="1:33">
      <c r="A776" s="32" t="s">
        <v>2956</v>
      </c>
      <c r="B776" s="32" t="s">
        <v>67</v>
      </c>
      <c r="C776" s="32" t="s">
        <v>2957</v>
      </c>
      <c r="D776" s="32" t="s">
        <v>2958</v>
      </c>
      <c r="E776" s="32" t="s">
        <v>2951</v>
      </c>
      <c r="F776" s="32" t="s">
        <v>2952</v>
      </c>
      <c r="G776" s="32" t="s">
        <v>655</v>
      </c>
      <c r="H776" s="32" t="s">
        <v>656</v>
      </c>
      <c r="I776" s="32" t="s">
        <v>198</v>
      </c>
      <c r="J776" s="32" t="s">
        <v>199</v>
      </c>
      <c r="K776" s="32">
        <v>2.6807569999999998</v>
      </c>
      <c r="L776" s="33">
        <v>1455</v>
      </c>
      <c r="M776" s="32">
        <v>259</v>
      </c>
      <c r="N776" s="32">
        <v>259</v>
      </c>
      <c r="O776" s="32">
        <v>537</v>
      </c>
      <c r="P776" s="32">
        <v>292</v>
      </c>
      <c r="Q776" s="32">
        <v>108</v>
      </c>
      <c r="R776" s="32">
        <v>4</v>
      </c>
      <c r="S776" s="32">
        <v>31.331700000000001</v>
      </c>
      <c r="T776" s="32">
        <v>11.851100000000001</v>
      </c>
      <c r="U776" s="32">
        <v>0.88338637399999997</v>
      </c>
      <c r="V776" s="32">
        <v>3</v>
      </c>
      <c r="W776" s="32">
        <v>0.90820199999999995</v>
      </c>
      <c r="X776" s="32">
        <v>8.4735000000000005E-2</v>
      </c>
      <c r="Y776" s="32">
        <v>0.7</v>
      </c>
      <c r="Z776" s="32">
        <v>0.98781200000000002</v>
      </c>
      <c r="AA776" s="32">
        <v>42.8</v>
      </c>
      <c r="AB776" s="32">
        <v>279</v>
      </c>
      <c r="AC776" s="32">
        <v>13</v>
      </c>
      <c r="AD776" s="32">
        <v>20</v>
      </c>
      <c r="AE776" s="32">
        <v>0</v>
      </c>
      <c r="AF776" s="32">
        <v>0</v>
      </c>
      <c r="AG776" s="32" t="s">
        <v>200</v>
      </c>
    </row>
    <row r="777" spans="1:33">
      <c r="A777" s="32" t="s">
        <v>2959</v>
      </c>
      <c r="B777" s="32" t="s">
        <v>67</v>
      </c>
      <c r="C777" s="32" t="s">
        <v>2960</v>
      </c>
      <c r="D777" s="32" t="s">
        <v>2961</v>
      </c>
      <c r="E777" s="32" t="s">
        <v>2962</v>
      </c>
      <c r="F777" s="32" t="s">
        <v>2963</v>
      </c>
      <c r="G777" s="32" t="s">
        <v>655</v>
      </c>
      <c r="H777" s="32" t="s">
        <v>656</v>
      </c>
      <c r="I777" s="32" t="s">
        <v>198</v>
      </c>
      <c r="J777" s="32" t="s">
        <v>199</v>
      </c>
      <c r="K777" s="32">
        <v>2.735849</v>
      </c>
      <c r="L777" s="33">
        <v>1838</v>
      </c>
      <c r="M777" s="32">
        <v>462</v>
      </c>
      <c r="N777" s="32">
        <v>326</v>
      </c>
      <c r="O777" s="32">
        <v>483</v>
      </c>
      <c r="P777" s="32">
        <v>388</v>
      </c>
      <c r="Q777" s="32">
        <v>179</v>
      </c>
      <c r="R777" s="32">
        <v>4</v>
      </c>
      <c r="S777" s="32">
        <v>29.959299999999999</v>
      </c>
      <c r="T777" s="32">
        <v>4.8856200000000003</v>
      </c>
      <c r="U777" s="32">
        <v>1.0528593749999999</v>
      </c>
      <c r="V777" s="32">
        <v>1</v>
      </c>
      <c r="W777" s="32">
        <v>0.90754699999999999</v>
      </c>
      <c r="X777" s="32">
        <v>0.20123099999999999</v>
      </c>
      <c r="Y777" s="32">
        <v>0.7</v>
      </c>
      <c r="Z777" s="32">
        <v>0.94246200000000002</v>
      </c>
      <c r="AA777" s="32">
        <v>65.900000000000006</v>
      </c>
      <c r="AB777" s="32">
        <v>307</v>
      </c>
      <c r="AC777" s="32">
        <v>17</v>
      </c>
      <c r="AD777" s="32">
        <v>29</v>
      </c>
      <c r="AE777" s="32">
        <v>0</v>
      </c>
      <c r="AF777" s="32">
        <v>0</v>
      </c>
      <c r="AG777" s="32" t="s">
        <v>200</v>
      </c>
    </row>
    <row r="778" spans="1:33">
      <c r="A778" s="32" t="s">
        <v>2410</v>
      </c>
      <c r="B778" s="32" t="s">
        <v>67</v>
      </c>
      <c r="C778" s="32" t="s">
        <v>2411</v>
      </c>
      <c r="D778" s="32" t="s">
        <v>2412</v>
      </c>
      <c r="E778" s="32" t="s">
        <v>1833</v>
      </c>
      <c r="F778" s="32" t="s">
        <v>1834</v>
      </c>
      <c r="G778" s="32" t="s">
        <v>655</v>
      </c>
      <c r="H778" s="32" t="s">
        <v>656</v>
      </c>
      <c r="I778" s="32" t="s">
        <v>198</v>
      </c>
      <c r="J778" s="32" t="s">
        <v>199</v>
      </c>
      <c r="K778" s="32">
        <v>2.9440719999999998</v>
      </c>
      <c r="L778" s="33">
        <v>2172</v>
      </c>
      <c r="M778" s="32">
        <v>892</v>
      </c>
      <c r="N778" s="32">
        <v>433</v>
      </c>
      <c r="O778" s="32">
        <v>443</v>
      </c>
      <c r="P778" s="32">
        <v>269</v>
      </c>
      <c r="Q778" s="32">
        <v>135</v>
      </c>
      <c r="R778" s="32">
        <v>5</v>
      </c>
      <c r="S778" s="32">
        <v>25.956</v>
      </c>
      <c r="T778" s="32">
        <v>19.8005</v>
      </c>
      <c r="U778" s="32">
        <v>0.68720594999999995</v>
      </c>
      <c r="V778" s="32">
        <v>3</v>
      </c>
      <c r="W778" s="32">
        <v>0.91340200000000005</v>
      </c>
      <c r="X778" s="32">
        <v>0.26412200000000002</v>
      </c>
      <c r="Y778" s="32">
        <v>0.8</v>
      </c>
      <c r="Z778" s="32">
        <v>0.97289000000000003</v>
      </c>
      <c r="AA778" s="32">
        <v>20.5</v>
      </c>
      <c r="AB778" s="32">
        <v>267</v>
      </c>
      <c r="AC778" s="32">
        <v>12</v>
      </c>
      <c r="AD778" s="32">
        <v>21</v>
      </c>
      <c r="AE778" s="32">
        <v>0</v>
      </c>
      <c r="AF778" s="32">
        <v>5</v>
      </c>
      <c r="AG778" s="32">
        <v>0</v>
      </c>
    </row>
    <row r="779" spans="1:33">
      <c r="A779" s="32" t="s">
        <v>1830</v>
      </c>
      <c r="B779" s="32" t="s">
        <v>67</v>
      </c>
      <c r="C779" s="32" t="s">
        <v>1831</v>
      </c>
      <c r="D779" s="32" t="s">
        <v>1832</v>
      </c>
      <c r="E779" s="32" t="s">
        <v>1833</v>
      </c>
      <c r="F779" s="32" t="s">
        <v>1834</v>
      </c>
      <c r="G779" s="32" t="s">
        <v>655</v>
      </c>
      <c r="H779" s="32" t="s">
        <v>656</v>
      </c>
      <c r="I779" s="32" t="s">
        <v>198</v>
      </c>
      <c r="J779" s="32" t="s">
        <v>199</v>
      </c>
      <c r="K779" s="32">
        <v>2.7576809999999998</v>
      </c>
      <c r="L779" s="33">
        <v>1631</v>
      </c>
      <c r="M779" s="32">
        <v>554</v>
      </c>
      <c r="N779" s="32">
        <v>300</v>
      </c>
      <c r="O779" s="32">
        <v>393</v>
      </c>
      <c r="P779" s="32">
        <v>284</v>
      </c>
      <c r="Q779" s="32">
        <v>100</v>
      </c>
      <c r="R779" s="32">
        <v>5</v>
      </c>
      <c r="S779" s="32">
        <v>29.105599999999999</v>
      </c>
      <c r="T779" s="32">
        <v>14.0473</v>
      </c>
      <c r="U779" s="32">
        <v>0.73267090099999999</v>
      </c>
      <c r="V779" s="32">
        <v>3</v>
      </c>
      <c r="W779" s="32">
        <v>0.90840600000000005</v>
      </c>
      <c r="X779" s="32">
        <v>0.17674400000000001</v>
      </c>
      <c r="Y779" s="32">
        <v>0.8</v>
      </c>
      <c r="Z779" s="32">
        <v>0.86502900000000005</v>
      </c>
      <c r="AA779" s="32">
        <v>35.700000000000003</v>
      </c>
      <c r="AB779" s="32">
        <v>292</v>
      </c>
      <c r="AC779" s="32">
        <v>25</v>
      </c>
      <c r="AD779" s="32">
        <v>27</v>
      </c>
      <c r="AE779" s="32">
        <v>0</v>
      </c>
      <c r="AF779" s="32">
        <v>7</v>
      </c>
      <c r="AG779" s="32" t="s">
        <v>200</v>
      </c>
    </row>
    <row r="780" spans="1:33">
      <c r="A780" s="32" t="s">
        <v>2964</v>
      </c>
      <c r="B780" s="32" t="s">
        <v>67</v>
      </c>
      <c r="C780" s="32" t="s">
        <v>2965</v>
      </c>
      <c r="D780" s="32" t="s">
        <v>2966</v>
      </c>
      <c r="E780" s="32" t="s">
        <v>2908</v>
      </c>
      <c r="F780" s="32" t="s">
        <v>2909</v>
      </c>
      <c r="G780" s="32" t="s">
        <v>655</v>
      </c>
      <c r="H780" s="32" t="s">
        <v>656</v>
      </c>
      <c r="I780" s="32" t="s">
        <v>198</v>
      </c>
      <c r="J780" s="32" t="s">
        <v>199</v>
      </c>
      <c r="K780" s="32">
        <v>2.5264229999999999</v>
      </c>
      <c r="L780" s="33">
        <v>1782</v>
      </c>
      <c r="M780" s="32">
        <v>524</v>
      </c>
      <c r="N780" s="32">
        <v>314</v>
      </c>
      <c r="O780" s="32">
        <v>404</v>
      </c>
      <c r="P780" s="32">
        <v>386</v>
      </c>
      <c r="Q780" s="32">
        <v>154</v>
      </c>
      <c r="R780" s="32">
        <v>3</v>
      </c>
      <c r="S780" s="32">
        <v>12.8123</v>
      </c>
      <c r="T780" s="32">
        <v>9.9514300000000002</v>
      </c>
      <c r="U780" s="32">
        <v>1.1933921359999999</v>
      </c>
      <c r="V780" s="32">
        <v>1</v>
      </c>
      <c r="W780" s="32">
        <v>0.90691100000000002</v>
      </c>
      <c r="X780" s="32">
        <v>0.13089400000000001</v>
      </c>
      <c r="Y780" s="32">
        <v>0.7</v>
      </c>
      <c r="Z780" s="32">
        <v>0.79917400000000005</v>
      </c>
      <c r="AA780" s="32">
        <v>58</v>
      </c>
      <c r="AB780" s="32">
        <v>274</v>
      </c>
      <c r="AC780" s="32">
        <v>10</v>
      </c>
      <c r="AD780" s="32">
        <v>17</v>
      </c>
      <c r="AE780" s="32">
        <v>0</v>
      </c>
      <c r="AF780" s="32">
        <v>0</v>
      </c>
      <c r="AG780" s="32">
        <v>0</v>
      </c>
    </row>
    <row r="781" spans="1:33">
      <c r="A781" s="32" t="s">
        <v>2967</v>
      </c>
      <c r="B781" s="32" t="s">
        <v>67</v>
      </c>
      <c r="C781" s="32" t="s">
        <v>2968</v>
      </c>
      <c r="D781" s="32" t="s">
        <v>2969</v>
      </c>
      <c r="E781" s="32" t="s">
        <v>2347</v>
      </c>
      <c r="F781" s="32" t="s">
        <v>2348</v>
      </c>
      <c r="G781" s="32" t="s">
        <v>655</v>
      </c>
      <c r="H781" s="32" t="s">
        <v>656</v>
      </c>
      <c r="I781" s="32" t="s">
        <v>198</v>
      </c>
      <c r="J781" s="32" t="s">
        <v>199</v>
      </c>
      <c r="K781" s="32">
        <v>2.49227</v>
      </c>
      <c r="L781" s="33">
        <v>1998</v>
      </c>
      <c r="M781" s="32">
        <v>792</v>
      </c>
      <c r="N781" s="32">
        <v>284</v>
      </c>
      <c r="O781" s="32">
        <v>425</v>
      </c>
      <c r="P781" s="32">
        <v>308</v>
      </c>
      <c r="Q781" s="32">
        <v>189</v>
      </c>
      <c r="R781" s="32">
        <v>2</v>
      </c>
      <c r="S781" s="32">
        <v>12.5128</v>
      </c>
      <c r="T781" s="32">
        <v>0</v>
      </c>
      <c r="U781" s="32">
        <v>1.026423986</v>
      </c>
      <c r="V781" s="32">
        <v>2</v>
      </c>
      <c r="W781" s="32">
        <v>0.90434800000000004</v>
      </c>
      <c r="X781" s="32">
        <v>0.19197400000000001</v>
      </c>
      <c r="Y781" s="32">
        <v>0.70618099999999995</v>
      </c>
      <c r="Z781" s="32">
        <v>0.68642199999999998</v>
      </c>
      <c r="AA781" s="32">
        <v>43.1</v>
      </c>
      <c r="AB781" s="32">
        <v>264</v>
      </c>
      <c r="AC781" s="32">
        <v>10</v>
      </c>
      <c r="AD781" s="32">
        <v>12</v>
      </c>
      <c r="AE781" s="32">
        <v>0</v>
      </c>
      <c r="AF781" s="32" t="s">
        <v>200</v>
      </c>
      <c r="AG781" s="32" t="s">
        <v>200</v>
      </c>
    </row>
    <row r="782" spans="1:33">
      <c r="A782" s="32" t="s">
        <v>2970</v>
      </c>
      <c r="B782" s="32" t="s">
        <v>67</v>
      </c>
      <c r="C782" s="32" t="s">
        <v>2971</v>
      </c>
      <c r="D782" s="32" t="s">
        <v>2972</v>
      </c>
      <c r="E782" s="32" t="s">
        <v>2347</v>
      </c>
      <c r="F782" s="32" t="s">
        <v>2348</v>
      </c>
      <c r="G782" s="32" t="s">
        <v>655</v>
      </c>
      <c r="H782" s="32" t="s">
        <v>656</v>
      </c>
      <c r="I782" s="32" t="s">
        <v>198</v>
      </c>
      <c r="J782" s="32" t="s">
        <v>199</v>
      </c>
      <c r="K782" s="32">
        <v>2.7631429999999999</v>
      </c>
      <c r="L782" s="33">
        <v>1833</v>
      </c>
      <c r="M782" s="32">
        <v>751</v>
      </c>
      <c r="N782" s="32">
        <v>343</v>
      </c>
      <c r="O782" s="32">
        <v>350</v>
      </c>
      <c r="P782" s="32">
        <v>290</v>
      </c>
      <c r="Q782" s="32">
        <v>99</v>
      </c>
      <c r="R782" s="32">
        <v>4</v>
      </c>
      <c r="S782" s="32">
        <v>20.992000000000001</v>
      </c>
      <c r="T782" s="32">
        <v>6.9839500000000001</v>
      </c>
      <c r="U782" s="32">
        <v>0.85241766299999999</v>
      </c>
      <c r="V782" s="32">
        <v>2</v>
      </c>
      <c r="W782" s="32">
        <v>0.90342900000000004</v>
      </c>
      <c r="X782" s="32">
        <v>0.169679</v>
      </c>
      <c r="Y782" s="32">
        <v>0.77758099999999997</v>
      </c>
      <c r="Z782" s="32">
        <v>0.90967699999999996</v>
      </c>
      <c r="AA782" s="32">
        <v>38.700000000000003</v>
      </c>
      <c r="AB782" s="32">
        <v>247</v>
      </c>
      <c r="AC782" s="32">
        <v>7</v>
      </c>
      <c r="AD782" s="32">
        <v>23</v>
      </c>
      <c r="AE782" s="32" t="s">
        <v>200</v>
      </c>
      <c r="AF782" s="32" t="s">
        <v>200</v>
      </c>
      <c r="AG782" s="32" t="s">
        <v>200</v>
      </c>
    </row>
    <row r="783" spans="1:33">
      <c r="A783" s="32" t="s">
        <v>2973</v>
      </c>
      <c r="B783" s="32" t="s">
        <v>67</v>
      </c>
      <c r="C783" s="32" t="s">
        <v>2974</v>
      </c>
      <c r="D783" s="32" t="s">
        <v>2975</v>
      </c>
      <c r="E783" s="32" t="s">
        <v>2908</v>
      </c>
      <c r="F783" s="32" t="s">
        <v>2909</v>
      </c>
      <c r="G783" s="32" t="s">
        <v>655</v>
      </c>
      <c r="H783" s="32" t="s">
        <v>656</v>
      </c>
      <c r="I783" s="32" t="s">
        <v>198</v>
      </c>
      <c r="J783" s="32" t="s">
        <v>199</v>
      </c>
      <c r="K783" s="32">
        <v>2.2810480000000002</v>
      </c>
      <c r="L783" s="33">
        <v>2275</v>
      </c>
      <c r="M783" s="32">
        <v>762</v>
      </c>
      <c r="N783" s="32">
        <v>373</v>
      </c>
      <c r="O783" s="32">
        <v>528</v>
      </c>
      <c r="P783" s="32">
        <v>430</v>
      </c>
      <c r="Q783" s="32">
        <v>182</v>
      </c>
      <c r="R783" s="32">
        <v>2</v>
      </c>
      <c r="S783" s="32">
        <v>15.2531</v>
      </c>
      <c r="T783" s="32">
        <v>0</v>
      </c>
      <c r="U783" s="32">
        <v>1.2211180159999999</v>
      </c>
      <c r="V783" s="32">
        <v>2</v>
      </c>
      <c r="W783" s="32">
        <v>0.90221799999999996</v>
      </c>
      <c r="X783" s="32">
        <v>5.6112000000000002E-2</v>
      </c>
      <c r="Y783" s="32">
        <v>0.7</v>
      </c>
      <c r="Z783" s="32">
        <v>0.62104199999999998</v>
      </c>
      <c r="AA783" s="32">
        <v>48</v>
      </c>
      <c r="AB783" s="32">
        <v>308</v>
      </c>
      <c r="AC783" s="32">
        <v>13</v>
      </c>
      <c r="AD783" s="32">
        <v>12</v>
      </c>
      <c r="AE783" s="32">
        <v>0</v>
      </c>
      <c r="AF783" s="32" t="s">
        <v>200</v>
      </c>
      <c r="AG783" s="32" t="s">
        <v>200</v>
      </c>
    </row>
    <row r="784" spans="1:33">
      <c r="A784" s="32" t="s">
        <v>2976</v>
      </c>
      <c r="B784" s="32" t="s">
        <v>67</v>
      </c>
      <c r="C784" s="32" t="s">
        <v>2977</v>
      </c>
      <c r="D784" s="32" t="s">
        <v>2978</v>
      </c>
      <c r="E784" s="32" t="s">
        <v>1380</v>
      </c>
      <c r="F784" s="32" t="s">
        <v>1381</v>
      </c>
      <c r="G784" s="32" t="s">
        <v>655</v>
      </c>
      <c r="H784" s="32" t="s">
        <v>656</v>
      </c>
      <c r="I784" s="32" t="s">
        <v>198</v>
      </c>
      <c r="J784" s="32" t="s">
        <v>199</v>
      </c>
      <c r="K784" s="32">
        <v>2.7445089999999999</v>
      </c>
      <c r="L784" s="33">
        <v>1493</v>
      </c>
      <c r="M784" s="32">
        <v>310</v>
      </c>
      <c r="N784" s="32">
        <v>308</v>
      </c>
      <c r="O784" s="32">
        <v>450</v>
      </c>
      <c r="P784" s="32">
        <v>327</v>
      </c>
      <c r="Q784" s="32">
        <v>98</v>
      </c>
      <c r="R784" s="32">
        <v>3</v>
      </c>
      <c r="S784" s="32">
        <v>17.433800000000002</v>
      </c>
      <c r="T784" s="32">
        <v>9.6801999999999992</v>
      </c>
      <c r="U784" s="32">
        <v>1.3285313489999999</v>
      </c>
      <c r="V784" s="32">
        <v>1</v>
      </c>
      <c r="W784" s="32">
        <v>0.91531799999999996</v>
      </c>
      <c r="X784" s="32">
        <v>0.27411799999999997</v>
      </c>
      <c r="Y784" s="32">
        <v>0.7</v>
      </c>
      <c r="Z784" s="32">
        <v>0.83479499999999995</v>
      </c>
      <c r="AA784" s="32">
        <v>51.4</v>
      </c>
      <c r="AB784" s="32">
        <v>211</v>
      </c>
      <c r="AC784" s="32">
        <v>20</v>
      </c>
      <c r="AD784" s="32">
        <v>13</v>
      </c>
      <c r="AE784" s="32">
        <v>0</v>
      </c>
      <c r="AF784" s="32">
        <v>0</v>
      </c>
      <c r="AG784" s="32" t="s">
        <v>200</v>
      </c>
    </row>
    <row r="785" spans="1:33">
      <c r="A785" s="32" t="s">
        <v>2979</v>
      </c>
      <c r="B785" s="32" t="s">
        <v>67</v>
      </c>
      <c r="C785" s="32" t="s">
        <v>2980</v>
      </c>
      <c r="D785" s="32" t="s">
        <v>2981</v>
      </c>
      <c r="E785" s="32" t="s">
        <v>1380</v>
      </c>
      <c r="F785" s="32" t="s">
        <v>1381</v>
      </c>
      <c r="G785" s="32" t="s">
        <v>655</v>
      </c>
      <c r="H785" s="32" t="s">
        <v>656</v>
      </c>
      <c r="I785" s="32" t="s">
        <v>198</v>
      </c>
      <c r="J785" s="32" t="s">
        <v>199</v>
      </c>
      <c r="K785" s="32">
        <v>2.8798729999999999</v>
      </c>
      <c r="L785" s="33">
        <v>1836</v>
      </c>
      <c r="M785" s="32">
        <v>412</v>
      </c>
      <c r="N785" s="32">
        <v>343</v>
      </c>
      <c r="O785" s="32">
        <v>510</v>
      </c>
      <c r="P785" s="32">
        <v>379</v>
      </c>
      <c r="Q785" s="32">
        <v>192</v>
      </c>
      <c r="R785" s="32">
        <v>3</v>
      </c>
      <c r="S785" s="32">
        <v>19.729700000000001</v>
      </c>
      <c r="T785" s="32">
        <v>10.0565</v>
      </c>
      <c r="U785" s="32">
        <v>0.93691725800000003</v>
      </c>
      <c r="V785" s="32">
        <v>2</v>
      </c>
      <c r="W785" s="32">
        <v>0.92203400000000002</v>
      </c>
      <c r="X785" s="32">
        <v>0.34117599999999998</v>
      </c>
      <c r="Y785" s="32">
        <v>0.7</v>
      </c>
      <c r="Z785" s="32">
        <v>0.91627899999999995</v>
      </c>
      <c r="AA785" s="32">
        <v>45</v>
      </c>
      <c r="AB785" s="32">
        <v>308</v>
      </c>
      <c r="AC785" s="32">
        <v>15</v>
      </c>
      <c r="AD785" s="32">
        <v>16</v>
      </c>
      <c r="AE785" s="32">
        <v>0</v>
      </c>
      <c r="AF785" s="32" t="s">
        <v>200</v>
      </c>
      <c r="AG785" s="32" t="s">
        <v>200</v>
      </c>
    </row>
    <row r="786" spans="1:33">
      <c r="A786" s="32" t="s">
        <v>2982</v>
      </c>
      <c r="B786" s="32" t="s">
        <v>67</v>
      </c>
      <c r="C786" s="32" t="s">
        <v>2983</v>
      </c>
      <c r="D786" s="32" t="s">
        <v>2984</v>
      </c>
      <c r="E786" s="32" t="s">
        <v>2940</v>
      </c>
      <c r="F786" s="32" t="s">
        <v>2941</v>
      </c>
      <c r="G786" s="32" t="s">
        <v>655</v>
      </c>
      <c r="H786" s="32" t="s">
        <v>656</v>
      </c>
      <c r="I786" s="32" t="s">
        <v>198</v>
      </c>
      <c r="J786" s="32" t="s">
        <v>199</v>
      </c>
      <c r="K786" s="32">
        <v>2.7697440000000002</v>
      </c>
      <c r="L786" s="33">
        <v>1560</v>
      </c>
      <c r="M786" s="32">
        <v>228</v>
      </c>
      <c r="N786" s="32">
        <v>350</v>
      </c>
      <c r="O786" s="32">
        <v>569</v>
      </c>
      <c r="P786" s="32">
        <v>294</v>
      </c>
      <c r="Q786" s="32">
        <v>119</v>
      </c>
      <c r="R786" s="32" t="s">
        <v>302</v>
      </c>
      <c r="S786" s="32">
        <v>33.169499999999999</v>
      </c>
      <c r="T786" s="32">
        <v>17.770299999999999</v>
      </c>
      <c r="U786" s="32">
        <v>0.939869277</v>
      </c>
      <c r="V786" s="32">
        <v>2</v>
      </c>
      <c r="W786" s="32">
        <v>0.91179500000000002</v>
      </c>
      <c r="X786" s="32">
        <v>0.15126899999999999</v>
      </c>
      <c r="Y786" s="32">
        <v>0.7</v>
      </c>
      <c r="Z786" s="32">
        <v>1</v>
      </c>
      <c r="AA786" s="32">
        <v>47.6</v>
      </c>
      <c r="AB786" s="32">
        <v>207</v>
      </c>
      <c r="AC786" s="32">
        <v>16</v>
      </c>
      <c r="AD786" s="32">
        <v>14</v>
      </c>
      <c r="AE786" s="32">
        <v>0</v>
      </c>
      <c r="AF786" s="32">
        <v>0</v>
      </c>
      <c r="AG786" s="32" t="s">
        <v>200</v>
      </c>
    </row>
    <row r="787" spans="1:33">
      <c r="A787" s="32" t="s">
        <v>2985</v>
      </c>
      <c r="B787" s="32" t="s">
        <v>67</v>
      </c>
      <c r="C787" s="32" t="s">
        <v>2986</v>
      </c>
      <c r="D787" s="32" t="s">
        <v>2987</v>
      </c>
      <c r="E787" s="32" t="s">
        <v>2940</v>
      </c>
      <c r="F787" s="32" t="s">
        <v>2941</v>
      </c>
      <c r="G787" s="32" t="s">
        <v>655</v>
      </c>
      <c r="H787" s="32" t="s">
        <v>656</v>
      </c>
      <c r="I787" s="32" t="s">
        <v>198</v>
      </c>
      <c r="J787" s="32" t="s">
        <v>199</v>
      </c>
      <c r="K787" s="32">
        <v>2.7528920000000001</v>
      </c>
      <c r="L787" s="33">
        <v>1486</v>
      </c>
      <c r="M787" s="32">
        <v>242</v>
      </c>
      <c r="N787" s="32">
        <v>304</v>
      </c>
      <c r="O787" s="32">
        <v>576</v>
      </c>
      <c r="P787" s="32">
        <v>298</v>
      </c>
      <c r="Q787" s="32">
        <v>66</v>
      </c>
      <c r="R787" s="32">
        <v>3</v>
      </c>
      <c r="S787" s="32">
        <v>29.267299999999999</v>
      </c>
      <c r="T787" s="32">
        <v>2.2230500000000002</v>
      </c>
      <c r="U787" s="32">
        <v>0.94897894100000002</v>
      </c>
      <c r="V787" s="32">
        <v>2</v>
      </c>
      <c r="W787" s="32">
        <v>0.90413200000000005</v>
      </c>
      <c r="X787" s="32">
        <v>0.151366</v>
      </c>
      <c r="Y787" s="32">
        <v>0.7</v>
      </c>
      <c r="Z787" s="32">
        <v>1</v>
      </c>
      <c r="AA787" s="32">
        <v>47.2</v>
      </c>
      <c r="AB787" s="32">
        <v>229</v>
      </c>
      <c r="AC787" s="32">
        <v>12</v>
      </c>
      <c r="AD787" s="32">
        <v>14</v>
      </c>
      <c r="AE787" s="32">
        <v>0</v>
      </c>
      <c r="AF787" s="32" t="s">
        <v>200</v>
      </c>
      <c r="AG787" s="32" t="s">
        <v>200</v>
      </c>
    </row>
    <row r="788" spans="1:33">
      <c r="A788" s="32" t="s">
        <v>2988</v>
      </c>
      <c r="B788" s="32" t="s">
        <v>87</v>
      </c>
      <c r="C788" s="32" t="s">
        <v>2989</v>
      </c>
      <c r="D788" s="32" t="s">
        <v>2990</v>
      </c>
      <c r="E788" s="32" t="s">
        <v>2807</v>
      </c>
      <c r="F788" s="32" t="s">
        <v>2808</v>
      </c>
      <c r="G788" s="32" t="s">
        <v>2759</v>
      </c>
      <c r="H788" s="32" t="s">
        <v>2760</v>
      </c>
      <c r="I788" s="32" t="s">
        <v>198</v>
      </c>
      <c r="J788" s="32" t="s">
        <v>199</v>
      </c>
      <c r="K788" s="32">
        <v>2.3784670000000001</v>
      </c>
      <c r="L788" s="33">
        <v>2184</v>
      </c>
      <c r="M788" s="32">
        <v>485</v>
      </c>
      <c r="N788" s="32">
        <v>359</v>
      </c>
      <c r="O788" s="32">
        <v>520</v>
      </c>
      <c r="P788" s="32">
        <v>576</v>
      </c>
      <c r="Q788" s="32">
        <v>244</v>
      </c>
      <c r="R788" s="32">
        <v>3</v>
      </c>
      <c r="S788" s="32">
        <v>17.1327</v>
      </c>
      <c r="T788" s="32">
        <v>0</v>
      </c>
      <c r="U788" s="32">
        <v>0.83863745300000003</v>
      </c>
      <c r="V788" s="32">
        <v>4</v>
      </c>
      <c r="W788" s="32">
        <v>0.85395799999999999</v>
      </c>
      <c r="X788" s="32">
        <v>0.232847</v>
      </c>
      <c r="Y788" s="32">
        <v>0.7</v>
      </c>
      <c r="Z788" s="32">
        <v>0.59393200000000002</v>
      </c>
      <c r="AA788" s="32">
        <v>48.6</v>
      </c>
      <c r="AB788" s="32">
        <v>868</v>
      </c>
      <c r="AC788" s="32">
        <v>28</v>
      </c>
      <c r="AD788" s="32">
        <v>100</v>
      </c>
      <c r="AE788" s="32">
        <v>8</v>
      </c>
      <c r="AF788" s="32">
        <v>0</v>
      </c>
      <c r="AG788" s="32">
        <v>6</v>
      </c>
    </row>
    <row r="789" spans="1:33">
      <c r="A789" s="32" t="s">
        <v>2991</v>
      </c>
      <c r="B789" s="32" t="s">
        <v>87</v>
      </c>
      <c r="C789" s="32" t="s">
        <v>2992</v>
      </c>
      <c r="D789" s="32" t="s">
        <v>2993</v>
      </c>
      <c r="E789" s="32" t="s">
        <v>2862</v>
      </c>
      <c r="F789" s="32" t="s">
        <v>2863</v>
      </c>
      <c r="G789" s="32" t="s">
        <v>2759</v>
      </c>
      <c r="H789" s="32" t="s">
        <v>2760</v>
      </c>
      <c r="I789" s="32" t="s">
        <v>198</v>
      </c>
      <c r="J789" s="32" t="s">
        <v>199</v>
      </c>
      <c r="K789" s="32">
        <v>1.976205</v>
      </c>
      <c r="L789" s="33">
        <v>1853</v>
      </c>
      <c r="M789" s="32">
        <v>318</v>
      </c>
      <c r="N789" s="32">
        <v>255</v>
      </c>
      <c r="O789" s="32">
        <v>313</v>
      </c>
      <c r="P789" s="32">
        <v>515</v>
      </c>
      <c r="Q789" s="32">
        <v>452</v>
      </c>
      <c r="R789" s="32">
        <v>2</v>
      </c>
      <c r="S789" s="32">
        <v>22.042300000000001</v>
      </c>
      <c r="T789" s="32">
        <v>0</v>
      </c>
      <c r="U789" s="32">
        <v>1.045583543</v>
      </c>
      <c r="V789" s="32">
        <v>5</v>
      </c>
      <c r="W789" s="32">
        <v>0.81192799999999998</v>
      </c>
      <c r="X789" s="32">
        <v>0.140517</v>
      </c>
      <c r="Y789" s="32">
        <v>0.715812</v>
      </c>
      <c r="Z789" s="32">
        <v>0.30853399999999997</v>
      </c>
      <c r="AA789" s="32">
        <v>33.799999999999997</v>
      </c>
      <c r="AB789" s="32">
        <v>811</v>
      </c>
      <c r="AC789" s="32">
        <v>12</v>
      </c>
      <c r="AD789" s="32">
        <v>34</v>
      </c>
      <c r="AE789" s="32">
        <v>0</v>
      </c>
      <c r="AF789" s="32" t="s">
        <v>200</v>
      </c>
      <c r="AG789" s="32" t="s">
        <v>200</v>
      </c>
    </row>
    <row r="790" spans="1:33">
      <c r="A790" s="32" t="s">
        <v>2859</v>
      </c>
      <c r="B790" s="32" t="s">
        <v>87</v>
      </c>
      <c r="C790" s="32" t="s">
        <v>2860</v>
      </c>
      <c r="D790" s="32" t="s">
        <v>2861</v>
      </c>
      <c r="E790" s="32" t="s">
        <v>2862</v>
      </c>
      <c r="F790" s="32" t="s">
        <v>2863</v>
      </c>
      <c r="G790" s="32" t="s">
        <v>2759</v>
      </c>
      <c r="H790" s="32" t="s">
        <v>2760</v>
      </c>
      <c r="I790" s="32" t="s">
        <v>198</v>
      </c>
      <c r="J790" s="32" t="s">
        <v>199</v>
      </c>
      <c r="K790" s="32">
        <v>2.4062299999999999</v>
      </c>
      <c r="L790" s="33">
        <v>2569</v>
      </c>
      <c r="M790" s="32">
        <v>540</v>
      </c>
      <c r="N790" s="32">
        <v>401</v>
      </c>
      <c r="O790" s="32">
        <v>760</v>
      </c>
      <c r="P790" s="32">
        <v>512</v>
      </c>
      <c r="Q790" s="32">
        <v>356</v>
      </c>
      <c r="R790" s="32">
        <v>4</v>
      </c>
      <c r="S790" s="32">
        <v>24.593800000000002</v>
      </c>
      <c r="T790" s="32">
        <v>0</v>
      </c>
      <c r="U790" s="32">
        <v>0.85305753900000003</v>
      </c>
      <c r="V790" s="32">
        <v>4</v>
      </c>
      <c r="W790" s="32">
        <v>0.83343800000000001</v>
      </c>
      <c r="X790" s="32">
        <v>0.367585</v>
      </c>
      <c r="Y790" s="32">
        <v>0.7</v>
      </c>
      <c r="Z790" s="32">
        <v>0.50660899999999998</v>
      </c>
      <c r="AA790" s="32">
        <v>32.9</v>
      </c>
      <c r="AB790" s="32">
        <v>701</v>
      </c>
      <c r="AC790" s="32">
        <v>28</v>
      </c>
      <c r="AD790" s="32">
        <v>40</v>
      </c>
      <c r="AE790" s="32" t="s">
        <v>200</v>
      </c>
      <c r="AF790" s="32" t="s">
        <v>200</v>
      </c>
      <c r="AG790" s="32">
        <v>5</v>
      </c>
    </row>
    <row r="791" spans="1:33">
      <c r="A791" s="32" t="s">
        <v>2994</v>
      </c>
      <c r="B791" s="32" t="s">
        <v>87</v>
      </c>
      <c r="C791" s="32" t="s">
        <v>2995</v>
      </c>
      <c r="D791" s="32" t="s">
        <v>2996</v>
      </c>
      <c r="E791" s="32" t="s">
        <v>2807</v>
      </c>
      <c r="F791" s="32" t="s">
        <v>2808</v>
      </c>
      <c r="G791" s="32" t="s">
        <v>2759</v>
      </c>
      <c r="H791" s="32" t="s">
        <v>2760</v>
      </c>
      <c r="I791" s="32" t="s">
        <v>198</v>
      </c>
      <c r="J791" s="32" t="s">
        <v>199</v>
      </c>
      <c r="K791" s="32">
        <v>2.3194849999999998</v>
      </c>
      <c r="L791" s="33">
        <v>2098</v>
      </c>
      <c r="M791" s="32">
        <v>604</v>
      </c>
      <c r="N791" s="32">
        <v>397</v>
      </c>
      <c r="O791" s="32">
        <v>405</v>
      </c>
      <c r="P791" s="32">
        <v>540</v>
      </c>
      <c r="Q791" s="32">
        <v>152</v>
      </c>
      <c r="R791" s="32">
        <v>2</v>
      </c>
      <c r="S791" s="32">
        <v>14.6435</v>
      </c>
      <c r="T791" s="32">
        <v>0</v>
      </c>
      <c r="U791" s="32">
        <v>1.2079672699999999</v>
      </c>
      <c r="V791" s="32">
        <v>2</v>
      </c>
      <c r="W791" s="32">
        <v>0.81996800000000003</v>
      </c>
      <c r="X791" s="32">
        <v>0.15307999999999999</v>
      </c>
      <c r="Y791" s="32">
        <v>0.7</v>
      </c>
      <c r="Z791" s="32">
        <v>0.64693500000000004</v>
      </c>
      <c r="AA791" s="32">
        <v>43.9</v>
      </c>
      <c r="AB791" s="32">
        <v>886</v>
      </c>
      <c r="AC791" s="32">
        <v>19</v>
      </c>
      <c r="AD791" s="32">
        <v>369</v>
      </c>
      <c r="AE791" s="32">
        <v>34</v>
      </c>
      <c r="AF791" s="32">
        <v>7</v>
      </c>
      <c r="AG791" s="32" t="s">
        <v>200</v>
      </c>
    </row>
    <row r="792" spans="1:33">
      <c r="A792" s="32" t="s">
        <v>2997</v>
      </c>
      <c r="B792" s="32" t="s">
        <v>87</v>
      </c>
      <c r="C792" s="32" t="s">
        <v>2998</v>
      </c>
      <c r="D792" s="32" t="s">
        <v>2999</v>
      </c>
      <c r="E792" s="32" t="s">
        <v>2807</v>
      </c>
      <c r="F792" s="32" t="s">
        <v>2808</v>
      </c>
      <c r="G792" s="32" t="s">
        <v>2759</v>
      </c>
      <c r="H792" s="32" t="s">
        <v>2760</v>
      </c>
      <c r="I792" s="32" t="s">
        <v>198</v>
      </c>
      <c r="J792" s="32" t="s">
        <v>199</v>
      </c>
      <c r="K792" s="32">
        <v>2.0113300000000001</v>
      </c>
      <c r="L792" s="33">
        <v>2937</v>
      </c>
      <c r="M792" s="32">
        <v>716</v>
      </c>
      <c r="N792" s="32">
        <v>539</v>
      </c>
      <c r="O792" s="32">
        <v>668</v>
      </c>
      <c r="P792" s="32">
        <v>694</v>
      </c>
      <c r="Q792" s="32">
        <v>320</v>
      </c>
      <c r="R792" s="32" t="s">
        <v>225</v>
      </c>
      <c r="S792" s="32">
        <v>11.851900000000001</v>
      </c>
      <c r="T792" s="32">
        <v>0</v>
      </c>
      <c r="U792" s="32">
        <v>1.041361411</v>
      </c>
      <c r="V792" s="32">
        <v>5</v>
      </c>
      <c r="W792" s="32">
        <v>0.81045299999999998</v>
      </c>
      <c r="X792" s="32">
        <v>0.10457</v>
      </c>
      <c r="Y792" s="32">
        <v>0.7</v>
      </c>
      <c r="Z792" s="32">
        <v>0.39559</v>
      </c>
      <c r="AA792" s="32">
        <v>45.5</v>
      </c>
      <c r="AB792" s="32">
        <v>1046</v>
      </c>
      <c r="AC792" s="32">
        <v>28</v>
      </c>
      <c r="AD792" s="32">
        <v>56</v>
      </c>
      <c r="AE792" s="32" t="s">
        <v>200</v>
      </c>
      <c r="AF792" s="32" t="s">
        <v>200</v>
      </c>
      <c r="AG792" s="32">
        <v>5</v>
      </c>
    </row>
    <row r="793" spans="1:33">
      <c r="A793" s="32" t="s">
        <v>3000</v>
      </c>
      <c r="B793" s="32" t="s">
        <v>94</v>
      </c>
      <c r="C793" s="32" t="s">
        <v>3001</v>
      </c>
      <c r="D793" s="32" t="s">
        <v>3002</v>
      </c>
      <c r="E793" s="32" t="s">
        <v>2757</v>
      </c>
      <c r="F793" s="32" t="s">
        <v>2758</v>
      </c>
      <c r="G793" s="32" t="s">
        <v>2759</v>
      </c>
      <c r="H793" s="32" t="s">
        <v>2760</v>
      </c>
      <c r="I793" s="32" t="s">
        <v>198</v>
      </c>
      <c r="J793" s="32" t="s">
        <v>199</v>
      </c>
      <c r="K793" s="32">
        <v>2.5140259999999999</v>
      </c>
      <c r="L793" s="33">
        <v>1764</v>
      </c>
      <c r="M793" s="32">
        <v>372</v>
      </c>
      <c r="N793" s="32">
        <v>296</v>
      </c>
      <c r="O793" s="32">
        <v>484</v>
      </c>
      <c r="P793" s="32">
        <v>456</v>
      </c>
      <c r="Q793" s="32">
        <v>156</v>
      </c>
      <c r="R793" s="32">
        <v>4</v>
      </c>
      <c r="S793" s="32">
        <v>20.436699999999998</v>
      </c>
      <c r="T793" s="32">
        <v>13.520099999999999</v>
      </c>
      <c r="U793" s="32">
        <v>0.76910120400000004</v>
      </c>
      <c r="V793" s="32">
        <v>4</v>
      </c>
      <c r="W793" s="32">
        <v>0.89617500000000005</v>
      </c>
      <c r="X793" s="32">
        <v>0.14818799999999999</v>
      </c>
      <c r="Y793" s="32">
        <v>0.7</v>
      </c>
      <c r="Z793" s="32">
        <v>0.77500000000000002</v>
      </c>
      <c r="AA793" s="32">
        <v>43.7</v>
      </c>
      <c r="AB793" s="32">
        <v>575</v>
      </c>
      <c r="AC793" s="32">
        <v>33</v>
      </c>
      <c r="AD793" s="32">
        <v>144</v>
      </c>
      <c r="AE793" s="32" t="s">
        <v>200</v>
      </c>
      <c r="AF793" s="32">
        <v>0</v>
      </c>
      <c r="AG793" s="32" t="s">
        <v>200</v>
      </c>
    </row>
    <row r="794" spans="1:33">
      <c r="A794" s="32" t="s">
        <v>2761</v>
      </c>
      <c r="B794" s="32" t="s">
        <v>94</v>
      </c>
      <c r="C794" s="32" t="s">
        <v>2762</v>
      </c>
      <c r="D794" s="32" t="s">
        <v>2763</v>
      </c>
      <c r="E794" s="32" t="s">
        <v>2757</v>
      </c>
      <c r="F794" s="32" t="s">
        <v>2758</v>
      </c>
      <c r="G794" s="32" t="s">
        <v>2759</v>
      </c>
      <c r="H794" s="32" t="s">
        <v>2760</v>
      </c>
      <c r="I794" s="32" t="s">
        <v>198</v>
      </c>
      <c r="J794" s="32" t="s">
        <v>199</v>
      </c>
      <c r="K794" s="32">
        <v>2.5142419999999999</v>
      </c>
      <c r="L794" s="33">
        <v>1800</v>
      </c>
      <c r="M794" s="32">
        <v>380</v>
      </c>
      <c r="N794" s="32">
        <v>308</v>
      </c>
      <c r="O794" s="32">
        <v>434</v>
      </c>
      <c r="P794" s="32">
        <v>476</v>
      </c>
      <c r="Q794" s="32">
        <v>202</v>
      </c>
      <c r="R794" s="32">
        <v>3</v>
      </c>
      <c r="S794" s="32">
        <v>19.968900000000001</v>
      </c>
      <c r="T794" s="32">
        <v>8.4764300000000006</v>
      </c>
      <c r="U794" s="32">
        <v>0.73669537600000001</v>
      </c>
      <c r="V794" s="32">
        <v>5</v>
      </c>
      <c r="W794" s="32">
        <v>0.90107199999999998</v>
      </c>
      <c r="X794" s="32">
        <v>0.211621</v>
      </c>
      <c r="Y794" s="32">
        <v>0.7</v>
      </c>
      <c r="Z794" s="32">
        <v>0.69004600000000005</v>
      </c>
      <c r="AA794" s="32">
        <v>41.5</v>
      </c>
      <c r="AB794" s="32">
        <v>585</v>
      </c>
      <c r="AC794" s="32">
        <v>26</v>
      </c>
      <c r="AD794" s="32">
        <v>221</v>
      </c>
      <c r="AE794" s="32" t="s">
        <v>200</v>
      </c>
      <c r="AF794" s="32">
        <v>13</v>
      </c>
      <c r="AG794" s="32">
        <v>5</v>
      </c>
    </row>
    <row r="795" spans="1:33">
      <c r="A795" s="32" t="s">
        <v>3003</v>
      </c>
      <c r="B795" s="32" t="s">
        <v>94</v>
      </c>
      <c r="C795" s="32" t="s">
        <v>3004</v>
      </c>
      <c r="D795" s="32" t="s">
        <v>3005</v>
      </c>
      <c r="E795" s="32" t="s">
        <v>3006</v>
      </c>
      <c r="F795" s="32" t="s">
        <v>3007</v>
      </c>
      <c r="G795" s="32" t="s">
        <v>2759</v>
      </c>
      <c r="H795" s="32" t="s">
        <v>2760</v>
      </c>
      <c r="I795" s="32" t="s">
        <v>198</v>
      </c>
      <c r="J795" s="32" t="s">
        <v>199</v>
      </c>
      <c r="K795" s="32">
        <v>2.4022139999999998</v>
      </c>
      <c r="L795" s="33">
        <v>1941</v>
      </c>
      <c r="M795" s="32">
        <v>505</v>
      </c>
      <c r="N795" s="32">
        <v>308</v>
      </c>
      <c r="O795" s="32">
        <v>502</v>
      </c>
      <c r="P795" s="32">
        <v>427</v>
      </c>
      <c r="Q795" s="32">
        <v>199</v>
      </c>
      <c r="R795" s="32">
        <v>2</v>
      </c>
      <c r="S795" s="32">
        <v>12.913399999999999</v>
      </c>
      <c r="T795" s="32">
        <v>1.71465</v>
      </c>
      <c r="U795" s="32">
        <v>0.88854953599999997</v>
      </c>
      <c r="V795" s="32">
        <v>4</v>
      </c>
      <c r="W795" s="32">
        <v>0.88020799999999999</v>
      </c>
      <c r="X795" s="32">
        <v>0.122266</v>
      </c>
      <c r="Y795" s="32">
        <v>0.88468599999999997</v>
      </c>
      <c r="Z795" s="32">
        <v>0.50902000000000003</v>
      </c>
      <c r="AA795" s="32">
        <v>83</v>
      </c>
      <c r="AB795" s="32">
        <v>520</v>
      </c>
      <c r="AC795" s="32">
        <v>19</v>
      </c>
      <c r="AD795" s="32">
        <v>35</v>
      </c>
      <c r="AE795" s="32" t="s">
        <v>200</v>
      </c>
      <c r="AF795" s="32">
        <v>0</v>
      </c>
      <c r="AG795" s="32" t="s">
        <v>200</v>
      </c>
    </row>
    <row r="796" spans="1:33">
      <c r="A796" s="32" t="s">
        <v>3008</v>
      </c>
      <c r="B796" s="32" t="s">
        <v>94</v>
      </c>
      <c r="C796" s="32" t="s">
        <v>3009</v>
      </c>
      <c r="D796" s="32" t="s">
        <v>3010</v>
      </c>
      <c r="E796" s="32" t="s">
        <v>3011</v>
      </c>
      <c r="F796" s="32" t="s">
        <v>3012</v>
      </c>
      <c r="G796" s="32" t="s">
        <v>2759</v>
      </c>
      <c r="H796" s="32" t="s">
        <v>2760</v>
      </c>
      <c r="I796" s="32" t="s">
        <v>198</v>
      </c>
      <c r="J796" s="32" t="s">
        <v>199</v>
      </c>
      <c r="K796" s="32">
        <v>2.4792169999999998</v>
      </c>
      <c r="L796" s="33">
        <v>1673</v>
      </c>
      <c r="M796" s="32">
        <v>380</v>
      </c>
      <c r="N796" s="32">
        <v>260</v>
      </c>
      <c r="O796" s="32">
        <v>377</v>
      </c>
      <c r="P796" s="32">
        <v>449</v>
      </c>
      <c r="Q796" s="32">
        <v>207</v>
      </c>
      <c r="R796" s="32">
        <v>2</v>
      </c>
      <c r="S796" s="32">
        <v>10.9377</v>
      </c>
      <c r="T796" s="32">
        <v>2.1732399999999998</v>
      </c>
      <c r="U796" s="32">
        <v>0.79661826999999996</v>
      </c>
      <c r="V796" s="32">
        <v>5</v>
      </c>
      <c r="W796" s="32">
        <v>0.90361400000000003</v>
      </c>
      <c r="X796" s="32">
        <v>6.4285999999999996E-2</v>
      </c>
      <c r="Y796" s="32">
        <v>0.9</v>
      </c>
      <c r="Z796" s="32">
        <v>0.63630799999999998</v>
      </c>
      <c r="AA796" s="32">
        <v>73.900000000000006</v>
      </c>
      <c r="AB796" s="32">
        <v>522</v>
      </c>
      <c r="AC796" s="32">
        <v>12</v>
      </c>
      <c r="AD796" s="32">
        <v>26</v>
      </c>
      <c r="AE796" s="32">
        <v>0</v>
      </c>
      <c r="AF796" s="32">
        <v>0</v>
      </c>
      <c r="AG796" s="32" t="s">
        <v>200</v>
      </c>
    </row>
    <row r="797" spans="1:33">
      <c r="A797" s="32" t="s">
        <v>3013</v>
      </c>
      <c r="B797" s="32" t="s">
        <v>94</v>
      </c>
      <c r="C797" s="32" t="s">
        <v>3014</v>
      </c>
      <c r="D797" s="32" t="s">
        <v>3015</v>
      </c>
      <c r="E797" s="32" t="s">
        <v>3011</v>
      </c>
      <c r="F797" s="32" t="s">
        <v>3012</v>
      </c>
      <c r="G797" s="32" t="s">
        <v>2759</v>
      </c>
      <c r="H797" s="32" t="s">
        <v>2760</v>
      </c>
      <c r="I797" s="32" t="s">
        <v>198</v>
      </c>
      <c r="J797" s="32" t="s">
        <v>199</v>
      </c>
      <c r="K797" s="32">
        <v>2.5623429999999998</v>
      </c>
      <c r="L797" s="33">
        <v>1884</v>
      </c>
      <c r="M797" s="32">
        <v>488</v>
      </c>
      <c r="N797" s="32">
        <v>286</v>
      </c>
      <c r="O797" s="32">
        <v>449</v>
      </c>
      <c r="P797" s="32">
        <v>476</v>
      </c>
      <c r="Q797" s="32">
        <v>185</v>
      </c>
      <c r="R797" s="32">
        <v>2</v>
      </c>
      <c r="S797" s="32">
        <v>12.635400000000001</v>
      </c>
      <c r="T797" s="32">
        <v>3.3923999999999999</v>
      </c>
      <c r="U797" s="32">
        <v>0.82237673099999997</v>
      </c>
      <c r="V797" s="32">
        <v>3</v>
      </c>
      <c r="W797" s="32">
        <v>0.90669500000000003</v>
      </c>
      <c r="X797" s="32">
        <v>0.190833</v>
      </c>
      <c r="Y797" s="32">
        <v>0.84268299999999996</v>
      </c>
      <c r="Z797" s="32">
        <v>0.61504099999999995</v>
      </c>
      <c r="AA797" s="32">
        <v>73.8</v>
      </c>
      <c r="AB797" s="32">
        <v>528</v>
      </c>
      <c r="AC797" s="32">
        <v>17</v>
      </c>
      <c r="AD797" s="32">
        <v>42</v>
      </c>
      <c r="AE797" s="32" t="s">
        <v>200</v>
      </c>
      <c r="AF797" s="32">
        <v>0</v>
      </c>
      <c r="AG797" s="32">
        <v>0</v>
      </c>
    </row>
    <row r="798" spans="1:33">
      <c r="A798" s="32" t="s">
        <v>3016</v>
      </c>
      <c r="B798" s="32" t="s">
        <v>94</v>
      </c>
      <c r="C798" s="32" t="s">
        <v>3017</v>
      </c>
      <c r="D798" s="32" t="s">
        <v>3018</v>
      </c>
      <c r="E798" s="32" t="s">
        <v>3011</v>
      </c>
      <c r="F798" s="32" t="s">
        <v>3012</v>
      </c>
      <c r="G798" s="32" t="s">
        <v>2759</v>
      </c>
      <c r="H798" s="32" t="s">
        <v>2760</v>
      </c>
      <c r="I798" s="32" t="s">
        <v>198</v>
      </c>
      <c r="J798" s="32" t="s">
        <v>199</v>
      </c>
      <c r="K798" s="32">
        <v>2.5519949999999998</v>
      </c>
      <c r="L798" s="33">
        <v>1598</v>
      </c>
      <c r="M798" s="32">
        <v>484</v>
      </c>
      <c r="N798" s="32">
        <v>252</v>
      </c>
      <c r="O798" s="32">
        <v>409</v>
      </c>
      <c r="P798" s="32">
        <v>365</v>
      </c>
      <c r="Q798" s="32">
        <v>88</v>
      </c>
      <c r="R798" s="32">
        <v>2</v>
      </c>
      <c r="S798" s="32">
        <v>11.655900000000001</v>
      </c>
      <c r="T798" s="32">
        <v>2.7159499999999999</v>
      </c>
      <c r="U798" s="32">
        <v>0.971925072</v>
      </c>
      <c r="V798" s="32">
        <v>3</v>
      </c>
      <c r="W798" s="32">
        <v>0.82599800000000001</v>
      </c>
      <c r="X798" s="32">
        <v>6.4225000000000004E-2</v>
      </c>
      <c r="Y798" s="32">
        <v>0.8</v>
      </c>
      <c r="Z798" s="32">
        <v>0.85169899999999998</v>
      </c>
      <c r="AA798" s="32">
        <v>62.8</v>
      </c>
      <c r="AB798" s="32">
        <v>518</v>
      </c>
      <c r="AC798" s="32">
        <v>21</v>
      </c>
      <c r="AD798" s="32">
        <v>40</v>
      </c>
      <c r="AE798" s="32" t="s">
        <v>200</v>
      </c>
      <c r="AF798" s="32" t="s">
        <v>200</v>
      </c>
      <c r="AG798" s="32" t="s">
        <v>200</v>
      </c>
    </row>
    <row r="799" spans="1:33">
      <c r="A799" s="32" t="s">
        <v>3019</v>
      </c>
      <c r="B799" s="32" t="s">
        <v>94</v>
      </c>
      <c r="C799" s="32" t="s">
        <v>3020</v>
      </c>
      <c r="D799" s="32" t="s">
        <v>3021</v>
      </c>
      <c r="E799" s="32" t="s">
        <v>3022</v>
      </c>
      <c r="F799" s="32" t="s">
        <v>3023</v>
      </c>
      <c r="G799" s="32" t="s">
        <v>2759</v>
      </c>
      <c r="H799" s="32" t="s">
        <v>2760</v>
      </c>
      <c r="I799" s="32" t="s">
        <v>198</v>
      </c>
      <c r="J799" s="32" t="s">
        <v>199</v>
      </c>
      <c r="K799" s="32">
        <v>2.5831870000000001</v>
      </c>
      <c r="L799" s="33">
        <v>1721</v>
      </c>
      <c r="M799" s="32">
        <v>477</v>
      </c>
      <c r="N799" s="32">
        <v>251</v>
      </c>
      <c r="O799" s="32">
        <v>389</v>
      </c>
      <c r="P799" s="32">
        <v>469</v>
      </c>
      <c r="Q799" s="32">
        <v>135</v>
      </c>
      <c r="R799" s="32">
        <v>2</v>
      </c>
      <c r="S799" s="32">
        <v>12.673299999999999</v>
      </c>
      <c r="T799" s="32">
        <v>6.1327600000000002</v>
      </c>
      <c r="U799" s="32">
        <v>0.93354050899999996</v>
      </c>
      <c r="V799" s="32">
        <v>3</v>
      </c>
      <c r="W799" s="32">
        <v>0.90840600000000005</v>
      </c>
      <c r="X799" s="32">
        <v>0.18513299999999999</v>
      </c>
      <c r="Y799" s="32">
        <v>0.8</v>
      </c>
      <c r="Z799" s="32">
        <v>0.70052499999999995</v>
      </c>
      <c r="AA799" s="32">
        <v>63.6</v>
      </c>
      <c r="AB799" s="32">
        <v>498</v>
      </c>
      <c r="AC799" s="32">
        <v>16</v>
      </c>
      <c r="AD799" s="32">
        <v>36</v>
      </c>
      <c r="AE799" s="32">
        <v>0</v>
      </c>
      <c r="AF799" s="32" t="s">
        <v>200</v>
      </c>
      <c r="AG799" s="32" t="s">
        <v>200</v>
      </c>
    </row>
    <row r="800" spans="1:33">
      <c r="A800" s="32" t="s">
        <v>3024</v>
      </c>
      <c r="B800" s="32" t="s">
        <v>94</v>
      </c>
      <c r="C800" s="32" t="s">
        <v>3025</v>
      </c>
      <c r="D800" s="32" t="s">
        <v>3026</v>
      </c>
      <c r="E800" s="32" t="s">
        <v>3022</v>
      </c>
      <c r="F800" s="32" t="s">
        <v>3023</v>
      </c>
      <c r="G800" s="32" t="s">
        <v>2759</v>
      </c>
      <c r="H800" s="32" t="s">
        <v>2760</v>
      </c>
      <c r="I800" s="32" t="s">
        <v>198</v>
      </c>
      <c r="J800" s="32" t="s">
        <v>199</v>
      </c>
      <c r="K800" s="32">
        <v>2.600746</v>
      </c>
      <c r="L800" s="33">
        <v>1634</v>
      </c>
      <c r="M800" s="32">
        <v>451</v>
      </c>
      <c r="N800" s="32">
        <v>290</v>
      </c>
      <c r="O800" s="32">
        <v>330</v>
      </c>
      <c r="P800" s="32">
        <v>406</v>
      </c>
      <c r="Q800" s="32">
        <v>157</v>
      </c>
      <c r="R800" s="32">
        <v>2</v>
      </c>
      <c r="S800" s="32">
        <v>30.773399999999999</v>
      </c>
      <c r="T800" s="32">
        <v>2.5371899999999998</v>
      </c>
      <c r="U800" s="32">
        <v>1.0632843649999999</v>
      </c>
      <c r="V800" s="32">
        <v>2</v>
      </c>
      <c r="W800" s="32">
        <v>0.86373100000000003</v>
      </c>
      <c r="X800" s="32">
        <v>0.121131</v>
      </c>
      <c r="Y800" s="32">
        <v>0.74458299999999999</v>
      </c>
      <c r="Z800" s="32">
        <v>0.86853899999999995</v>
      </c>
      <c r="AA800" s="32">
        <v>52</v>
      </c>
      <c r="AB800" s="32">
        <v>1121</v>
      </c>
      <c r="AC800" s="32">
        <v>29</v>
      </c>
      <c r="AD800" s="32">
        <v>157</v>
      </c>
      <c r="AE800" s="32">
        <v>27</v>
      </c>
      <c r="AF800" s="32">
        <v>0</v>
      </c>
      <c r="AG800" s="32">
        <v>25</v>
      </c>
    </row>
    <row r="801" spans="1:33">
      <c r="A801" s="32" t="s">
        <v>3027</v>
      </c>
      <c r="B801" s="32" t="s">
        <v>94</v>
      </c>
      <c r="C801" s="32" t="s">
        <v>3028</v>
      </c>
      <c r="D801" s="32" t="s">
        <v>3029</v>
      </c>
      <c r="E801" s="32" t="s">
        <v>2757</v>
      </c>
      <c r="F801" s="32" t="s">
        <v>2758</v>
      </c>
      <c r="G801" s="32" t="s">
        <v>2759</v>
      </c>
      <c r="H801" s="32" t="s">
        <v>2760</v>
      </c>
      <c r="I801" s="32" t="s">
        <v>198</v>
      </c>
      <c r="J801" s="32" t="s">
        <v>199</v>
      </c>
      <c r="K801" s="32">
        <v>2.6266630000000002</v>
      </c>
      <c r="L801" s="33">
        <v>4494</v>
      </c>
      <c r="M801" s="33">
        <v>1201</v>
      </c>
      <c r="N801" s="32">
        <v>891</v>
      </c>
      <c r="O801" s="33">
        <v>1496</v>
      </c>
      <c r="P801" s="32">
        <v>728</v>
      </c>
      <c r="Q801" s="32">
        <v>178</v>
      </c>
      <c r="R801" s="32">
        <v>5</v>
      </c>
      <c r="S801" s="32">
        <v>0</v>
      </c>
      <c r="T801" s="32">
        <v>0</v>
      </c>
      <c r="U801" s="32">
        <v>0</v>
      </c>
      <c r="V801" s="32">
        <v>3</v>
      </c>
      <c r="W801" s="32">
        <v>0.88647100000000001</v>
      </c>
      <c r="X801" s="32">
        <v>0.110193</v>
      </c>
      <c r="Y801" s="32">
        <v>0.700847</v>
      </c>
      <c r="Z801" s="32">
        <v>0.93113699999999999</v>
      </c>
      <c r="AA801" s="32">
        <v>59.1</v>
      </c>
      <c r="AB801" s="32">
        <v>921</v>
      </c>
      <c r="AC801" s="32">
        <v>36</v>
      </c>
      <c r="AD801" s="32">
        <v>169</v>
      </c>
      <c r="AE801" s="32">
        <v>40</v>
      </c>
      <c r="AF801" s="32" t="s">
        <v>200</v>
      </c>
      <c r="AG801" s="32">
        <v>12</v>
      </c>
    </row>
    <row r="802" spans="1:33">
      <c r="A802" s="32" t="s">
        <v>3030</v>
      </c>
      <c r="B802" s="32" t="s">
        <v>93</v>
      </c>
      <c r="C802" s="32" t="s">
        <v>3031</v>
      </c>
      <c r="D802" s="32" t="s">
        <v>3032</v>
      </c>
      <c r="E802" s="32" t="s">
        <v>3033</v>
      </c>
      <c r="F802" s="32" t="s">
        <v>3034</v>
      </c>
      <c r="G802" s="32" t="s">
        <v>1261</v>
      </c>
      <c r="H802" s="32" t="s">
        <v>1262</v>
      </c>
      <c r="I802" s="32" t="s">
        <v>198</v>
      </c>
      <c r="J802" s="32" t="s">
        <v>199</v>
      </c>
      <c r="K802" s="32">
        <v>2.613661</v>
      </c>
      <c r="L802" s="33">
        <v>2021</v>
      </c>
      <c r="M802" s="32">
        <v>441</v>
      </c>
      <c r="N802" s="32">
        <v>366</v>
      </c>
      <c r="O802" s="32">
        <v>506</v>
      </c>
      <c r="P802" s="32">
        <v>529</v>
      </c>
      <c r="Q802" s="32">
        <v>179</v>
      </c>
      <c r="R802" s="32">
        <v>4</v>
      </c>
      <c r="S802" s="32">
        <v>22.612300000000001</v>
      </c>
      <c r="T802" s="32">
        <v>8.1785099999999993</v>
      </c>
      <c r="U802" s="32">
        <v>1.0257592740000001</v>
      </c>
      <c r="V802" s="32">
        <v>2</v>
      </c>
      <c r="W802" s="32">
        <v>0.90573800000000004</v>
      </c>
      <c r="X802" s="32">
        <v>0.117808</v>
      </c>
      <c r="Y802" s="32">
        <v>0.7</v>
      </c>
      <c r="Z802" s="32">
        <v>0.88342500000000002</v>
      </c>
      <c r="AA802" s="32">
        <v>64.8</v>
      </c>
      <c r="AB802" s="32">
        <v>343</v>
      </c>
      <c r="AC802" s="32">
        <v>15</v>
      </c>
      <c r="AD802" s="32">
        <v>105</v>
      </c>
      <c r="AE802" s="32">
        <v>0</v>
      </c>
      <c r="AF802" s="32" t="s">
        <v>200</v>
      </c>
      <c r="AG802" s="32" t="s">
        <v>200</v>
      </c>
    </row>
    <row r="803" spans="1:33">
      <c r="A803" s="32" t="s">
        <v>3035</v>
      </c>
      <c r="B803" s="32" t="s">
        <v>93</v>
      </c>
      <c r="C803" s="32" t="s">
        <v>3036</v>
      </c>
      <c r="D803" s="32" t="s">
        <v>3037</v>
      </c>
      <c r="E803" s="32" t="s">
        <v>3033</v>
      </c>
      <c r="F803" s="32" t="s">
        <v>3034</v>
      </c>
      <c r="G803" s="32" t="s">
        <v>1261</v>
      </c>
      <c r="H803" s="32" t="s">
        <v>1262</v>
      </c>
      <c r="I803" s="32" t="s">
        <v>198</v>
      </c>
      <c r="J803" s="32" t="s">
        <v>199</v>
      </c>
      <c r="K803" s="32">
        <v>2.4539520000000001</v>
      </c>
      <c r="L803" s="33">
        <v>2777</v>
      </c>
      <c r="M803" s="32">
        <v>437</v>
      </c>
      <c r="N803" s="32">
        <v>664</v>
      </c>
      <c r="O803" s="32">
        <v>889</v>
      </c>
      <c r="P803" s="32">
        <v>617</v>
      </c>
      <c r="Q803" s="32">
        <v>170</v>
      </c>
      <c r="R803" s="32">
        <v>5</v>
      </c>
      <c r="S803" s="32">
        <v>38.933599999999998</v>
      </c>
      <c r="T803" s="32">
        <v>18.5258</v>
      </c>
      <c r="U803" s="32">
        <v>1.0443294350000001</v>
      </c>
      <c r="V803" s="32">
        <v>3</v>
      </c>
      <c r="W803" s="32">
        <v>0.90429599999999999</v>
      </c>
      <c r="X803" s="32">
        <v>0.115318</v>
      </c>
      <c r="Y803" s="32">
        <v>0.7</v>
      </c>
      <c r="Z803" s="32">
        <v>0.72621500000000005</v>
      </c>
      <c r="AA803" s="32">
        <v>53.3</v>
      </c>
      <c r="AB803" s="32">
        <v>478</v>
      </c>
      <c r="AC803" s="32">
        <v>33</v>
      </c>
      <c r="AD803" s="32">
        <v>42</v>
      </c>
      <c r="AE803" s="32" t="s">
        <v>200</v>
      </c>
      <c r="AF803" s="32" t="s">
        <v>200</v>
      </c>
      <c r="AG803" s="32">
        <v>6</v>
      </c>
    </row>
    <row r="804" spans="1:33">
      <c r="A804" s="32" t="s">
        <v>2616</v>
      </c>
      <c r="B804" s="32" t="s">
        <v>93</v>
      </c>
      <c r="C804" s="32" t="s">
        <v>2617</v>
      </c>
      <c r="D804" s="32" t="s">
        <v>2618</v>
      </c>
      <c r="E804" s="32" t="s">
        <v>2169</v>
      </c>
      <c r="F804" s="32" t="s">
        <v>2170</v>
      </c>
      <c r="G804" s="32" t="s">
        <v>2164</v>
      </c>
      <c r="H804" s="32" t="s">
        <v>2165</v>
      </c>
      <c r="I804" s="32" t="s">
        <v>198</v>
      </c>
      <c r="J804" s="32" t="s">
        <v>199</v>
      </c>
      <c r="K804" s="32">
        <v>2.7793679999999998</v>
      </c>
      <c r="L804" s="33">
        <v>2038</v>
      </c>
      <c r="M804" s="32">
        <v>295</v>
      </c>
      <c r="N804" s="32">
        <v>889</v>
      </c>
      <c r="O804" s="32">
        <v>519</v>
      </c>
      <c r="P804" s="32">
        <v>244</v>
      </c>
      <c r="Q804" s="32">
        <v>91</v>
      </c>
      <c r="R804" s="32" t="s">
        <v>302</v>
      </c>
      <c r="S804" s="32">
        <v>45.970399999999998</v>
      </c>
      <c r="T804" s="32">
        <v>32.466299999999997</v>
      </c>
      <c r="U804" s="32">
        <v>0.72129545299999998</v>
      </c>
      <c r="V804" s="32">
        <v>4</v>
      </c>
      <c r="W804" s="32">
        <v>0.91996699999999998</v>
      </c>
      <c r="X804" s="32">
        <v>0.32954899999999998</v>
      </c>
      <c r="Y804" s="32">
        <v>0.7</v>
      </c>
      <c r="Z804" s="32">
        <v>0.84875599999999995</v>
      </c>
      <c r="AA804" s="32">
        <v>46.1</v>
      </c>
      <c r="AB804" s="32">
        <v>191</v>
      </c>
      <c r="AC804" s="32">
        <v>14</v>
      </c>
      <c r="AD804" s="32">
        <v>36</v>
      </c>
      <c r="AE804" s="32" t="s">
        <v>200</v>
      </c>
      <c r="AF804" s="32">
        <v>0</v>
      </c>
      <c r="AG804" s="32">
        <v>9</v>
      </c>
    </row>
    <row r="805" spans="1:33">
      <c r="A805" s="32" t="s">
        <v>3038</v>
      </c>
      <c r="B805" s="32" t="s">
        <v>93</v>
      </c>
      <c r="C805" s="32" t="s">
        <v>3039</v>
      </c>
      <c r="D805" s="32" t="s">
        <v>3040</v>
      </c>
      <c r="E805" s="32" t="s">
        <v>3041</v>
      </c>
      <c r="F805" s="32" t="s">
        <v>3042</v>
      </c>
      <c r="G805" s="32" t="s">
        <v>2164</v>
      </c>
      <c r="H805" s="32" t="s">
        <v>2165</v>
      </c>
      <c r="I805" s="32" t="s">
        <v>198</v>
      </c>
      <c r="J805" s="32" t="s">
        <v>199</v>
      </c>
      <c r="K805" s="32">
        <v>2.7918319999999999</v>
      </c>
      <c r="L805" s="33">
        <v>2084</v>
      </c>
      <c r="M805" s="32">
        <v>397</v>
      </c>
      <c r="N805" s="32">
        <v>465</v>
      </c>
      <c r="O805" s="32">
        <v>538</v>
      </c>
      <c r="P805" s="32">
        <v>496</v>
      </c>
      <c r="Q805" s="32">
        <v>188</v>
      </c>
      <c r="R805" s="32" t="s">
        <v>302</v>
      </c>
      <c r="S805" s="32">
        <v>38.808500000000002</v>
      </c>
      <c r="T805" s="32">
        <v>22.160900000000002</v>
      </c>
      <c r="U805" s="32">
        <v>0.92492414000000001</v>
      </c>
      <c r="V805" s="32">
        <v>2</v>
      </c>
      <c r="W805" s="32">
        <v>0.91782200000000003</v>
      </c>
      <c r="X805" s="32">
        <v>0.44292900000000002</v>
      </c>
      <c r="Y805" s="32">
        <v>0.7</v>
      </c>
      <c r="Z805" s="32">
        <v>0.72903200000000001</v>
      </c>
      <c r="AA805" s="32">
        <v>67.5</v>
      </c>
      <c r="AB805" s="32">
        <v>335</v>
      </c>
      <c r="AC805" s="32">
        <v>23</v>
      </c>
      <c r="AD805" s="32">
        <v>7</v>
      </c>
      <c r="AE805" s="32">
        <v>0</v>
      </c>
      <c r="AF805" s="32" t="s">
        <v>200</v>
      </c>
      <c r="AG805" s="32" t="s">
        <v>200</v>
      </c>
    </row>
    <row r="806" spans="1:33">
      <c r="A806" s="32" t="s">
        <v>3043</v>
      </c>
      <c r="B806" s="32" t="s">
        <v>93</v>
      </c>
      <c r="C806" s="32" t="s">
        <v>3044</v>
      </c>
      <c r="D806" s="32" t="s">
        <v>3045</v>
      </c>
      <c r="E806" s="32" t="s">
        <v>3041</v>
      </c>
      <c r="F806" s="32" t="s">
        <v>3042</v>
      </c>
      <c r="G806" s="32" t="s">
        <v>2164</v>
      </c>
      <c r="H806" s="32" t="s">
        <v>2165</v>
      </c>
      <c r="I806" s="32" t="s">
        <v>198</v>
      </c>
      <c r="J806" s="32" t="s">
        <v>199</v>
      </c>
      <c r="K806" s="32">
        <v>2.3875289999999998</v>
      </c>
      <c r="L806" s="33">
        <v>1778</v>
      </c>
      <c r="M806" s="32">
        <v>284</v>
      </c>
      <c r="N806" s="32">
        <v>471</v>
      </c>
      <c r="O806" s="32">
        <v>413</v>
      </c>
      <c r="P806" s="32">
        <v>428</v>
      </c>
      <c r="Q806" s="32">
        <v>182</v>
      </c>
      <c r="R806" s="32">
        <v>5</v>
      </c>
      <c r="S806" s="32">
        <v>36.314500000000002</v>
      </c>
      <c r="T806" s="32">
        <v>2.1583000000000001</v>
      </c>
      <c r="U806" s="32">
        <v>0.95673057500000003</v>
      </c>
      <c r="V806" s="32">
        <v>4</v>
      </c>
      <c r="W806" s="32">
        <v>0.915242</v>
      </c>
      <c r="X806" s="32">
        <v>0.17563200000000001</v>
      </c>
      <c r="Y806" s="32">
        <v>0.7</v>
      </c>
      <c r="Z806" s="32">
        <v>0.62283100000000002</v>
      </c>
      <c r="AA806" s="32">
        <v>48.7</v>
      </c>
      <c r="AB806" s="32">
        <v>361</v>
      </c>
      <c r="AC806" s="32">
        <v>19</v>
      </c>
      <c r="AD806" s="32">
        <v>20</v>
      </c>
      <c r="AE806" s="32">
        <v>0</v>
      </c>
      <c r="AF806" s="32" t="s">
        <v>200</v>
      </c>
      <c r="AG806" s="32" t="s">
        <v>200</v>
      </c>
    </row>
    <row r="807" spans="1:33">
      <c r="A807" s="32" t="s">
        <v>3046</v>
      </c>
      <c r="B807" s="32" t="s">
        <v>93</v>
      </c>
      <c r="C807" s="32" t="s">
        <v>3047</v>
      </c>
      <c r="D807" s="32" t="s">
        <v>3048</v>
      </c>
      <c r="E807" s="32" t="s">
        <v>3041</v>
      </c>
      <c r="F807" s="32" t="s">
        <v>3042</v>
      </c>
      <c r="G807" s="32" t="s">
        <v>2164</v>
      </c>
      <c r="H807" s="32" t="s">
        <v>2165</v>
      </c>
      <c r="I807" s="32" t="s">
        <v>198</v>
      </c>
      <c r="J807" s="32" t="s">
        <v>199</v>
      </c>
      <c r="K807" s="32">
        <v>2.454348</v>
      </c>
      <c r="L807" s="33">
        <v>1948</v>
      </c>
      <c r="M807" s="32">
        <v>226</v>
      </c>
      <c r="N807" s="32">
        <v>674</v>
      </c>
      <c r="O807" s="32">
        <v>580</v>
      </c>
      <c r="P807" s="32">
        <v>337</v>
      </c>
      <c r="Q807" s="32">
        <v>131</v>
      </c>
      <c r="R807" s="32" t="s">
        <v>302</v>
      </c>
      <c r="S807" s="32">
        <v>47.888300000000001</v>
      </c>
      <c r="T807" s="32">
        <v>25.7837</v>
      </c>
      <c r="U807" s="32">
        <v>0.74874763</v>
      </c>
      <c r="V807" s="32">
        <v>5</v>
      </c>
      <c r="W807" s="32">
        <v>0.91304300000000005</v>
      </c>
      <c r="X807" s="32">
        <v>0.18531700000000001</v>
      </c>
      <c r="Y807" s="32">
        <v>0.7</v>
      </c>
      <c r="Z807" s="32">
        <v>0.66043700000000005</v>
      </c>
      <c r="AA807" s="32">
        <v>30.6</v>
      </c>
      <c r="AB807" s="32">
        <v>323</v>
      </c>
      <c r="AC807" s="32">
        <v>20</v>
      </c>
      <c r="AD807" s="32">
        <v>19</v>
      </c>
      <c r="AE807" s="32">
        <v>0</v>
      </c>
      <c r="AF807" s="32" t="s">
        <v>200</v>
      </c>
      <c r="AG807" s="32" t="s">
        <v>200</v>
      </c>
    </row>
    <row r="808" spans="1:33">
      <c r="A808" s="32" t="s">
        <v>3049</v>
      </c>
      <c r="B808" s="32" t="s">
        <v>93</v>
      </c>
      <c r="C808" s="32" t="s">
        <v>3050</v>
      </c>
      <c r="D808" s="32" t="s">
        <v>3051</v>
      </c>
      <c r="E808" s="32" t="s">
        <v>3052</v>
      </c>
      <c r="F808" s="32" t="s">
        <v>3053</v>
      </c>
      <c r="G808" s="32" t="s">
        <v>2164</v>
      </c>
      <c r="H808" s="32" t="s">
        <v>2165</v>
      </c>
      <c r="I808" s="32" t="s">
        <v>198</v>
      </c>
      <c r="J808" s="32" t="s">
        <v>199</v>
      </c>
      <c r="K808" s="32">
        <v>2.578049</v>
      </c>
      <c r="L808" s="33">
        <v>1945</v>
      </c>
      <c r="M808" s="32">
        <v>408</v>
      </c>
      <c r="N808" s="32">
        <v>434</v>
      </c>
      <c r="O808" s="32">
        <v>506</v>
      </c>
      <c r="P808" s="32">
        <v>398</v>
      </c>
      <c r="Q808" s="32">
        <v>199</v>
      </c>
      <c r="R808" s="32">
        <v>2</v>
      </c>
      <c r="S808" s="32">
        <v>18.078299999999999</v>
      </c>
      <c r="T808" s="32">
        <v>1.80765</v>
      </c>
      <c r="U808" s="32">
        <v>1.0134807320000001</v>
      </c>
      <c r="V808" s="32">
        <v>2</v>
      </c>
      <c r="W808" s="32">
        <v>0.90365899999999999</v>
      </c>
      <c r="X808" s="32">
        <v>8.6144999999999999E-2</v>
      </c>
      <c r="Y808" s="32">
        <v>0.7</v>
      </c>
      <c r="Z808" s="32">
        <v>0.88658499999999996</v>
      </c>
      <c r="AA808" s="32">
        <v>52</v>
      </c>
      <c r="AB808" s="32">
        <v>440</v>
      </c>
      <c r="AC808" s="32">
        <v>11</v>
      </c>
      <c r="AD808" s="32">
        <v>16</v>
      </c>
      <c r="AE808" s="32">
        <v>0</v>
      </c>
      <c r="AF808" s="32" t="s">
        <v>200</v>
      </c>
      <c r="AG808" s="32" t="s">
        <v>200</v>
      </c>
    </row>
    <row r="809" spans="1:33">
      <c r="A809" s="32" t="s">
        <v>3054</v>
      </c>
      <c r="B809" s="32" t="s">
        <v>93</v>
      </c>
      <c r="C809" s="32" t="s">
        <v>3055</v>
      </c>
      <c r="D809" s="32" t="s">
        <v>3056</v>
      </c>
      <c r="E809" s="32" t="s">
        <v>3052</v>
      </c>
      <c r="F809" s="32" t="s">
        <v>3053</v>
      </c>
      <c r="G809" s="32" t="s">
        <v>2164</v>
      </c>
      <c r="H809" s="32" t="s">
        <v>2165</v>
      </c>
      <c r="I809" s="32" t="s">
        <v>198</v>
      </c>
      <c r="J809" s="32" t="s">
        <v>199</v>
      </c>
      <c r="K809" s="32">
        <v>2.5656819999999998</v>
      </c>
      <c r="L809" s="33">
        <v>1695</v>
      </c>
      <c r="M809" s="32">
        <v>296</v>
      </c>
      <c r="N809" s="32">
        <v>462</v>
      </c>
      <c r="O809" s="32">
        <v>466</v>
      </c>
      <c r="P809" s="32">
        <v>359</v>
      </c>
      <c r="Q809" s="32">
        <v>112</v>
      </c>
      <c r="R809" s="32" t="s">
        <v>302</v>
      </c>
      <c r="S809" s="32">
        <v>48.633400000000002</v>
      </c>
      <c r="T809" s="32">
        <v>25.580400000000001</v>
      </c>
      <c r="U809" s="32">
        <v>0.95004789199999995</v>
      </c>
      <c r="V809" s="32">
        <v>3</v>
      </c>
      <c r="W809" s="32">
        <v>0.91</v>
      </c>
      <c r="X809" s="32">
        <v>0.17963799999999999</v>
      </c>
      <c r="Y809" s="32">
        <v>0.7</v>
      </c>
      <c r="Z809" s="32">
        <v>0.76855200000000001</v>
      </c>
      <c r="AA809" s="32">
        <v>51.8</v>
      </c>
      <c r="AB809" s="32">
        <v>316</v>
      </c>
      <c r="AC809" s="32">
        <v>17</v>
      </c>
      <c r="AD809" s="32">
        <v>24</v>
      </c>
      <c r="AE809" s="32">
        <v>0</v>
      </c>
      <c r="AF809" s="32" t="s">
        <v>200</v>
      </c>
      <c r="AG809" s="32" t="s">
        <v>200</v>
      </c>
    </row>
    <row r="810" spans="1:33">
      <c r="A810" s="32" t="s">
        <v>3057</v>
      </c>
      <c r="B810" s="32" t="s">
        <v>93</v>
      </c>
      <c r="C810" s="32" t="s">
        <v>3058</v>
      </c>
      <c r="D810" s="32" t="s">
        <v>3059</v>
      </c>
      <c r="E810" s="32" t="s">
        <v>3052</v>
      </c>
      <c r="F810" s="32" t="s">
        <v>3053</v>
      </c>
      <c r="G810" s="32" t="s">
        <v>2164</v>
      </c>
      <c r="H810" s="32" t="s">
        <v>2165</v>
      </c>
      <c r="I810" s="32" t="s">
        <v>198</v>
      </c>
      <c r="J810" s="32" t="s">
        <v>199</v>
      </c>
      <c r="K810" s="32">
        <v>2.6737009999999999</v>
      </c>
      <c r="L810" s="33">
        <v>2382</v>
      </c>
      <c r="M810" s="32">
        <v>378</v>
      </c>
      <c r="N810" s="32">
        <v>814</v>
      </c>
      <c r="O810" s="32">
        <v>719</v>
      </c>
      <c r="P810" s="32">
        <v>385</v>
      </c>
      <c r="Q810" s="32">
        <v>86</v>
      </c>
      <c r="R810" s="32">
        <v>4</v>
      </c>
      <c r="S810" s="32">
        <v>44.7744</v>
      </c>
      <c r="T810" s="32">
        <v>0</v>
      </c>
      <c r="U810" s="32">
        <v>0.74270752200000001</v>
      </c>
      <c r="V810" s="32">
        <v>4</v>
      </c>
      <c r="W810" s="32">
        <v>0.90204700000000004</v>
      </c>
      <c r="X810" s="32">
        <v>0.18906300000000001</v>
      </c>
      <c r="Y810" s="32">
        <v>0.7</v>
      </c>
      <c r="Z810" s="32">
        <v>0.882965</v>
      </c>
      <c r="AA810" s="32">
        <v>55.9</v>
      </c>
      <c r="AB810" s="32">
        <v>385</v>
      </c>
      <c r="AC810" s="32">
        <v>20</v>
      </c>
      <c r="AD810" s="32">
        <v>12</v>
      </c>
      <c r="AE810" s="32">
        <v>0</v>
      </c>
      <c r="AF810" s="32">
        <v>0</v>
      </c>
      <c r="AG810" s="32" t="s">
        <v>200</v>
      </c>
    </row>
    <row r="811" spans="1:33">
      <c r="A811" s="32" t="s">
        <v>3060</v>
      </c>
      <c r="B811" s="32" t="s">
        <v>93</v>
      </c>
      <c r="C811" s="32" t="s">
        <v>3061</v>
      </c>
      <c r="D811" s="32" t="s">
        <v>3062</v>
      </c>
      <c r="E811" s="32" t="s">
        <v>2179</v>
      </c>
      <c r="F811" s="32" t="s">
        <v>2180</v>
      </c>
      <c r="G811" s="32" t="s">
        <v>2164</v>
      </c>
      <c r="H811" s="32" t="s">
        <v>2165</v>
      </c>
      <c r="I811" s="32" t="s">
        <v>198</v>
      </c>
      <c r="J811" s="32" t="s">
        <v>199</v>
      </c>
      <c r="K811" s="32">
        <v>2.6808380000000001</v>
      </c>
      <c r="L811" s="33">
        <v>1583</v>
      </c>
      <c r="M811" s="32">
        <v>241</v>
      </c>
      <c r="N811" s="32">
        <v>500</v>
      </c>
      <c r="O811" s="32">
        <v>420</v>
      </c>
      <c r="P811" s="32">
        <v>302</v>
      </c>
      <c r="Q811" s="32">
        <v>120</v>
      </c>
      <c r="R811" s="32" t="s">
        <v>302</v>
      </c>
      <c r="S811" s="32">
        <v>52.968400000000003</v>
      </c>
      <c r="T811" s="32">
        <v>18.411999999999999</v>
      </c>
      <c r="U811" s="32">
        <v>1.0378488459999999</v>
      </c>
      <c r="V811" s="32">
        <v>2</v>
      </c>
      <c r="W811" s="32">
        <v>0.91122800000000004</v>
      </c>
      <c r="X811" s="32">
        <v>0.239701</v>
      </c>
      <c r="Y811" s="32">
        <v>0.7</v>
      </c>
      <c r="Z811" s="32">
        <v>0.824627</v>
      </c>
      <c r="AA811" s="32">
        <v>61.6</v>
      </c>
      <c r="AB811" s="32">
        <v>274</v>
      </c>
      <c r="AC811" s="32">
        <v>13</v>
      </c>
      <c r="AD811" s="32">
        <v>25</v>
      </c>
      <c r="AE811" s="32" t="s">
        <v>200</v>
      </c>
      <c r="AF811" s="32" t="s">
        <v>200</v>
      </c>
      <c r="AG811" s="32" t="s">
        <v>200</v>
      </c>
    </row>
    <row r="812" spans="1:33">
      <c r="A812" s="32" t="s">
        <v>3063</v>
      </c>
      <c r="B812" s="32" t="s">
        <v>90</v>
      </c>
      <c r="C812" s="32" t="s">
        <v>3064</v>
      </c>
      <c r="D812" s="32" t="s">
        <v>3065</v>
      </c>
      <c r="E812" s="32" t="s">
        <v>3066</v>
      </c>
      <c r="F812" s="32" t="s">
        <v>3067</v>
      </c>
      <c r="G812" s="32" t="s">
        <v>2759</v>
      </c>
      <c r="H812" s="32" t="s">
        <v>2760</v>
      </c>
      <c r="I812" s="32" t="s">
        <v>198</v>
      </c>
      <c r="J812" s="32" t="s">
        <v>199</v>
      </c>
      <c r="K812" s="32">
        <v>2.1875</v>
      </c>
      <c r="L812" s="33">
        <v>1660</v>
      </c>
      <c r="M812" s="32">
        <v>313</v>
      </c>
      <c r="N812" s="32">
        <v>239</v>
      </c>
      <c r="O812" s="32">
        <v>364</v>
      </c>
      <c r="P812" s="32">
        <v>448</v>
      </c>
      <c r="Q812" s="32">
        <v>296</v>
      </c>
      <c r="R812" s="32" t="s">
        <v>225</v>
      </c>
      <c r="S812" s="32">
        <v>10.675800000000001</v>
      </c>
      <c r="T812" s="32">
        <v>0</v>
      </c>
      <c r="U812" s="32">
        <v>0.87143073000000004</v>
      </c>
      <c r="V812" s="32">
        <v>6</v>
      </c>
      <c r="W812" s="32">
        <v>0.90143799999999996</v>
      </c>
      <c r="X812" s="32">
        <v>2.8000000000000001E-2</v>
      </c>
      <c r="Y812" s="32">
        <v>0.86070999999999998</v>
      </c>
      <c r="Z812" s="32">
        <v>0.39756900000000001</v>
      </c>
      <c r="AA812" s="32">
        <v>60.4</v>
      </c>
      <c r="AB812" s="32">
        <v>759</v>
      </c>
      <c r="AC812" s="32">
        <v>42</v>
      </c>
      <c r="AD812" s="32">
        <v>24</v>
      </c>
      <c r="AE812" s="32">
        <v>0</v>
      </c>
      <c r="AF812" s="32" t="s">
        <v>200</v>
      </c>
      <c r="AG812" s="32" t="s">
        <v>200</v>
      </c>
    </row>
    <row r="813" spans="1:33">
      <c r="A813" s="32" t="s">
        <v>3068</v>
      </c>
      <c r="B813" s="32" t="s">
        <v>90</v>
      </c>
      <c r="C813" s="32" t="s">
        <v>3069</v>
      </c>
      <c r="D813" s="32" t="s">
        <v>3070</v>
      </c>
      <c r="E813" s="32" t="s">
        <v>3066</v>
      </c>
      <c r="F813" s="32" t="s">
        <v>3067</v>
      </c>
      <c r="G813" s="32" t="s">
        <v>2759</v>
      </c>
      <c r="H813" s="32" t="s">
        <v>2760</v>
      </c>
      <c r="I813" s="32" t="s">
        <v>198</v>
      </c>
      <c r="J813" s="32" t="s">
        <v>199</v>
      </c>
      <c r="K813" s="32">
        <v>2.2077200000000001</v>
      </c>
      <c r="L813" s="33">
        <v>1793</v>
      </c>
      <c r="M813" s="32">
        <v>369</v>
      </c>
      <c r="N813" s="32">
        <v>268</v>
      </c>
      <c r="O813" s="32">
        <v>438</v>
      </c>
      <c r="P813" s="32">
        <v>437</v>
      </c>
      <c r="Q813" s="32">
        <v>281</v>
      </c>
      <c r="R813" s="32">
        <v>4</v>
      </c>
      <c r="S813" s="32">
        <v>20.279199999999999</v>
      </c>
      <c r="T813" s="32">
        <v>12.1654</v>
      </c>
      <c r="U813" s="32">
        <v>0.94689820800000002</v>
      </c>
      <c r="V813" s="32">
        <v>5</v>
      </c>
      <c r="W813" s="32">
        <v>0.90700199999999997</v>
      </c>
      <c r="X813" s="32">
        <v>0.11651499999999999</v>
      </c>
      <c r="Y813" s="32">
        <v>0.8</v>
      </c>
      <c r="Z813" s="32">
        <v>0.39187699999999998</v>
      </c>
      <c r="AA813" s="32">
        <v>67.099999999999994</v>
      </c>
      <c r="AB813" s="32">
        <v>487</v>
      </c>
      <c r="AC813" s="32">
        <v>30</v>
      </c>
      <c r="AD813" s="32">
        <v>30</v>
      </c>
      <c r="AE813" s="32">
        <v>0</v>
      </c>
      <c r="AF813" s="32" t="s">
        <v>200</v>
      </c>
      <c r="AG813" s="32" t="s">
        <v>200</v>
      </c>
    </row>
    <row r="814" spans="1:33">
      <c r="A814" s="32" t="s">
        <v>3071</v>
      </c>
      <c r="B814" s="32" t="s">
        <v>90</v>
      </c>
      <c r="C814" s="32" t="s">
        <v>3072</v>
      </c>
      <c r="D814" s="32" t="s">
        <v>3073</v>
      </c>
      <c r="E814" s="32" t="s">
        <v>3074</v>
      </c>
      <c r="F814" s="32" t="s">
        <v>3075</v>
      </c>
      <c r="G814" s="32" t="s">
        <v>2759</v>
      </c>
      <c r="H814" s="32" t="s">
        <v>2760</v>
      </c>
      <c r="I814" s="32" t="s">
        <v>198</v>
      </c>
      <c r="J814" s="32" t="s">
        <v>199</v>
      </c>
      <c r="K814" s="32">
        <v>2.146401</v>
      </c>
      <c r="L814" s="33">
        <v>1727</v>
      </c>
      <c r="M814" s="32">
        <v>308</v>
      </c>
      <c r="N814" s="32">
        <v>256</v>
      </c>
      <c r="O814" s="32">
        <v>364</v>
      </c>
      <c r="P814" s="32">
        <v>515</v>
      </c>
      <c r="Q814" s="32">
        <v>284</v>
      </c>
      <c r="R814" s="32">
        <v>2</v>
      </c>
      <c r="S814" s="32">
        <v>12.686400000000001</v>
      </c>
      <c r="T814" s="32">
        <v>2.7839999999999998</v>
      </c>
      <c r="U814" s="32">
        <v>0.89333109099999997</v>
      </c>
      <c r="V814" s="32">
        <v>6</v>
      </c>
      <c r="W814" s="32">
        <v>0.9</v>
      </c>
      <c r="X814" s="32">
        <v>3.385E-3</v>
      </c>
      <c r="Y814" s="32">
        <v>0.84055299999999999</v>
      </c>
      <c r="Z814" s="32">
        <v>0.40015299999999998</v>
      </c>
      <c r="AA814" s="32">
        <v>65.3</v>
      </c>
      <c r="AB814" s="32">
        <v>631</v>
      </c>
      <c r="AC814" s="32">
        <v>18</v>
      </c>
      <c r="AD814" s="32">
        <v>21</v>
      </c>
      <c r="AE814" s="32">
        <v>0</v>
      </c>
      <c r="AF814" s="32" t="s">
        <v>200</v>
      </c>
      <c r="AG814" s="32">
        <v>5</v>
      </c>
    </row>
    <row r="815" spans="1:33">
      <c r="A815" s="32" t="s">
        <v>3076</v>
      </c>
      <c r="B815" s="32" t="s">
        <v>90</v>
      </c>
      <c r="C815" s="32" t="s">
        <v>3077</v>
      </c>
      <c r="D815" s="32" t="s">
        <v>3078</v>
      </c>
      <c r="E815" s="32" t="s">
        <v>3074</v>
      </c>
      <c r="F815" s="32" t="s">
        <v>3075</v>
      </c>
      <c r="G815" s="32" t="s">
        <v>2759</v>
      </c>
      <c r="H815" s="32" t="s">
        <v>2760</v>
      </c>
      <c r="I815" s="32" t="s">
        <v>198</v>
      </c>
      <c r="J815" s="32" t="s">
        <v>199</v>
      </c>
      <c r="K815" s="32">
        <v>2.3134190000000001</v>
      </c>
      <c r="L815" s="33">
        <v>2909</v>
      </c>
      <c r="M815" s="32">
        <v>592</v>
      </c>
      <c r="N815" s="32">
        <v>565</v>
      </c>
      <c r="O815" s="32">
        <v>765</v>
      </c>
      <c r="P815" s="32">
        <v>674</v>
      </c>
      <c r="Q815" s="32">
        <v>313</v>
      </c>
      <c r="R815" s="32">
        <v>3</v>
      </c>
      <c r="S815" s="32">
        <v>18.3566</v>
      </c>
      <c r="T815" s="32">
        <v>3.1998700000000002</v>
      </c>
      <c r="U815" s="32">
        <v>0.93491095899999999</v>
      </c>
      <c r="V815" s="32">
        <v>4</v>
      </c>
      <c r="W815" s="32">
        <v>0.90266500000000005</v>
      </c>
      <c r="X815" s="32">
        <v>0.22745099999999999</v>
      </c>
      <c r="Y815" s="32">
        <v>0.8</v>
      </c>
      <c r="Z815" s="32">
        <v>0.378967</v>
      </c>
      <c r="AA815" s="32">
        <v>65.599999999999994</v>
      </c>
      <c r="AB815" s="32">
        <v>704</v>
      </c>
      <c r="AC815" s="32">
        <v>78</v>
      </c>
      <c r="AD815" s="32">
        <v>48</v>
      </c>
      <c r="AE815" s="32" t="s">
        <v>200</v>
      </c>
      <c r="AF815" s="32" t="s">
        <v>200</v>
      </c>
      <c r="AG815" s="32" t="s">
        <v>200</v>
      </c>
    </row>
    <row r="816" spans="1:33">
      <c r="A816" s="32" t="s">
        <v>3079</v>
      </c>
      <c r="B816" s="32" t="s">
        <v>90</v>
      </c>
      <c r="C816" s="32" t="s">
        <v>3080</v>
      </c>
      <c r="D816" s="32" t="s">
        <v>3081</v>
      </c>
      <c r="E816" s="32" t="s">
        <v>3066</v>
      </c>
      <c r="F816" s="32" t="s">
        <v>3067</v>
      </c>
      <c r="G816" s="32" t="s">
        <v>2759</v>
      </c>
      <c r="H816" s="32" t="s">
        <v>2760</v>
      </c>
      <c r="I816" s="32" t="s">
        <v>198</v>
      </c>
      <c r="J816" s="32" t="s">
        <v>199</v>
      </c>
      <c r="K816" s="32">
        <v>2.1952379999999998</v>
      </c>
      <c r="L816" s="33">
        <v>2010</v>
      </c>
      <c r="M816" s="32">
        <v>502</v>
      </c>
      <c r="N816" s="32">
        <v>325</v>
      </c>
      <c r="O816" s="32">
        <v>474</v>
      </c>
      <c r="P816" s="32">
        <v>463</v>
      </c>
      <c r="Q816" s="32">
        <v>246</v>
      </c>
      <c r="R816" s="32">
        <v>3</v>
      </c>
      <c r="S816" s="32">
        <v>16.915199999999999</v>
      </c>
      <c r="T816" s="32">
        <v>9.9628399999999999</v>
      </c>
      <c r="U816" s="32">
        <v>1.088198097</v>
      </c>
      <c r="V816" s="32">
        <v>3</v>
      </c>
      <c r="W816" s="32">
        <v>0.90289900000000001</v>
      </c>
      <c r="X816" s="32">
        <v>8.9570999999999998E-2</v>
      </c>
      <c r="Y816" s="32">
        <v>0.8</v>
      </c>
      <c r="Z816" s="32">
        <v>0.4</v>
      </c>
      <c r="AA816" s="32">
        <v>62.3</v>
      </c>
      <c r="AB816" s="32">
        <v>531</v>
      </c>
      <c r="AC816" s="32">
        <v>33</v>
      </c>
      <c r="AD816" s="32">
        <v>38</v>
      </c>
      <c r="AE816" s="32">
        <v>0</v>
      </c>
      <c r="AF816" s="32">
        <v>0</v>
      </c>
      <c r="AG816" s="32" t="s">
        <v>200</v>
      </c>
    </row>
    <row r="817" spans="1:33">
      <c r="A817" s="32" t="s">
        <v>3082</v>
      </c>
      <c r="B817" s="32" t="s">
        <v>90</v>
      </c>
      <c r="C817" s="32" t="s">
        <v>3083</v>
      </c>
      <c r="D817" s="32" t="s">
        <v>3084</v>
      </c>
      <c r="E817" s="32" t="s">
        <v>3066</v>
      </c>
      <c r="F817" s="32" t="s">
        <v>3067</v>
      </c>
      <c r="G817" s="32" t="s">
        <v>2759</v>
      </c>
      <c r="H817" s="32" t="s">
        <v>2760</v>
      </c>
      <c r="I817" s="32" t="s">
        <v>198</v>
      </c>
      <c r="J817" s="32" t="s">
        <v>199</v>
      </c>
      <c r="K817" s="32">
        <v>2.198315</v>
      </c>
      <c r="L817" s="33">
        <v>2425</v>
      </c>
      <c r="M817" s="32">
        <v>585</v>
      </c>
      <c r="N817" s="32">
        <v>379</v>
      </c>
      <c r="O817" s="32">
        <v>666</v>
      </c>
      <c r="P817" s="32">
        <v>514</v>
      </c>
      <c r="Q817" s="32">
        <v>281</v>
      </c>
      <c r="R817" s="32">
        <v>3</v>
      </c>
      <c r="S817" s="32">
        <v>14.297700000000001</v>
      </c>
      <c r="T817" s="32">
        <v>3.1387299999999998</v>
      </c>
      <c r="U817" s="32">
        <v>0.97844790199999998</v>
      </c>
      <c r="V817" s="32">
        <v>4</v>
      </c>
      <c r="W817" s="32">
        <v>0.90318399999999999</v>
      </c>
      <c r="X817" s="32">
        <v>7.8212000000000004E-2</v>
      </c>
      <c r="Y817" s="32">
        <v>0.81340800000000002</v>
      </c>
      <c r="Z817" s="32">
        <v>0.4</v>
      </c>
      <c r="AA817" s="32">
        <v>63.8</v>
      </c>
      <c r="AB817" s="32">
        <v>626</v>
      </c>
      <c r="AC817" s="32">
        <v>42</v>
      </c>
      <c r="AD817" s="32">
        <v>25</v>
      </c>
      <c r="AE817" s="32" t="s">
        <v>200</v>
      </c>
      <c r="AF817" s="32">
        <v>0</v>
      </c>
      <c r="AG817" s="32" t="s">
        <v>200</v>
      </c>
    </row>
    <row r="818" spans="1:33">
      <c r="A818" s="32" t="s">
        <v>3085</v>
      </c>
      <c r="B818" s="32" t="s">
        <v>90</v>
      </c>
      <c r="C818" s="32" t="s">
        <v>3086</v>
      </c>
      <c r="D818" s="32" t="s">
        <v>3087</v>
      </c>
      <c r="E818" s="32" t="s">
        <v>3006</v>
      </c>
      <c r="F818" s="32" t="s">
        <v>3007</v>
      </c>
      <c r="G818" s="32" t="s">
        <v>2759</v>
      </c>
      <c r="H818" s="32" t="s">
        <v>2760</v>
      </c>
      <c r="I818" s="32" t="s">
        <v>198</v>
      </c>
      <c r="J818" s="32" t="s">
        <v>199</v>
      </c>
      <c r="K818" s="32">
        <v>2.316919</v>
      </c>
      <c r="L818" s="33">
        <v>1420</v>
      </c>
      <c r="M818" s="32">
        <v>303</v>
      </c>
      <c r="N818" s="32">
        <v>244</v>
      </c>
      <c r="O818" s="32">
        <v>285</v>
      </c>
      <c r="P818" s="32">
        <v>369</v>
      </c>
      <c r="Q818" s="32">
        <v>219</v>
      </c>
      <c r="R818" s="32">
        <v>2</v>
      </c>
      <c r="S818" s="32">
        <v>8.1755899999999997</v>
      </c>
      <c r="T818" s="32">
        <v>4.5116300000000003</v>
      </c>
      <c r="U818" s="32">
        <v>0.87963688900000003</v>
      </c>
      <c r="V818" s="32">
        <v>4</v>
      </c>
      <c r="W818" s="32">
        <v>0.90479799999999999</v>
      </c>
      <c r="X818" s="32">
        <v>7.9597000000000001E-2</v>
      </c>
      <c r="Y818" s="32">
        <v>0.89822299999999999</v>
      </c>
      <c r="Z818" s="32">
        <v>0.42944199999999999</v>
      </c>
      <c r="AA818" s="32">
        <v>74.7</v>
      </c>
      <c r="AB818" s="32">
        <v>459</v>
      </c>
      <c r="AC818" s="32">
        <v>26</v>
      </c>
      <c r="AD818" s="32">
        <v>20</v>
      </c>
      <c r="AE818" s="32">
        <v>0</v>
      </c>
      <c r="AF818" s="32" t="s">
        <v>200</v>
      </c>
      <c r="AG818" s="32" t="s">
        <v>200</v>
      </c>
    </row>
    <row r="819" spans="1:33">
      <c r="A819" s="32" t="s">
        <v>3088</v>
      </c>
      <c r="B819" s="32" t="s">
        <v>90</v>
      </c>
      <c r="C819" s="32" t="s">
        <v>3089</v>
      </c>
      <c r="D819" s="32" t="s">
        <v>3090</v>
      </c>
      <c r="E819" s="32" t="s">
        <v>3006</v>
      </c>
      <c r="F819" s="32" t="s">
        <v>3007</v>
      </c>
      <c r="G819" s="32" t="s">
        <v>2759</v>
      </c>
      <c r="H819" s="32" t="s">
        <v>2760</v>
      </c>
      <c r="I819" s="32" t="s">
        <v>198</v>
      </c>
      <c r="J819" s="32" t="s">
        <v>199</v>
      </c>
      <c r="K819" s="32">
        <v>2.4947870000000001</v>
      </c>
      <c r="L819" s="33">
        <v>1780</v>
      </c>
      <c r="M819" s="32">
        <v>441</v>
      </c>
      <c r="N819" s="32">
        <v>303</v>
      </c>
      <c r="O819" s="32">
        <v>417</v>
      </c>
      <c r="P819" s="32">
        <v>425</v>
      </c>
      <c r="Q819" s="32">
        <v>194</v>
      </c>
      <c r="R819" s="32">
        <v>2</v>
      </c>
      <c r="S819" s="32">
        <v>13.200799999999999</v>
      </c>
      <c r="T819" s="32">
        <v>4.1143299999999998</v>
      </c>
      <c r="U819" s="32">
        <v>0.81646979399999997</v>
      </c>
      <c r="V819" s="32">
        <v>4</v>
      </c>
      <c r="W819" s="32">
        <v>0.90734599999999999</v>
      </c>
      <c r="X819" s="32">
        <v>0.16713</v>
      </c>
      <c r="Y819" s="32">
        <v>0.9</v>
      </c>
      <c r="Z819" s="32">
        <v>0.51412000000000002</v>
      </c>
      <c r="AA819" s="32">
        <v>84.9</v>
      </c>
      <c r="AB819" s="32">
        <v>522</v>
      </c>
      <c r="AC819" s="32">
        <v>22</v>
      </c>
      <c r="AD819" s="32">
        <v>24</v>
      </c>
      <c r="AE819" s="32">
        <v>0</v>
      </c>
      <c r="AF819" s="32">
        <v>0</v>
      </c>
      <c r="AG819" s="32" t="s">
        <v>200</v>
      </c>
    </row>
    <row r="820" spans="1:33">
      <c r="A820" s="32" t="s">
        <v>3091</v>
      </c>
      <c r="B820" s="32" t="s">
        <v>90</v>
      </c>
      <c r="C820" s="32" t="s">
        <v>3092</v>
      </c>
      <c r="D820" s="32" t="s">
        <v>3093</v>
      </c>
      <c r="E820" s="32" t="s">
        <v>3094</v>
      </c>
      <c r="F820" s="32" t="s">
        <v>3095</v>
      </c>
      <c r="G820" s="32" t="s">
        <v>1232</v>
      </c>
      <c r="H820" s="32" t="s">
        <v>1233</v>
      </c>
      <c r="I820" s="32" t="s">
        <v>198</v>
      </c>
      <c r="J820" s="32" t="s">
        <v>199</v>
      </c>
      <c r="K820" s="32">
        <v>2.5060090000000002</v>
      </c>
      <c r="L820" s="33">
        <v>2194</v>
      </c>
      <c r="M820" s="32">
        <v>391</v>
      </c>
      <c r="N820" s="32">
        <v>444</v>
      </c>
      <c r="O820" s="32">
        <v>749</v>
      </c>
      <c r="P820" s="32">
        <v>471</v>
      </c>
      <c r="Q820" s="32">
        <v>139</v>
      </c>
      <c r="R820" s="32">
        <v>5</v>
      </c>
      <c r="S820" s="32">
        <v>32.499200000000002</v>
      </c>
      <c r="T820" s="32">
        <v>15.154</v>
      </c>
      <c r="U820" s="32">
        <v>0.87971571400000004</v>
      </c>
      <c r="V820" s="32">
        <v>4</v>
      </c>
      <c r="W820" s="32">
        <v>0.90536499999999998</v>
      </c>
      <c r="X820" s="32">
        <v>0.27311800000000003</v>
      </c>
      <c r="Y820" s="32">
        <v>0.8</v>
      </c>
      <c r="Z820" s="32">
        <v>0.53440200000000004</v>
      </c>
      <c r="AA820" s="32">
        <v>41.8</v>
      </c>
      <c r="AB820" s="32">
        <v>413</v>
      </c>
      <c r="AC820" s="32">
        <v>37</v>
      </c>
      <c r="AD820" s="32">
        <v>29</v>
      </c>
      <c r="AE820" s="32">
        <v>0</v>
      </c>
      <c r="AF820" s="32">
        <v>0</v>
      </c>
      <c r="AG820" s="32" t="s">
        <v>200</v>
      </c>
    </row>
    <row r="821" spans="1:33">
      <c r="A821" s="32" t="s">
        <v>3096</v>
      </c>
      <c r="B821" s="32" t="s">
        <v>90</v>
      </c>
      <c r="C821" s="32" t="s">
        <v>3097</v>
      </c>
      <c r="D821" s="32" t="s">
        <v>3098</v>
      </c>
      <c r="E821" s="32" t="s">
        <v>3094</v>
      </c>
      <c r="F821" s="32" t="s">
        <v>3095</v>
      </c>
      <c r="G821" s="32" t="s">
        <v>1232</v>
      </c>
      <c r="H821" s="32" t="s">
        <v>1233</v>
      </c>
      <c r="I821" s="32" t="s">
        <v>198</v>
      </c>
      <c r="J821" s="32" t="s">
        <v>199</v>
      </c>
      <c r="K821" s="32">
        <v>2.4849570000000001</v>
      </c>
      <c r="L821" s="33">
        <v>2407</v>
      </c>
      <c r="M821" s="32">
        <v>456</v>
      </c>
      <c r="N821" s="32">
        <v>503</v>
      </c>
      <c r="O821" s="32">
        <v>908</v>
      </c>
      <c r="P821" s="32">
        <v>401</v>
      </c>
      <c r="Q821" s="32">
        <v>139</v>
      </c>
      <c r="R821" s="32">
        <v>5</v>
      </c>
      <c r="S821" s="32">
        <v>40.700600000000001</v>
      </c>
      <c r="T821" s="32">
        <v>13.0443</v>
      </c>
      <c r="U821" s="32">
        <v>0.794264521</v>
      </c>
      <c r="V821" s="32">
        <v>4</v>
      </c>
      <c r="W821" s="32">
        <v>0.90256400000000003</v>
      </c>
      <c r="X821" s="32">
        <v>0.296068</v>
      </c>
      <c r="Y821" s="32">
        <v>0.8</v>
      </c>
      <c r="Z821" s="32">
        <v>0.49795200000000001</v>
      </c>
      <c r="AA821" s="32">
        <v>38.9</v>
      </c>
      <c r="AB821" s="32">
        <v>481</v>
      </c>
      <c r="AC821" s="32">
        <v>30</v>
      </c>
      <c r="AD821" s="32">
        <v>23</v>
      </c>
      <c r="AE821" s="32">
        <v>0</v>
      </c>
      <c r="AF821" s="32">
        <v>0</v>
      </c>
      <c r="AG821" s="32">
        <v>0</v>
      </c>
    </row>
    <row r="822" spans="1:33">
      <c r="A822" s="32" t="s">
        <v>3099</v>
      </c>
      <c r="B822" s="32" t="s">
        <v>90</v>
      </c>
      <c r="C822" s="32" t="s">
        <v>3100</v>
      </c>
      <c r="D822" s="32" t="s">
        <v>3101</v>
      </c>
      <c r="E822" s="32" t="s">
        <v>3102</v>
      </c>
      <c r="F822" s="32" t="s">
        <v>3103</v>
      </c>
      <c r="G822" s="32" t="s">
        <v>1232</v>
      </c>
      <c r="H822" s="32" t="s">
        <v>1233</v>
      </c>
      <c r="I822" s="32" t="s">
        <v>198</v>
      </c>
      <c r="J822" s="32" t="s">
        <v>199</v>
      </c>
      <c r="K822" s="32">
        <v>2.275617</v>
      </c>
      <c r="L822" s="33">
        <v>1721</v>
      </c>
      <c r="M822" s="32">
        <v>360</v>
      </c>
      <c r="N822" s="32">
        <v>311</v>
      </c>
      <c r="O822" s="32">
        <v>589</v>
      </c>
      <c r="P822" s="32">
        <v>359</v>
      </c>
      <c r="Q822" s="32">
        <v>102</v>
      </c>
      <c r="R822" s="32">
        <v>5</v>
      </c>
      <c r="S822" s="32">
        <v>31.506799999999998</v>
      </c>
      <c r="T822" s="32">
        <v>11.990399999999999</v>
      </c>
      <c r="U822" s="32">
        <v>0.90482763899999996</v>
      </c>
      <c r="V822" s="32">
        <v>5</v>
      </c>
      <c r="W822" s="32">
        <v>0.90463000000000005</v>
      </c>
      <c r="X822" s="32">
        <v>8.1595000000000001E-2</v>
      </c>
      <c r="Y822" s="32">
        <v>0.8</v>
      </c>
      <c r="Z822" s="32">
        <v>0.48868499999999998</v>
      </c>
      <c r="AA822" s="32">
        <v>46</v>
      </c>
      <c r="AB822" s="32">
        <v>316</v>
      </c>
      <c r="AC822" s="32">
        <v>18</v>
      </c>
      <c r="AD822" s="32">
        <v>29</v>
      </c>
      <c r="AE822" s="32">
        <v>0</v>
      </c>
      <c r="AF822" s="32" t="s">
        <v>200</v>
      </c>
      <c r="AG822" s="32">
        <v>0</v>
      </c>
    </row>
    <row r="823" spans="1:33">
      <c r="A823" s="32" t="s">
        <v>3104</v>
      </c>
      <c r="B823" s="32" t="s">
        <v>90</v>
      </c>
      <c r="C823" s="32" t="s">
        <v>3105</v>
      </c>
      <c r="D823" s="32" t="s">
        <v>3106</v>
      </c>
      <c r="E823" s="32" t="s">
        <v>3094</v>
      </c>
      <c r="F823" s="32" t="s">
        <v>3095</v>
      </c>
      <c r="G823" s="32" t="s">
        <v>1232</v>
      </c>
      <c r="H823" s="32" t="s">
        <v>1233</v>
      </c>
      <c r="I823" s="32" t="s">
        <v>198</v>
      </c>
      <c r="J823" s="32" t="s">
        <v>199</v>
      </c>
      <c r="K823" s="32">
        <v>2.4911829999999999</v>
      </c>
      <c r="L823" s="33">
        <v>2714</v>
      </c>
      <c r="M823" s="32">
        <v>442</v>
      </c>
      <c r="N823" s="32">
        <v>570</v>
      </c>
      <c r="O823" s="32">
        <v>981</v>
      </c>
      <c r="P823" s="32">
        <v>550</v>
      </c>
      <c r="Q823" s="32">
        <v>171</v>
      </c>
      <c r="R823" s="32" t="s">
        <v>302</v>
      </c>
      <c r="S823" s="32">
        <v>40.337699999999998</v>
      </c>
      <c r="T823" s="32">
        <v>26.525400000000001</v>
      </c>
      <c r="U823" s="32">
        <v>1.0011948129999999</v>
      </c>
      <c r="V823" s="32">
        <v>3</v>
      </c>
      <c r="W823" s="32">
        <v>0.914385</v>
      </c>
      <c r="X823" s="32">
        <v>0.285057</v>
      </c>
      <c r="Y823" s="32">
        <v>0.79745999999999995</v>
      </c>
      <c r="Z823" s="32">
        <v>0.50209800000000004</v>
      </c>
      <c r="AA823" s="32">
        <v>40.299999999999997</v>
      </c>
      <c r="AB823" s="32">
        <v>432</v>
      </c>
      <c r="AC823" s="32">
        <v>53</v>
      </c>
      <c r="AD823" s="32">
        <v>36</v>
      </c>
      <c r="AE823" s="32">
        <v>0</v>
      </c>
      <c r="AF823" s="32" t="s">
        <v>200</v>
      </c>
      <c r="AG823" s="32" t="s">
        <v>200</v>
      </c>
    </row>
    <row r="824" spans="1:33">
      <c r="A824" s="32" t="s">
        <v>3107</v>
      </c>
      <c r="B824" s="32" t="s">
        <v>90</v>
      </c>
      <c r="C824" s="32" t="s">
        <v>3108</v>
      </c>
      <c r="D824" s="32" t="s">
        <v>3109</v>
      </c>
      <c r="E824" s="32" t="s">
        <v>3102</v>
      </c>
      <c r="F824" s="32" t="s">
        <v>3103</v>
      </c>
      <c r="G824" s="32" t="s">
        <v>1232</v>
      </c>
      <c r="H824" s="32" t="s">
        <v>1233</v>
      </c>
      <c r="I824" s="32" t="s">
        <v>198</v>
      </c>
      <c r="J824" s="32" t="s">
        <v>199</v>
      </c>
      <c r="K824" s="32">
        <v>2.2703700000000002</v>
      </c>
      <c r="L824" s="33">
        <v>1842</v>
      </c>
      <c r="M824" s="32">
        <v>376</v>
      </c>
      <c r="N824" s="32">
        <v>232</v>
      </c>
      <c r="O824" s="32">
        <v>534</v>
      </c>
      <c r="P824" s="32">
        <v>455</v>
      </c>
      <c r="Q824" s="32">
        <v>245</v>
      </c>
      <c r="R824" s="32">
        <v>4</v>
      </c>
      <c r="S824" s="32">
        <v>18.750399999999999</v>
      </c>
      <c r="T824" s="32">
        <v>8.4453700000000005</v>
      </c>
      <c r="U824" s="32">
        <v>0.99476230499999996</v>
      </c>
      <c r="V824" s="32">
        <v>4</v>
      </c>
      <c r="W824" s="32">
        <v>0.90584799999999999</v>
      </c>
      <c r="X824" s="32">
        <v>0.18585499999999999</v>
      </c>
      <c r="Y824" s="32">
        <v>0.8</v>
      </c>
      <c r="Z824" s="32">
        <v>0.37524200000000002</v>
      </c>
      <c r="AA824" s="32">
        <v>53.5</v>
      </c>
      <c r="AB824" s="32">
        <v>495</v>
      </c>
      <c r="AC824" s="32">
        <v>27</v>
      </c>
      <c r="AD824" s="32">
        <v>29</v>
      </c>
      <c r="AE824" s="32">
        <v>0</v>
      </c>
      <c r="AF824" s="32" t="s">
        <v>200</v>
      </c>
      <c r="AG824" s="32" t="s">
        <v>200</v>
      </c>
    </row>
    <row r="825" spans="1:33">
      <c r="A825" s="32" t="s">
        <v>3110</v>
      </c>
      <c r="B825" s="32" t="s">
        <v>90</v>
      </c>
      <c r="C825" s="32" t="s">
        <v>3111</v>
      </c>
      <c r="D825" s="32" t="s">
        <v>3112</v>
      </c>
      <c r="E825" s="32" t="s">
        <v>3102</v>
      </c>
      <c r="F825" s="32" t="s">
        <v>3103</v>
      </c>
      <c r="G825" s="32" t="s">
        <v>1232</v>
      </c>
      <c r="H825" s="32" t="s">
        <v>1233</v>
      </c>
      <c r="I825" s="32" t="s">
        <v>198</v>
      </c>
      <c r="J825" s="32" t="s">
        <v>199</v>
      </c>
      <c r="K825" s="32">
        <v>2.2953899999999998</v>
      </c>
      <c r="L825" s="33">
        <v>1537</v>
      </c>
      <c r="M825" s="32">
        <v>286</v>
      </c>
      <c r="N825" s="32">
        <v>217</v>
      </c>
      <c r="O825" s="32">
        <v>317</v>
      </c>
      <c r="P825" s="32">
        <v>460</v>
      </c>
      <c r="Q825" s="32">
        <v>257</v>
      </c>
      <c r="R825" s="32">
        <v>3</v>
      </c>
      <c r="S825" s="32">
        <v>31.039000000000001</v>
      </c>
      <c r="T825" s="32">
        <v>0</v>
      </c>
      <c r="U825" s="32">
        <v>0.86769420900000005</v>
      </c>
      <c r="V825" s="32">
        <v>6</v>
      </c>
      <c r="W825" s="32">
        <v>0.90574500000000002</v>
      </c>
      <c r="X825" s="32">
        <v>0.22808800000000001</v>
      </c>
      <c r="Y825" s="32">
        <v>0.77565499999999998</v>
      </c>
      <c r="Z825" s="32">
        <v>0.39630700000000002</v>
      </c>
      <c r="AA825" s="32">
        <v>36.6</v>
      </c>
      <c r="AB825" s="32">
        <v>550</v>
      </c>
      <c r="AC825" s="32">
        <v>21</v>
      </c>
      <c r="AD825" s="32">
        <v>37</v>
      </c>
      <c r="AE825" s="32" t="s">
        <v>200</v>
      </c>
      <c r="AF825" s="32" t="s">
        <v>200</v>
      </c>
      <c r="AG825" s="32">
        <v>5</v>
      </c>
    </row>
    <row r="826" spans="1:33">
      <c r="A826" s="32" t="s">
        <v>3113</v>
      </c>
      <c r="B826" s="32" t="s">
        <v>90</v>
      </c>
      <c r="C826" s="32" t="s">
        <v>3114</v>
      </c>
      <c r="D826" s="32" t="s">
        <v>3115</v>
      </c>
      <c r="E826" s="32" t="s">
        <v>3102</v>
      </c>
      <c r="F826" s="32" t="s">
        <v>3103</v>
      </c>
      <c r="G826" s="32" t="s">
        <v>1232</v>
      </c>
      <c r="H826" s="32" t="s">
        <v>1233</v>
      </c>
      <c r="I826" s="32" t="s">
        <v>198</v>
      </c>
      <c r="J826" s="32" t="s">
        <v>199</v>
      </c>
      <c r="K826" s="32">
        <v>2.3236840000000001</v>
      </c>
      <c r="L826" s="33">
        <v>1944</v>
      </c>
      <c r="M826" s="32">
        <v>304</v>
      </c>
      <c r="N826" s="32">
        <v>375</v>
      </c>
      <c r="O826" s="32">
        <v>681</v>
      </c>
      <c r="P826" s="32">
        <v>383</v>
      </c>
      <c r="Q826" s="32">
        <v>201</v>
      </c>
      <c r="R826" s="32">
        <v>4</v>
      </c>
      <c r="S826" s="32">
        <v>27.523399999999999</v>
      </c>
      <c r="T826" s="32">
        <v>11.7866</v>
      </c>
      <c r="U826" s="32">
        <v>0.958009526</v>
      </c>
      <c r="V826" s="32">
        <v>4</v>
      </c>
      <c r="W826" s="32">
        <v>0.90668000000000004</v>
      </c>
      <c r="X826" s="32">
        <v>0.17188800000000001</v>
      </c>
      <c r="Y826" s="32">
        <v>0.8</v>
      </c>
      <c r="Z826" s="32">
        <v>0.43939400000000001</v>
      </c>
      <c r="AA826" s="32">
        <v>42.2</v>
      </c>
      <c r="AB826" s="32">
        <v>345</v>
      </c>
      <c r="AC826" s="32">
        <v>27</v>
      </c>
      <c r="AD826" s="32">
        <v>36</v>
      </c>
      <c r="AE826" s="32">
        <v>0</v>
      </c>
      <c r="AF826" s="32">
        <v>0</v>
      </c>
      <c r="AG826" s="32" t="s">
        <v>200</v>
      </c>
    </row>
    <row r="827" spans="1:33">
      <c r="A827" s="32" t="s">
        <v>3116</v>
      </c>
      <c r="B827" s="32" t="s">
        <v>90</v>
      </c>
      <c r="C827" s="32" t="s">
        <v>3117</v>
      </c>
      <c r="D827" s="32" t="s">
        <v>3118</v>
      </c>
      <c r="E827" s="32" t="s">
        <v>3102</v>
      </c>
      <c r="F827" s="32" t="s">
        <v>3103</v>
      </c>
      <c r="G827" s="32" t="s">
        <v>1232</v>
      </c>
      <c r="H827" s="32" t="s">
        <v>1233</v>
      </c>
      <c r="I827" s="32" t="s">
        <v>198</v>
      </c>
      <c r="J827" s="32" t="s">
        <v>199</v>
      </c>
      <c r="K827" s="32">
        <v>2.248535</v>
      </c>
      <c r="L827" s="33">
        <v>2112</v>
      </c>
      <c r="M827" s="32">
        <v>408</v>
      </c>
      <c r="N827" s="32">
        <v>377</v>
      </c>
      <c r="O827" s="32">
        <v>635</v>
      </c>
      <c r="P827" s="32">
        <v>508</v>
      </c>
      <c r="Q827" s="32">
        <v>184</v>
      </c>
      <c r="R827" s="32">
        <v>4</v>
      </c>
      <c r="S827" s="32">
        <v>23.5579</v>
      </c>
      <c r="T827" s="32">
        <v>8.5126100000000005</v>
      </c>
      <c r="U827" s="32">
        <v>0.93637977299999997</v>
      </c>
      <c r="V827" s="32">
        <v>5</v>
      </c>
      <c r="W827" s="32">
        <v>0.90421200000000002</v>
      </c>
      <c r="X827" s="32">
        <v>0.143646</v>
      </c>
      <c r="Y827" s="32">
        <v>0.8</v>
      </c>
      <c r="Z827" s="32">
        <v>0.40256900000000001</v>
      </c>
      <c r="AA827" s="32">
        <v>46.7</v>
      </c>
      <c r="AB827" s="32">
        <v>615</v>
      </c>
      <c r="AC827" s="32">
        <v>53</v>
      </c>
      <c r="AD827" s="32">
        <v>30</v>
      </c>
      <c r="AE827" s="32" t="s">
        <v>200</v>
      </c>
      <c r="AF827" s="32">
        <v>0</v>
      </c>
      <c r="AG827" s="32">
        <v>0</v>
      </c>
    </row>
    <row r="828" spans="1:33">
      <c r="A828" s="32" t="s">
        <v>3119</v>
      </c>
      <c r="B828" s="32" t="s">
        <v>90</v>
      </c>
      <c r="C828" s="32" t="s">
        <v>3120</v>
      </c>
      <c r="D828" s="32" t="s">
        <v>3121</v>
      </c>
      <c r="E828" s="32" t="s">
        <v>3094</v>
      </c>
      <c r="F828" s="32" t="s">
        <v>3095</v>
      </c>
      <c r="G828" s="32" t="s">
        <v>1232</v>
      </c>
      <c r="H828" s="32" t="s">
        <v>1233</v>
      </c>
      <c r="I828" s="32" t="s">
        <v>198</v>
      </c>
      <c r="J828" s="32" t="s">
        <v>199</v>
      </c>
      <c r="K828" s="32">
        <v>2.3905059999999998</v>
      </c>
      <c r="L828" s="33">
        <v>1938</v>
      </c>
      <c r="M828" s="32">
        <v>431</v>
      </c>
      <c r="N828" s="32">
        <v>359</v>
      </c>
      <c r="O828" s="32">
        <v>625</v>
      </c>
      <c r="P828" s="32">
        <v>337</v>
      </c>
      <c r="Q828" s="32">
        <v>186</v>
      </c>
      <c r="R828" s="32">
        <v>5</v>
      </c>
      <c r="S828" s="32">
        <v>35.213000000000001</v>
      </c>
      <c r="T828" s="32">
        <v>3.2095899999999999</v>
      </c>
      <c r="U828" s="32">
        <v>1.036854908</v>
      </c>
      <c r="V828" s="32">
        <v>4</v>
      </c>
      <c r="W828" s="32">
        <v>0.907806</v>
      </c>
      <c r="X828" s="32">
        <v>0.223355</v>
      </c>
      <c r="Y828" s="32">
        <v>0.76885599999999998</v>
      </c>
      <c r="Z828" s="32">
        <v>0.49554100000000001</v>
      </c>
      <c r="AA828" s="32">
        <v>46.5</v>
      </c>
      <c r="AB828" s="32">
        <v>357</v>
      </c>
      <c r="AC828" s="32">
        <v>18</v>
      </c>
      <c r="AD828" s="32">
        <v>25</v>
      </c>
      <c r="AE828" s="32">
        <v>0</v>
      </c>
      <c r="AF828" s="32" t="s">
        <v>200</v>
      </c>
      <c r="AG828" s="32" t="s">
        <v>200</v>
      </c>
    </row>
    <row r="829" spans="1:33">
      <c r="A829" s="32" t="s">
        <v>3122</v>
      </c>
      <c r="B829" s="32" t="s">
        <v>90</v>
      </c>
      <c r="C829" s="32" t="s">
        <v>3123</v>
      </c>
      <c r="D829" s="32" t="s">
        <v>3124</v>
      </c>
      <c r="E829" s="32" t="s">
        <v>3125</v>
      </c>
      <c r="F829" s="32" t="s">
        <v>3126</v>
      </c>
      <c r="G829" s="32" t="s">
        <v>2759</v>
      </c>
      <c r="H829" s="32" t="s">
        <v>2760</v>
      </c>
      <c r="I829" s="32" t="s">
        <v>198</v>
      </c>
      <c r="J829" s="32" t="s">
        <v>199</v>
      </c>
      <c r="K829" s="32">
        <v>2.3777780000000002</v>
      </c>
      <c r="L829" s="33">
        <v>1646</v>
      </c>
      <c r="M829" s="32">
        <v>359</v>
      </c>
      <c r="N829" s="32">
        <v>269</v>
      </c>
      <c r="O829" s="32">
        <v>378</v>
      </c>
      <c r="P829" s="32">
        <v>417</v>
      </c>
      <c r="Q829" s="32">
        <v>223</v>
      </c>
      <c r="R829" s="32">
        <v>2</v>
      </c>
      <c r="S829" s="32">
        <v>10.157999999999999</v>
      </c>
      <c r="T829" s="32">
        <v>4.3651400000000002</v>
      </c>
      <c r="U829" s="32">
        <v>0.846357998</v>
      </c>
      <c r="V829" s="32">
        <v>5</v>
      </c>
      <c r="W829" s="32">
        <v>0.90810199999999996</v>
      </c>
      <c r="X829" s="32">
        <v>0.114219</v>
      </c>
      <c r="Y829" s="32">
        <v>0.9</v>
      </c>
      <c r="Z829" s="32">
        <v>0.46768199999999999</v>
      </c>
      <c r="AA829" s="32">
        <v>77.099999999999994</v>
      </c>
      <c r="AB829" s="32">
        <v>445</v>
      </c>
      <c r="AC829" s="32">
        <v>22</v>
      </c>
      <c r="AD829" s="32">
        <v>29</v>
      </c>
      <c r="AE829" s="32">
        <v>0</v>
      </c>
      <c r="AF829" s="32" t="s">
        <v>200</v>
      </c>
      <c r="AG829" s="32" t="s">
        <v>200</v>
      </c>
    </row>
    <row r="830" spans="1:33">
      <c r="A830" s="32" t="s">
        <v>3127</v>
      </c>
      <c r="B830" s="32" t="s">
        <v>91</v>
      </c>
      <c r="C830" s="32" t="s">
        <v>3128</v>
      </c>
      <c r="D830" s="32" t="s">
        <v>3129</v>
      </c>
      <c r="E830" s="32" t="s">
        <v>3130</v>
      </c>
      <c r="F830" s="32" t="s">
        <v>3131</v>
      </c>
      <c r="G830" s="32" t="s">
        <v>1232</v>
      </c>
      <c r="H830" s="32" t="s">
        <v>1233</v>
      </c>
      <c r="I830" s="32" t="s">
        <v>198</v>
      </c>
      <c r="J830" s="32" t="s">
        <v>199</v>
      </c>
      <c r="K830" s="32">
        <v>2.5395240000000001</v>
      </c>
      <c r="L830" s="33">
        <v>1665</v>
      </c>
      <c r="M830" s="32">
        <v>353</v>
      </c>
      <c r="N830" s="32">
        <v>302</v>
      </c>
      <c r="O830" s="32">
        <v>401</v>
      </c>
      <c r="P830" s="32">
        <v>387</v>
      </c>
      <c r="Q830" s="32">
        <v>222</v>
      </c>
      <c r="R830" s="32">
        <v>2</v>
      </c>
      <c r="S830" s="32">
        <v>24.099</v>
      </c>
      <c r="T830" s="32">
        <v>1.8588100000000001</v>
      </c>
      <c r="U830" s="32">
        <v>1.012291075</v>
      </c>
      <c r="V830" s="32">
        <v>3</v>
      </c>
      <c r="W830" s="32">
        <v>0.90476199999999996</v>
      </c>
      <c r="X830" s="32">
        <v>0.144681</v>
      </c>
      <c r="Y830" s="32">
        <v>0.79976400000000003</v>
      </c>
      <c r="Z830" s="32">
        <v>0.69496400000000003</v>
      </c>
      <c r="AA830" s="32">
        <v>54.2</v>
      </c>
      <c r="AB830" s="32">
        <v>308</v>
      </c>
      <c r="AC830" s="32">
        <v>27</v>
      </c>
      <c r="AD830" s="32">
        <v>21</v>
      </c>
      <c r="AE830" s="32">
        <v>0</v>
      </c>
      <c r="AF830" s="32" t="s">
        <v>200</v>
      </c>
      <c r="AG830" s="32" t="s">
        <v>200</v>
      </c>
    </row>
    <row r="831" spans="1:33">
      <c r="A831" s="32" t="s">
        <v>3132</v>
      </c>
      <c r="B831" s="32" t="s">
        <v>91</v>
      </c>
      <c r="C831" s="32" t="s">
        <v>3133</v>
      </c>
      <c r="D831" s="32" t="s">
        <v>3134</v>
      </c>
      <c r="E831" s="32" t="s">
        <v>3135</v>
      </c>
      <c r="F831" s="32" t="s">
        <v>3136</v>
      </c>
      <c r="G831" s="32" t="s">
        <v>1232</v>
      </c>
      <c r="H831" s="32" t="s">
        <v>1233</v>
      </c>
      <c r="I831" s="32" t="s">
        <v>198</v>
      </c>
      <c r="J831" s="32" t="s">
        <v>199</v>
      </c>
      <c r="K831" s="32">
        <v>2.3728739999999999</v>
      </c>
      <c r="L831" s="33">
        <v>1620</v>
      </c>
      <c r="M831" s="32">
        <v>309</v>
      </c>
      <c r="N831" s="32">
        <v>291</v>
      </c>
      <c r="O831" s="32">
        <v>544</v>
      </c>
      <c r="P831" s="32">
        <v>368</v>
      </c>
      <c r="Q831" s="32">
        <v>108</v>
      </c>
      <c r="R831" s="32">
        <v>5</v>
      </c>
      <c r="S831" s="32">
        <v>30.3322</v>
      </c>
      <c r="T831" s="32">
        <v>18.960599999999999</v>
      </c>
      <c r="U831" s="32">
        <v>0.909389487</v>
      </c>
      <c r="V831" s="32">
        <v>4</v>
      </c>
      <c r="W831" s="32">
        <v>0.90809700000000004</v>
      </c>
      <c r="X831" s="32">
        <v>0.17263600000000001</v>
      </c>
      <c r="Y831" s="32">
        <v>0.72499999999999998</v>
      </c>
      <c r="Z831" s="32">
        <v>0.55931200000000003</v>
      </c>
      <c r="AA831" s="32">
        <v>33.6</v>
      </c>
      <c r="AB831" s="32">
        <v>418</v>
      </c>
      <c r="AC831" s="32">
        <v>36</v>
      </c>
      <c r="AD831" s="32">
        <v>25</v>
      </c>
      <c r="AE831" s="32">
        <v>0</v>
      </c>
      <c r="AF831" s="32" t="s">
        <v>200</v>
      </c>
      <c r="AG831" s="32" t="s">
        <v>200</v>
      </c>
    </row>
    <row r="832" spans="1:33">
      <c r="A832" s="32" t="s">
        <v>3137</v>
      </c>
      <c r="B832" s="32" t="s">
        <v>91</v>
      </c>
      <c r="C832" s="32" t="s">
        <v>3138</v>
      </c>
      <c r="D832" s="32" t="s">
        <v>3139</v>
      </c>
      <c r="E832" s="32" t="s">
        <v>3140</v>
      </c>
      <c r="F832" s="32" t="s">
        <v>3141</v>
      </c>
      <c r="G832" s="32" t="s">
        <v>1232</v>
      </c>
      <c r="H832" s="32" t="s">
        <v>1233</v>
      </c>
      <c r="I832" s="32" t="s">
        <v>198</v>
      </c>
      <c r="J832" s="32" t="s">
        <v>199</v>
      </c>
      <c r="K832" s="32">
        <v>2.8173910000000002</v>
      </c>
      <c r="L832" s="33">
        <v>1625</v>
      </c>
      <c r="M832" s="32">
        <v>310</v>
      </c>
      <c r="N832" s="32">
        <v>298</v>
      </c>
      <c r="O832" s="32">
        <v>479</v>
      </c>
      <c r="P832" s="32">
        <v>403</v>
      </c>
      <c r="Q832" s="32">
        <v>135</v>
      </c>
      <c r="R832" s="32" t="s">
        <v>302</v>
      </c>
      <c r="S832" s="32">
        <v>40.686500000000002</v>
      </c>
      <c r="T832" s="32">
        <v>15.611700000000001</v>
      </c>
      <c r="U832" s="32">
        <v>0.84491048800000002</v>
      </c>
      <c r="V832" s="32">
        <v>3</v>
      </c>
      <c r="W832" s="32">
        <v>0.91739099999999996</v>
      </c>
      <c r="X832" s="32">
        <v>0.39447500000000002</v>
      </c>
      <c r="Y832" s="32">
        <v>0.76812000000000002</v>
      </c>
      <c r="Z832" s="32">
        <v>0.74316899999999997</v>
      </c>
      <c r="AA832" s="32">
        <v>55.1</v>
      </c>
      <c r="AB832" s="32">
        <v>276</v>
      </c>
      <c r="AC832" s="32">
        <v>26</v>
      </c>
      <c r="AD832" s="32">
        <v>17</v>
      </c>
      <c r="AE832" s="32">
        <v>0</v>
      </c>
      <c r="AF832" s="32">
        <v>0</v>
      </c>
      <c r="AG832" s="32">
        <v>0</v>
      </c>
    </row>
    <row r="833" spans="1:33">
      <c r="A833" s="32" t="s">
        <v>3142</v>
      </c>
      <c r="B833" s="32" t="s">
        <v>91</v>
      </c>
      <c r="C833" s="32" t="s">
        <v>3143</v>
      </c>
      <c r="D833" s="32" t="s">
        <v>3144</v>
      </c>
      <c r="E833" s="32" t="s">
        <v>3145</v>
      </c>
      <c r="F833" s="32" t="s">
        <v>3146</v>
      </c>
      <c r="G833" s="32" t="s">
        <v>1232</v>
      </c>
      <c r="H833" s="32" t="s">
        <v>1233</v>
      </c>
      <c r="I833" s="32" t="s">
        <v>198</v>
      </c>
      <c r="J833" s="32" t="s">
        <v>199</v>
      </c>
      <c r="K833" s="32">
        <v>2.6468180000000001</v>
      </c>
      <c r="L833" s="33">
        <v>2063</v>
      </c>
      <c r="M833" s="32">
        <v>379</v>
      </c>
      <c r="N833" s="32">
        <v>459</v>
      </c>
      <c r="O833" s="32">
        <v>608</v>
      </c>
      <c r="P833" s="32">
        <v>456</v>
      </c>
      <c r="Q833" s="32">
        <v>161</v>
      </c>
      <c r="R833" s="32">
        <v>3</v>
      </c>
      <c r="S833" s="32">
        <v>30.938199999999998</v>
      </c>
      <c r="T833" s="32">
        <v>0</v>
      </c>
      <c r="U833" s="32">
        <v>0.84394302600000004</v>
      </c>
      <c r="V833" s="32">
        <v>4</v>
      </c>
      <c r="W833" s="32">
        <v>0.908636</v>
      </c>
      <c r="X833" s="32">
        <v>0.17422199999999999</v>
      </c>
      <c r="Y833" s="32">
        <v>0.79325800000000002</v>
      </c>
      <c r="Z833" s="32">
        <v>0.78272699999999995</v>
      </c>
      <c r="AA833" s="32">
        <v>50.7</v>
      </c>
      <c r="AB833" s="32">
        <v>406</v>
      </c>
      <c r="AC833" s="32">
        <v>20</v>
      </c>
      <c r="AD833" s="32">
        <v>26</v>
      </c>
      <c r="AE833" s="32">
        <v>0</v>
      </c>
      <c r="AF833" s="32">
        <v>0</v>
      </c>
      <c r="AG833" s="32" t="s">
        <v>200</v>
      </c>
    </row>
    <row r="834" spans="1:33">
      <c r="A834" s="32" t="s">
        <v>3147</v>
      </c>
      <c r="B834" s="32" t="s">
        <v>91</v>
      </c>
      <c r="C834" s="32" t="s">
        <v>3148</v>
      </c>
      <c r="D834" s="32" t="s">
        <v>3149</v>
      </c>
      <c r="E834" s="32" t="s">
        <v>3150</v>
      </c>
      <c r="F834" s="32" t="s">
        <v>3151</v>
      </c>
      <c r="G834" s="32" t="s">
        <v>1261</v>
      </c>
      <c r="H834" s="32" t="s">
        <v>1262</v>
      </c>
      <c r="I834" s="32" t="s">
        <v>198</v>
      </c>
      <c r="J834" s="32" t="s">
        <v>199</v>
      </c>
      <c r="K834" s="32">
        <v>2.1266259999999999</v>
      </c>
      <c r="L834" s="33">
        <v>2099</v>
      </c>
      <c r="M834" s="32">
        <v>444</v>
      </c>
      <c r="N834" s="32">
        <v>304</v>
      </c>
      <c r="O834" s="32">
        <v>656</v>
      </c>
      <c r="P834" s="32">
        <v>489</v>
      </c>
      <c r="Q834" s="32">
        <v>206</v>
      </c>
      <c r="R834" s="32">
        <v>2</v>
      </c>
      <c r="S834" s="32">
        <v>13.427</v>
      </c>
      <c r="T834" s="32">
        <v>3.7487499999999998</v>
      </c>
      <c r="U834" s="32">
        <v>0.92820920399999995</v>
      </c>
      <c r="V834" s="32">
        <v>6</v>
      </c>
      <c r="W834" s="32">
        <v>0.90347999999999995</v>
      </c>
      <c r="X834" s="32">
        <v>0.11097700000000001</v>
      </c>
      <c r="Y834" s="32">
        <v>0.710314</v>
      </c>
      <c r="Z834" s="32">
        <v>0.4</v>
      </c>
      <c r="AA834" s="32">
        <v>27.2</v>
      </c>
      <c r="AB834" s="32">
        <v>556</v>
      </c>
      <c r="AC834" s="32">
        <v>30</v>
      </c>
      <c r="AD834" s="32">
        <v>35</v>
      </c>
      <c r="AE834" s="32">
        <v>0</v>
      </c>
      <c r="AF834" s="32">
        <v>0</v>
      </c>
      <c r="AG834" s="32">
        <v>0</v>
      </c>
    </row>
    <row r="835" spans="1:33">
      <c r="A835" s="32" t="s">
        <v>3152</v>
      </c>
      <c r="B835" s="32" t="s">
        <v>91</v>
      </c>
      <c r="C835" s="32" t="s">
        <v>3153</v>
      </c>
      <c r="D835" s="32" t="s">
        <v>3154</v>
      </c>
      <c r="E835" s="32" t="s">
        <v>3150</v>
      </c>
      <c r="F835" s="32" t="s">
        <v>3151</v>
      </c>
      <c r="G835" s="32" t="s">
        <v>1261</v>
      </c>
      <c r="H835" s="32" t="s">
        <v>1262</v>
      </c>
      <c r="I835" s="32" t="s">
        <v>198</v>
      </c>
      <c r="J835" s="32" t="s">
        <v>199</v>
      </c>
      <c r="K835" s="32">
        <v>2.1639659999999998</v>
      </c>
      <c r="L835" s="33">
        <v>1956</v>
      </c>
      <c r="M835" s="32">
        <v>468</v>
      </c>
      <c r="N835" s="32">
        <v>290</v>
      </c>
      <c r="O835" s="32">
        <v>460</v>
      </c>
      <c r="P835" s="32">
        <v>502</v>
      </c>
      <c r="Q835" s="32">
        <v>236</v>
      </c>
      <c r="R835" s="32">
        <v>2</v>
      </c>
      <c r="S835" s="32">
        <v>14.6592</v>
      </c>
      <c r="T835" s="32">
        <v>3.55952</v>
      </c>
      <c r="U835" s="32">
        <v>1.1878661859999999</v>
      </c>
      <c r="V835" s="32">
        <v>3</v>
      </c>
      <c r="W835" s="32">
        <v>0.90684399999999998</v>
      </c>
      <c r="X835" s="32">
        <v>0.187552</v>
      </c>
      <c r="Y835" s="32">
        <v>0.70041600000000004</v>
      </c>
      <c r="Z835" s="32">
        <v>0.38557399999999997</v>
      </c>
      <c r="AA835" s="32">
        <v>48.2</v>
      </c>
      <c r="AB835" s="32">
        <v>449</v>
      </c>
      <c r="AC835" s="32">
        <v>27</v>
      </c>
      <c r="AD835" s="32">
        <v>26</v>
      </c>
      <c r="AE835" s="32">
        <v>0</v>
      </c>
      <c r="AF835" s="32">
        <v>0</v>
      </c>
      <c r="AG835" s="32" t="s">
        <v>200</v>
      </c>
    </row>
    <row r="836" spans="1:33">
      <c r="A836" s="32" t="s">
        <v>3155</v>
      </c>
      <c r="B836" s="32" t="s">
        <v>91</v>
      </c>
      <c r="C836" s="32" t="s">
        <v>3156</v>
      </c>
      <c r="D836" s="32" t="s">
        <v>3157</v>
      </c>
      <c r="E836" s="32" t="s">
        <v>3158</v>
      </c>
      <c r="F836" s="32" t="s">
        <v>3159</v>
      </c>
      <c r="G836" s="32" t="s">
        <v>1261</v>
      </c>
      <c r="H836" s="32" t="s">
        <v>1262</v>
      </c>
      <c r="I836" s="32" t="s">
        <v>198</v>
      </c>
      <c r="J836" s="32" t="s">
        <v>199</v>
      </c>
      <c r="K836" s="32">
        <v>2.0367030000000002</v>
      </c>
      <c r="L836" s="33">
        <v>1566</v>
      </c>
      <c r="M836" s="32">
        <v>311</v>
      </c>
      <c r="N836" s="32">
        <v>298</v>
      </c>
      <c r="O836" s="32">
        <v>302</v>
      </c>
      <c r="P836" s="32">
        <v>417</v>
      </c>
      <c r="Q836" s="32">
        <v>238</v>
      </c>
      <c r="R836" s="32" t="s">
        <v>225</v>
      </c>
      <c r="S836" s="32">
        <v>13.7941</v>
      </c>
      <c r="T836" s="32">
        <v>0</v>
      </c>
      <c r="U836" s="32">
        <v>0.97167040800000004</v>
      </c>
      <c r="V836" s="32">
        <v>6</v>
      </c>
      <c r="W836" s="32">
        <v>0.90306699999999995</v>
      </c>
      <c r="X836" s="32">
        <v>0.12731100000000001</v>
      </c>
      <c r="Y836" s="32">
        <v>0.7</v>
      </c>
      <c r="Z836" s="32">
        <v>0.31683</v>
      </c>
      <c r="AA836" s="32">
        <v>28.1</v>
      </c>
      <c r="AB836" s="32">
        <v>559</v>
      </c>
      <c r="AC836" s="32">
        <v>25</v>
      </c>
      <c r="AD836" s="32">
        <v>27</v>
      </c>
      <c r="AE836" s="32">
        <v>0</v>
      </c>
      <c r="AF836" s="32">
        <v>9</v>
      </c>
      <c r="AG836" s="32">
        <v>12</v>
      </c>
    </row>
    <row r="837" spans="1:33">
      <c r="A837" s="32" t="s">
        <v>3160</v>
      </c>
      <c r="B837" s="32" t="s">
        <v>91</v>
      </c>
      <c r="C837" s="32" t="s">
        <v>3161</v>
      </c>
      <c r="D837" s="32" t="s">
        <v>3162</v>
      </c>
      <c r="E837" s="32" t="s">
        <v>3163</v>
      </c>
      <c r="F837" s="32" t="s">
        <v>3164</v>
      </c>
      <c r="G837" s="32" t="s">
        <v>1261</v>
      </c>
      <c r="H837" s="32" t="s">
        <v>1262</v>
      </c>
      <c r="I837" s="32" t="s">
        <v>198</v>
      </c>
      <c r="J837" s="32" t="s">
        <v>199</v>
      </c>
      <c r="K837" s="32">
        <v>2.0909089999999999</v>
      </c>
      <c r="L837" s="33">
        <v>1527</v>
      </c>
      <c r="M837" s="32">
        <v>412</v>
      </c>
      <c r="N837" s="32">
        <v>189</v>
      </c>
      <c r="O837" s="32">
        <v>241</v>
      </c>
      <c r="P837" s="32">
        <v>428</v>
      </c>
      <c r="Q837" s="32">
        <v>257</v>
      </c>
      <c r="R837" s="32">
        <v>2</v>
      </c>
      <c r="S837" s="32">
        <v>17.285799999999998</v>
      </c>
      <c r="T837" s="32">
        <v>0</v>
      </c>
      <c r="U837" s="32">
        <v>0.79681436100000003</v>
      </c>
      <c r="V837" s="32">
        <v>8</v>
      </c>
      <c r="W837" s="32">
        <v>0.90289600000000003</v>
      </c>
      <c r="X837" s="32">
        <v>0.144956</v>
      </c>
      <c r="Y837" s="32">
        <v>0.7</v>
      </c>
      <c r="Z837" s="32">
        <v>0.34185100000000002</v>
      </c>
      <c r="AA837" s="32">
        <v>19.8</v>
      </c>
      <c r="AB837" s="32">
        <v>575</v>
      </c>
      <c r="AC837" s="32">
        <v>13</v>
      </c>
      <c r="AD837" s="32">
        <v>15</v>
      </c>
      <c r="AE837" s="32">
        <v>0</v>
      </c>
      <c r="AF837" s="32" t="s">
        <v>200</v>
      </c>
      <c r="AG837" s="32">
        <v>0</v>
      </c>
    </row>
    <row r="838" spans="1:33">
      <c r="A838" s="32" t="s">
        <v>3165</v>
      </c>
      <c r="B838" s="32" t="s">
        <v>91</v>
      </c>
      <c r="C838" s="32" t="s">
        <v>3166</v>
      </c>
      <c r="D838" s="32" t="s">
        <v>3167</v>
      </c>
      <c r="E838" s="32" t="s">
        <v>3163</v>
      </c>
      <c r="F838" s="32" t="s">
        <v>3164</v>
      </c>
      <c r="G838" s="32" t="s">
        <v>1261</v>
      </c>
      <c r="H838" s="32" t="s">
        <v>1262</v>
      </c>
      <c r="I838" s="32" t="s">
        <v>198</v>
      </c>
      <c r="J838" s="32" t="s">
        <v>199</v>
      </c>
      <c r="K838" s="32">
        <v>2.0581469999999999</v>
      </c>
      <c r="L838" s="33">
        <v>1788</v>
      </c>
      <c r="M838" s="32">
        <v>452</v>
      </c>
      <c r="N838" s="32">
        <v>199</v>
      </c>
      <c r="O838" s="32">
        <v>331</v>
      </c>
      <c r="P838" s="32">
        <v>563</v>
      </c>
      <c r="Q838" s="32">
        <v>243</v>
      </c>
      <c r="R838" s="32">
        <v>2</v>
      </c>
      <c r="S838" s="32">
        <v>14.462199999999999</v>
      </c>
      <c r="T838" s="32">
        <v>0</v>
      </c>
      <c r="U838" s="32">
        <v>0.81198195399999995</v>
      </c>
      <c r="V838" s="32">
        <v>8</v>
      </c>
      <c r="W838" s="32">
        <v>0.90348300000000004</v>
      </c>
      <c r="X838" s="32">
        <v>7.3788999999999993E-2</v>
      </c>
      <c r="Y838" s="32">
        <v>0.7</v>
      </c>
      <c r="Z838" s="32">
        <v>0.37431799999999998</v>
      </c>
      <c r="AA838" s="32">
        <v>13.8</v>
      </c>
      <c r="AB838" s="32">
        <v>717</v>
      </c>
      <c r="AC838" s="32">
        <v>13</v>
      </c>
      <c r="AD838" s="32">
        <v>11</v>
      </c>
      <c r="AE838" s="32">
        <v>0</v>
      </c>
      <c r="AF838" s="32">
        <v>0</v>
      </c>
      <c r="AG838" s="32" t="s">
        <v>200</v>
      </c>
    </row>
    <row r="839" spans="1:33">
      <c r="A839" s="32" t="s">
        <v>3168</v>
      </c>
      <c r="B839" s="32" t="s">
        <v>91</v>
      </c>
      <c r="C839" s="32" t="s">
        <v>3169</v>
      </c>
      <c r="D839" s="32" t="s">
        <v>3170</v>
      </c>
      <c r="E839" s="32" t="s">
        <v>3171</v>
      </c>
      <c r="F839" s="32" t="s">
        <v>3172</v>
      </c>
      <c r="G839" s="32" t="s">
        <v>2164</v>
      </c>
      <c r="H839" s="32" t="s">
        <v>2165</v>
      </c>
      <c r="I839" s="32" t="s">
        <v>198</v>
      </c>
      <c r="J839" s="32" t="s">
        <v>199</v>
      </c>
      <c r="K839" s="32">
        <v>2.1751390000000002</v>
      </c>
      <c r="L839" s="33">
        <v>2229</v>
      </c>
      <c r="M839" s="32">
        <v>314</v>
      </c>
      <c r="N839" s="32">
        <v>425</v>
      </c>
      <c r="O839" s="32">
        <v>875</v>
      </c>
      <c r="P839" s="32">
        <v>471</v>
      </c>
      <c r="Q839" s="32">
        <v>144</v>
      </c>
      <c r="R839" s="32">
        <v>4</v>
      </c>
      <c r="S839" s="32">
        <v>23.184200000000001</v>
      </c>
      <c r="T839" s="32">
        <v>12.571400000000001</v>
      </c>
      <c r="U839" s="32">
        <v>0.94638490200000003</v>
      </c>
      <c r="V839" s="32">
        <v>6</v>
      </c>
      <c r="W839" s="32">
        <v>0.906308</v>
      </c>
      <c r="X839" s="32">
        <v>0.230515</v>
      </c>
      <c r="Y839" s="32">
        <v>0.66373599999999999</v>
      </c>
      <c r="Z839" s="32">
        <v>0.37057699999999999</v>
      </c>
      <c r="AA839" s="32">
        <v>33.9</v>
      </c>
      <c r="AB839" s="32">
        <v>393</v>
      </c>
      <c r="AC839" s="32">
        <v>26</v>
      </c>
      <c r="AD839" s="32">
        <v>22</v>
      </c>
      <c r="AE839" s="32">
        <v>0</v>
      </c>
      <c r="AF839" s="32">
        <v>0</v>
      </c>
      <c r="AG839" s="32" t="s">
        <v>200</v>
      </c>
    </row>
    <row r="840" spans="1:33">
      <c r="A840" s="32" t="s">
        <v>3173</v>
      </c>
      <c r="B840" s="32" t="s">
        <v>91</v>
      </c>
      <c r="C840" s="32" t="s">
        <v>3174</v>
      </c>
      <c r="D840" s="32" t="s">
        <v>3175</v>
      </c>
      <c r="E840" s="32" t="s">
        <v>3176</v>
      </c>
      <c r="F840" s="32" t="s">
        <v>3177</v>
      </c>
      <c r="G840" s="32" t="s">
        <v>2164</v>
      </c>
      <c r="H840" s="32" t="s">
        <v>2165</v>
      </c>
      <c r="I840" s="32" t="s">
        <v>198</v>
      </c>
      <c r="J840" s="32" t="s">
        <v>199</v>
      </c>
      <c r="K840" s="32">
        <v>2.0043340000000001</v>
      </c>
      <c r="L840" s="33">
        <v>1706</v>
      </c>
      <c r="M840" s="32">
        <v>366</v>
      </c>
      <c r="N840" s="32">
        <v>239</v>
      </c>
      <c r="O840" s="32">
        <v>434</v>
      </c>
      <c r="P840" s="32">
        <v>416</v>
      </c>
      <c r="Q840" s="32">
        <v>251</v>
      </c>
      <c r="R840" s="32">
        <v>3</v>
      </c>
      <c r="S840" s="32">
        <v>21.266500000000001</v>
      </c>
      <c r="T840" s="32">
        <v>6.7041199999999996</v>
      </c>
      <c r="U840" s="32">
        <v>1.104715916</v>
      </c>
      <c r="V840" s="32">
        <v>4</v>
      </c>
      <c r="W840" s="32">
        <v>0.90481500000000004</v>
      </c>
      <c r="X840" s="32">
        <v>8.7780999999999998E-2</v>
      </c>
      <c r="Y840" s="32">
        <v>0.623139</v>
      </c>
      <c r="Z840" s="32">
        <v>0.39887299999999998</v>
      </c>
      <c r="AA840" s="32">
        <v>37.200000000000003</v>
      </c>
      <c r="AB840" s="32">
        <v>420</v>
      </c>
      <c r="AC840" s="32">
        <v>21</v>
      </c>
      <c r="AD840" s="32">
        <v>28</v>
      </c>
      <c r="AE840" s="32">
        <v>0</v>
      </c>
      <c r="AF840" s="32">
        <v>0</v>
      </c>
      <c r="AG840" s="32" t="s">
        <v>200</v>
      </c>
    </row>
    <row r="841" spans="1:33">
      <c r="A841" s="32" t="s">
        <v>3178</v>
      </c>
      <c r="B841" s="32" t="s">
        <v>91</v>
      </c>
      <c r="C841" s="32" t="s">
        <v>3179</v>
      </c>
      <c r="D841" s="32" t="s">
        <v>3180</v>
      </c>
      <c r="E841" s="32" t="s">
        <v>3171</v>
      </c>
      <c r="F841" s="32" t="s">
        <v>3172</v>
      </c>
      <c r="G841" s="32" t="s">
        <v>2164</v>
      </c>
      <c r="H841" s="32" t="s">
        <v>2165</v>
      </c>
      <c r="I841" s="32" t="s">
        <v>198</v>
      </c>
      <c r="J841" s="32" t="s">
        <v>199</v>
      </c>
      <c r="K841" s="32">
        <v>2.052108</v>
      </c>
      <c r="L841" s="33">
        <v>1544</v>
      </c>
      <c r="M841" s="32">
        <v>342</v>
      </c>
      <c r="N841" s="32">
        <v>182</v>
      </c>
      <c r="O841" s="32">
        <v>421</v>
      </c>
      <c r="P841" s="32">
        <v>390</v>
      </c>
      <c r="Q841" s="32">
        <v>209</v>
      </c>
      <c r="R841" s="32">
        <v>3</v>
      </c>
      <c r="S841" s="32">
        <v>20.139299999999999</v>
      </c>
      <c r="T841" s="32">
        <v>1.9934099999999999</v>
      </c>
      <c r="U841" s="32">
        <v>0.89082386700000005</v>
      </c>
      <c r="V841" s="32">
        <v>7</v>
      </c>
      <c r="W841" s="32">
        <v>0.90151300000000001</v>
      </c>
      <c r="X841" s="32">
        <v>8.9082999999999996E-2</v>
      </c>
      <c r="Y841" s="32">
        <v>0.7</v>
      </c>
      <c r="Z841" s="32">
        <v>0.35717399999999999</v>
      </c>
      <c r="AA841" s="32">
        <v>24.7</v>
      </c>
      <c r="AB841" s="32">
        <v>499</v>
      </c>
      <c r="AC841" s="32">
        <v>35</v>
      </c>
      <c r="AD841" s="32">
        <v>26</v>
      </c>
      <c r="AE841" s="32" t="s">
        <v>200</v>
      </c>
      <c r="AF841" s="32" t="s">
        <v>200</v>
      </c>
      <c r="AG841" s="32" t="s">
        <v>200</v>
      </c>
    </row>
    <row r="842" spans="1:33">
      <c r="A842" s="32" t="s">
        <v>3181</v>
      </c>
      <c r="B842" s="32" t="s">
        <v>91</v>
      </c>
      <c r="C842" s="32" t="s">
        <v>3182</v>
      </c>
      <c r="D842" s="32" t="s">
        <v>3183</v>
      </c>
      <c r="E842" s="32" t="s">
        <v>3184</v>
      </c>
      <c r="F842" s="32" t="s">
        <v>3185</v>
      </c>
      <c r="G842" s="32" t="s">
        <v>2164</v>
      </c>
      <c r="H842" s="32" t="s">
        <v>2165</v>
      </c>
      <c r="I842" s="32" t="s">
        <v>198</v>
      </c>
      <c r="J842" s="32" t="s">
        <v>199</v>
      </c>
      <c r="K842" s="32">
        <v>2.0850330000000001</v>
      </c>
      <c r="L842" s="33">
        <v>1700</v>
      </c>
      <c r="M842" s="32">
        <v>326</v>
      </c>
      <c r="N842" s="32">
        <v>265</v>
      </c>
      <c r="O842" s="32">
        <v>489</v>
      </c>
      <c r="P842" s="32">
        <v>449</v>
      </c>
      <c r="Q842" s="32">
        <v>171</v>
      </c>
      <c r="R842" s="32">
        <v>2</v>
      </c>
      <c r="S842" s="32">
        <v>17.872399999999999</v>
      </c>
      <c r="T842" s="32">
        <v>0</v>
      </c>
      <c r="U842" s="32">
        <v>1.2362209609999999</v>
      </c>
      <c r="V842" s="32">
        <v>3</v>
      </c>
      <c r="W842" s="32">
        <v>0.90411200000000003</v>
      </c>
      <c r="X842" s="32">
        <v>0.175369</v>
      </c>
      <c r="Y842" s="32">
        <v>0.7</v>
      </c>
      <c r="Z842" s="32">
        <v>0.31721300000000002</v>
      </c>
      <c r="AA842" s="32">
        <v>45.4</v>
      </c>
      <c r="AB842" s="32">
        <v>455</v>
      </c>
      <c r="AC842" s="32">
        <v>23</v>
      </c>
      <c r="AD842" s="32">
        <v>58</v>
      </c>
      <c r="AE842" s="32">
        <v>0</v>
      </c>
      <c r="AF842" s="32" t="s">
        <v>200</v>
      </c>
      <c r="AG842" s="32" t="s">
        <v>200</v>
      </c>
    </row>
    <row r="843" spans="1:33">
      <c r="A843" s="32" t="s">
        <v>3186</v>
      </c>
      <c r="B843" s="32" t="s">
        <v>91</v>
      </c>
      <c r="C843" s="32" t="s">
        <v>3187</v>
      </c>
      <c r="D843" s="32" t="s">
        <v>3188</v>
      </c>
      <c r="E843" s="32" t="s">
        <v>3184</v>
      </c>
      <c r="F843" s="32" t="s">
        <v>3185</v>
      </c>
      <c r="G843" s="32" t="s">
        <v>2164</v>
      </c>
      <c r="H843" s="32" t="s">
        <v>2165</v>
      </c>
      <c r="I843" s="32" t="s">
        <v>198</v>
      </c>
      <c r="J843" s="32" t="s">
        <v>199</v>
      </c>
      <c r="K843" s="32">
        <v>1.945875</v>
      </c>
      <c r="L843" s="33">
        <v>2035</v>
      </c>
      <c r="M843" s="32">
        <v>448</v>
      </c>
      <c r="N843" s="32">
        <v>332</v>
      </c>
      <c r="O843" s="32">
        <v>658</v>
      </c>
      <c r="P843" s="32">
        <v>438</v>
      </c>
      <c r="Q843" s="32">
        <v>159</v>
      </c>
      <c r="R843" s="32">
        <v>2</v>
      </c>
      <c r="S843" s="32">
        <v>18.6099</v>
      </c>
      <c r="T843" s="32">
        <v>3.7188400000000001</v>
      </c>
      <c r="U843" s="32">
        <v>1.129637886</v>
      </c>
      <c r="V843" s="32">
        <v>4</v>
      </c>
      <c r="W843" s="32">
        <v>0.90264</v>
      </c>
      <c r="X843" s="32">
        <v>7.4876999999999999E-2</v>
      </c>
      <c r="Y843" s="32">
        <v>0.66480300000000003</v>
      </c>
      <c r="Z843" s="32">
        <v>0.3</v>
      </c>
      <c r="AA843" s="32">
        <v>48.1</v>
      </c>
      <c r="AB843" s="32">
        <v>546</v>
      </c>
      <c r="AC843" s="32">
        <v>33</v>
      </c>
      <c r="AD843" s="32">
        <v>26</v>
      </c>
      <c r="AE843" s="32">
        <v>0</v>
      </c>
      <c r="AF843" s="32" t="s">
        <v>200</v>
      </c>
      <c r="AG843" s="32" t="s">
        <v>200</v>
      </c>
    </row>
    <row r="844" spans="1:33">
      <c r="A844" s="32" t="s">
        <v>3189</v>
      </c>
      <c r="B844" s="32" t="s">
        <v>91</v>
      </c>
      <c r="C844" s="32" t="s">
        <v>3190</v>
      </c>
      <c r="D844" s="32" t="s">
        <v>3191</v>
      </c>
      <c r="E844" s="32" t="s">
        <v>3130</v>
      </c>
      <c r="F844" s="32" t="s">
        <v>3131</v>
      </c>
      <c r="G844" s="32" t="s">
        <v>1232</v>
      </c>
      <c r="H844" s="32" t="s">
        <v>1233</v>
      </c>
      <c r="I844" s="32" t="s">
        <v>198</v>
      </c>
      <c r="J844" s="32" t="s">
        <v>199</v>
      </c>
      <c r="K844" s="32">
        <v>2.7235019999999999</v>
      </c>
      <c r="L844" s="33">
        <v>1904</v>
      </c>
      <c r="M844" s="32">
        <v>460</v>
      </c>
      <c r="N844" s="32">
        <v>381</v>
      </c>
      <c r="O844" s="32">
        <v>497</v>
      </c>
      <c r="P844" s="32">
        <v>459</v>
      </c>
      <c r="Q844" s="32">
        <v>107</v>
      </c>
      <c r="R844" s="32">
        <v>4</v>
      </c>
      <c r="S844" s="32">
        <v>27.029699999999998</v>
      </c>
      <c r="T844" s="32">
        <v>5.9120200000000001</v>
      </c>
      <c r="U844" s="32">
        <v>0.92590194000000003</v>
      </c>
      <c r="V844" s="32">
        <v>2</v>
      </c>
      <c r="W844" s="32">
        <v>0.910138</v>
      </c>
      <c r="X844" s="32">
        <v>0.34633000000000003</v>
      </c>
      <c r="Y844" s="32">
        <v>0.77976699999999999</v>
      </c>
      <c r="Z844" s="32">
        <v>0.67834099999999997</v>
      </c>
      <c r="AA844" s="32">
        <v>68.599999999999994</v>
      </c>
      <c r="AB844" s="32">
        <v>354</v>
      </c>
      <c r="AC844" s="32">
        <v>29</v>
      </c>
      <c r="AD844" s="32">
        <v>20</v>
      </c>
      <c r="AE844" s="32">
        <v>0</v>
      </c>
      <c r="AF844" s="32">
        <v>0</v>
      </c>
      <c r="AG844" s="32" t="s">
        <v>200</v>
      </c>
    </row>
    <row r="845" spans="1:33">
      <c r="A845" s="32" t="s">
        <v>3192</v>
      </c>
      <c r="B845" s="32" t="s">
        <v>91</v>
      </c>
      <c r="C845" s="32" t="s">
        <v>3193</v>
      </c>
      <c r="D845" s="32" t="s">
        <v>3194</v>
      </c>
      <c r="E845" s="32" t="s">
        <v>3130</v>
      </c>
      <c r="F845" s="32" t="s">
        <v>3131</v>
      </c>
      <c r="G845" s="32" t="s">
        <v>1232</v>
      </c>
      <c r="H845" s="32" t="s">
        <v>1233</v>
      </c>
      <c r="I845" s="32" t="s">
        <v>198</v>
      </c>
      <c r="J845" s="32" t="s">
        <v>199</v>
      </c>
      <c r="K845" s="32">
        <v>2.5286909999999998</v>
      </c>
      <c r="L845" s="33">
        <v>1528</v>
      </c>
      <c r="M845" s="32">
        <v>339</v>
      </c>
      <c r="N845" s="32">
        <v>294</v>
      </c>
      <c r="O845" s="32">
        <v>382</v>
      </c>
      <c r="P845" s="32">
        <v>390</v>
      </c>
      <c r="Q845" s="32">
        <v>123</v>
      </c>
      <c r="R845" s="32">
        <v>2</v>
      </c>
      <c r="S845" s="32">
        <v>7.53376</v>
      </c>
      <c r="T845" s="32">
        <v>0</v>
      </c>
      <c r="U845" s="32">
        <v>1.0641247060000001</v>
      </c>
      <c r="V845" s="32">
        <v>2</v>
      </c>
      <c r="W845" s="32">
        <v>0.90362100000000001</v>
      </c>
      <c r="X845" s="32">
        <v>0.123626</v>
      </c>
      <c r="Y845" s="32">
        <v>0.8</v>
      </c>
      <c r="Z845" s="32">
        <v>0.70027700000000004</v>
      </c>
      <c r="AA845" s="32">
        <v>62.8</v>
      </c>
      <c r="AB845" s="32">
        <v>378</v>
      </c>
      <c r="AC845" s="32">
        <v>24</v>
      </c>
      <c r="AD845" s="32">
        <v>15</v>
      </c>
      <c r="AE845" s="32" t="s">
        <v>200</v>
      </c>
      <c r="AF845" s="32">
        <v>0</v>
      </c>
      <c r="AG845" s="32">
        <v>8</v>
      </c>
    </row>
    <row r="846" spans="1:33">
      <c r="A846" s="32" t="s">
        <v>3195</v>
      </c>
      <c r="B846" s="32" t="s">
        <v>91</v>
      </c>
      <c r="C846" s="32" t="s">
        <v>3196</v>
      </c>
      <c r="D846" s="32" t="s">
        <v>3197</v>
      </c>
      <c r="E846" s="32" t="s">
        <v>3198</v>
      </c>
      <c r="F846" s="32" t="s">
        <v>3199</v>
      </c>
      <c r="G846" s="32" t="s">
        <v>1232</v>
      </c>
      <c r="H846" s="32" t="s">
        <v>1233</v>
      </c>
      <c r="I846" s="32" t="s">
        <v>198</v>
      </c>
      <c r="J846" s="32" t="s">
        <v>199</v>
      </c>
      <c r="K846" s="32">
        <v>2.4877739999999999</v>
      </c>
      <c r="L846" s="33">
        <v>2207</v>
      </c>
      <c r="M846" s="32">
        <v>474</v>
      </c>
      <c r="N846" s="32">
        <v>459</v>
      </c>
      <c r="O846" s="32">
        <v>680</v>
      </c>
      <c r="P846" s="32">
        <v>438</v>
      </c>
      <c r="Q846" s="32">
        <v>156</v>
      </c>
      <c r="R846" s="32" t="s">
        <v>302</v>
      </c>
      <c r="S846" s="32">
        <v>32.743299999999998</v>
      </c>
      <c r="T846" s="32">
        <v>7.3726200000000004</v>
      </c>
      <c r="U846" s="32">
        <v>0.90754959999999996</v>
      </c>
      <c r="V846" s="32">
        <v>3</v>
      </c>
      <c r="W846" s="32">
        <v>0.91350399999999998</v>
      </c>
      <c r="X846" s="32">
        <v>0.34542200000000001</v>
      </c>
      <c r="Y846" s="32">
        <v>0.7</v>
      </c>
      <c r="Z846" s="32">
        <v>0.53285199999999999</v>
      </c>
      <c r="AA846" s="32">
        <v>43.8</v>
      </c>
      <c r="AB846" s="32">
        <v>425</v>
      </c>
      <c r="AC846" s="32">
        <v>31</v>
      </c>
      <c r="AD846" s="32">
        <v>41</v>
      </c>
      <c r="AE846" s="32">
        <v>0</v>
      </c>
      <c r="AF846" s="32" t="s">
        <v>200</v>
      </c>
      <c r="AG846" s="32" t="s">
        <v>200</v>
      </c>
    </row>
    <row r="847" spans="1:33">
      <c r="A847" s="32" t="s">
        <v>3200</v>
      </c>
      <c r="B847" s="32" t="s">
        <v>91</v>
      </c>
      <c r="C847" s="32" t="s">
        <v>3201</v>
      </c>
      <c r="D847" s="32" t="s">
        <v>3202</v>
      </c>
      <c r="E847" s="32" t="s">
        <v>3198</v>
      </c>
      <c r="F847" s="32" t="s">
        <v>3199</v>
      </c>
      <c r="G847" s="32" t="s">
        <v>1232</v>
      </c>
      <c r="H847" s="32" t="s">
        <v>1233</v>
      </c>
      <c r="I847" s="32" t="s">
        <v>198</v>
      </c>
      <c r="J847" s="32" t="s">
        <v>199</v>
      </c>
      <c r="K847" s="32">
        <v>2.2395040000000002</v>
      </c>
      <c r="L847" s="33">
        <v>1555</v>
      </c>
      <c r="M847" s="32">
        <v>319</v>
      </c>
      <c r="N847" s="32">
        <v>234</v>
      </c>
      <c r="O847" s="32">
        <v>368</v>
      </c>
      <c r="P847" s="32">
        <v>381</v>
      </c>
      <c r="Q847" s="32">
        <v>253</v>
      </c>
      <c r="R847" s="32">
        <v>3</v>
      </c>
      <c r="S847" s="32">
        <v>17.7105</v>
      </c>
      <c r="T847" s="32">
        <v>7.5203199999999999</v>
      </c>
      <c r="U847" s="32">
        <v>0.92428744399999996</v>
      </c>
      <c r="V847" s="32">
        <v>4</v>
      </c>
      <c r="W847" s="32">
        <v>0.90801500000000002</v>
      </c>
      <c r="X847" s="32">
        <v>0.15019199999999999</v>
      </c>
      <c r="Y847" s="32">
        <v>0.7</v>
      </c>
      <c r="Z847" s="32">
        <v>0.47839399999999999</v>
      </c>
      <c r="AA847" s="32">
        <v>37</v>
      </c>
      <c r="AB847" s="32">
        <v>548</v>
      </c>
      <c r="AC847" s="32">
        <v>16</v>
      </c>
      <c r="AD847" s="32">
        <v>18</v>
      </c>
      <c r="AE847" s="32" t="s">
        <v>200</v>
      </c>
      <c r="AF847" s="32">
        <v>0</v>
      </c>
      <c r="AG847" s="32" t="s">
        <v>200</v>
      </c>
    </row>
    <row r="848" spans="1:33">
      <c r="A848" s="32" t="s">
        <v>3203</v>
      </c>
      <c r="B848" s="32" t="s">
        <v>91</v>
      </c>
      <c r="C848" s="32" t="s">
        <v>3204</v>
      </c>
      <c r="D848" s="32" t="s">
        <v>3205</v>
      </c>
      <c r="E848" s="32" t="s">
        <v>3206</v>
      </c>
      <c r="F848" s="32" t="s">
        <v>3207</v>
      </c>
      <c r="G848" s="32" t="s">
        <v>1232</v>
      </c>
      <c r="H848" s="32" t="s">
        <v>1233</v>
      </c>
      <c r="I848" s="32" t="s">
        <v>198</v>
      </c>
      <c r="J848" s="32" t="s">
        <v>199</v>
      </c>
      <c r="K848" s="32">
        <v>2.3398289999999999</v>
      </c>
      <c r="L848" s="33">
        <v>2656</v>
      </c>
      <c r="M848" s="32">
        <v>574</v>
      </c>
      <c r="N848" s="32">
        <v>472</v>
      </c>
      <c r="O848" s="32">
        <v>902</v>
      </c>
      <c r="P848" s="32">
        <v>533</v>
      </c>
      <c r="Q848" s="32">
        <v>175</v>
      </c>
      <c r="R848" s="32" t="s">
        <v>302</v>
      </c>
      <c r="S848" s="32">
        <v>33.078299999999999</v>
      </c>
      <c r="T848" s="32">
        <v>16.455400000000001</v>
      </c>
      <c r="U848" s="32">
        <v>0.85792600200000002</v>
      </c>
      <c r="V848" s="32">
        <v>5</v>
      </c>
      <c r="W848" s="32">
        <v>0.90910400000000002</v>
      </c>
      <c r="X848" s="32">
        <v>0.207898</v>
      </c>
      <c r="Y848" s="32">
        <v>0.7</v>
      </c>
      <c r="Z848" s="32">
        <v>0.53724899999999998</v>
      </c>
      <c r="AA848" s="32">
        <v>39.799999999999997</v>
      </c>
      <c r="AB848" s="32">
        <v>547</v>
      </c>
      <c r="AC848" s="32">
        <v>36</v>
      </c>
      <c r="AD848" s="32">
        <v>38</v>
      </c>
      <c r="AE848" s="32" t="s">
        <v>200</v>
      </c>
      <c r="AF848" s="32">
        <v>0</v>
      </c>
      <c r="AG848" s="32">
        <v>5</v>
      </c>
    </row>
    <row r="849" spans="1:33">
      <c r="A849" s="32" t="s">
        <v>3208</v>
      </c>
      <c r="B849" s="32" t="s">
        <v>91</v>
      </c>
      <c r="C849" s="32" t="s">
        <v>3209</v>
      </c>
      <c r="D849" s="32" t="s">
        <v>3210</v>
      </c>
      <c r="E849" s="32" t="s">
        <v>3211</v>
      </c>
      <c r="F849" s="32" t="s">
        <v>3212</v>
      </c>
      <c r="G849" s="32" t="s">
        <v>2164</v>
      </c>
      <c r="H849" s="32" t="s">
        <v>2165</v>
      </c>
      <c r="I849" s="32" t="s">
        <v>198</v>
      </c>
      <c r="J849" s="32" t="s">
        <v>199</v>
      </c>
      <c r="K849" s="32">
        <v>1.992888</v>
      </c>
      <c r="L849" s="33">
        <v>1990</v>
      </c>
      <c r="M849" s="32">
        <v>436</v>
      </c>
      <c r="N849" s="32">
        <v>290</v>
      </c>
      <c r="O849" s="32">
        <v>500</v>
      </c>
      <c r="P849" s="32">
        <v>558</v>
      </c>
      <c r="Q849" s="32">
        <v>206</v>
      </c>
      <c r="R849" s="32">
        <v>3</v>
      </c>
      <c r="S849" s="32">
        <v>17.678899999999999</v>
      </c>
      <c r="T849" s="32">
        <v>5.5029500000000002</v>
      </c>
      <c r="U849" s="32">
        <v>1.1174389650000001</v>
      </c>
      <c r="V849" s="32">
        <v>4</v>
      </c>
      <c r="W849" s="32">
        <v>0.90474100000000002</v>
      </c>
      <c r="X849" s="32">
        <v>0.13549800000000001</v>
      </c>
      <c r="Y849" s="32">
        <v>0.64454100000000003</v>
      </c>
      <c r="Z849" s="32">
        <v>0.3</v>
      </c>
      <c r="AA849" s="32">
        <v>44.5</v>
      </c>
      <c r="AB849" s="32">
        <v>448</v>
      </c>
      <c r="AC849" s="32">
        <v>21</v>
      </c>
      <c r="AD849" s="32">
        <v>23</v>
      </c>
      <c r="AE849" s="32">
        <v>0</v>
      </c>
      <c r="AF849" s="32">
        <v>0</v>
      </c>
      <c r="AG849" s="32">
        <v>0</v>
      </c>
    </row>
    <row r="850" spans="1:33">
      <c r="A850" s="32" t="s">
        <v>3213</v>
      </c>
      <c r="B850" s="32" t="s">
        <v>91</v>
      </c>
      <c r="C850" s="32" t="s">
        <v>3214</v>
      </c>
      <c r="D850" s="32" t="s">
        <v>3215</v>
      </c>
      <c r="E850" s="32" t="s">
        <v>3216</v>
      </c>
      <c r="F850" s="32" t="s">
        <v>3217</v>
      </c>
      <c r="G850" s="32" t="s">
        <v>2164</v>
      </c>
      <c r="H850" s="32" t="s">
        <v>2165</v>
      </c>
      <c r="I850" s="32" t="s">
        <v>198</v>
      </c>
      <c r="J850" s="32" t="s">
        <v>199</v>
      </c>
      <c r="K850" s="32">
        <v>2.0759409999999998</v>
      </c>
      <c r="L850" s="33">
        <v>1733</v>
      </c>
      <c r="M850" s="32">
        <v>289</v>
      </c>
      <c r="N850" s="32">
        <v>324</v>
      </c>
      <c r="O850" s="32">
        <v>653</v>
      </c>
      <c r="P850" s="32">
        <v>351</v>
      </c>
      <c r="Q850" s="32">
        <v>116</v>
      </c>
      <c r="R850" s="32">
        <v>4</v>
      </c>
      <c r="S850" s="32">
        <v>21.999099999999999</v>
      </c>
      <c r="T850" s="32">
        <v>10.7395</v>
      </c>
      <c r="U850" s="32">
        <v>1.2403070329999999</v>
      </c>
      <c r="V850" s="32">
        <v>3</v>
      </c>
      <c r="W850" s="32">
        <v>0.90522999999999998</v>
      </c>
      <c r="X850" s="32">
        <v>0.20796600000000001</v>
      </c>
      <c r="Y850" s="32">
        <v>0.66119399999999995</v>
      </c>
      <c r="Z850" s="32">
        <v>0.32262200000000002</v>
      </c>
      <c r="AA850" s="32">
        <v>44.2</v>
      </c>
      <c r="AB850" s="32">
        <v>393</v>
      </c>
      <c r="AC850" s="32">
        <v>18</v>
      </c>
      <c r="AD850" s="32">
        <v>33</v>
      </c>
      <c r="AE850" s="32">
        <v>0</v>
      </c>
      <c r="AF850" s="32">
        <v>0</v>
      </c>
      <c r="AG850" s="32" t="s">
        <v>200</v>
      </c>
    </row>
    <row r="851" spans="1:33">
      <c r="A851" s="32" t="s">
        <v>3218</v>
      </c>
      <c r="B851" s="32" t="s">
        <v>91</v>
      </c>
      <c r="C851" s="32" t="s">
        <v>3219</v>
      </c>
      <c r="D851" s="32" t="s">
        <v>3220</v>
      </c>
      <c r="E851" s="32" t="s">
        <v>3211</v>
      </c>
      <c r="F851" s="32" t="s">
        <v>3212</v>
      </c>
      <c r="G851" s="32" t="s">
        <v>2164</v>
      </c>
      <c r="H851" s="32" t="s">
        <v>2165</v>
      </c>
      <c r="I851" s="32" t="s">
        <v>198</v>
      </c>
      <c r="J851" s="32" t="s">
        <v>199</v>
      </c>
      <c r="K851" s="32">
        <v>1.8968609999999999</v>
      </c>
      <c r="L851" s="33">
        <v>1779</v>
      </c>
      <c r="M851" s="32">
        <v>436</v>
      </c>
      <c r="N851" s="32">
        <v>225</v>
      </c>
      <c r="O851" s="32">
        <v>576</v>
      </c>
      <c r="P851" s="32">
        <v>424</v>
      </c>
      <c r="Q851" s="32">
        <v>118</v>
      </c>
      <c r="R851" s="32">
        <v>2</v>
      </c>
      <c r="S851" s="32">
        <v>9.0585500000000003</v>
      </c>
      <c r="T851" s="32">
        <v>4.7731599999999998</v>
      </c>
      <c r="U851" s="32">
        <v>1.0334389719999999</v>
      </c>
      <c r="V851" s="32">
        <v>6</v>
      </c>
      <c r="W851" s="32">
        <v>0.9</v>
      </c>
      <c r="X851" s="32">
        <v>8.5199999999999998E-3</v>
      </c>
      <c r="Y851" s="32">
        <v>0.68878899999999998</v>
      </c>
      <c r="Z851" s="32">
        <v>0.3</v>
      </c>
      <c r="AA851" s="32">
        <v>40.200000000000003</v>
      </c>
      <c r="AB851" s="32">
        <v>464</v>
      </c>
      <c r="AC851" s="32">
        <v>23</v>
      </c>
      <c r="AD851" s="32">
        <v>11</v>
      </c>
      <c r="AE851" s="32" t="s">
        <v>200</v>
      </c>
      <c r="AF851" s="32" t="s">
        <v>200</v>
      </c>
      <c r="AG851" s="32">
        <v>0</v>
      </c>
    </row>
    <row r="852" spans="1:33">
      <c r="A852" s="32" t="s">
        <v>3221</v>
      </c>
      <c r="B852" s="32" t="s">
        <v>91</v>
      </c>
      <c r="C852" s="32" t="s">
        <v>3222</v>
      </c>
      <c r="D852" s="32" t="s">
        <v>3223</v>
      </c>
      <c r="E852" s="32" t="s">
        <v>3211</v>
      </c>
      <c r="F852" s="32" t="s">
        <v>3212</v>
      </c>
      <c r="G852" s="32" t="s">
        <v>2164</v>
      </c>
      <c r="H852" s="32" t="s">
        <v>2165</v>
      </c>
      <c r="I852" s="32" t="s">
        <v>198</v>
      </c>
      <c r="J852" s="32" t="s">
        <v>199</v>
      </c>
      <c r="K852" s="32">
        <v>2.1172490000000002</v>
      </c>
      <c r="L852" s="33">
        <v>1397</v>
      </c>
      <c r="M852" s="32">
        <v>263</v>
      </c>
      <c r="N852" s="32">
        <v>244</v>
      </c>
      <c r="O852" s="32">
        <v>488</v>
      </c>
      <c r="P852" s="32">
        <v>297</v>
      </c>
      <c r="Q852" s="32">
        <v>105</v>
      </c>
      <c r="R852" s="32">
        <v>4</v>
      </c>
      <c r="S852" s="32">
        <v>20.378299999999999</v>
      </c>
      <c r="T852" s="32">
        <v>12.7714</v>
      </c>
      <c r="U852" s="32">
        <v>1.0823239060000001</v>
      </c>
      <c r="V852" s="32">
        <v>3</v>
      </c>
      <c r="W852" s="32">
        <v>0.904196</v>
      </c>
      <c r="X852" s="32">
        <v>0.222695</v>
      </c>
      <c r="Y852" s="32">
        <v>0.7</v>
      </c>
      <c r="Z852" s="32">
        <v>0.3</v>
      </c>
      <c r="AA852" s="32">
        <v>41.5</v>
      </c>
      <c r="AB852" s="32">
        <v>351</v>
      </c>
      <c r="AC852" s="32">
        <v>60</v>
      </c>
      <c r="AD852" s="32">
        <v>15</v>
      </c>
      <c r="AE852" s="32">
        <v>0</v>
      </c>
      <c r="AF852" s="32" t="s">
        <v>200</v>
      </c>
      <c r="AG852" s="32">
        <v>0</v>
      </c>
    </row>
    <row r="853" spans="1:33">
      <c r="A853" s="32" t="s">
        <v>3224</v>
      </c>
      <c r="B853" s="32" t="s">
        <v>91</v>
      </c>
      <c r="C853" s="32" t="s">
        <v>3225</v>
      </c>
      <c r="D853" s="32" t="s">
        <v>3226</v>
      </c>
      <c r="E853" s="32" t="s">
        <v>3211</v>
      </c>
      <c r="F853" s="32" t="s">
        <v>3212</v>
      </c>
      <c r="G853" s="32" t="s">
        <v>2164</v>
      </c>
      <c r="H853" s="32" t="s">
        <v>2165</v>
      </c>
      <c r="I853" s="32" t="s">
        <v>198</v>
      </c>
      <c r="J853" s="32" t="s">
        <v>199</v>
      </c>
      <c r="K853" s="32">
        <v>1.992637</v>
      </c>
      <c r="L853" s="33">
        <v>1524</v>
      </c>
      <c r="M853" s="32">
        <v>311</v>
      </c>
      <c r="N853" s="32">
        <v>233</v>
      </c>
      <c r="O853" s="32">
        <v>481</v>
      </c>
      <c r="P853" s="32">
        <v>330</v>
      </c>
      <c r="Q853" s="32">
        <v>169</v>
      </c>
      <c r="R853" s="32">
        <v>2</v>
      </c>
      <c r="S853" s="32">
        <v>15.293900000000001</v>
      </c>
      <c r="T853" s="32">
        <v>4.6635900000000001</v>
      </c>
      <c r="U853" s="32">
        <v>0.98094002000000002</v>
      </c>
      <c r="V853" s="32">
        <v>6</v>
      </c>
      <c r="W853" s="32">
        <v>0.90522599999999998</v>
      </c>
      <c r="X853" s="32">
        <v>8.8038000000000005E-2</v>
      </c>
      <c r="Y853" s="32">
        <v>0.7</v>
      </c>
      <c r="Z853" s="32">
        <v>0.3</v>
      </c>
      <c r="AA853" s="32">
        <v>36.4</v>
      </c>
      <c r="AB853" s="32">
        <v>471</v>
      </c>
      <c r="AC853" s="32">
        <v>15</v>
      </c>
      <c r="AD853" s="32">
        <v>21</v>
      </c>
      <c r="AE853" s="32" t="s">
        <v>200</v>
      </c>
      <c r="AF853" s="32" t="s">
        <v>200</v>
      </c>
      <c r="AG853" s="32" t="s">
        <v>200</v>
      </c>
    </row>
    <row r="854" spans="1:33">
      <c r="A854" s="32" t="s">
        <v>3227</v>
      </c>
      <c r="B854" s="32" t="s">
        <v>91</v>
      </c>
      <c r="C854" s="32" t="s">
        <v>3228</v>
      </c>
      <c r="D854" s="32" t="s">
        <v>3229</v>
      </c>
      <c r="E854" s="32" t="s">
        <v>2584</v>
      </c>
      <c r="F854" s="32" t="s">
        <v>2585</v>
      </c>
      <c r="G854" s="32" t="s">
        <v>2164</v>
      </c>
      <c r="H854" s="32" t="s">
        <v>2165</v>
      </c>
      <c r="I854" s="32" t="s">
        <v>198</v>
      </c>
      <c r="J854" s="32" t="s">
        <v>199</v>
      </c>
      <c r="K854" s="32">
        <v>2.16343</v>
      </c>
      <c r="L854" s="33">
        <v>2923</v>
      </c>
      <c r="M854" s="32">
        <v>701</v>
      </c>
      <c r="N854" s="32">
        <v>455</v>
      </c>
      <c r="O854" s="32">
        <v>999</v>
      </c>
      <c r="P854" s="32">
        <v>569</v>
      </c>
      <c r="Q854" s="32">
        <v>199</v>
      </c>
      <c r="R854" s="32">
        <v>4</v>
      </c>
      <c r="S854" s="32">
        <v>30.148800000000001</v>
      </c>
      <c r="T854" s="32">
        <v>7.9169499999999999</v>
      </c>
      <c r="U854" s="32">
        <v>1.0002116809999999</v>
      </c>
      <c r="V854" s="32">
        <v>3</v>
      </c>
      <c r="W854" s="32">
        <v>0.90154299999999998</v>
      </c>
      <c r="X854" s="32">
        <v>0.20324600000000001</v>
      </c>
      <c r="Y854" s="32">
        <v>0.62524999999999997</v>
      </c>
      <c r="Z854" s="32">
        <v>0.42957200000000001</v>
      </c>
      <c r="AA854" s="32">
        <v>53.2</v>
      </c>
      <c r="AB854" s="32">
        <v>696</v>
      </c>
      <c r="AC854" s="32">
        <v>37</v>
      </c>
      <c r="AD854" s="32">
        <v>38</v>
      </c>
      <c r="AE854" s="32" t="s">
        <v>200</v>
      </c>
      <c r="AF854" s="32">
        <v>5</v>
      </c>
      <c r="AG854" s="32" t="s">
        <v>200</v>
      </c>
    </row>
    <row r="855" spans="1:33">
      <c r="A855" s="32" t="s">
        <v>2589</v>
      </c>
      <c r="B855" s="32" t="s">
        <v>91</v>
      </c>
      <c r="C855" s="32" t="s">
        <v>2590</v>
      </c>
      <c r="D855" s="32" t="s">
        <v>2591</v>
      </c>
      <c r="E855" s="32" t="s">
        <v>2584</v>
      </c>
      <c r="F855" s="32" t="s">
        <v>2585</v>
      </c>
      <c r="G855" s="32" t="s">
        <v>2164</v>
      </c>
      <c r="H855" s="32" t="s">
        <v>2165</v>
      </c>
      <c r="I855" s="32" t="s">
        <v>198</v>
      </c>
      <c r="J855" s="32" t="s">
        <v>199</v>
      </c>
      <c r="K855" s="32">
        <v>2.3809819999999999</v>
      </c>
      <c r="L855" s="33">
        <v>1955</v>
      </c>
      <c r="M855" s="32">
        <v>434</v>
      </c>
      <c r="N855" s="32">
        <v>389</v>
      </c>
      <c r="O855" s="32">
        <v>520</v>
      </c>
      <c r="P855" s="32">
        <v>444</v>
      </c>
      <c r="Q855" s="32">
        <v>168</v>
      </c>
      <c r="R855" s="32" t="s">
        <v>302</v>
      </c>
      <c r="S855" s="32">
        <v>35.0901</v>
      </c>
      <c r="T855" s="32">
        <v>1.85707</v>
      </c>
      <c r="U855" s="32">
        <v>1.32290738</v>
      </c>
      <c r="V855" s="32">
        <v>1</v>
      </c>
      <c r="W855" s="32">
        <v>0.91022499999999995</v>
      </c>
      <c r="X855" s="32">
        <v>0.34515800000000002</v>
      </c>
      <c r="Y855" s="32">
        <v>0.62761800000000001</v>
      </c>
      <c r="Z855" s="32">
        <v>0.49959100000000001</v>
      </c>
      <c r="AA855" s="32">
        <v>59.5</v>
      </c>
      <c r="AB855" s="32">
        <v>414</v>
      </c>
      <c r="AC855" s="32">
        <v>37</v>
      </c>
      <c r="AD855" s="32">
        <v>31</v>
      </c>
      <c r="AE855" s="32" t="s">
        <v>200</v>
      </c>
      <c r="AF855" s="32" t="s">
        <v>200</v>
      </c>
      <c r="AG855" s="32">
        <v>8</v>
      </c>
    </row>
    <row r="856" spans="1:33">
      <c r="A856" s="32" t="s">
        <v>3230</v>
      </c>
      <c r="B856" s="32" t="s">
        <v>91</v>
      </c>
      <c r="C856" s="32" t="s">
        <v>3231</v>
      </c>
      <c r="D856" s="32" t="s">
        <v>3232</v>
      </c>
      <c r="E856" s="32" t="s">
        <v>2584</v>
      </c>
      <c r="F856" s="32" t="s">
        <v>2585</v>
      </c>
      <c r="G856" s="32" t="s">
        <v>2164</v>
      </c>
      <c r="H856" s="32" t="s">
        <v>2165</v>
      </c>
      <c r="I856" s="32" t="s">
        <v>198</v>
      </c>
      <c r="J856" s="32" t="s">
        <v>199</v>
      </c>
      <c r="K856" s="32">
        <v>2.1465809999999999</v>
      </c>
      <c r="L856" s="33">
        <v>2074</v>
      </c>
      <c r="M856" s="32">
        <v>478</v>
      </c>
      <c r="N856" s="32">
        <v>437</v>
      </c>
      <c r="O856" s="32">
        <v>449</v>
      </c>
      <c r="P856" s="32">
        <v>537</v>
      </c>
      <c r="Q856" s="32">
        <v>173</v>
      </c>
      <c r="R856" s="32">
        <v>4</v>
      </c>
      <c r="S856" s="32">
        <v>24.417400000000001</v>
      </c>
      <c r="T856" s="32">
        <v>15.7555</v>
      </c>
      <c r="U856" s="32">
        <v>1.1782908160000001</v>
      </c>
      <c r="V856" s="32">
        <v>3</v>
      </c>
      <c r="W856" s="32">
        <v>0.90405999999999997</v>
      </c>
      <c r="X856" s="32">
        <v>0.28712399999999999</v>
      </c>
      <c r="Y856" s="32">
        <v>0.6</v>
      </c>
      <c r="Z856" s="32">
        <v>0.34553200000000001</v>
      </c>
      <c r="AA856" s="32">
        <v>55</v>
      </c>
      <c r="AB856" s="32">
        <v>446</v>
      </c>
      <c r="AC856" s="32">
        <v>12</v>
      </c>
      <c r="AD856" s="32">
        <v>34</v>
      </c>
      <c r="AE856" s="32">
        <v>0</v>
      </c>
      <c r="AF856" s="32">
        <v>0</v>
      </c>
      <c r="AG856" s="32">
        <v>0</v>
      </c>
    </row>
    <row r="857" spans="1:33">
      <c r="A857" s="32" t="s">
        <v>3233</v>
      </c>
      <c r="B857" s="32" t="s">
        <v>92</v>
      </c>
      <c r="C857" s="32" t="s">
        <v>3234</v>
      </c>
      <c r="D857" s="32" t="s">
        <v>3235</v>
      </c>
      <c r="E857" s="32" t="s">
        <v>3236</v>
      </c>
      <c r="F857" s="32" t="s">
        <v>3237</v>
      </c>
      <c r="G857" s="32" t="s">
        <v>1232</v>
      </c>
      <c r="H857" s="32" t="s">
        <v>1233</v>
      </c>
      <c r="I857" s="32" t="s">
        <v>198</v>
      </c>
      <c r="J857" s="32" t="s">
        <v>199</v>
      </c>
      <c r="K857" s="32">
        <v>2.4559090000000001</v>
      </c>
      <c r="L857" s="33">
        <v>1966</v>
      </c>
      <c r="M857" s="32">
        <v>370</v>
      </c>
      <c r="N857" s="32">
        <v>282</v>
      </c>
      <c r="O857" s="32">
        <v>686</v>
      </c>
      <c r="P857" s="32">
        <v>449</v>
      </c>
      <c r="Q857" s="32">
        <v>179</v>
      </c>
      <c r="R857" s="32" t="s">
        <v>302</v>
      </c>
      <c r="S857" s="32">
        <v>37.598500000000001</v>
      </c>
      <c r="T857" s="32">
        <v>20.340499999999999</v>
      </c>
      <c r="U857" s="32">
        <v>0.78848393699999997</v>
      </c>
      <c r="V857" s="32">
        <v>6</v>
      </c>
      <c r="W857" s="32">
        <v>0.90840900000000002</v>
      </c>
      <c r="X857" s="32">
        <v>0.12370200000000001</v>
      </c>
      <c r="Y857" s="32">
        <v>0.78314399999999995</v>
      </c>
      <c r="Z857" s="32">
        <v>0.66945699999999997</v>
      </c>
      <c r="AA857" s="32">
        <v>36.299999999999997</v>
      </c>
      <c r="AB857" s="32">
        <v>368</v>
      </c>
      <c r="AC857" s="32">
        <v>34</v>
      </c>
      <c r="AD857" s="32">
        <v>23</v>
      </c>
      <c r="AE857" s="32">
        <v>0</v>
      </c>
      <c r="AF857" s="32" t="s">
        <v>200</v>
      </c>
      <c r="AG857" s="32" t="s">
        <v>200</v>
      </c>
    </row>
    <row r="858" spans="1:33">
      <c r="A858" s="32" t="s">
        <v>3238</v>
      </c>
      <c r="B858" s="32" t="s">
        <v>92</v>
      </c>
      <c r="C858" s="32" t="s">
        <v>3239</v>
      </c>
      <c r="D858" s="32" t="s">
        <v>3240</v>
      </c>
      <c r="E858" s="32" t="s">
        <v>3236</v>
      </c>
      <c r="F858" s="32" t="s">
        <v>3237</v>
      </c>
      <c r="G858" s="32" t="s">
        <v>1232</v>
      </c>
      <c r="H858" s="32" t="s">
        <v>1233</v>
      </c>
      <c r="I858" s="32" t="s">
        <v>198</v>
      </c>
      <c r="J858" s="32" t="s">
        <v>199</v>
      </c>
      <c r="K858" s="32">
        <v>2.383721</v>
      </c>
      <c r="L858" s="33">
        <v>2120</v>
      </c>
      <c r="M858" s="32">
        <v>326</v>
      </c>
      <c r="N858" s="32">
        <v>509</v>
      </c>
      <c r="O858" s="32">
        <v>708</v>
      </c>
      <c r="P858" s="32">
        <v>415</v>
      </c>
      <c r="Q858" s="32">
        <v>162</v>
      </c>
      <c r="R858" s="32" t="s">
        <v>302</v>
      </c>
      <c r="S858" s="32">
        <v>33.347499999999997</v>
      </c>
      <c r="T858" s="32">
        <v>20.2319</v>
      </c>
      <c r="U858" s="32">
        <v>0.82152678899999998</v>
      </c>
      <c r="V858" s="32">
        <v>5</v>
      </c>
      <c r="W858" s="32">
        <v>0.90658899999999998</v>
      </c>
      <c r="X858" s="32">
        <v>0.122158</v>
      </c>
      <c r="Y858" s="32">
        <v>0.70230300000000001</v>
      </c>
      <c r="Z858" s="32">
        <v>0.64107499999999995</v>
      </c>
      <c r="AA858" s="32">
        <v>27.5</v>
      </c>
      <c r="AB858" s="32">
        <v>546</v>
      </c>
      <c r="AC858" s="32">
        <v>34</v>
      </c>
      <c r="AD858" s="32">
        <v>23</v>
      </c>
      <c r="AE858" s="32">
        <v>0</v>
      </c>
      <c r="AF858" s="32" t="s">
        <v>200</v>
      </c>
      <c r="AG858" s="32" t="s">
        <v>200</v>
      </c>
    </row>
    <row r="859" spans="1:33">
      <c r="A859" s="32" t="s">
        <v>3241</v>
      </c>
      <c r="B859" s="32" t="s">
        <v>92</v>
      </c>
      <c r="C859" s="32" t="s">
        <v>3242</v>
      </c>
      <c r="D859" s="32" t="s">
        <v>3243</v>
      </c>
      <c r="E859" s="32" t="s">
        <v>3236</v>
      </c>
      <c r="F859" s="32" t="s">
        <v>3237</v>
      </c>
      <c r="G859" s="32" t="s">
        <v>1232</v>
      </c>
      <c r="H859" s="32" t="s">
        <v>1233</v>
      </c>
      <c r="I859" s="32" t="s">
        <v>198</v>
      </c>
      <c r="J859" s="32" t="s">
        <v>199</v>
      </c>
      <c r="K859" s="32">
        <v>2.2273309999999999</v>
      </c>
      <c r="L859" s="33">
        <v>1747</v>
      </c>
      <c r="M859" s="32">
        <v>228</v>
      </c>
      <c r="N859" s="32">
        <v>407</v>
      </c>
      <c r="O859" s="32">
        <v>575</v>
      </c>
      <c r="P859" s="32">
        <v>383</v>
      </c>
      <c r="Q859" s="32">
        <v>154</v>
      </c>
      <c r="R859" s="32">
        <v>5</v>
      </c>
      <c r="S859" s="32">
        <v>37.848199999999999</v>
      </c>
      <c r="T859" s="32">
        <v>6.94475</v>
      </c>
      <c r="U859" s="32">
        <v>1.0610574660000001</v>
      </c>
      <c r="V859" s="32">
        <v>3</v>
      </c>
      <c r="W859" s="32">
        <v>0.90353700000000003</v>
      </c>
      <c r="X859" s="32">
        <v>0.102614</v>
      </c>
      <c r="Y859" s="32">
        <v>0.70224399999999998</v>
      </c>
      <c r="Z859" s="32">
        <v>0.52993599999999996</v>
      </c>
      <c r="AA859" s="32">
        <v>39</v>
      </c>
      <c r="AB859" s="32">
        <v>345</v>
      </c>
      <c r="AC859" s="32">
        <v>22</v>
      </c>
      <c r="AD859" s="32">
        <v>22</v>
      </c>
      <c r="AE859" s="32">
        <v>0</v>
      </c>
      <c r="AF859" s="32">
        <v>0</v>
      </c>
      <c r="AG859" s="32" t="s">
        <v>200</v>
      </c>
    </row>
    <row r="860" spans="1:33">
      <c r="A860" s="32" t="s">
        <v>3137</v>
      </c>
      <c r="B860" s="32" t="s">
        <v>92</v>
      </c>
      <c r="C860" s="32" t="s">
        <v>3138</v>
      </c>
      <c r="D860" s="32" t="s">
        <v>3139</v>
      </c>
      <c r="E860" s="32" t="s">
        <v>3140</v>
      </c>
      <c r="F860" s="32" t="s">
        <v>3141</v>
      </c>
      <c r="G860" s="32" t="s">
        <v>1232</v>
      </c>
      <c r="H860" s="32" t="s">
        <v>1233</v>
      </c>
      <c r="I860" s="32" t="s">
        <v>198</v>
      </c>
      <c r="J860" s="32" t="s">
        <v>199</v>
      </c>
      <c r="K860" s="32">
        <v>2.8173910000000002</v>
      </c>
      <c r="L860" s="33">
        <v>1625</v>
      </c>
      <c r="M860" s="32">
        <v>310</v>
      </c>
      <c r="N860" s="32">
        <v>298</v>
      </c>
      <c r="O860" s="32">
        <v>479</v>
      </c>
      <c r="P860" s="32">
        <v>403</v>
      </c>
      <c r="Q860" s="32">
        <v>135</v>
      </c>
      <c r="R860" s="32" t="s">
        <v>302</v>
      </c>
      <c r="S860" s="32">
        <v>40.686500000000002</v>
      </c>
      <c r="T860" s="32">
        <v>15.611700000000001</v>
      </c>
      <c r="U860" s="32">
        <v>0.84491048800000002</v>
      </c>
      <c r="V860" s="32">
        <v>3</v>
      </c>
      <c r="W860" s="32">
        <v>0.91739099999999996</v>
      </c>
      <c r="X860" s="32">
        <v>0.39447500000000002</v>
      </c>
      <c r="Y860" s="32">
        <v>0.76812000000000002</v>
      </c>
      <c r="Z860" s="32">
        <v>0.74316899999999997</v>
      </c>
      <c r="AA860" s="32">
        <v>55.1</v>
      </c>
      <c r="AB860" s="32">
        <v>276</v>
      </c>
      <c r="AC860" s="32">
        <v>26</v>
      </c>
      <c r="AD860" s="32">
        <v>17</v>
      </c>
      <c r="AE860" s="32">
        <v>0</v>
      </c>
      <c r="AF860" s="32">
        <v>0</v>
      </c>
      <c r="AG860" s="32">
        <v>0</v>
      </c>
    </row>
    <row r="861" spans="1:33">
      <c r="A861" s="32" t="s">
        <v>3244</v>
      </c>
      <c r="B861" s="32" t="s">
        <v>92</v>
      </c>
      <c r="C861" s="32" t="s">
        <v>3245</v>
      </c>
      <c r="D861" s="32" t="s">
        <v>3246</v>
      </c>
      <c r="E861" s="32" t="s">
        <v>3247</v>
      </c>
      <c r="F861" s="32" t="s">
        <v>3248</v>
      </c>
      <c r="G861" s="32" t="s">
        <v>1232</v>
      </c>
      <c r="H861" s="32" t="s">
        <v>1233</v>
      </c>
      <c r="I861" s="32" t="s">
        <v>198</v>
      </c>
      <c r="J861" s="32" t="s">
        <v>199</v>
      </c>
      <c r="K861" s="32">
        <v>2.3363100000000001</v>
      </c>
      <c r="L861" s="33">
        <v>2168</v>
      </c>
      <c r="M861" s="32">
        <v>349</v>
      </c>
      <c r="N861" s="32">
        <v>443</v>
      </c>
      <c r="O861" s="32">
        <v>804</v>
      </c>
      <c r="P861" s="32">
        <v>370</v>
      </c>
      <c r="Q861" s="32">
        <v>202</v>
      </c>
      <c r="R861" s="32" t="s">
        <v>302</v>
      </c>
      <c r="S861" s="32">
        <v>37.810400000000001</v>
      </c>
      <c r="T861" s="32">
        <v>20.943300000000001</v>
      </c>
      <c r="U861" s="32">
        <v>0.88664573199999996</v>
      </c>
      <c r="V861" s="32">
        <v>4</v>
      </c>
      <c r="W861" s="32">
        <v>0.90654800000000002</v>
      </c>
      <c r="X861" s="32">
        <v>0.146507</v>
      </c>
      <c r="Y861" s="32">
        <v>0.7</v>
      </c>
      <c r="Z861" s="32">
        <v>0.56448399999999999</v>
      </c>
      <c r="AA861" s="32">
        <v>37.5</v>
      </c>
      <c r="AB861" s="32">
        <v>411</v>
      </c>
      <c r="AC861" s="32">
        <v>35</v>
      </c>
      <c r="AD861" s="32">
        <v>31</v>
      </c>
      <c r="AE861" s="32">
        <v>0</v>
      </c>
      <c r="AF861" s="32">
        <v>0</v>
      </c>
      <c r="AG861" s="32" t="s">
        <v>200</v>
      </c>
    </row>
    <row r="862" spans="1:33">
      <c r="A862" s="32" t="s">
        <v>3249</v>
      </c>
      <c r="B862" s="32" t="s">
        <v>92</v>
      </c>
      <c r="C862" s="32" t="s">
        <v>3250</v>
      </c>
      <c r="D862" s="32" t="s">
        <v>3251</v>
      </c>
      <c r="E862" s="32" t="s">
        <v>3247</v>
      </c>
      <c r="F862" s="32" t="s">
        <v>3248</v>
      </c>
      <c r="G862" s="32" t="s">
        <v>1232</v>
      </c>
      <c r="H862" s="32" t="s">
        <v>1233</v>
      </c>
      <c r="I862" s="32" t="s">
        <v>198</v>
      </c>
      <c r="J862" s="32" t="s">
        <v>199</v>
      </c>
      <c r="K862" s="32">
        <v>2.2700999999999998</v>
      </c>
      <c r="L862" s="33">
        <v>2066</v>
      </c>
      <c r="M862" s="32">
        <v>424</v>
      </c>
      <c r="N862" s="32">
        <v>368</v>
      </c>
      <c r="O862" s="32">
        <v>632</v>
      </c>
      <c r="P862" s="32">
        <v>417</v>
      </c>
      <c r="Q862" s="32">
        <v>225</v>
      </c>
      <c r="R862" s="32">
        <v>5</v>
      </c>
      <c r="S862" s="32">
        <v>39.274900000000002</v>
      </c>
      <c r="T862" s="32">
        <v>5.56717</v>
      </c>
      <c r="U862" s="32">
        <v>0.95481671700000004</v>
      </c>
      <c r="V862" s="32">
        <v>4</v>
      </c>
      <c r="W862" s="32">
        <v>0.90564800000000001</v>
      </c>
      <c r="X862" s="32">
        <v>0.123361</v>
      </c>
      <c r="Y862" s="32">
        <v>0.71228999999999998</v>
      </c>
      <c r="Z862" s="32">
        <v>0.51588599999999996</v>
      </c>
      <c r="AA862" s="32">
        <v>33.5</v>
      </c>
      <c r="AB862" s="32">
        <v>426</v>
      </c>
      <c r="AC862" s="32">
        <v>43</v>
      </c>
      <c r="AD862" s="32">
        <v>19</v>
      </c>
      <c r="AE862" s="32">
        <v>0</v>
      </c>
      <c r="AF862" s="32" t="s">
        <v>200</v>
      </c>
      <c r="AG862" s="32">
        <v>6</v>
      </c>
    </row>
    <row r="863" spans="1:33">
      <c r="A863" s="32" t="s">
        <v>3104</v>
      </c>
      <c r="B863" s="32" t="s">
        <v>92</v>
      </c>
      <c r="C863" s="32" t="s">
        <v>3105</v>
      </c>
      <c r="D863" s="32" t="s">
        <v>3106</v>
      </c>
      <c r="E863" s="32" t="s">
        <v>3094</v>
      </c>
      <c r="F863" s="32" t="s">
        <v>3095</v>
      </c>
      <c r="G863" s="32" t="s">
        <v>1232</v>
      </c>
      <c r="H863" s="32" t="s">
        <v>1233</v>
      </c>
      <c r="I863" s="32" t="s">
        <v>198</v>
      </c>
      <c r="J863" s="32" t="s">
        <v>199</v>
      </c>
      <c r="K863" s="32">
        <v>2.4911829999999999</v>
      </c>
      <c r="L863" s="33">
        <v>2714</v>
      </c>
      <c r="M863" s="32">
        <v>442</v>
      </c>
      <c r="N863" s="32">
        <v>570</v>
      </c>
      <c r="O863" s="32">
        <v>981</v>
      </c>
      <c r="P863" s="32">
        <v>550</v>
      </c>
      <c r="Q863" s="32">
        <v>171</v>
      </c>
      <c r="R863" s="32" t="s">
        <v>302</v>
      </c>
      <c r="S863" s="32">
        <v>40.337699999999998</v>
      </c>
      <c r="T863" s="32">
        <v>26.525400000000001</v>
      </c>
      <c r="U863" s="32">
        <v>1.0011948129999999</v>
      </c>
      <c r="V863" s="32">
        <v>3</v>
      </c>
      <c r="W863" s="32">
        <v>0.914385</v>
      </c>
      <c r="X863" s="32">
        <v>0.285057</v>
      </c>
      <c r="Y863" s="32">
        <v>0.79745999999999995</v>
      </c>
      <c r="Z863" s="32">
        <v>0.50209800000000004</v>
      </c>
      <c r="AA863" s="32">
        <v>40.299999999999997</v>
      </c>
      <c r="AB863" s="32">
        <v>432</v>
      </c>
      <c r="AC863" s="32">
        <v>53</v>
      </c>
      <c r="AD863" s="32">
        <v>36</v>
      </c>
      <c r="AE863" s="32">
        <v>0</v>
      </c>
      <c r="AF863" s="32" t="s">
        <v>200</v>
      </c>
      <c r="AG863" s="32" t="s">
        <v>200</v>
      </c>
    </row>
    <row r="864" spans="1:33">
      <c r="A864" s="32" t="s">
        <v>3252</v>
      </c>
      <c r="B864" s="32" t="s">
        <v>92</v>
      </c>
      <c r="C864" s="32" t="s">
        <v>3253</v>
      </c>
      <c r="D864" s="32" t="s">
        <v>3254</v>
      </c>
      <c r="E864" s="32" t="s">
        <v>3247</v>
      </c>
      <c r="F864" s="32" t="s">
        <v>3248</v>
      </c>
      <c r="G864" s="32" t="s">
        <v>1232</v>
      </c>
      <c r="H864" s="32" t="s">
        <v>1233</v>
      </c>
      <c r="I864" s="32" t="s">
        <v>198</v>
      </c>
      <c r="J864" s="32" t="s">
        <v>199</v>
      </c>
      <c r="K864" s="32">
        <v>2.3351419999999998</v>
      </c>
      <c r="L864" s="33">
        <v>2429</v>
      </c>
      <c r="M864" s="32">
        <v>239</v>
      </c>
      <c r="N864" s="32">
        <v>634</v>
      </c>
      <c r="O864" s="33">
        <v>1074</v>
      </c>
      <c r="P864" s="32">
        <v>362</v>
      </c>
      <c r="Q864" s="32">
        <v>120</v>
      </c>
      <c r="R864" s="32" t="s">
        <v>302</v>
      </c>
      <c r="S864" s="32">
        <v>37.241700000000002</v>
      </c>
      <c r="T864" s="32">
        <v>20.568200000000001</v>
      </c>
      <c r="U864" s="32">
        <v>0.77955770199999996</v>
      </c>
      <c r="V864" s="32">
        <v>6</v>
      </c>
      <c r="W864" s="32">
        <v>0.92144700000000002</v>
      </c>
      <c r="X864" s="32">
        <v>0.19689899999999999</v>
      </c>
      <c r="Y864" s="32">
        <v>0.7</v>
      </c>
      <c r="Z864" s="32">
        <v>0.57168799999999997</v>
      </c>
      <c r="AA864" s="32">
        <v>31.6</v>
      </c>
      <c r="AB864" s="32">
        <v>343</v>
      </c>
      <c r="AC864" s="32">
        <v>31</v>
      </c>
      <c r="AD864" s="32">
        <v>18</v>
      </c>
      <c r="AE864" s="32" t="s">
        <v>200</v>
      </c>
      <c r="AF864" s="32">
        <v>0</v>
      </c>
      <c r="AG864" s="32">
        <v>0</v>
      </c>
    </row>
    <row r="865" spans="1:33">
      <c r="A865" s="32" t="s">
        <v>3255</v>
      </c>
      <c r="B865" s="32" t="s">
        <v>92</v>
      </c>
      <c r="C865" s="32" t="s">
        <v>3256</v>
      </c>
      <c r="D865" s="32" t="s">
        <v>3257</v>
      </c>
      <c r="E865" s="32" t="s">
        <v>3247</v>
      </c>
      <c r="F865" s="32" t="s">
        <v>3248</v>
      </c>
      <c r="G865" s="32" t="s">
        <v>1232</v>
      </c>
      <c r="H865" s="32" t="s">
        <v>1233</v>
      </c>
      <c r="I865" s="32" t="s">
        <v>198</v>
      </c>
      <c r="J865" s="32" t="s">
        <v>199</v>
      </c>
      <c r="K865" s="32">
        <v>2.1786289999999999</v>
      </c>
      <c r="L865" s="33">
        <v>2043</v>
      </c>
      <c r="M865" s="32">
        <v>344</v>
      </c>
      <c r="N865" s="32">
        <v>335</v>
      </c>
      <c r="O865" s="32">
        <v>665</v>
      </c>
      <c r="P865" s="32">
        <v>495</v>
      </c>
      <c r="Q865" s="32">
        <v>204</v>
      </c>
      <c r="R865" s="32">
        <v>5</v>
      </c>
      <c r="S865" s="32">
        <v>38.729399999999998</v>
      </c>
      <c r="T865" s="32">
        <v>3.8804799999999999</v>
      </c>
      <c r="U865" s="32">
        <v>0.91225542999999998</v>
      </c>
      <c r="V865" s="32">
        <v>5</v>
      </c>
      <c r="W865" s="32">
        <v>0.90241899999999997</v>
      </c>
      <c r="X865" s="32">
        <v>5.8064999999999999E-2</v>
      </c>
      <c r="Y865" s="32">
        <v>0.71943900000000005</v>
      </c>
      <c r="Z865" s="32">
        <v>0.49737399999999998</v>
      </c>
      <c r="AA865" s="32">
        <v>38.299999999999997</v>
      </c>
      <c r="AB865" s="32">
        <v>452</v>
      </c>
      <c r="AC865" s="32">
        <v>42</v>
      </c>
      <c r="AD865" s="32">
        <v>36</v>
      </c>
      <c r="AE865" s="32">
        <v>0</v>
      </c>
      <c r="AF865" s="32" t="s">
        <v>200</v>
      </c>
      <c r="AG865" s="32" t="s">
        <v>200</v>
      </c>
    </row>
    <row r="866" spans="1:33">
      <c r="A866" s="32" t="s">
        <v>3258</v>
      </c>
      <c r="B866" s="32" t="s">
        <v>66</v>
      </c>
      <c r="C866" s="32" t="s">
        <v>3259</v>
      </c>
      <c r="D866" s="32" t="s">
        <v>3260</v>
      </c>
      <c r="E866" s="32" t="s">
        <v>3261</v>
      </c>
      <c r="F866" s="32" t="s">
        <v>3262</v>
      </c>
      <c r="G866" s="32" t="s">
        <v>1232</v>
      </c>
      <c r="H866" s="32" t="s">
        <v>1233</v>
      </c>
      <c r="I866" s="32" t="s">
        <v>198</v>
      </c>
      <c r="J866" s="32" t="s">
        <v>199</v>
      </c>
      <c r="K866" s="32">
        <v>3.0671919999999999</v>
      </c>
      <c r="L866" s="33">
        <v>2020</v>
      </c>
      <c r="M866" s="32">
        <v>170</v>
      </c>
      <c r="N866" s="32">
        <v>770</v>
      </c>
      <c r="O866" s="32">
        <v>720</v>
      </c>
      <c r="P866" s="32">
        <v>290</v>
      </c>
      <c r="Q866" s="32">
        <v>70</v>
      </c>
      <c r="R866" s="32" t="s">
        <v>302</v>
      </c>
      <c r="S866" s="32">
        <v>36.8215</v>
      </c>
      <c r="T866" s="32">
        <v>24.703499999999998</v>
      </c>
      <c r="U866" s="32">
        <v>0.38403917599999998</v>
      </c>
      <c r="V866" s="32">
        <v>6</v>
      </c>
      <c r="W866" s="32">
        <v>0.99053599999999997</v>
      </c>
      <c r="X866" s="32">
        <v>0.37079400000000001</v>
      </c>
      <c r="Y866" s="32">
        <v>0.7</v>
      </c>
      <c r="Z866" s="32">
        <v>1</v>
      </c>
      <c r="AA866" s="32">
        <v>22.6</v>
      </c>
      <c r="AB866" s="32">
        <v>217</v>
      </c>
      <c r="AC866" s="32">
        <v>13</v>
      </c>
      <c r="AD866" s="32">
        <v>13</v>
      </c>
      <c r="AE866" s="32">
        <v>0</v>
      </c>
      <c r="AF866" s="32">
        <v>0</v>
      </c>
      <c r="AG866" s="32">
        <v>0</v>
      </c>
    </row>
    <row r="867" spans="1:33">
      <c r="A867" s="32" t="s">
        <v>3263</v>
      </c>
      <c r="B867" s="32" t="s">
        <v>66</v>
      </c>
      <c r="C867" s="32" t="s">
        <v>3264</v>
      </c>
      <c r="D867" s="32" t="s">
        <v>3265</v>
      </c>
      <c r="E867" s="32" t="s">
        <v>3266</v>
      </c>
      <c r="F867" s="32" t="s">
        <v>3267</v>
      </c>
      <c r="G867" s="32" t="s">
        <v>1232</v>
      </c>
      <c r="H867" s="32" t="s">
        <v>1233</v>
      </c>
      <c r="I867" s="32" t="s">
        <v>198</v>
      </c>
      <c r="J867" s="32" t="s">
        <v>199</v>
      </c>
      <c r="K867" s="32">
        <v>2.823982</v>
      </c>
      <c r="L867" s="33">
        <v>1720</v>
      </c>
      <c r="M867" s="32">
        <v>300</v>
      </c>
      <c r="N867" s="32">
        <v>402</v>
      </c>
      <c r="O867" s="32">
        <v>474</v>
      </c>
      <c r="P867" s="32">
        <v>387</v>
      </c>
      <c r="Q867" s="32">
        <v>157</v>
      </c>
      <c r="R867" s="32">
        <v>5</v>
      </c>
      <c r="S867" s="32">
        <v>36.1004</v>
      </c>
      <c r="T867" s="32">
        <v>9.6216799999999996</v>
      </c>
      <c r="U867" s="32">
        <v>0.90804342599999999</v>
      </c>
      <c r="V867" s="32">
        <v>2</v>
      </c>
      <c r="W867" s="32">
        <v>0.91176500000000005</v>
      </c>
      <c r="X867" s="32">
        <v>0.103965</v>
      </c>
      <c r="Y867" s="32">
        <v>0.8</v>
      </c>
      <c r="Z867" s="32">
        <v>1</v>
      </c>
      <c r="AA867" s="32">
        <v>58.3</v>
      </c>
      <c r="AB867" s="32">
        <v>314</v>
      </c>
      <c r="AC867" s="32">
        <v>23</v>
      </c>
      <c r="AD867" s="32">
        <v>19</v>
      </c>
      <c r="AE867" s="32">
        <v>0</v>
      </c>
      <c r="AF867" s="32">
        <v>0</v>
      </c>
      <c r="AG867" s="32">
        <v>0</v>
      </c>
    </row>
    <row r="868" spans="1:33">
      <c r="A868" s="32" t="s">
        <v>3268</v>
      </c>
      <c r="B868" s="32" t="s">
        <v>66</v>
      </c>
      <c r="C868" s="32" t="s">
        <v>3269</v>
      </c>
      <c r="D868" s="32" t="s">
        <v>3270</v>
      </c>
      <c r="E868" s="32" t="s">
        <v>3266</v>
      </c>
      <c r="F868" s="32" t="s">
        <v>3267</v>
      </c>
      <c r="G868" s="32" t="s">
        <v>1232</v>
      </c>
      <c r="H868" s="32" t="s">
        <v>1233</v>
      </c>
      <c r="I868" s="32" t="s">
        <v>198</v>
      </c>
      <c r="J868" s="32" t="s">
        <v>199</v>
      </c>
      <c r="K868" s="32">
        <v>3.014113</v>
      </c>
      <c r="L868" s="33">
        <v>1035</v>
      </c>
      <c r="M868" s="32">
        <v>106</v>
      </c>
      <c r="N868" s="32">
        <v>264</v>
      </c>
      <c r="O868" s="32">
        <v>342</v>
      </c>
      <c r="P868" s="32">
        <v>250</v>
      </c>
      <c r="Q868" s="32">
        <v>73</v>
      </c>
      <c r="R868" s="32" t="s">
        <v>302</v>
      </c>
      <c r="S868" s="32">
        <v>47.667099999999998</v>
      </c>
      <c r="T868" s="32">
        <v>15.9384</v>
      </c>
      <c r="U868" s="32">
        <v>0.81790094199999996</v>
      </c>
      <c r="V868" s="32">
        <v>2</v>
      </c>
      <c r="W868" s="32">
        <v>0.92540299999999998</v>
      </c>
      <c r="X868" s="32">
        <v>0.331984</v>
      </c>
      <c r="Y868" s="32">
        <v>0.74734699999999998</v>
      </c>
      <c r="Z868" s="32">
        <v>1</v>
      </c>
      <c r="AA868" s="32">
        <v>47.5</v>
      </c>
      <c r="AB868" s="32">
        <v>145</v>
      </c>
      <c r="AC868" s="32">
        <v>21</v>
      </c>
      <c r="AD868" s="32">
        <v>10</v>
      </c>
      <c r="AE868" s="32">
        <v>0</v>
      </c>
      <c r="AF868" s="32">
        <v>8</v>
      </c>
      <c r="AG868" s="32" t="s">
        <v>200</v>
      </c>
    </row>
    <row r="869" spans="1:33">
      <c r="A869" s="32" t="s">
        <v>3271</v>
      </c>
      <c r="B869" s="32" t="s">
        <v>66</v>
      </c>
      <c r="C869" s="32" t="s">
        <v>3272</v>
      </c>
      <c r="D869" s="32" t="s">
        <v>3273</v>
      </c>
      <c r="E869" s="32" t="s">
        <v>3266</v>
      </c>
      <c r="F869" s="32" t="s">
        <v>3267</v>
      </c>
      <c r="G869" s="32" t="s">
        <v>1232</v>
      </c>
      <c r="H869" s="32" t="s">
        <v>1233</v>
      </c>
      <c r="I869" s="32" t="s">
        <v>198</v>
      </c>
      <c r="J869" s="32" t="s">
        <v>199</v>
      </c>
      <c r="K869" s="32">
        <v>2.7486649999999999</v>
      </c>
      <c r="L869" s="33">
        <v>1894</v>
      </c>
      <c r="M869" s="32">
        <v>379</v>
      </c>
      <c r="N869" s="32">
        <v>408</v>
      </c>
      <c r="O869" s="32">
        <v>427</v>
      </c>
      <c r="P869" s="32">
        <v>481</v>
      </c>
      <c r="Q869" s="32">
        <v>199</v>
      </c>
      <c r="R869" s="32">
        <v>4</v>
      </c>
      <c r="S869" s="32">
        <v>43.682400000000001</v>
      </c>
      <c r="T869" s="32">
        <v>9.3478399999999997</v>
      </c>
      <c r="U869" s="32">
        <v>1.079188128</v>
      </c>
      <c r="V869" s="32">
        <v>2</v>
      </c>
      <c r="W869" s="32">
        <v>0.94391700000000001</v>
      </c>
      <c r="X869" s="32">
        <v>0.116364</v>
      </c>
      <c r="Y869" s="32">
        <v>0.74863199999999996</v>
      </c>
      <c r="Z869" s="32">
        <v>0.94668699999999995</v>
      </c>
      <c r="AA869" s="32">
        <v>74.2</v>
      </c>
      <c r="AB869" s="32">
        <v>337</v>
      </c>
      <c r="AC869" s="32">
        <v>25</v>
      </c>
      <c r="AD869" s="32">
        <v>24</v>
      </c>
      <c r="AE869" s="32">
        <v>0</v>
      </c>
      <c r="AF869" s="32" t="s">
        <v>200</v>
      </c>
      <c r="AG869" s="32">
        <v>0</v>
      </c>
    </row>
    <row r="870" spans="1:33">
      <c r="A870" s="32" t="s">
        <v>3274</v>
      </c>
      <c r="B870" s="32" t="s">
        <v>66</v>
      </c>
      <c r="C870" s="32" t="s">
        <v>3275</v>
      </c>
      <c r="D870" s="32" t="s">
        <v>3276</v>
      </c>
      <c r="E870" s="32" t="s">
        <v>3266</v>
      </c>
      <c r="F870" s="32" t="s">
        <v>3267</v>
      </c>
      <c r="G870" s="32" t="s">
        <v>1232</v>
      </c>
      <c r="H870" s="32" t="s">
        <v>1233</v>
      </c>
      <c r="I870" s="32" t="s">
        <v>198</v>
      </c>
      <c r="J870" s="32" t="s">
        <v>199</v>
      </c>
      <c r="K870" s="32">
        <v>2.8986770000000002</v>
      </c>
      <c r="L870" s="33">
        <v>1742</v>
      </c>
      <c r="M870" s="32">
        <v>231</v>
      </c>
      <c r="N870" s="32">
        <v>564</v>
      </c>
      <c r="O870" s="32">
        <v>459</v>
      </c>
      <c r="P870" s="32">
        <v>364</v>
      </c>
      <c r="Q870" s="32">
        <v>124</v>
      </c>
      <c r="R870" s="32" t="s">
        <v>668</v>
      </c>
      <c r="S870" s="32">
        <v>60.523200000000003</v>
      </c>
      <c r="T870" s="32">
        <v>34.552500000000002</v>
      </c>
      <c r="U870" s="32">
        <v>0.94847294500000001</v>
      </c>
      <c r="V870" s="32">
        <v>2</v>
      </c>
      <c r="W870" s="32">
        <v>0.92154999999999998</v>
      </c>
      <c r="X870" s="32">
        <v>0.28922500000000001</v>
      </c>
      <c r="Y870" s="32">
        <v>0.72078699999999996</v>
      </c>
      <c r="Z870" s="32">
        <v>0.98851199999999995</v>
      </c>
      <c r="AA870" s="32">
        <v>53.8</v>
      </c>
      <c r="AB870" s="32">
        <v>250</v>
      </c>
      <c r="AC870" s="32">
        <v>21</v>
      </c>
      <c r="AD870" s="32">
        <v>26</v>
      </c>
      <c r="AE870" s="32">
        <v>0</v>
      </c>
      <c r="AF870" s="32">
        <v>0</v>
      </c>
      <c r="AG870" s="32" t="s">
        <v>200</v>
      </c>
    </row>
    <row r="871" spans="1:33">
      <c r="A871" s="32" t="s">
        <v>3277</v>
      </c>
      <c r="B871" s="32" t="s">
        <v>66</v>
      </c>
      <c r="C871" s="32" t="s">
        <v>3278</v>
      </c>
      <c r="D871" s="32" t="s">
        <v>3279</v>
      </c>
      <c r="E871" s="32" t="s">
        <v>3280</v>
      </c>
      <c r="F871" s="32" t="s">
        <v>3281</v>
      </c>
      <c r="G871" s="32" t="s">
        <v>1232</v>
      </c>
      <c r="H871" s="32" t="s">
        <v>1233</v>
      </c>
      <c r="I871" s="32" t="s">
        <v>198</v>
      </c>
      <c r="J871" s="32" t="s">
        <v>199</v>
      </c>
      <c r="K871" s="32">
        <v>2.8151280000000001</v>
      </c>
      <c r="L871" s="33">
        <v>1708</v>
      </c>
      <c r="M871" s="32">
        <v>164</v>
      </c>
      <c r="N871" s="32">
        <v>441</v>
      </c>
      <c r="O871" s="32">
        <v>614</v>
      </c>
      <c r="P871" s="32">
        <v>336</v>
      </c>
      <c r="Q871" s="32">
        <v>153</v>
      </c>
      <c r="R871" s="32" t="s">
        <v>302</v>
      </c>
      <c r="S871" s="32">
        <v>52.127200000000002</v>
      </c>
      <c r="T871" s="32">
        <v>18.257000000000001</v>
      </c>
      <c r="U871" s="32">
        <v>0.874191312</v>
      </c>
      <c r="V871" s="32">
        <v>2</v>
      </c>
      <c r="W871" s="32">
        <v>0.905385</v>
      </c>
      <c r="X871" s="32">
        <v>0.203093</v>
      </c>
      <c r="Y871" s="32">
        <v>0.7</v>
      </c>
      <c r="Z871" s="32">
        <v>0.98509000000000002</v>
      </c>
      <c r="AA871" s="32">
        <v>36.9</v>
      </c>
      <c r="AB871" s="32">
        <v>250</v>
      </c>
      <c r="AC871" s="32">
        <v>16</v>
      </c>
      <c r="AD871" s="32">
        <v>17</v>
      </c>
      <c r="AE871" s="32">
        <v>0</v>
      </c>
      <c r="AF871" s="32" t="s">
        <v>200</v>
      </c>
      <c r="AG871" s="32" t="s">
        <v>200</v>
      </c>
    </row>
    <row r="872" spans="1:33">
      <c r="A872" s="32" t="s">
        <v>3282</v>
      </c>
      <c r="B872" s="32" t="s">
        <v>66</v>
      </c>
      <c r="C872" s="32" t="s">
        <v>3283</v>
      </c>
      <c r="D872" s="32" t="s">
        <v>3284</v>
      </c>
      <c r="E872" s="32" t="s">
        <v>3285</v>
      </c>
      <c r="F872" s="32" t="s">
        <v>3286</v>
      </c>
      <c r="G872" s="32" t="s">
        <v>1232</v>
      </c>
      <c r="H872" s="32" t="s">
        <v>1233</v>
      </c>
      <c r="I872" s="32" t="s">
        <v>198</v>
      </c>
      <c r="J872" s="32" t="s">
        <v>199</v>
      </c>
      <c r="K872" s="32">
        <v>2.5019480000000001</v>
      </c>
      <c r="L872" s="33">
        <v>2219</v>
      </c>
      <c r="M872" s="32">
        <v>197</v>
      </c>
      <c r="N872" s="32">
        <v>687</v>
      </c>
      <c r="O872" s="32">
        <v>807</v>
      </c>
      <c r="P872" s="32">
        <v>396</v>
      </c>
      <c r="Q872" s="32">
        <v>132</v>
      </c>
      <c r="R872" s="32">
        <v>5</v>
      </c>
      <c r="S872" s="32">
        <v>35.170400000000001</v>
      </c>
      <c r="T872" s="32">
        <v>15.334300000000001</v>
      </c>
      <c r="U872" s="32">
        <v>0.74182743699999998</v>
      </c>
      <c r="V872" s="32">
        <v>4</v>
      </c>
      <c r="W872" s="32">
        <v>0.90389600000000003</v>
      </c>
      <c r="X872" s="32">
        <v>0.101114</v>
      </c>
      <c r="Y872" s="32">
        <v>0.7</v>
      </c>
      <c r="Z872" s="32">
        <v>0.78025999999999995</v>
      </c>
      <c r="AA872" s="32">
        <v>28</v>
      </c>
      <c r="AB872" s="32">
        <v>345</v>
      </c>
      <c r="AC872" s="32">
        <v>29</v>
      </c>
      <c r="AD872" s="32">
        <v>12</v>
      </c>
      <c r="AE872" s="32">
        <v>0</v>
      </c>
      <c r="AF872" s="32" t="s">
        <v>200</v>
      </c>
      <c r="AG872" s="32" t="s">
        <v>200</v>
      </c>
    </row>
    <row r="873" spans="1:33">
      <c r="A873" s="32" t="s">
        <v>3287</v>
      </c>
      <c r="B873" s="32" t="s">
        <v>66</v>
      </c>
      <c r="C873" s="32" t="s">
        <v>3288</v>
      </c>
      <c r="D873" s="32" t="s">
        <v>3289</v>
      </c>
      <c r="E873" s="32" t="s">
        <v>3280</v>
      </c>
      <c r="F873" s="32" t="s">
        <v>3281</v>
      </c>
      <c r="G873" s="32" t="s">
        <v>1232</v>
      </c>
      <c r="H873" s="32" t="s">
        <v>1233</v>
      </c>
      <c r="I873" s="32" t="s">
        <v>198</v>
      </c>
      <c r="J873" s="32" t="s">
        <v>199</v>
      </c>
      <c r="K873" s="32">
        <v>2.6619389999999998</v>
      </c>
      <c r="L873" s="33">
        <v>1681</v>
      </c>
      <c r="M873" s="32">
        <v>286</v>
      </c>
      <c r="N873" s="32">
        <v>410</v>
      </c>
      <c r="O873" s="32">
        <v>530</v>
      </c>
      <c r="P873" s="32">
        <v>334</v>
      </c>
      <c r="Q873" s="32">
        <v>121</v>
      </c>
      <c r="R873" s="32" t="s">
        <v>302</v>
      </c>
      <c r="S873" s="32">
        <v>47.505899999999997</v>
      </c>
      <c r="T873" s="32">
        <v>20.0137</v>
      </c>
      <c r="U873" s="32">
        <v>0.72959122899999995</v>
      </c>
      <c r="V873" s="32">
        <v>4</v>
      </c>
      <c r="W873" s="32">
        <v>0.91040200000000004</v>
      </c>
      <c r="X873" s="32">
        <v>0.216279</v>
      </c>
      <c r="Y873" s="32">
        <v>0.7</v>
      </c>
      <c r="Z873" s="32">
        <v>0.84483600000000003</v>
      </c>
      <c r="AA873" s="32">
        <v>40.700000000000003</v>
      </c>
      <c r="AB873" s="32">
        <v>306</v>
      </c>
      <c r="AC873" s="32">
        <v>15</v>
      </c>
      <c r="AD873" s="32">
        <v>21</v>
      </c>
      <c r="AE873" s="32" t="s">
        <v>200</v>
      </c>
      <c r="AF873" s="32">
        <v>0</v>
      </c>
      <c r="AG873" s="32" t="s">
        <v>200</v>
      </c>
    </row>
    <row r="874" spans="1:33">
      <c r="A874" s="32" t="s">
        <v>3290</v>
      </c>
      <c r="B874" s="32" t="s">
        <v>66</v>
      </c>
      <c r="C874" s="32" t="s">
        <v>3291</v>
      </c>
      <c r="D874" s="32" t="s">
        <v>3292</v>
      </c>
      <c r="E874" s="32" t="s">
        <v>3145</v>
      </c>
      <c r="F874" s="32" t="s">
        <v>3146</v>
      </c>
      <c r="G874" s="32" t="s">
        <v>1232</v>
      </c>
      <c r="H874" s="32" t="s">
        <v>1233</v>
      </c>
      <c r="I874" s="32" t="s">
        <v>198</v>
      </c>
      <c r="J874" s="32" t="s">
        <v>199</v>
      </c>
      <c r="K874" s="32">
        <v>2.6596899999999999</v>
      </c>
      <c r="L874" s="33">
        <v>1802</v>
      </c>
      <c r="M874" s="32">
        <v>395</v>
      </c>
      <c r="N874" s="32">
        <v>435</v>
      </c>
      <c r="O874" s="32">
        <v>514</v>
      </c>
      <c r="P874" s="32">
        <v>354</v>
      </c>
      <c r="Q874" s="32">
        <v>104</v>
      </c>
      <c r="R874" s="32">
        <v>4</v>
      </c>
      <c r="S874" s="32">
        <v>27.482900000000001</v>
      </c>
      <c r="T874" s="32">
        <v>10.7897</v>
      </c>
      <c r="U874" s="32">
        <v>0.94603069799999995</v>
      </c>
      <c r="V874" s="32">
        <v>3</v>
      </c>
      <c r="W874" s="32">
        <v>0.90930200000000005</v>
      </c>
      <c r="X874" s="32">
        <v>0.26925100000000002</v>
      </c>
      <c r="Y874" s="32">
        <v>0.71687999999999996</v>
      </c>
      <c r="Z874" s="32">
        <v>0.758656</v>
      </c>
      <c r="AA874" s="32">
        <v>63.7</v>
      </c>
      <c r="AB874" s="32">
        <v>295</v>
      </c>
      <c r="AC874" s="32">
        <v>17</v>
      </c>
      <c r="AD874" s="32">
        <v>18</v>
      </c>
      <c r="AE874" s="32">
        <v>0</v>
      </c>
      <c r="AF874" s="32" t="s">
        <v>200</v>
      </c>
      <c r="AG874" s="32" t="s">
        <v>200</v>
      </c>
    </row>
    <row r="875" spans="1:33">
      <c r="A875" s="32" t="s">
        <v>3142</v>
      </c>
      <c r="B875" s="32" t="s">
        <v>66</v>
      </c>
      <c r="C875" s="32" t="s">
        <v>3143</v>
      </c>
      <c r="D875" s="32" t="s">
        <v>3144</v>
      </c>
      <c r="E875" s="32" t="s">
        <v>3145</v>
      </c>
      <c r="F875" s="32" t="s">
        <v>3146</v>
      </c>
      <c r="G875" s="32" t="s">
        <v>1232</v>
      </c>
      <c r="H875" s="32" t="s">
        <v>1233</v>
      </c>
      <c r="I875" s="32" t="s">
        <v>198</v>
      </c>
      <c r="J875" s="32" t="s">
        <v>199</v>
      </c>
      <c r="K875" s="32">
        <v>2.6468180000000001</v>
      </c>
      <c r="L875" s="33">
        <v>2063</v>
      </c>
      <c r="M875" s="32">
        <v>379</v>
      </c>
      <c r="N875" s="32">
        <v>459</v>
      </c>
      <c r="O875" s="32">
        <v>608</v>
      </c>
      <c r="P875" s="32">
        <v>456</v>
      </c>
      <c r="Q875" s="32">
        <v>161</v>
      </c>
      <c r="R875" s="32">
        <v>3</v>
      </c>
      <c r="S875" s="32">
        <v>30.938199999999998</v>
      </c>
      <c r="T875" s="32">
        <v>0</v>
      </c>
      <c r="U875" s="32">
        <v>0.84394302600000004</v>
      </c>
      <c r="V875" s="32">
        <v>4</v>
      </c>
      <c r="W875" s="32">
        <v>0.908636</v>
      </c>
      <c r="X875" s="32">
        <v>0.17422199999999999</v>
      </c>
      <c r="Y875" s="32">
        <v>0.79325800000000002</v>
      </c>
      <c r="Z875" s="32">
        <v>0.78272699999999995</v>
      </c>
      <c r="AA875" s="32">
        <v>50.7</v>
      </c>
      <c r="AB875" s="32">
        <v>406</v>
      </c>
      <c r="AC875" s="32">
        <v>20</v>
      </c>
      <c r="AD875" s="32">
        <v>26</v>
      </c>
      <c r="AE875" s="32">
        <v>0</v>
      </c>
      <c r="AF875" s="32">
        <v>0</v>
      </c>
      <c r="AG875" s="32" t="s">
        <v>200</v>
      </c>
    </row>
    <row r="876" spans="1:33">
      <c r="A876" s="32" t="s">
        <v>3293</v>
      </c>
      <c r="B876" s="32" t="s">
        <v>66</v>
      </c>
      <c r="C876" s="32" t="s">
        <v>3294</v>
      </c>
      <c r="D876" s="32" t="s">
        <v>3295</v>
      </c>
      <c r="E876" s="32" t="s">
        <v>3296</v>
      </c>
      <c r="F876" s="32" t="s">
        <v>3297</v>
      </c>
      <c r="G876" s="32" t="s">
        <v>1232</v>
      </c>
      <c r="H876" s="32" t="s">
        <v>1233</v>
      </c>
      <c r="I876" s="32" t="s">
        <v>198</v>
      </c>
      <c r="J876" s="32" t="s">
        <v>199</v>
      </c>
      <c r="K876" s="32">
        <v>2.6523620000000001</v>
      </c>
      <c r="L876" s="33">
        <v>1262</v>
      </c>
      <c r="M876" s="32">
        <v>213</v>
      </c>
      <c r="N876" s="32">
        <v>262</v>
      </c>
      <c r="O876" s="32">
        <v>340</v>
      </c>
      <c r="P876" s="32">
        <v>353</v>
      </c>
      <c r="Q876" s="32">
        <v>94</v>
      </c>
      <c r="R876" s="32">
        <v>3</v>
      </c>
      <c r="S876" s="32">
        <v>15.7202</v>
      </c>
      <c r="T876" s="32">
        <v>8.9554500000000008</v>
      </c>
      <c r="U876" s="32">
        <v>1.080577729</v>
      </c>
      <c r="V876" s="32">
        <v>2</v>
      </c>
      <c r="W876" s="32">
        <v>0.97834600000000005</v>
      </c>
      <c r="X876" s="32">
        <v>1.6733000000000001E-2</v>
      </c>
      <c r="Y876" s="32">
        <v>0.72987999999999997</v>
      </c>
      <c r="Z876" s="32">
        <v>0.92845800000000001</v>
      </c>
      <c r="AA876" s="32">
        <v>65.8</v>
      </c>
      <c r="AB876" s="32">
        <v>231</v>
      </c>
      <c r="AC876" s="32">
        <v>16</v>
      </c>
      <c r="AD876" s="32">
        <v>13</v>
      </c>
      <c r="AE876" s="32">
        <v>0</v>
      </c>
      <c r="AF876" s="32">
        <v>0</v>
      </c>
      <c r="AG876" s="32" t="s">
        <v>200</v>
      </c>
    </row>
    <row r="877" spans="1:33">
      <c r="A877" s="32" t="s">
        <v>3298</v>
      </c>
      <c r="B877" s="32" t="s">
        <v>66</v>
      </c>
      <c r="C877" s="32" t="s">
        <v>3299</v>
      </c>
      <c r="D877" s="32" t="s">
        <v>3300</v>
      </c>
      <c r="E877" s="32" t="s">
        <v>3280</v>
      </c>
      <c r="F877" s="32" t="s">
        <v>3281</v>
      </c>
      <c r="G877" s="32" t="s">
        <v>1232</v>
      </c>
      <c r="H877" s="32" t="s">
        <v>1233</v>
      </c>
      <c r="I877" s="32" t="s">
        <v>198</v>
      </c>
      <c r="J877" s="32" t="s">
        <v>199</v>
      </c>
      <c r="K877" s="32">
        <v>2.956915</v>
      </c>
      <c r="L877" s="33">
        <v>1993</v>
      </c>
      <c r="M877" s="32">
        <v>479</v>
      </c>
      <c r="N877" s="32">
        <v>404</v>
      </c>
      <c r="O877" s="32">
        <v>529</v>
      </c>
      <c r="P877" s="32">
        <v>427</v>
      </c>
      <c r="Q877" s="32">
        <v>154</v>
      </c>
      <c r="R877" s="32" t="s">
        <v>302</v>
      </c>
      <c r="S877" s="32">
        <v>43.943899999999999</v>
      </c>
      <c r="T877" s="32">
        <v>30.8934</v>
      </c>
      <c r="U877" s="32">
        <v>0.86714519999999995</v>
      </c>
      <c r="V877" s="32">
        <v>2</v>
      </c>
      <c r="W877" s="32">
        <v>0.92420199999999997</v>
      </c>
      <c r="X877" s="32">
        <v>0.42994700000000002</v>
      </c>
      <c r="Y877" s="32">
        <v>0.7</v>
      </c>
      <c r="Z877" s="32">
        <v>0.92592600000000003</v>
      </c>
      <c r="AA877" s="32">
        <v>57.5</v>
      </c>
      <c r="AB877" s="32">
        <v>266</v>
      </c>
      <c r="AC877" s="32">
        <v>11</v>
      </c>
      <c r="AD877" s="32">
        <v>12</v>
      </c>
      <c r="AE877" s="32">
        <v>0</v>
      </c>
      <c r="AF877" s="32">
        <v>0</v>
      </c>
      <c r="AG877" s="32" t="s">
        <v>200</v>
      </c>
    </row>
    <row r="878" spans="1:33">
      <c r="A878" s="32" t="s">
        <v>3301</v>
      </c>
      <c r="B878" s="32" t="s">
        <v>66</v>
      </c>
      <c r="C878" s="32" t="s">
        <v>3302</v>
      </c>
      <c r="D878" s="32" t="s">
        <v>3303</v>
      </c>
      <c r="E878" s="32" t="s">
        <v>3285</v>
      </c>
      <c r="F878" s="32" t="s">
        <v>3286</v>
      </c>
      <c r="G878" s="32" t="s">
        <v>1232</v>
      </c>
      <c r="H878" s="32" t="s">
        <v>1233</v>
      </c>
      <c r="I878" s="32" t="s">
        <v>198</v>
      </c>
      <c r="J878" s="32" t="s">
        <v>199</v>
      </c>
      <c r="K878" s="32">
        <v>2.493458</v>
      </c>
      <c r="L878" s="33">
        <v>1674</v>
      </c>
      <c r="M878" s="32">
        <v>233</v>
      </c>
      <c r="N878" s="32">
        <v>423</v>
      </c>
      <c r="O878" s="32">
        <v>557</v>
      </c>
      <c r="P878" s="32">
        <v>314</v>
      </c>
      <c r="Q878" s="32">
        <v>147</v>
      </c>
      <c r="R878" s="32">
        <v>4</v>
      </c>
      <c r="S878" s="32">
        <v>22.145</v>
      </c>
      <c r="T878" s="32">
        <v>10.9603</v>
      </c>
      <c r="U878" s="32">
        <v>0.79767185100000004</v>
      </c>
      <c r="V878" s="32">
        <v>4</v>
      </c>
      <c r="W878" s="32">
        <v>0.90778800000000004</v>
      </c>
      <c r="X878" s="32">
        <v>0.12716</v>
      </c>
      <c r="Y878" s="32">
        <v>0.7</v>
      </c>
      <c r="Z878" s="32">
        <v>0.78620699999999999</v>
      </c>
      <c r="AA878" s="32">
        <v>32.299999999999997</v>
      </c>
      <c r="AB878" s="32">
        <v>288</v>
      </c>
      <c r="AC878" s="32">
        <v>17</v>
      </c>
      <c r="AD878" s="32">
        <v>22</v>
      </c>
      <c r="AE878" s="32">
        <v>0</v>
      </c>
      <c r="AF878" s="32">
        <v>0</v>
      </c>
      <c r="AG878" s="32">
        <v>0</v>
      </c>
    </row>
    <row r="879" spans="1:33">
      <c r="A879" s="32" t="s">
        <v>3304</v>
      </c>
      <c r="B879" s="32" t="s">
        <v>66</v>
      </c>
      <c r="C879" s="32" t="s">
        <v>3305</v>
      </c>
      <c r="D879" s="32" t="s">
        <v>3306</v>
      </c>
      <c r="E879" s="32" t="s">
        <v>3307</v>
      </c>
      <c r="F879" s="32" t="s">
        <v>3308</v>
      </c>
      <c r="G879" s="32" t="s">
        <v>1232</v>
      </c>
      <c r="H879" s="32" t="s">
        <v>1233</v>
      </c>
      <c r="I879" s="32" t="s">
        <v>198</v>
      </c>
      <c r="J879" s="32" t="s">
        <v>199</v>
      </c>
      <c r="K879" s="32">
        <v>2.8316210000000002</v>
      </c>
      <c r="L879" s="33">
        <v>1430</v>
      </c>
      <c r="M879" s="32">
        <v>219</v>
      </c>
      <c r="N879" s="32">
        <v>332</v>
      </c>
      <c r="O879" s="32">
        <v>400</v>
      </c>
      <c r="P879" s="32">
        <v>342</v>
      </c>
      <c r="Q879" s="32">
        <v>137</v>
      </c>
      <c r="R879" s="32">
        <v>5</v>
      </c>
      <c r="S879" s="32">
        <v>25.7105</v>
      </c>
      <c r="T879" s="32">
        <v>19.318100000000001</v>
      </c>
      <c r="U879" s="32">
        <v>0.89236122799999995</v>
      </c>
      <c r="V879" s="32">
        <v>2</v>
      </c>
      <c r="W879" s="32">
        <v>0.979051</v>
      </c>
      <c r="X879" s="32">
        <v>0.177953</v>
      </c>
      <c r="Y879" s="32">
        <v>0.7</v>
      </c>
      <c r="Z879" s="32">
        <v>1</v>
      </c>
      <c r="AA879" s="32">
        <v>48.5</v>
      </c>
      <c r="AB879" s="32">
        <v>255</v>
      </c>
      <c r="AC879" s="32">
        <v>16</v>
      </c>
      <c r="AD879" s="32">
        <v>17</v>
      </c>
      <c r="AE879" s="32">
        <v>0</v>
      </c>
      <c r="AF879" s="32" t="s">
        <v>200</v>
      </c>
      <c r="AG879" s="32">
        <v>0</v>
      </c>
    </row>
    <row r="880" spans="1:33">
      <c r="A880" s="32" t="s">
        <v>3309</v>
      </c>
      <c r="B880" s="32" t="s">
        <v>66</v>
      </c>
      <c r="C880" s="32" t="s">
        <v>3310</v>
      </c>
      <c r="D880" s="32" t="s">
        <v>3311</v>
      </c>
      <c r="E880" s="32" t="s">
        <v>3261</v>
      </c>
      <c r="F880" s="32" t="s">
        <v>3262</v>
      </c>
      <c r="G880" s="32" t="s">
        <v>1232</v>
      </c>
      <c r="H880" s="32" t="s">
        <v>1233</v>
      </c>
      <c r="I880" s="32" t="s">
        <v>198</v>
      </c>
      <c r="J880" s="32" t="s">
        <v>199</v>
      </c>
      <c r="K880" s="32">
        <v>2.815299</v>
      </c>
      <c r="L880" s="33">
        <v>1776</v>
      </c>
      <c r="M880" s="32">
        <v>342</v>
      </c>
      <c r="N880" s="32">
        <v>407</v>
      </c>
      <c r="O880" s="32">
        <v>453</v>
      </c>
      <c r="P880" s="32">
        <v>397</v>
      </c>
      <c r="Q880" s="32">
        <v>177</v>
      </c>
      <c r="R880" s="32">
        <v>5</v>
      </c>
      <c r="S880" s="32">
        <v>35.589199999999998</v>
      </c>
      <c r="T880" s="32">
        <v>11.4613</v>
      </c>
      <c r="U880" s="32">
        <v>0.86147610299999999</v>
      </c>
      <c r="V880" s="32">
        <v>3</v>
      </c>
      <c r="W880" s="32">
        <v>0.98359200000000002</v>
      </c>
      <c r="X880" s="32">
        <v>0.14407200000000001</v>
      </c>
      <c r="Y880" s="32">
        <v>0.7</v>
      </c>
      <c r="Z880" s="32">
        <v>1</v>
      </c>
      <c r="AA880" s="32">
        <v>53.1</v>
      </c>
      <c r="AB880" s="32">
        <v>317</v>
      </c>
      <c r="AC880" s="32">
        <v>25</v>
      </c>
      <c r="AD880" s="32">
        <v>15</v>
      </c>
      <c r="AE880" s="32" t="s">
        <v>200</v>
      </c>
      <c r="AF880" s="32">
        <v>0</v>
      </c>
      <c r="AG880" s="32">
        <v>5</v>
      </c>
    </row>
    <row r="881" spans="1:33">
      <c r="A881" s="32" t="s">
        <v>3312</v>
      </c>
      <c r="B881" s="32" t="s">
        <v>66</v>
      </c>
      <c r="C881" s="32" t="s">
        <v>3313</v>
      </c>
      <c r="D881" s="32" t="s">
        <v>3314</v>
      </c>
      <c r="E881" s="32" t="s">
        <v>3307</v>
      </c>
      <c r="F881" s="32" t="s">
        <v>3308</v>
      </c>
      <c r="G881" s="32" t="s">
        <v>1232</v>
      </c>
      <c r="H881" s="32" t="s">
        <v>1233</v>
      </c>
      <c r="I881" s="32" t="s">
        <v>198</v>
      </c>
      <c r="J881" s="32" t="s">
        <v>199</v>
      </c>
      <c r="K881" s="32">
        <v>2.7473960000000002</v>
      </c>
      <c r="L881" s="33">
        <v>1231</v>
      </c>
      <c r="M881" s="32">
        <v>284</v>
      </c>
      <c r="N881" s="32">
        <v>231</v>
      </c>
      <c r="O881" s="32">
        <v>369</v>
      </c>
      <c r="P881" s="32">
        <v>264</v>
      </c>
      <c r="Q881" s="32">
        <v>83</v>
      </c>
      <c r="R881" s="32">
        <v>4</v>
      </c>
      <c r="S881" s="32">
        <v>24.427</v>
      </c>
      <c r="T881" s="32">
        <v>8.2921200000000006</v>
      </c>
      <c r="U881" s="32">
        <v>1.050373293</v>
      </c>
      <c r="V881" s="32">
        <v>2</v>
      </c>
      <c r="W881" s="32">
        <v>0.96770800000000001</v>
      </c>
      <c r="X881" s="32">
        <v>7.3403999999999997E-2</v>
      </c>
      <c r="Y881" s="32">
        <v>0.713889</v>
      </c>
      <c r="Z881" s="32">
        <v>1</v>
      </c>
      <c r="AA881" s="32">
        <v>69.599999999999994</v>
      </c>
      <c r="AB881" s="32">
        <v>203</v>
      </c>
      <c r="AC881" s="32">
        <v>19</v>
      </c>
      <c r="AD881" s="32">
        <v>6</v>
      </c>
      <c r="AE881" s="32">
        <v>0</v>
      </c>
      <c r="AF881" s="32">
        <v>0</v>
      </c>
      <c r="AG881" s="32" t="s">
        <v>200</v>
      </c>
    </row>
    <row r="882" spans="1:33">
      <c r="A882" s="32" t="s">
        <v>3315</v>
      </c>
      <c r="B882" s="32" t="s">
        <v>66</v>
      </c>
      <c r="C882" s="32" t="s">
        <v>3316</v>
      </c>
      <c r="D882" s="32" t="s">
        <v>3317</v>
      </c>
      <c r="E882" s="32" t="s">
        <v>3307</v>
      </c>
      <c r="F882" s="32" t="s">
        <v>3308</v>
      </c>
      <c r="G882" s="32" t="s">
        <v>1232</v>
      </c>
      <c r="H882" s="32" t="s">
        <v>1233</v>
      </c>
      <c r="I882" s="32" t="s">
        <v>198</v>
      </c>
      <c r="J882" s="32" t="s">
        <v>199</v>
      </c>
      <c r="K882" s="32">
        <v>2.7567050000000002</v>
      </c>
      <c r="L882" s="33">
        <v>1620</v>
      </c>
      <c r="M882" s="32">
        <v>206</v>
      </c>
      <c r="N882" s="32">
        <v>417</v>
      </c>
      <c r="O882" s="32">
        <v>552</v>
      </c>
      <c r="P882" s="32">
        <v>306</v>
      </c>
      <c r="Q882" s="32">
        <v>139</v>
      </c>
      <c r="R882" s="32">
        <v>5</v>
      </c>
      <c r="S882" s="32">
        <v>21.983699999999999</v>
      </c>
      <c r="T882" s="32">
        <v>17.868200000000002</v>
      </c>
      <c r="U882" s="32">
        <v>0.79831037999999999</v>
      </c>
      <c r="V882" s="32">
        <v>3</v>
      </c>
      <c r="W882" s="32">
        <v>0.92796900000000004</v>
      </c>
      <c r="X882" s="32">
        <v>0.115909</v>
      </c>
      <c r="Y882" s="32">
        <v>0.70970100000000003</v>
      </c>
      <c r="Z882" s="32">
        <v>1</v>
      </c>
      <c r="AA882" s="32">
        <v>40.4</v>
      </c>
      <c r="AB882" s="32">
        <v>254</v>
      </c>
      <c r="AC882" s="32">
        <v>16</v>
      </c>
      <c r="AD882" s="32">
        <v>7</v>
      </c>
      <c r="AE882" s="32">
        <v>0</v>
      </c>
      <c r="AF882" s="32">
        <v>0</v>
      </c>
      <c r="AG882" s="32" t="s">
        <v>200</v>
      </c>
    </row>
    <row r="883" spans="1:33">
      <c r="A883" s="32" t="s">
        <v>3318</v>
      </c>
      <c r="B883" s="32" t="s">
        <v>66</v>
      </c>
      <c r="C883" s="32" t="s">
        <v>3319</v>
      </c>
      <c r="D883" s="32" t="s">
        <v>3320</v>
      </c>
      <c r="E883" s="32" t="s">
        <v>3307</v>
      </c>
      <c r="F883" s="32" t="s">
        <v>3308</v>
      </c>
      <c r="G883" s="32" t="s">
        <v>1232</v>
      </c>
      <c r="H883" s="32" t="s">
        <v>1233</v>
      </c>
      <c r="I883" s="32" t="s">
        <v>198</v>
      </c>
      <c r="J883" s="32" t="s">
        <v>199</v>
      </c>
      <c r="K883" s="32">
        <v>2.8077429999999999</v>
      </c>
      <c r="L883" s="33">
        <v>2815</v>
      </c>
      <c r="M883" s="32">
        <v>353</v>
      </c>
      <c r="N883" s="32">
        <v>912</v>
      </c>
      <c r="O883" s="32">
        <v>898</v>
      </c>
      <c r="P883" s="32">
        <v>497</v>
      </c>
      <c r="Q883" s="32">
        <v>155</v>
      </c>
      <c r="R883" s="32">
        <v>5</v>
      </c>
      <c r="S883" s="32">
        <v>29.562000000000001</v>
      </c>
      <c r="T883" s="32">
        <v>8.6146799999999999</v>
      </c>
      <c r="U883" s="32">
        <v>0.67225022999999995</v>
      </c>
      <c r="V883" s="32">
        <v>5</v>
      </c>
      <c r="W883" s="32">
        <v>0.92421699999999996</v>
      </c>
      <c r="X883" s="32">
        <v>0.12970300000000001</v>
      </c>
      <c r="Y883" s="32">
        <v>0.76644599999999996</v>
      </c>
      <c r="Z883" s="32">
        <v>1</v>
      </c>
      <c r="AA883" s="32">
        <v>35.9</v>
      </c>
      <c r="AB883" s="32">
        <v>420</v>
      </c>
      <c r="AC883" s="32">
        <v>26</v>
      </c>
      <c r="AD883" s="32">
        <v>33</v>
      </c>
      <c r="AE883" s="32">
        <v>0</v>
      </c>
      <c r="AF883" s="32">
        <v>0</v>
      </c>
      <c r="AG883" s="32" t="s">
        <v>200</v>
      </c>
    </row>
    <row r="884" spans="1:33">
      <c r="A884" s="32" t="s">
        <v>3321</v>
      </c>
      <c r="B884" s="32" t="s">
        <v>66</v>
      </c>
      <c r="C884" s="32" t="s">
        <v>3322</v>
      </c>
      <c r="D884" s="32" t="s">
        <v>3323</v>
      </c>
      <c r="E884" s="32" t="s">
        <v>3285</v>
      </c>
      <c r="F884" s="32" t="s">
        <v>3286</v>
      </c>
      <c r="G884" s="32" t="s">
        <v>1232</v>
      </c>
      <c r="H884" s="32" t="s">
        <v>1233</v>
      </c>
      <c r="I884" s="32" t="s">
        <v>198</v>
      </c>
      <c r="J884" s="32" t="s">
        <v>199</v>
      </c>
      <c r="K884" s="32">
        <v>2.3824049999999999</v>
      </c>
      <c r="L884" s="33">
        <v>1701</v>
      </c>
      <c r="M884" s="32">
        <v>250</v>
      </c>
      <c r="N884" s="32">
        <v>449</v>
      </c>
      <c r="O884" s="32">
        <v>562</v>
      </c>
      <c r="P884" s="32">
        <v>315</v>
      </c>
      <c r="Q884" s="32">
        <v>125</v>
      </c>
      <c r="R884" s="32">
        <v>4</v>
      </c>
      <c r="S884" s="32">
        <v>22.120200000000001</v>
      </c>
      <c r="T884" s="32">
        <v>0</v>
      </c>
      <c r="U884" s="32">
        <v>0.94045610400000001</v>
      </c>
      <c r="V884" s="32">
        <v>4</v>
      </c>
      <c r="W884" s="32">
        <v>0.90410599999999997</v>
      </c>
      <c r="X884" s="32">
        <v>8.5043999999999995E-2</v>
      </c>
      <c r="Y884" s="32">
        <v>0.7</v>
      </c>
      <c r="Z884" s="32">
        <v>0.70903799999999995</v>
      </c>
      <c r="AA884" s="32">
        <v>42.6</v>
      </c>
      <c r="AB884" s="32">
        <v>327</v>
      </c>
      <c r="AC884" s="32">
        <v>24</v>
      </c>
      <c r="AD884" s="32">
        <v>26</v>
      </c>
      <c r="AE884" s="32" t="s">
        <v>200</v>
      </c>
      <c r="AF884" s="32" t="s">
        <v>200</v>
      </c>
      <c r="AG884" s="32" t="s">
        <v>200</v>
      </c>
    </row>
    <row r="885" spans="1:33">
      <c r="A885" s="32" t="s">
        <v>3324</v>
      </c>
      <c r="B885" s="32" t="s">
        <v>76</v>
      </c>
      <c r="C885" s="32" t="s">
        <v>3325</v>
      </c>
      <c r="D885" s="32" t="s">
        <v>3326</v>
      </c>
      <c r="E885" s="32" t="s">
        <v>3327</v>
      </c>
      <c r="F885" s="32" t="s">
        <v>3328</v>
      </c>
      <c r="G885" s="32" t="s">
        <v>1261</v>
      </c>
      <c r="H885" s="32" t="s">
        <v>1262</v>
      </c>
      <c r="I885" s="32" t="s">
        <v>198</v>
      </c>
      <c r="J885" s="32" t="s">
        <v>199</v>
      </c>
      <c r="K885" s="32">
        <v>2.7638729999999998</v>
      </c>
      <c r="L885" s="33">
        <v>1926</v>
      </c>
      <c r="M885" s="32">
        <v>435</v>
      </c>
      <c r="N885" s="32">
        <v>406</v>
      </c>
      <c r="O885" s="32">
        <v>503</v>
      </c>
      <c r="P885" s="32">
        <v>463</v>
      </c>
      <c r="Q885" s="32">
        <v>119</v>
      </c>
      <c r="R885" s="32">
        <v>3</v>
      </c>
      <c r="S885" s="32">
        <v>23.137699999999999</v>
      </c>
      <c r="T885" s="32">
        <v>8.5079100000000007</v>
      </c>
      <c r="U885" s="32">
        <v>0.83368197499999996</v>
      </c>
      <c r="V885" s="32">
        <v>3</v>
      </c>
      <c r="W885" s="32">
        <v>0.90838099999999999</v>
      </c>
      <c r="X885" s="32">
        <v>0.17925099999999999</v>
      </c>
      <c r="Y885" s="32">
        <v>0.7</v>
      </c>
      <c r="Z885" s="32">
        <v>0.97890200000000005</v>
      </c>
      <c r="AA885" s="32">
        <v>62.9</v>
      </c>
      <c r="AB885" s="32">
        <v>293</v>
      </c>
      <c r="AC885" s="32">
        <v>15</v>
      </c>
      <c r="AD885" s="32">
        <v>17</v>
      </c>
      <c r="AE885" s="32">
        <v>0</v>
      </c>
      <c r="AF885" s="32" t="s">
        <v>200</v>
      </c>
      <c r="AG885" s="32">
        <v>0</v>
      </c>
    </row>
    <row r="886" spans="1:33">
      <c r="A886" s="32" t="s">
        <v>3329</v>
      </c>
      <c r="B886" s="32" t="s">
        <v>76</v>
      </c>
      <c r="C886" s="32" t="s">
        <v>3330</v>
      </c>
      <c r="D886" s="32" t="s">
        <v>3331</v>
      </c>
      <c r="E886" s="32" t="s">
        <v>3332</v>
      </c>
      <c r="F886" s="32" t="s">
        <v>3333</v>
      </c>
      <c r="G886" s="32" t="s">
        <v>1261</v>
      </c>
      <c r="H886" s="32" t="s">
        <v>1262</v>
      </c>
      <c r="I886" s="32" t="s">
        <v>198</v>
      </c>
      <c r="J886" s="32" t="s">
        <v>199</v>
      </c>
      <c r="K886" s="32">
        <v>2.677419</v>
      </c>
      <c r="L886" s="33">
        <v>1626</v>
      </c>
      <c r="M886" s="32">
        <v>533</v>
      </c>
      <c r="N886" s="32">
        <v>221</v>
      </c>
      <c r="O886" s="32">
        <v>367</v>
      </c>
      <c r="P886" s="32">
        <v>395</v>
      </c>
      <c r="Q886" s="32">
        <v>110</v>
      </c>
      <c r="R886" s="32">
        <v>3</v>
      </c>
      <c r="S886" s="32">
        <v>16.3704</v>
      </c>
      <c r="T886" s="32">
        <v>9.8109099999999998</v>
      </c>
      <c r="U886" s="32">
        <v>1.018876796</v>
      </c>
      <c r="V886" s="32">
        <v>2</v>
      </c>
      <c r="W886" s="32">
        <v>0.90604799999999996</v>
      </c>
      <c r="X886" s="32">
        <v>5.9109000000000002E-2</v>
      </c>
      <c r="Y886" s="32">
        <v>0.7</v>
      </c>
      <c r="Z886" s="32">
        <v>0.99879499999999999</v>
      </c>
      <c r="AA886" s="32">
        <v>77.5</v>
      </c>
      <c r="AB886" s="32">
        <v>299</v>
      </c>
      <c r="AC886" s="32">
        <v>13</v>
      </c>
      <c r="AD886" s="32">
        <v>11</v>
      </c>
      <c r="AE886" s="32">
        <v>0</v>
      </c>
      <c r="AF886" s="32">
        <v>0</v>
      </c>
      <c r="AG886" s="32">
        <v>0</v>
      </c>
    </row>
    <row r="887" spans="1:33">
      <c r="A887" s="32" t="s">
        <v>3334</v>
      </c>
      <c r="B887" s="32" t="s">
        <v>76</v>
      </c>
      <c r="C887" s="32" t="s">
        <v>3335</v>
      </c>
      <c r="D887" s="32" t="s">
        <v>3336</v>
      </c>
      <c r="E887" s="32" t="s">
        <v>3337</v>
      </c>
      <c r="F887" s="32" t="s">
        <v>3338</v>
      </c>
      <c r="G887" s="32" t="s">
        <v>1261</v>
      </c>
      <c r="H887" s="32" t="s">
        <v>1262</v>
      </c>
      <c r="I887" s="32" t="s">
        <v>198</v>
      </c>
      <c r="J887" s="32" t="s">
        <v>199</v>
      </c>
      <c r="K887" s="32">
        <v>2.7105260000000002</v>
      </c>
      <c r="L887" s="33">
        <v>1957</v>
      </c>
      <c r="M887" s="32">
        <v>344</v>
      </c>
      <c r="N887" s="32">
        <v>408</v>
      </c>
      <c r="O887" s="32">
        <v>542</v>
      </c>
      <c r="P887" s="32">
        <v>440</v>
      </c>
      <c r="Q887" s="32">
        <v>223</v>
      </c>
      <c r="R887" s="32" t="s">
        <v>302</v>
      </c>
      <c r="S887" s="32">
        <v>36.3645</v>
      </c>
      <c r="T887" s="32">
        <v>8.5780499999999993</v>
      </c>
      <c r="U887" s="32">
        <v>0.71753149900000002</v>
      </c>
      <c r="V887" s="32">
        <v>5</v>
      </c>
      <c r="W887" s="32">
        <v>0.91864699999999999</v>
      </c>
      <c r="X887" s="32">
        <v>0.149091</v>
      </c>
      <c r="Y887" s="32">
        <v>0.7</v>
      </c>
      <c r="Z887" s="32">
        <v>0.942137</v>
      </c>
      <c r="AA887" s="32">
        <v>34.700000000000003</v>
      </c>
      <c r="AB887" s="32">
        <v>376</v>
      </c>
      <c r="AC887" s="32">
        <v>29</v>
      </c>
      <c r="AD887" s="32">
        <v>21</v>
      </c>
      <c r="AE887" s="32" t="s">
        <v>200</v>
      </c>
      <c r="AF887" s="32">
        <v>0</v>
      </c>
      <c r="AG887" s="32" t="s">
        <v>200</v>
      </c>
    </row>
    <row r="888" spans="1:33">
      <c r="A888" s="32" t="s">
        <v>3339</v>
      </c>
      <c r="B888" s="32" t="s">
        <v>76</v>
      </c>
      <c r="C888" s="32" t="s">
        <v>3340</v>
      </c>
      <c r="D888" s="32" t="s">
        <v>3341</v>
      </c>
      <c r="E888" s="32" t="s">
        <v>3337</v>
      </c>
      <c r="F888" s="32" t="s">
        <v>3338</v>
      </c>
      <c r="G888" s="32" t="s">
        <v>1261</v>
      </c>
      <c r="H888" s="32" t="s">
        <v>1262</v>
      </c>
      <c r="I888" s="32" t="s">
        <v>198</v>
      </c>
      <c r="J888" s="32" t="s">
        <v>199</v>
      </c>
      <c r="K888" s="32">
        <v>2.6862469999999998</v>
      </c>
      <c r="L888" s="33">
        <v>2087</v>
      </c>
      <c r="M888" s="32">
        <v>249</v>
      </c>
      <c r="N888" s="32">
        <v>699</v>
      </c>
      <c r="O888" s="32">
        <v>558</v>
      </c>
      <c r="P888" s="32">
        <v>418</v>
      </c>
      <c r="Q888" s="32">
        <v>163</v>
      </c>
      <c r="R888" s="32">
        <v>3</v>
      </c>
      <c r="S888" s="32">
        <v>18.260100000000001</v>
      </c>
      <c r="T888" s="32">
        <v>8.3389500000000005</v>
      </c>
      <c r="U888" s="32">
        <v>0.75077415700000005</v>
      </c>
      <c r="V888" s="32">
        <v>5</v>
      </c>
      <c r="W888" s="32">
        <v>0.90815800000000002</v>
      </c>
      <c r="X888" s="32">
        <v>0.18823500000000001</v>
      </c>
      <c r="Y888" s="32">
        <v>0.7</v>
      </c>
      <c r="Z888" s="32">
        <v>0.88113200000000003</v>
      </c>
      <c r="AA888" s="32">
        <v>38.799999999999997</v>
      </c>
      <c r="AB888" s="32">
        <v>343</v>
      </c>
      <c r="AC888" s="32">
        <v>18</v>
      </c>
      <c r="AD888" s="32">
        <v>17</v>
      </c>
      <c r="AE888" s="32">
        <v>0</v>
      </c>
      <c r="AF888" s="32">
        <v>0</v>
      </c>
      <c r="AG888" s="32" t="s">
        <v>200</v>
      </c>
    </row>
    <row r="889" spans="1:33">
      <c r="A889" s="32" t="s">
        <v>3342</v>
      </c>
      <c r="B889" s="32" t="s">
        <v>76</v>
      </c>
      <c r="C889" s="32" t="s">
        <v>3343</v>
      </c>
      <c r="D889" s="32" t="s">
        <v>3344</v>
      </c>
      <c r="E889" s="32" t="s">
        <v>3345</v>
      </c>
      <c r="F889" s="32" t="s">
        <v>3346</v>
      </c>
      <c r="G889" s="32" t="s">
        <v>1261</v>
      </c>
      <c r="H889" s="32" t="s">
        <v>1262</v>
      </c>
      <c r="I889" s="32" t="s">
        <v>198</v>
      </c>
      <c r="J889" s="32" t="s">
        <v>199</v>
      </c>
      <c r="K889" s="32">
        <v>2.8559649999999999</v>
      </c>
      <c r="L889" s="33">
        <v>1848</v>
      </c>
      <c r="M889" s="32">
        <v>282</v>
      </c>
      <c r="N889" s="32">
        <v>448</v>
      </c>
      <c r="O889" s="32">
        <v>533</v>
      </c>
      <c r="P889" s="32">
        <v>423</v>
      </c>
      <c r="Q889" s="32">
        <v>162</v>
      </c>
      <c r="R889" s="32">
        <v>5</v>
      </c>
      <c r="S889" s="32">
        <v>30.0063</v>
      </c>
      <c r="T889" s="32">
        <v>6.9035000000000002</v>
      </c>
      <c r="U889" s="32">
        <v>0.65130742399999997</v>
      </c>
      <c r="V889" s="32">
        <v>4</v>
      </c>
      <c r="W889" s="32">
        <v>0.92060699999999995</v>
      </c>
      <c r="X889" s="32">
        <v>0.22967699999999999</v>
      </c>
      <c r="Y889" s="32">
        <v>0.7</v>
      </c>
      <c r="Z889" s="32">
        <v>0.99824599999999997</v>
      </c>
      <c r="AA889" s="32">
        <v>50.5</v>
      </c>
      <c r="AB889" s="32">
        <v>316</v>
      </c>
      <c r="AC889" s="32">
        <v>21</v>
      </c>
      <c r="AD889" s="32">
        <v>43</v>
      </c>
      <c r="AE889" s="32">
        <v>0</v>
      </c>
      <c r="AF889" s="32">
        <v>843</v>
      </c>
      <c r="AG889" s="32" t="s">
        <v>200</v>
      </c>
    </row>
    <row r="890" spans="1:33">
      <c r="A890" s="32" t="s">
        <v>3347</v>
      </c>
      <c r="B890" s="32" t="s">
        <v>76</v>
      </c>
      <c r="C890" s="32" t="s">
        <v>3348</v>
      </c>
      <c r="D890" s="32" t="s">
        <v>3349</v>
      </c>
      <c r="E890" s="32" t="s">
        <v>3345</v>
      </c>
      <c r="F890" s="32" t="s">
        <v>3346</v>
      </c>
      <c r="G890" s="32" t="s">
        <v>1261</v>
      </c>
      <c r="H890" s="32" t="s">
        <v>1262</v>
      </c>
      <c r="I890" s="32" t="s">
        <v>198</v>
      </c>
      <c r="J890" s="32" t="s">
        <v>199</v>
      </c>
      <c r="K890" s="32">
        <v>2.9828199999999998</v>
      </c>
      <c r="L890" s="33">
        <v>1743</v>
      </c>
      <c r="M890" s="32">
        <v>320</v>
      </c>
      <c r="N890" s="32">
        <v>387</v>
      </c>
      <c r="O890" s="32">
        <v>468</v>
      </c>
      <c r="P890" s="32">
        <v>449</v>
      </c>
      <c r="Q890" s="32">
        <v>119</v>
      </c>
      <c r="R890" s="32" t="s">
        <v>302</v>
      </c>
      <c r="S890" s="32">
        <v>44.780500000000004</v>
      </c>
      <c r="T890" s="32">
        <v>21.103000000000002</v>
      </c>
      <c r="U890" s="32">
        <v>0.92770960400000002</v>
      </c>
      <c r="V890" s="32">
        <v>2</v>
      </c>
      <c r="W890" s="32">
        <v>0.93</v>
      </c>
      <c r="X890" s="32">
        <v>0.36243700000000001</v>
      </c>
      <c r="Y890" s="32">
        <v>0.7</v>
      </c>
      <c r="Z890" s="32">
        <v>0.99923099999999998</v>
      </c>
      <c r="AA890" s="32">
        <v>58.3</v>
      </c>
      <c r="AB890" s="32">
        <v>198</v>
      </c>
      <c r="AC890" s="32">
        <v>24</v>
      </c>
      <c r="AD890" s="32">
        <v>21</v>
      </c>
      <c r="AE890" s="32">
        <v>0</v>
      </c>
      <c r="AF890" s="32" t="s">
        <v>200</v>
      </c>
      <c r="AG890" s="32" t="s">
        <v>200</v>
      </c>
    </row>
    <row r="891" spans="1:33">
      <c r="A891" s="32" t="s">
        <v>3035</v>
      </c>
      <c r="B891" s="32" t="s">
        <v>76</v>
      </c>
      <c r="C891" s="32" t="s">
        <v>3036</v>
      </c>
      <c r="D891" s="32" t="s">
        <v>3037</v>
      </c>
      <c r="E891" s="32" t="s">
        <v>3033</v>
      </c>
      <c r="F891" s="32" t="s">
        <v>3034</v>
      </c>
      <c r="G891" s="32" t="s">
        <v>1261</v>
      </c>
      <c r="H891" s="32" t="s">
        <v>1262</v>
      </c>
      <c r="I891" s="32" t="s">
        <v>198</v>
      </c>
      <c r="J891" s="32" t="s">
        <v>199</v>
      </c>
      <c r="K891" s="32">
        <v>2.4539520000000001</v>
      </c>
      <c r="L891" s="33">
        <v>2777</v>
      </c>
      <c r="M891" s="32">
        <v>437</v>
      </c>
      <c r="N891" s="32">
        <v>664</v>
      </c>
      <c r="O891" s="32">
        <v>889</v>
      </c>
      <c r="P891" s="32">
        <v>617</v>
      </c>
      <c r="Q891" s="32">
        <v>170</v>
      </c>
      <c r="R891" s="32">
        <v>5</v>
      </c>
      <c r="S891" s="32">
        <v>38.933599999999998</v>
      </c>
      <c r="T891" s="32">
        <v>18.5258</v>
      </c>
      <c r="U891" s="32">
        <v>1.0443294350000001</v>
      </c>
      <c r="V891" s="32">
        <v>3</v>
      </c>
      <c r="W891" s="32">
        <v>0.90429599999999999</v>
      </c>
      <c r="X891" s="32">
        <v>0.115318</v>
      </c>
      <c r="Y891" s="32">
        <v>0.7</v>
      </c>
      <c r="Z891" s="32">
        <v>0.72621500000000005</v>
      </c>
      <c r="AA891" s="32">
        <v>53.3</v>
      </c>
      <c r="AB891" s="32">
        <v>478</v>
      </c>
      <c r="AC891" s="32">
        <v>33</v>
      </c>
      <c r="AD891" s="32">
        <v>42</v>
      </c>
      <c r="AE891" s="32" t="s">
        <v>200</v>
      </c>
      <c r="AF891" s="32" t="s">
        <v>200</v>
      </c>
      <c r="AG891" s="32">
        <v>6</v>
      </c>
    </row>
    <row r="892" spans="1:33">
      <c r="A892" s="32" t="s">
        <v>3350</v>
      </c>
      <c r="B892" s="32" t="s">
        <v>76</v>
      </c>
      <c r="C892" s="32" t="s">
        <v>3351</v>
      </c>
      <c r="D892" s="32" t="s">
        <v>3352</v>
      </c>
      <c r="E892" s="32" t="s">
        <v>3033</v>
      </c>
      <c r="F892" s="32" t="s">
        <v>3034</v>
      </c>
      <c r="G892" s="32" t="s">
        <v>1261</v>
      </c>
      <c r="H892" s="32" t="s">
        <v>1262</v>
      </c>
      <c r="I892" s="32" t="s">
        <v>198</v>
      </c>
      <c r="J892" s="32" t="s">
        <v>199</v>
      </c>
      <c r="K892" s="32">
        <v>2.6590020000000001</v>
      </c>
      <c r="L892" s="33">
        <v>2479</v>
      </c>
      <c r="M892" s="32">
        <v>536</v>
      </c>
      <c r="N892" s="32">
        <v>437</v>
      </c>
      <c r="O892" s="32">
        <v>731</v>
      </c>
      <c r="P892" s="32">
        <v>531</v>
      </c>
      <c r="Q892" s="32">
        <v>244</v>
      </c>
      <c r="R892" s="32">
        <v>5</v>
      </c>
      <c r="S892" s="32">
        <v>37.810299999999998</v>
      </c>
      <c r="T892" s="32">
        <v>4.7868000000000004</v>
      </c>
      <c r="U892" s="32">
        <v>1.1162247160000001</v>
      </c>
      <c r="V892" s="32">
        <v>1</v>
      </c>
      <c r="W892" s="32">
        <v>0.91366599999999998</v>
      </c>
      <c r="X892" s="32">
        <v>0.20216500000000001</v>
      </c>
      <c r="Y892" s="32">
        <v>0.7</v>
      </c>
      <c r="Z892" s="32">
        <v>0.84139399999999998</v>
      </c>
      <c r="AA892" s="32">
        <v>67.400000000000006</v>
      </c>
      <c r="AB892" s="32">
        <v>418</v>
      </c>
      <c r="AC892" s="32">
        <v>17</v>
      </c>
      <c r="AD892" s="32">
        <v>28</v>
      </c>
      <c r="AE892" s="32">
        <v>12</v>
      </c>
      <c r="AF892" s="32">
        <v>0</v>
      </c>
      <c r="AG892" s="32">
        <v>5</v>
      </c>
    </row>
    <row r="893" spans="1:33">
      <c r="A893" s="32" t="s">
        <v>3353</v>
      </c>
      <c r="B893" s="32" t="s">
        <v>76</v>
      </c>
      <c r="C893" s="32" t="s">
        <v>3354</v>
      </c>
      <c r="D893" s="32" t="s">
        <v>3355</v>
      </c>
      <c r="E893" s="32" t="s">
        <v>3356</v>
      </c>
      <c r="F893" s="32" t="s">
        <v>3357</v>
      </c>
      <c r="G893" s="32" t="s">
        <v>1261</v>
      </c>
      <c r="H893" s="32" t="s">
        <v>1262</v>
      </c>
      <c r="I893" s="32" t="s">
        <v>198</v>
      </c>
      <c r="J893" s="32" t="s">
        <v>199</v>
      </c>
      <c r="K893" s="32">
        <v>2.6681970000000002</v>
      </c>
      <c r="L893" s="33">
        <v>2051</v>
      </c>
      <c r="M893" s="32">
        <v>443</v>
      </c>
      <c r="N893" s="32">
        <v>398</v>
      </c>
      <c r="O893" s="32">
        <v>464</v>
      </c>
      <c r="P893" s="32">
        <v>570</v>
      </c>
      <c r="Q893" s="32">
        <v>176</v>
      </c>
      <c r="R893" s="32" t="s">
        <v>302</v>
      </c>
      <c r="S893" s="32">
        <v>37.568399999999997</v>
      </c>
      <c r="T893" s="32">
        <v>20.359100000000002</v>
      </c>
      <c r="U893" s="32">
        <v>0.96495738200000003</v>
      </c>
      <c r="V893" s="32">
        <v>2</v>
      </c>
      <c r="W893" s="32">
        <v>0.90721300000000005</v>
      </c>
      <c r="X893" s="32">
        <v>4.8343999999999998E-2</v>
      </c>
      <c r="Y893" s="32">
        <v>0.7</v>
      </c>
      <c r="Z893" s="32">
        <v>0.99736800000000003</v>
      </c>
      <c r="AA893" s="32">
        <v>72.900000000000006</v>
      </c>
      <c r="AB893" s="32">
        <v>401</v>
      </c>
      <c r="AC893" s="32">
        <v>15</v>
      </c>
      <c r="AD893" s="32">
        <v>22</v>
      </c>
      <c r="AE893" s="32">
        <v>0</v>
      </c>
      <c r="AF893" s="32">
        <v>0</v>
      </c>
      <c r="AG893" s="32" t="s">
        <v>200</v>
      </c>
    </row>
    <row r="894" spans="1:33">
      <c r="A894" s="32" t="s">
        <v>3358</v>
      </c>
      <c r="B894" s="32" t="s">
        <v>76</v>
      </c>
      <c r="C894" s="32" t="s">
        <v>3359</v>
      </c>
      <c r="D894" s="32" t="s">
        <v>3360</v>
      </c>
      <c r="E894" s="32" t="s">
        <v>3356</v>
      </c>
      <c r="F894" s="32" t="s">
        <v>3357</v>
      </c>
      <c r="G894" s="32" t="s">
        <v>1261</v>
      </c>
      <c r="H894" s="32" t="s">
        <v>1262</v>
      </c>
      <c r="I894" s="32" t="s">
        <v>198</v>
      </c>
      <c r="J894" s="32" t="s">
        <v>199</v>
      </c>
      <c r="K894" s="32">
        <v>2.748329</v>
      </c>
      <c r="L894" s="33">
        <v>1665</v>
      </c>
      <c r="M894" s="32">
        <v>357</v>
      </c>
      <c r="N894" s="32">
        <v>329</v>
      </c>
      <c r="O894" s="32">
        <v>459</v>
      </c>
      <c r="P894" s="32">
        <v>375</v>
      </c>
      <c r="Q894" s="32">
        <v>145</v>
      </c>
      <c r="R894" s="32" t="s">
        <v>302</v>
      </c>
      <c r="S894" s="32">
        <v>43.064100000000003</v>
      </c>
      <c r="T894" s="32">
        <v>0</v>
      </c>
      <c r="U894" s="32">
        <v>0.90096683399999999</v>
      </c>
      <c r="V894" s="32">
        <v>3</v>
      </c>
      <c r="W894" s="32">
        <v>0.91311100000000001</v>
      </c>
      <c r="X894" s="32">
        <v>0.14005200000000001</v>
      </c>
      <c r="Y894" s="32">
        <v>0.7</v>
      </c>
      <c r="Z894" s="32">
        <v>0.98788699999999996</v>
      </c>
      <c r="AA894" s="32">
        <v>68.3</v>
      </c>
      <c r="AB894" s="32">
        <v>268</v>
      </c>
      <c r="AC894" s="32">
        <v>29</v>
      </c>
      <c r="AD894" s="32">
        <v>20</v>
      </c>
      <c r="AE894" s="32">
        <v>0</v>
      </c>
      <c r="AF894" s="32" t="s">
        <v>200</v>
      </c>
      <c r="AG894" s="32">
        <v>0</v>
      </c>
    </row>
    <row r="895" spans="1:33">
      <c r="A895" s="32" t="s">
        <v>3361</v>
      </c>
      <c r="B895" s="32" t="s">
        <v>76</v>
      </c>
      <c r="C895" s="32" t="s">
        <v>3362</v>
      </c>
      <c r="D895" s="32" t="s">
        <v>3363</v>
      </c>
      <c r="E895" s="32" t="s">
        <v>3332</v>
      </c>
      <c r="F895" s="32" t="s">
        <v>3333</v>
      </c>
      <c r="G895" s="32" t="s">
        <v>1261</v>
      </c>
      <c r="H895" s="32" t="s">
        <v>1262</v>
      </c>
      <c r="I895" s="32" t="s">
        <v>198</v>
      </c>
      <c r="J895" s="32" t="s">
        <v>199</v>
      </c>
      <c r="K895" s="32">
        <v>2.7297549999999999</v>
      </c>
      <c r="L895" s="33">
        <v>1399</v>
      </c>
      <c r="M895" s="32">
        <v>305</v>
      </c>
      <c r="N895" s="32">
        <v>273</v>
      </c>
      <c r="O895" s="32">
        <v>314</v>
      </c>
      <c r="P895" s="32">
        <v>377</v>
      </c>
      <c r="Q895" s="32">
        <v>130</v>
      </c>
      <c r="R895" s="32">
        <v>3</v>
      </c>
      <c r="S895" s="32">
        <v>16.913599999999999</v>
      </c>
      <c r="T895" s="32">
        <v>11.767300000000001</v>
      </c>
      <c r="U895" s="32">
        <v>0.94771653199999994</v>
      </c>
      <c r="V895" s="32">
        <v>2</v>
      </c>
      <c r="W895" s="32">
        <v>0.90981599999999996</v>
      </c>
      <c r="X895" s="32">
        <v>0.118654</v>
      </c>
      <c r="Y895" s="32">
        <v>0.7</v>
      </c>
      <c r="Z895" s="32">
        <v>0.99476900000000001</v>
      </c>
      <c r="AA895" s="32">
        <v>73.900000000000006</v>
      </c>
      <c r="AB895" s="32">
        <v>337</v>
      </c>
      <c r="AC895" s="32">
        <v>14</v>
      </c>
      <c r="AD895" s="32">
        <v>7</v>
      </c>
      <c r="AE895" s="32">
        <v>0</v>
      </c>
      <c r="AF895" s="32">
        <v>0</v>
      </c>
      <c r="AG895" s="32" t="s">
        <v>200</v>
      </c>
    </row>
    <row r="896" spans="1:33">
      <c r="A896" s="32" t="s">
        <v>3364</v>
      </c>
      <c r="B896" s="32" t="s">
        <v>76</v>
      </c>
      <c r="C896" s="32" t="s">
        <v>3365</v>
      </c>
      <c r="D896" s="32" t="s">
        <v>3366</v>
      </c>
      <c r="E896" s="32" t="s">
        <v>3033</v>
      </c>
      <c r="F896" s="32" t="s">
        <v>3034</v>
      </c>
      <c r="G896" s="32" t="s">
        <v>1261</v>
      </c>
      <c r="H896" s="32" t="s">
        <v>1262</v>
      </c>
      <c r="I896" s="32" t="s">
        <v>198</v>
      </c>
      <c r="J896" s="32" t="s">
        <v>199</v>
      </c>
      <c r="K896" s="32">
        <v>2.7447370000000002</v>
      </c>
      <c r="L896" s="33">
        <v>2090</v>
      </c>
      <c r="M896" s="32">
        <v>302</v>
      </c>
      <c r="N896" s="32">
        <v>473</v>
      </c>
      <c r="O896" s="32">
        <v>606</v>
      </c>
      <c r="P896" s="32">
        <v>462</v>
      </c>
      <c r="Q896" s="32">
        <v>247</v>
      </c>
      <c r="R896" s="32">
        <v>5</v>
      </c>
      <c r="S896" s="32">
        <v>27.954999999999998</v>
      </c>
      <c r="T896" s="32">
        <v>16.1951</v>
      </c>
      <c r="U896" s="32">
        <v>0.915642387</v>
      </c>
      <c r="V896" s="32">
        <v>2</v>
      </c>
      <c r="W896" s="32">
        <v>0.91295499999999996</v>
      </c>
      <c r="X896" s="32">
        <v>0.18279999999999999</v>
      </c>
      <c r="Y896" s="32">
        <v>0.7</v>
      </c>
      <c r="Z896" s="32">
        <v>0.94699999999999995</v>
      </c>
      <c r="AA896" s="32">
        <v>56.7</v>
      </c>
      <c r="AB896" s="32">
        <v>380</v>
      </c>
      <c r="AC896" s="32">
        <v>30</v>
      </c>
      <c r="AD896" s="32">
        <v>21</v>
      </c>
      <c r="AE896" s="32">
        <v>0</v>
      </c>
      <c r="AF896" s="32">
        <v>0</v>
      </c>
      <c r="AG896" s="32" t="s">
        <v>200</v>
      </c>
    </row>
    <row r="897" spans="1:33">
      <c r="A897" s="32" t="s">
        <v>3367</v>
      </c>
      <c r="B897" s="32" t="s">
        <v>76</v>
      </c>
      <c r="C897" s="32" t="s">
        <v>3368</v>
      </c>
      <c r="D897" s="32" t="s">
        <v>3369</v>
      </c>
      <c r="E897" s="32" t="s">
        <v>3370</v>
      </c>
      <c r="F897" s="32" t="s">
        <v>3371</v>
      </c>
      <c r="G897" s="32" t="s">
        <v>1261</v>
      </c>
      <c r="H897" s="32" t="s">
        <v>1262</v>
      </c>
      <c r="I897" s="32" t="s">
        <v>198</v>
      </c>
      <c r="J897" s="32" t="s">
        <v>199</v>
      </c>
      <c r="K897" s="32">
        <v>2.7270759999999998</v>
      </c>
      <c r="L897" s="33">
        <v>1934</v>
      </c>
      <c r="M897" s="32">
        <v>521</v>
      </c>
      <c r="N897" s="32">
        <v>344</v>
      </c>
      <c r="O897" s="32">
        <v>435</v>
      </c>
      <c r="P897" s="32">
        <v>482</v>
      </c>
      <c r="Q897" s="32">
        <v>152</v>
      </c>
      <c r="R897" s="32">
        <v>2</v>
      </c>
      <c r="S897" s="32">
        <v>30.467500000000001</v>
      </c>
      <c r="T897" s="32">
        <v>2.2484500000000001</v>
      </c>
      <c r="U897" s="32">
        <v>0.910147602</v>
      </c>
      <c r="V897" s="32">
        <v>3</v>
      </c>
      <c r="W897" s="32">
        <v>0.92382699999999995</v>
      </c>
      <c r="X897" s="32">
        <v>0.10036100000000001</v>
      </c>
      <c r="Y897" s="32">
        <v>0.7</v>
      </c>
      <c r="Z897" s="32">
        <v>1</v>
      </c>
      <c r="AA897" s="32">
        <v>68.2</v>
      </c>
      <c r="AB897" s="32">
        <v>300</v>
      </c>
      <c r="AC897" s="32">
        <v>14</v>
      </c>
      <c r="AD897" s="32">
        <v>13</v>
      </c>
      <c r="AE897" s="32">
        <v>0</v>
      </c>
      <c r="AF897" s="32">
        <v>0</v>
      </c>
      <c r="AG897" s="32" t="s">
        <v>200</v>
      </c>
    </row>
    <row r="898" spans="1:33">
      <c r="A898" s="32" t="s">
        <v>3372</v>
      </c>
      <c r="B898" s="32" t="s">
        <v>76</v>
      </c>
      <c r="C898" s="32" t="s">
        <v>3373</v>
      </c>
      <c r="D898" s="32" t="s">
        <v>3374</v>
      </c>
      <c r="E898" s="32" t="s">
        <v>3345</v>
      </c>
      <c r="F898" s="32" t="s">
        <v>3346</v>
      </c>
      <c r="G898" s="32" t="s">
        <v>1261</v>
      </c>
      <c r="H898" s="32" t="s">
        <v>1262</v>
      </c>
      <c r="I898" s="32" t="s">
        <v>198</v>
      </c>
      <c r="J898" s="32" t="s">
        <v>199</v>
      </c>
      <c r="K898" s="32">
        <v>2.746855</v>
      </c>
      <c r="L898" s="33">
        <v>1354</v>
      </c>
      <c r="M898" s="32">
        <v>223</v>
      </c>
      <c r="N898" s="32">
        <v>275</v>
      </c>
      <c r="O898" s="32">
        <v>344</v>
      </c>
      <c r="P898" s="32">
        <v>354</v>
      </c>
      <c r="Q898" s="32">
        <v>158</v>
      </c>
      <c r="R898" s="32">
        <v>4</v>
      </c>
      <c r="S898" s="32">
        <v>23.305099999999999</v>
      </c>
      <c r="T898" s="32">
        <v>6.6639099999999996</v>
      </c>
      <c r="U898" s="32">
        <v>0.83898959900000003</v>
      </c>
      <c r="V898" s="32">
        <v>3</v>
      </c>
      <c r="W898" s="32">
        <v>0.93176099999999995</v>
      </c>
      <c r="X898" s="32">
        <v>0.11346199999999999</v>
      </c>
      <c r="Y898" s="32">
        <v>0.7</v>
      </c>
      <c r="Z898" s="32">
        <v>1</v>
      </c>
      <c r="AA898" s="32">
        <v>64.3</v>
      </c>
      <c r="AB898" s="32">
        <v>345</v>
      </c>
      <c r="AC898" s="32">
        <v>11</v>
      </c>
      <c r="AD898" s="32">
        <v>35</v>
      </c>
      <c r="AE898" s="32">
        <v>0</v>
      </c>
      <c r="AF898" s="32">
        <v>5</v>
      </c>
      <c r="AG898" s="32" t="s">
        <v>200</v>
      </c>
    </row>
    <row r="899" spans="1:33">
      <c r="A899" s="32" t="s">
        <v>3375</v>
      </c>
      <c r="B899" s="32" t="s">
        <v>76</v>
      </c>
      <c r="C899" s="32" t="s">
        <v>3376</v>
      </c>
      <c r="D899" s="32" t="s">
        <v>3377</v>
      </c>
      <c r="E899" s="32" t="s">
        <v>3378</v>
      </c>
      <c r="F899" s="32" t="s">
        <v>3379</v>
      </c>
      <c r="G899" s="32" t="s">
        <v>1261</v>
      </c>
      <c r="H899" s="32" t="s">
        <v>1262</v>
      </c>
      <c r="I899" s="32" t="s">
        <v>198</v>
      </c>
      <c r="J899" s="32" t="s">
        <v>199</v>
      </c>
      <c r="K899" s="32">
        <v>2.648571</v>
      </c>
      <c r="L899" s="33">
        <v>2162</v>
      </c>
      <c r="M899" s="32">
        <v>489</v>
      </c>
      <c r="N899" s="32">
        <v>405</v>
      </c>
      <c r="O899" s="32">
        <v>549</v>
      </c>
      <c r="P899" s="32">
        <v>530</v>
      </c>
      <c r="Q899" s="32">
        <v>189</v>
      </c>
      <c r="R899" s="32">
        <v>5</v>
      </c>
      <c r="S899" s="32">
        <v>40.2699</v>
      </c>
      <c r="T899" s="32">
        <v>12.446999999999999</v>
      </c>
      <c r="U899" s="32">
        <v>0.80975937899999995</v>
      </c>
      <c r="V899" s="32">
        <v>4</v>
      </c>
      <c r="W899" s="32">
        <v>0.91</v>
      </c>
      <c r="X899" s="32">
        <v>0.125301</v>
      </c>
      <c r="Y899" s="32">
        <v>0.7</v>
      </c>
      <c r="Z899" s="32">
        <v>0.91976199999999997</v>
      </c>
      <c r="AA899" s="32">
        <v>52.7</v>
      </c>
      <c r="AB899" s="32">
        <v>435</v>
      </c>
      <c r="AC899" s="32">
        <v>19</v>
      </c>
      <c r="AD899" s="32">
        <v>18</v>
      </c>
      <c r="AE899" s="32">
        <v>0</v>
      </c>
      <c r="AF899" s="32" t="s">
        <v>200</v>
      </c>
      <c r="AG899" s="32" t="s">
        <v>200</v>
      </c>
    </row>
    <row r="900" spans="1:33">
      <c r="A900" s="32" t="s">
        <v>3380</v>
      </c>
      <c r="B900" s="32" t="s">
        <v>76</v>
      </c>
      <c r="C900" s="32" t="s">
        <v>3381</v>
      </c>
      <c r="D900" s="32" t="s">
        <v>3382</v>
      </c>
      <c r="E900" s="32" t="s">
        <v>3356</v>
      </c>
      <c r="F900" s="32" t="s">
        <v>3357</v>
      </c>
      <c r="G900" s="32" t="s">
        <v>1261</v>
      </c>
      <c r="H900" s="32" t="s">
        <v>1262</v>
      </c>
      <c r="I900" s="32" t="s">
        <v>198</v>
      </c>
      <c r="J900" s="32" t="s">
        <v>199</v>
      </c>
      <c r="K900" s="32">
        <v>2.8568419999999999</v>
      </c>
      <c r="L900" s="33">
        <v>2266</v>
      </c>
      <c r="M900" s="32">
        <v>444</v>
      </c>
      <c r="N900" s="32">
        <v>450</v>
      </c>
      <c r="O900" s="32">
        <v>645</v>
      </c>
      <c r="P900" s="32">
        <v>566</v>
      </c>
      <c r="Q900" s="32">
        <v>161</v>
      </c>
      <c r="R900" s="32" t="s">
        <v>302</v>
      </c>
      <c r="S900" s="32">
        <v>50.734400000000001</v>
      </c>
      <c r="T900" s="32">
        <v>30.4724</v>
      </c>
      <c r="U900" s="32">
        <v>0.84286472499999998</v>
      </c>
      <c r="V900" s="32">
        <v>2</v>
      </c>
      <c r="W900" s="32">
        <v>0.91759400000000002</v>
      </c>
      <c r="X900" s="32">
        <v>0.30757600000000002</v>
      </c>
      <c r="Y900" s="32">
        <v>0.7</v>
      </c>
      <c r="Z900" s="32">
        <v>0.94954400000000005</v>
      </c>
      <c r="AA900" s="32">
        <v>70</v>
      </c>
      <c r="AB900" s="32">
        <v>290</v>
      </c>
      <c r="AC900" s="32">
        <v>36</v>
      </c>
      <c r="AD900" s="32">
        <v>19</v>
      </c>
      <c r="AE900" s="32">
        <v>0</v>
      </c>
      <c r="AF900" s="32">
        <v>0</v>
      </c>
      <c r="AG900" s="32">
        <v>0</v>
      </c>
    </row>
    <row r="901" spans="1:33">
      <c r="A901" s="32" t="s">
        <v>3383</v>
      </c>
      <c r="B901" s="32" t="s">
        <v>76</v>
      </c>
      <c r="C901" s="32" t="s">
        <v>3384</v>
      </c>
      <c r="D901" s="32" t="s">
        <v>3385</v>
      </c>
      <c r="E901" s="32" t="s">
        <v>3261</v>
      </c>
      <c r="F901" s="32" t="s">
        <v>3262</v>
      </c>
      <c r="G901" s="32" t="s">
        <v>1232</v>
      </c>
      <c r="H901" s="32" t="s">
        <v>1233</v>
      </c>
      <c r="I901" s="32" t="s">
        <v>198</v>
      </c>
      <c r="J901" s="32" t="s">
        <v>199</v>
      </c>
      <c r="K901" s="32">
        <v>2.6802920000000001</v>
      </c>
      <c r="L901" s="33">
        <v>1751</v>
      </c>
      <c r="M901" s="32">
        <v>257</v>
      </c>
      <c r="N901" s="32">
        <v>417</v>
      </c>
      <c r="O901" s="32">
        <v>475</v>
      </c>
      <c r="P901" s="32">
        <v>449</v>
      </c>
      <c r="Q901" s="32">
        <v>153</v>
      </c>
      <c r="R901" s="32">
        <v>2</v>
      </c>
      <c r="S901" s="32">
        <v>18.540700000000001</v>
      </c>
      <c r="T901" s="32">
        <v>6.0837599999999998</v>
      </c>
      <c r="U901" s="32">
        <v>0.854360224</v>
      </c>
      <c r="V901" s="32">
        <v>4</v>
      </c>
      <c r="W901" s="32">
        <v>0.92676400000000003</v>
      </c>
      <c r="X901" s="32">
        <v>5.6862999999999997E-2</v>
      </c>
      <c r="Y901" s="32">
        <v>0.7</v>
      </c>
      <c r="Z901" s="32">
        <v>1</v>
      </c>
      <c r="AA901" s="32">
        <v>48.3</v>
      </c>
      <c r="AB901" s="32">
        <v>333</v>
      </c>
      <c r="AC901" s="32">
        <v>19</v>
      </c>
      <c r="AD901" s="32">
        <v>13</v>
      </c>
      <c r="AE901" s="32">
        <v>0</v>
      </c>
      <c r="AF901" s="32" t="s">
        <v>200</v>
      </c>
      <c r="AG901" s="32">
        <v>0</v>
      </c>
    </row>
    <row r="902" spans="1:33">
      <c r="A902" s="32" t="s">
        <v>3309</v>
      </c>
      <c r="B902" s="32" t="s">
        <v>76</v>
      </c>
      <c r="C902" s="32" t="s">
        <v>3310</v>
      </c>
      <c r="D902" s="32" t="s">
        <v>3311</v>
      </c>
      <c r="E902" s="32" t="s">
        <v>3261</v>
      </c>
      <c r="F902" s="32" t="s">
        <v>3262</v>
      </c>
      <c r="G902" s="32" t="s">
        <v>1232</v>
      </c>
      <c r="H902" s="32" t="s">
        <v>1233</v>
      </c>
      <c r="I902" s="32" t="s">
        <v>198</v>
      </c>
      <c r="J902" s="32" t="s">
        <v>199</v>
      </c>
      <c r="K902" s="32">
        <v>2.815299</v>
      </c>
      <c r="L902" s="33">
        <v>1776</v>
      </c>
      <c r="M902" s="32">
        <v>342</v>
      </c>
      <c r="N902" s="32">
        <v>407</v>
      </c>
      <c r="O902" s="32">
        <v>453</v>
      </c>
      <c r="P902" s="32">
        <v>397</v>
      </c>
      <c r="Q902" s="32">
        <v>177</v>
      </c>
      <c r="R902" s="32">
        <v>5</v>
      </c>
      <c r="S902" s="32">
        <v>35.589199999999998</v>
      </c>
      <c r="T902" s="32">
        <v>11.4613</v>
      </c>
      <c r="U902" s="32">
        <v>0.86147610299999999</v>
      </c>
      <c r="V902" s="32">
        <v>3</v>
      </c>
      <c r="W902" s="32">
        <v>0.98359200000000002</v>
      </c>
      <c r="X902" s="32">
        <v>0.14407200000000001</v>
      </c>
      <c r="Y902" s="32">
        <v>0.7</v>
      </c>
      <c r="Z902" s="32">
        <v>1</v>
      </c>
      <c r="AA902" s="32">
        <v>53.1</v>
      </c>
      <c r="AB902" s="32">
        <v>317</v>
      </c>
      <c r="AC902" s="32">
        <v>25</v>
      </c>
      <c r="AD902" s="32">
        <v>15</v>
      </c>
      <c r="AE902" s="32" t="s">
        <v>200</v>
      </c>
      <c r="AF902" s="32">
        <v>0</v>
      </c>
      <c r="AG902" s="32">
        <v>5</v>
      </c>
    </row>
    <row r="903" spans="1:33">
      <c r="A903" s="32" t="s">
        <v>3386</v>
      </c>
      <c r="B903" s="32" t="s">
        <v>76</v>
      </c>
      <c r="C903" s="32" t="s">
        <v>3387</v>
      </c>
      <c r="D903" s="32" t="s">
        <v>3388</v>
      </c>
      <c r="E903" s="32" t="s">
        <v>3356</v>
      </c>
      <c r="F903" s="32" t="s">
        <v>3357</v>
      </c>
      <c r="G903" s="32" t="s">
        <v>1261</v>
      </c>
      <c r="H903" s="32" t="s">
        <v>1262</v>
      </c>
      <c r="I903" s="32" t="s">
        <v>198</v>
      </c>
      <c r="J903" s="32" t="s">
        <v>199</v>
      </c>
      <c r="K903" s="32">
        <v>2.670385</v>
      </c>
      <c r="L903" s="33">
        <v>2626</v>
      </c>
      <c r="M903" s="32">
        <v>494</v>
      </c>
      <c r="N903" s="32">
        <v>658</v>
      </c>
      <c r="O903" s="32">
        <v>609</v>
      </c>
      <c r="P903" s="32">
        <v>622</v>
      </c>
      <c r="Q903" s="32">
        <v>243</v>
      </c>
      <c r="R903" s="32" t="s">
        <v>302</v>
      </c>
      <c r="S903" s="32">
        <v>37.782800000000002</v>
      </c>
      <c r="T903" s="32">
        <v>12.6732</v>
      </c>
      <c r="U903" s="32">
        <v>0.99796563599999999</v>
      </c>
      <c r="V903" s="32">
        <v>2</v>
      </c>
      <c r="W903" s="32">
        <v>0.90304300000000004</v>
      </c>
      <c r="X903" s="32">
        <v>0.106587</v>
      </c>
      <c r="Y903" s="32">
        <v>0.7</v>
      </c>
      <c r="Z903" s="32">
        <v>0.95110700000000004</v>
      </c>
      <c r="AA903" s="32">
        <v>61.1</v>
      </c>
      <c r="AB903" s="32">
        <v>462</v>
      </c>
      <c r="AC903" s="32">
        <v>32</v>
      </c>
      <c r="AD903" s="32">
        <v>25</v>
      </c>
      <c r="AE903" s="32">
        <v>0</v>
      </c>
      <c r="AF903" s="32">
        <v>0</v>
      </c>
      <c r="AG903" s="32" t="s">
        <v>200</v>
      </c>
    </row>
    <row r="904" spans="1:33">
      <c r="A904" s="32" t="s">
        <v>3389</v>
      </c>
      <c r="B904" s="32" t="s">
        <v>95</v>
      </c>
      <c r="C904" s="32" t="s">
        <v>3390</v>
      </c>
      <c r="D904" s="32" t="s">
        <v>3391</v>
      </c>
      <c r="E904" s="32" t="s">
        <v>3392</v>
      </c>
      <c r="F904" s="32" t="s">
        <v>3393</v>
      </c>
      <c r="G904" s="32" t="s">
        <v>300</v>
      </c>
      <c r="H904" s="32" t="s">
        <v>301</v>
      </c>
      <c r="I904" s="32" t="s">
        <v>198</v>
      </c>
      <c r="J904" s="32" t="s">
        <v>199</v>
      </c>
      <c r="K904" s="32">
        <v>2.758756</v>
      </c>
      <c r="L904" s="33">
        <v>3418</v>
      </c>
      <c r="M904" s="32">
        <v>191</v>
      </c>
      <c r="N904" s="33">
        <v>1652</v>
      </c>
      <c r="O904" s="33">
        <v>1106</v>
      </c>
      <c r="P904" s="32">
        <v>358</v>
      </c>
      <c r="Q904" s="32">
        <v>111</v>
      </c>
      <c r="R904" s="32" t="s">
        <v>668</v>
      </c>
      <c r="S904" s="32">
        <v>105.29900000000001</v>
      </c>
      <c r="T904" s="32">
        <v>27.7883</v>
      </c>
      <c r="U904" s="32">
        <v>0.576085242</v>
      </c>
      <c r="V904" s="32">
        <v>7</v>
      </c>
      <c r="W904" s="32">
        <v>1</v>
      </c>
      <c r="X904" s="32">
        <v>0.15934999999999999</v>
      </c>
      <c r="Y904" s="32">
        <v>0.60970400000000002</v>
      </c>
      <c r="Z904" s="32">
        <v>1</v>
      </c>
      <c r="AA904" s="32">
        <v>32.299999999999997</v>
      </c>
      <c r="AB904" s="32">
        <v>246</v>
      </c>
      <c r="AC904" s="32">
        <v>26</v>
      </c>
      <c r="AD904" s="32">
        <v>22</v>
      </c>
      <c r="AE904" s="32">
        <v>0</v>
      </c>
      <c r="AF904" s="32">
        <v>0</v>
      </c>
      <c r="AG904" s="32" t="s">
        <v>200</v>
      </c>
    </row>
    <row r="905" spans="1:33">
      <c r="A905" s="32" t="s">
        <v>3394</v>
      </c>
      <c r="B905" s="32" t="s">
        <v>95</v>
      </c>
      <c r="C905" s="32" t="s">
        <v>3395</v>
      </c>
      <c r="D905" s="32" t="s">
        <v>3396</v>
      </c>
      <c r="E905" s="32" t="s">
        <v>3397</v>
      </c>
      <c r="F905" s="32" t="s">
        <v>3398</v>
      </c>
      <c r="G905" s="32" t="s">
        <v>300</v>
      </c>
      <c r="H905" s="32" t="s">
        <v>301</v>
      </c>
      <c r="I905" s="32" t="s">
        <v>198</v>
      </c>
      <c r="J905" s="32" t="s">
        <v>199</v>
      </c>
      <c r="K905" s="32">
        <v>2.9446599999999998</v>
      </c>
      <c r="L905" s="33">
        <v>3802</v>
      </c>
      <c r="M905" s="32">
        <v>522</v>
      </c>
      <c r="N905" s="33">
        <v>1643</v>
      </c>
      <c r="O905" s="33">
        <v>1153</v>
      </c>
      <c r="P905" s="32">
        <v>351</v>
      </c>
      <c r="Q905" s="32">
        <v>133</v>
      </c>
      <c r="R905" s="32" t="s">
        <v>668</v>
      </c>
      <c r="S905" s="32">
        <v>87.209800000000001</v>
      </c>
      <c r="T905" s="32">
        <v>23.972999999999999</v>
      </c>
      <c r="U905" s="32">
        <v>0.66263938099999997</v>
      </c>
      <c r="V905" s="32">
        <v>4</v>
      </c>
      <c r="W905" s="32">
        <v>1</v>
      </c>
      <c r="X905" s="32">
        <v>0.29752499999999998</v>
      </c>
      <c r="Y905" s="32">
        <v>0.65732000000000002</v>
      </c>
      <c r="Z905" s="32">
        <v>1</v>
      </c>
      <c r="AA905" s="32">
        <v>48.6</v>
      </c>
      <c r="AB905" s="32">
        <v>241</v>
      </c>
      <c r="AC905" s="32">
        <v>81</v>
      </c>
      <c r="AD905" s="32">
        <v>28</v>
      </c>
      <c r="AE905" s="32">
        <v>0</v>
      </c>
      <c r="AF905" s="32" t="s">
        <v>200</v>
      </c>
      <c r="AG905" s="32">
        <v>7</v>
      </c>
    </row>
    <row r="906" spans="1:33">
      <c r="A906" s="32" t="s">
        <v>3399</v>
      </c>
      <c r="B906" s="32" t="s">
        <v>95</v>
      </c>
      <c r="C906" s="32" t="s">
        <v>3400</v>
      </c>
      <c r="D906" s="32" t="s">
        <v>3401</v>
      </c>
      <c r="E906" s="32" t="s">
        <v>3392</v>
      </c>
      <c r="F906" s="32" t="s">
        <v>3393</v>
      </c>
      <c r="G906" s="32" t="s">
        <v>300</v>
      </c>
      <c r="H906" s="32" t="s">
        <v>301</v>
      </c>
      <c r="I906" s="32" t="s">
        <v>198</v>
      </c>
      <c r="J906" s="32" t="s">
        <v>199</v>
      </c>
      <c r="K906" s="32">
        <v>2.8966259999999999</v>
      </c>
      <c r="L906" s="33">
        <v>3450</v>
      </c>
      <c r="M906" s="32">
        <v>592</v>
      </c>
      <c r="N906" s="33">
        <v>1161</v>
      </c>
      <c r="O906" s="32">
        <v>979</v>
      </c>
      <c r="P906" s="32">
        <v>508</v>
      </c>
      <c r="Q906" s="32">
        <v>210</v>
      </c>
      <c r="R906" s="32" t="s">
        <v>302</v>
      </c>
      <c r="S906" s="32">
        <v>93.439499999999995</v>
      </c>
      <c r="T906" s="32">
        <v>19.500299999999999</v>
      </c>
      <c r="U906" s="32">
        <v>1.005631674</v>
      </c>
      <c r="V906" s="32">
        <v>2</v>
      </c>
      <c r="W906" s="32">
        <v>1</v>
      </c>
      <c r="X906" s="32">
        <v>0.235071</v>
      </c>
      <c r="Y906" s="32">
        <v>0.63938700000000004</v>
      </c>
      <c r="Z906" s="32">
        <v>1</v>
      </c>
      <c r="AA906" s="32">
        <v>64.099999999999994</v>
      </c>
      <c r="AB906" s="32">
        <v>308</v>
      </c>
      <c r="AC906" s="32">
        <v>12</v>
      </c>
      <c r="AD906" s="32">
        <v>8</v>
      </c>
      <c r="AE906" s="32">
        <v>0</v>
      </c>
      <c r="AF906" s="32">
        <v>0</v>
      </c>
      <c r="AG906" s="32" t="s">
        <v>200</v>
      </c>
    </row>
    <row r="907" spans="1:33">
      <c r="A907" s="32" t="s">
        <v>3402</v>
      </c>
      <c r="B907" s="32" t="s">
        <v>95</v>
      </c>
      <c r="C907" s="32" t="s">
        <v>3403</v>
      </c>
      <c r="D907" s="32" t="s">
        <v>3404</v>
      </c>
      <c r="E907" s="32" t="s">
        <v>3392</v>
      </c>
      <c r="F907" s="32" t="s">
        <v>3393</v>
      </c>
      <c r="G907" s="32" t="s">
        <v>300</v>
      </c>
      <c r="H907" s="32" t="s">
        <v>301</v>
      </c>
      <c r="I907" s="32" t="s">
        <v>198</v>
      </c>
      <c r="J907" s="32" t="s">
        <v>199</v>
      </c>
      <c r="K907" s="32">
        <v>2.9315790000000002</v>
      </c>
      <c r="L907" s="33">
        <v>1954</v>
      </c>
      <c r="M907" s="32">
        <v>271</v>
      </c>
      <c r="N907" s="32">
        <v>493</v>
      </c>
      <c r="O907" s="32">
        <v>670</v>
      </c>
      <c r="P907" s="32">
        <v>366</v>
      </c>
      <c r="Q907" s="32">
        <v>154</v>
      </c>
      <c r="R907" s="32" t="s">
        <v>668</v>
      </c>
      <c r="S907" s="32">
        <v>100.505</v>
      </c>
      <c r="T907" s="32">
        <v>66.2744</v>
      </c>
      <c r="U907" s="32">
        <v>0.84222576999999998</v>
      </c>
      <c r="V907" s="32">
        <v>2</v>
      </c>
      <c r="W907" s="32">
        <v>1</v>
      </c>
      <c r="X907" s="32">
        <v>0.23049600000000001</v>
      </c>
      <c r="Y907" s="32">
        <v>0.68531500000000001</v>
      </c>
      <c r="Z907" s="32">
        <v>1</v>
      </c>
      <c r="AA907" s="32">
        <v>60.9</v>
      </c>
      <c r="AB907" s="32">
        <v>233</v>
      </c>
      <c r="AC907" s="32">
        <v>26</v>
      </c>
      <c r="AD907" s="32">
        <v>21</v>
      </c>
      <c r="AE907" s="32" t="s">
        <v>200</v>
      </c>
      <c r="AF907" s="32" t="s">
        <v>200</v>
      </c>
      <c r="AG907" s="32" t="s">
        <v>200</v>
      </c>
    </row>
    <row r="908" spans="1:33">
      <c r="A908" s="32" t="s">
        <v>1324</v>
      </c>
      <c r="B908" s="32" t="s">
        <v>95</v>
      </c>
      <c r="C908" s="32" t="s">
        <v>1325</v>
      </c>
      <c r="D908" s="32" t="s">
        <v>1326</v>
      </c>
      <c r="E908" s="32" t="s">
        <v>1285</v>
      </c>
      <c r="F908" s="32" t="s">
        <v>1286</v>
      </c>
      <c r="G908" s="32" t="s">
        <v>655</v>
      </c>
      <c r="H908" s="32" t="s">
        <v>656</v>
      </c>
      <c r="I908" s="32" t="s">
        <v>198</v>
      </c>
      <c r="J908" s="32" t="s">
        <v>199</v>
      </c>
      <c r="K908" s="32">
        <v>2.9576190000000002</v>
      </c>
      <c r="L908" s="33">
        <v>1742</v>
      </c>
      <c r="M908" s="32">
        <v>100</v>
      </c>
      <c r="N908" s="32">
        <v>715</v>
      </c>
      <c r="O908" s="32">
        <v>742</v>
      </c>
      <c r="P908" s="32">
        <v>141</v>
      </c>
      <c r="Q908" s="32">
        <v>44</v>
      </c>
      <c r="R908" s="32" t="s">
        <v>302</v>
      </c>
      <c r="S908" s="32">
        <v>45.213999999999999</v>
      </c>
      <c r="T908" s="32">
        <v>27.811800000000002</v>
      </c>
      <c r="U908" s="32">
        <v>0.64083785999999998</v>
      </c>
      <c r="V908" s="32">
        <v>3</v>
      </c>
      <c r="W908" s="32">
        <v>1</v>
      </c>
      <c r="X908" s="32">
        <v>0.35518899999999998</v>
      </c>
      <c r="Y908" s="32">
        <v>0.60189599999999999</v>
      </c>
      <c r="Z908" s="32">
        <v>1</v>
      </c>
      <c r="AA908" s="32">
        <v>28.8</v>
      </c>
      <c r="AB908" s="32">
        <v>146</v>
      </c>
      <c r="AC908" s="32">
        <v>19</v>
      </c>
      <c r="AD908" s="32">
        <v>23</v>
      </c>
      <c r="AE908" s="32" t="s">
        <v>200</v>
      </c>
      <c r="AF908" s="32">
        <v>0</v>
      </c>
      <c r="AG908" s="32">
        <v>0</v>
      </c>
    </row>
    <row r="909" spans="1:33">
      <c r="A909" s="32" t="s">
        <v>3405</v>
      </c>
      <c r="B909" s="32" t="s">
        <v>95</v>
      </c>
      <c r="C909" s="32" t="s">
        <v>3406</v>
      </c>
      <c r="D909" s="32" t="s">
        <v>3407</v>
      </c>
      <c r="E909" s="32" t="s">
        <v>3397</v>
      </c>
      <c r="F909" s="32" t="s">
        <v>3398</v>
      </c>
      <c r="G909" s="32" t="s">
        <v>300</v>
      </c>
      <c r="H909" s="32" t="s">
        <v>301</v>
      </c>
      <c r="I909" s="32" t="s">
        <v>198</v>
      </c>
      <c r="J909" s="32" t="s">
        <v>199</v>
      </c>
      <c r="K909" s="32">
        <v>2.9520409999999999</v>
      </c>
      <c r="L909" s="33">
        <v>3084</v>
      </c>
      <c r="M909" s="32">
        <v>142</v>
      </c>
      <c r="N909" s="33">
        <v>1781</v>
      </c>
      <c r="O909" s="32">
        <v>890</v>
      </c>
      <c r="P909" s="32">
        <v>225</v>
      </c>
      <c r="Q909" s="32">
        <v>46</v>
      </c>
      <c r="R909" s="32" t="s">
        <v>668</v>
      </c>
      <c r="S909" s="32">
        <v>53.600299999999997</v>
      </c>
      <c r="T909" s="32">
        <v>38.701599999999999</v>
      </c>
      <c r="U909" s="32">
        <v>0.46783106899999999</v>
      </c>
      <c r="V909" s="32">
        <v>7</v>
      </c>
      <c r="W909" s="32">
        <v>1</v>
      </c>
      <c r="X909" s="32">
        <v>0.26751900000000001</v>
      </c>
      <c r="Y909" s="32">
        <v>0.7</v>
      </c>
      <c r="Z909" s="32">
        <v>1</v>
      </c>
      <c r="AA909" s="32">
        <v>34.1</v>
      </c>
      <c r="AB909" s="32">
        <v>184</v>
      </c>
      <c r="AC909" s="32">
        <v>20</v>
      </c>
      <c r="AD909" s="32">
        <v>105</v>
      </c>
      <c r="AE909" s="32">
        <v>0</v>
      </c>
      <c r="AF909" s="32" t="s">
        <v>200</v>
      </c>
      <c r="AG909" s="32">
        <v>0</v>
      </c>
    </row>
    <row r="910" spans="1:33">
      <c r="A910" s="32" t="s">
        <v>1327</v>
      </c>
      <c r="B910" s="32" t="s">
        <v>95</v>
      </c>
      <c r="C910" s="32" t="s">
        <v>1328</v>
      </c>
      <c r="D910" s="32" t="s">
        <v>1329</v>
      </c>
      <c r="E910" s="32" t="s">
        <v>1285</v>
      </c>
      <c r="F910" s="32" t="s">
        <v>1286</v>
      </c>
      <c r="G910" s="32" t="s">
        <v>655</v>
      </c>
      <c r="H910" s="32" t="s">
        <v>656</v>
      </c>
      <c r="I910" s="32" t="s">
        <v>198</v>
      </c>
      <c r="J910" s="32" t="s">
        <v>199</v>
      </c>
      <c r="K910" s="32">
        <v>2.848554</v>
      </c>
      <c r="L910" s="33">
        <v>2284</v>
      </c>
      <c r="M910" s="32">
        <v>105</v>
      </c>
      <c r="N910" s="32">
        <v>946</v>
      </c>
      <c r="O910" s="32">
        <v>955</v>
      </c>
      <c r="P910" s="32">
        <v>231</v>
      </c>
      <c r="Q910" s="32">
        <v>47</v>
      </c>
      <c r="R910" s="32" t="s">
        <v>668</v>
      </c>
      <c r="S910" s="32">
        <v>106.014</v>
      </c>
      <c r="T910" s="32">
        <v>36.423200000000001</v>
      </c>
      <c r="U910" s="32">
        <v>0.58706593399999996</v>
      </c>
      <c r="V910" s="32">
        <v>5</v>
      </c>
      <c r="W910" s="32">
        <v>1</v>
      </c>
      <c r="X910" s="32">
        <v>0.23313300000000001</v>
      </c>
      <c r="Y910" s="32">
        <v>0.61205200000000004</v>
      </c>
      <c r="Z910" s="32">
        <v>1</v>
      </c>
      <c r="AA910" s="32">
        <v>24.7</v>
      </c>
      <c r="AB910" s="32">
        <v>284</v>
      </c>
      <c r="AC910" s="32">
        <v>28</v>
      </c>
      <c r="AD910" s="32">
        <v>125</v>
      </c>
      <c r="AE910" s="32">
        <v>7</v>
      </c>
      <c r="AF910" s="32">
        <v>0</v>
      </c>
      <c r="AG910" s="32" t="s">
        <v>200</v>
      </c>
    </row>
    <row r="911" spans="1:33">
      <c r="A911" s="32" t="s">
        <v>3408</v>
      </c>
      <c r="B911" s="32" t="s">
        <v>78</v>
      </c>
      <c r="C911" s="32" t="s">
        <v>3409</v>
      </c>
      <c r="D911" s="32" t="s">
        <v>3410</v>
      </c>
      <c r="E911" s="32" t="s">
        <v>3411</v>
      </c>
      <c r="F911" s="32" t="s">
        <v>3412</v>
      </c>
      <c r="G911" s="32" t="s">
        <v>1261</v>
      </c>
      <c r="H911" s="32" t="s">
        <v>1262</v>
      </c>
      <c r="I911" s="32" t="s">
        <v>198</v>
      </c>
      <c r="J911" s="32" t="s">
        <v>199</v>
      </c>
      <c r="K911" s="32">
        <v>2.7644739999999999</v>
      </c>
      <c r="L911" s="33">
        <v>2912</v>
      </c>
      <c r="M911" s="32">
        <v>652</v>
      </c>
      <c r="N911" s="32">
        <v>619</v>
      </c>
      <c r="O911" s="33">
        <v>1007</v>
      </c>
      <c r="P911" s="32">
        <v>516</v>
      </c>
      <c r="Q911" s="32">
        <v>118</v>
      </c>
      <c r="R911" s="32">
        <v>3</v>
      </c>
      <c r="S911" s="32">
        <v>18.064399999999999</v>
      </c>
      <c r="T911" s="32">
        <v>3.68058</v>
      </c>
      <c r="U911" s="32">
        <v>0.75175544900000002</v>
      </c>
      <c r="V911" s="32">
        <v>4</v>
      </c>
      <c r="W911" s="32">
        <v>0.91118399999999999</v>
      </c>
      <c r="X911" s="32">
        <v>0.14877699999999999</v>
      </c>
      <c r="Y911" s="32">
        <v>0.7</v>
      </c>
      <c r="Z911" s="32">
        <v>0.99555199999999999</v>
      </c>
      <c r="AA911" s="32">
        <v>48.8</v>
      </c>
      <c r="AB911" s="32">
        <v>453</v>
      </c>
      <c r="AC911" s="32">
        <v>32</v>
      </c>
      <c r="AD911" s="32">
        <v>38</v>
      </c>
      <c r="AE911" s="32" t="s">
        <v>200</v>
      </c>
      <c r="AF911" s="32" t="s">
        <v>200</v>
      </c>
      <c r="AG911" s="32">
        <v>9</v>
      </c>
    </row>
    <row r="912" spans="1:33">
      <c r="A912" s="32" t="s">
        <v>3413</v>
      </c>
      <c r="B912" s="32" t="s">
        <v>78</v>
      </c>
      <c r="C912" s="32" t="s">
        <v>3414</v>
      </c>
      <c r="D912" s="32" t="s">
        <v>3415</v>
      </c>
      <c r="E912" s="32" t="s">
        <v>3416</v>
      </c>
      <c r="F912" s="32" t="s">
        <v>3417</v>
      </c>
      <c r="G912" s="32" t="s">
        <v>1261</v>
      </c>
      <c r="H912" s="32" t="s">
        <v>1262</v>
      </c>
      <c r="I912" s="32" t="s">
        <v>198</v>
      </c>
      <c r="J912" s="32" t="s">
        <v>199</v>
      </c>
      <c r="K912" s="32">
        <v>2.8974060000000001</v>
      </c>
      <c r="L912" s="33">
        <v>1946</v>
      </c>
      <c r="M912" s="32">
        <v>471</v>
      </c>
      <c r="N912" s="32">
        <v>371</v>
      </c>
      <c r="O912" s="32">
        <v>399</v>
      </c>
      <c r="P912" s="32">
        <v>545</v>
      </c>
      <c r="Q912" s="32">
        <v>160</v>
      </c>
      <c r="R912" s="32">
        <v>4</v>
      </c>
      <c r="S912" s="32">
        <v>23.71</v>
      </c>
      <c r="T912" s="32">
        <v>11.757999999999999</v>
      </c>
      <c r="U912" s="32">
        <v>0.94867179499999998</v>
      </c>
      <c r="V912" s="32">
        <v>2</v>
      </c>
      <c r="W912" s="32">
        <v>0.94092200000000004</v>
      </c>
      <c r="X912" s="32">
        <v>0.25672499999999998</v>
      </c>
      <c r="Y912" s="32">
        <v>0.7</v>
      </c>
      <c r="Z912" s="32">
        <v>1</v>
      </c>
      <c r="AA912" s="32">
        <v>64.2</v>
      </c>
      <c r="AB912" s="32">
        <v>283</v>
      </c>
      <c r="AC912" s="32">
        <v>16</v>
      </c>
      <c r="AD912" s="32">
        <v>12</v>
      </c>
      <c r="AE912" s="32">
        <v>0</v>
      </c>
      <c r="AF912" s="32" t="s">
        <v>200</v>
      </c>
      <c r="AG912" s="32" t="s">
        <v>200</v>
      </c>
    </row>
    <row r="913" spans="1:33">
      <c r="A913" s="32" t="s">
        <v>3418</v>
      </c>
      <c r="B913" s="32" t="s">
        <v>78</v>
      </c>
      <c r="C913" s="32" t="s">
        <v>3419</v>
      </c>
      <c r="D913" s="32" t="s">
        <v>3420</v>
      </c>
      <c r="E913" s="32" t="s">
        <v>3416</v>
      </c>
      <c r="F913" s="32" t="s">
        <v>3417</v>
      </c>
      <c r="G913" s="32" t="s">
        <v>1261</v>
      </c>
      <c r="H913" s="32" t="s">
        <v>1262</v>
      </c>
      <c r="I913" s="32" t="s">
        <v>198</v>
      </c>
      <c r="J913" s="32" t="s">
        <v>199</v>
      </c>
      <c r="K913" s="32">
        <v>2.698909</v>
      </c>
      <c r="L913" s="33">
        <v>1727</v>
      </c>
      <c r="M913" s="32">
        <v>345</v>
      </c>
      <c r="N913" s="32">
        <v>340</v>
      </c>
      <c r="O913" s="32">
        <v>428</v>
      </c>
      <c r="P913" s="32">
        <v>464</v>
      </c>
      <c r="Q913" s="32">
        <v>150</v>
      </c>
      <c r="R913" s="32">
        <v>3</v>
      </c>
      <c r="S913" s="32">
        <v>20.502099999999999</v>
      </c>
      <c r="T913" s="32">
        <v>9.1371699999999993</v>
      </c>
      <c r="U913" s="32">
        <v>0.86836582200000001</v>
      </c>
      <c r="V913" s="32">
        <v>3</v>
      </c>
      <c r="W913" s="32">
        <v>0.91018200000000005</v>
      </c>
      <c r="X913" s="32">
        <v>8.4558999999999995E-2</v>
      </c>
      <c r="Y913" s="32">
        <v>0.7</v>
      </c>
      <c r="Z913" s="32">
        <v>1</v>
      </c>
      <c r="AA913" s="32">
        <v>49</v>
      </c>
      <c r="AB913" s="32">
        <v>244</v>
      </c>
      <c r="AC913" s="32">
        <v>17</v>
      </c>
      <c r="AD913" s="32">
        <v>10</v>
      </c>
      <c r="AE913" s="32" t="s">
        <v>200</v>
      </c>
      <c r="AF913" s="32">
        <v>0</v>
      </c>
      <c r="AG913" s="32">
        <v>5</v>
      </c>
    </row>
    <row r="914" spans="1:33">
      <c r="A914" s="32" t="s">
        <v>3030</v>
      </c>
      <c r="B914" s="32" t="s">
        <v>78</v>
      </c>
      <c r="C914" s="32" t="s">
        <v>3031</v>
      </c>
      <c r="D914" s="32" t="s">
        <v>3032</v>
      </c>
      <c r="E914" s="32" t="s">
        <v>3033</v>
      </c>
      <c r="F914" s="32" t="s">
        <v>3034</v>
      </c>
      <c r="G914" s="32" t="s">
        <v>1261</v>
      </c>
      <c r="H914" s="32" t="s">
        <v>1262</v>
      </c>
      <c r="I914" s="32" t="s">
        <v>198</v>
      </c>
      <c r="J914" s="32" t="s">
        <v>199</v>
      </c>
      <c r="K914" s="32">
        <v>2.613661</v>
      </c>
      <c r="L914" s="33">
        <v>2021</v>
      </c>
      <c r="M914" s="32">
        <v>441</v>
      </c>
      <c r="N914" s="32">
        <v>366</v>
      </c>
      <c r="O914" s="32">
        <v>506</v>
      </c>
      <c r="P914" s="32">
        <v>529</v>
      </c>
      <c r="Q914" s="32">
        <v>179</v>
      </c>
      <c r="R914" s="32">
        <v>4</v>
      </c>
      <c r="S914" s="32">
        <v>22.612300000000001</v>
      </c>
      <c r="T914" s="32">
        <v>8.1785099999999993</v>
      </c>
      <c r="U914" s="32">
        <v>1.0257592740000001</v>
      </c>
      <c r="V914" s="32">
        <v>2</v>
      </c>
      <c r="W914" s="32">
        <v>0.90573800000000004</v>
      </c>
      <c r="X914" s="32">
        <v>0.117808</v>
      </c>
      <c r="Y914" s="32">
        <v>0.7</v>
      </c>
      <c r="Z914" s="32">
        <v>0.88342500000000002</v>
      </c>
      <c r="AA914" s="32">
        <v>64.8</v>
      </c>
      <c r="AB914" s="32">
        <v>343</v>
      </c>
      <c r="AC914" s="32">
        <v>15</v>
      </c>
      <c r="AD914" s="32">
        <v>105</v>
      </c>
      <c r="AE914" s="32">
        <v>0</v>
      </c>
      <c r="AF914" s="32" t="s">
        <v>200</v>
      </c>
      <c r="AG914" s="32" t="s">
        <v>200</v>
      </c>
    </row>
    <row r="915" spans="1:33">
      <c r="A915" s="32" t="s">
        <v>3421</v>
      </c>
      <c r="B915" s="32" t="s">
        <v>78</v>
      </c>
      <c r="C915" s="32" t="s">
        <v>3422</v>
      </c>
      <c r="D915" s="32" t="s">
        <v>3423</v>
      </c>
      <c r="E915" s="32" t="s">
        <v>3416</v>
      </c>
      <c r="F915" s="32" t="s">
        <v>3417</v>
      </c>
      <c r="G915" s="32" t="s">
        <v>1261</v>
      </c>
      <c r="H915" s="32" t="s">
        <v>1262</v>
      </c>
      <c r="I915" s="32" t="s">
        <v>198</v>
      </c>
      <c r="J915" s="32" t="s">
        <v>199</v>
      </c>
      <c r="K915" s="32">
        <v>2.733034</v>
      </c>
      <c r="L915" s="33">
        <v>1974</v>
      </c>
      <c r="M915" s="32">
        <v>265</v>
      </c>
      <c r="N915" s="32">
        <v>668</v>
      </c>
      <c r="O915" s="32">
        <v>422</v>
      </c>
      <c r="P915" s="32">
        <v>443</v>
      </c>
      <c r="Q915" s="32">
        <v>176</v>
      </c>
      <c r="R915" s="32">
        <v>4</v>
      </c>
      <c r="S915" s="32">
        <v>26.468699999999998</v>
      </c>
      <c r="T915" s="32">
        <v>2.1061700000000001</v>
      </c>
      <c r="U915" s="32">
        <v>0.91537738099999999</v>
      </c>
      <c r="V915" s="32">
        <v>3</v>
      </c>
      <c r="W915" s="32">
        <v>0.92639099999999996</v>
      </c>
      <c r="X915" s="32">
        <v>0.109156</v>
      </c>
      <c r="Y915" s="32">
        <v>0.7</v>
      </c>
      <c r="Z915" s="32">
        <v>1</v>
      </c>
      <c r="AA915" s="32">
        <v>39.799999999999997</v>
      </c>
      <c r="AB915" s="32">
        <v>231</v>
      </c>
      <c r="AC915" s="32">
        <v>35</v>
      </c>
      <c r="AD915" s="32">
        <v>22</v>
      </c>
      <c r="AE915" s="32">
        <v>0</v>
      </c>
      <c r="AF915" s="32" t="s">
        <v>200</v>
      </c>
      <c r="AG915" s="32" t="s">
        <v>200</v>
      </c>
    </row>
    <row r="916" spans="1:33">
      <c r="A916" s="32" t="s">
        <v>3424</v>
      </c>
      <c r="B916" s="32" t="s">
        <v>78</v>
      </c>
      <c r="C916" s="32" t="s">
        <v>3425</v>
      </c>
      <c r="D916" s="32" t="s">
        <v>3426</v>
      </c>
      <c r="E916" s="32" t="s">
        <v>3427</v>
      </c>
      <c r="F916" s="32" t="s">
        <v>3428</v>
      </c>
      <c r="G916" s="32" t="s">
        <v>1261</v>
      </c>
      <c r="H916" s="32" t="s">
        <v>1262</v>
      </c>
      <c r="I916" s="32" t="s">
        <v>198</v>
      </c>
      <c r="J916" s="32" t="s">
        <v>199</v>
      </c>
      <c r="K916" s="32">
        <v>2.6397330000000001</v>
      </c>
      <c r="L916" s="33">
        <v>1888</v>
      </c>
      <c r="M916" s="32">
        <v>511</v>
      </c>
      <c r="N916" s="32">
        <v>333</v>
      </c>
      <c r="O916" s="32">
        <v>378</v>
      </c>
      <c r="P916" s="32">
        <v>482</v>
      </c>
      <c r="Q916" s="32">
        <v>184</v>
      </c>
      <c r="R916" s="32">
        <v>3</v>
      </c>
      <c r="S916" s="32">
        <v>15.996600000000001</v>
      </c>
      <c r="T916" s="32">
        <v>12.019600000000001</v>
      </c>
      <c r="U916" s="32">
        <v>0.95349533500000005</v>
      </c>
      <c r="V916" s="32">
        <v>3</v>
      </c>
      <c r="W916" s="32">
        <v>0.906667</v>
      </c>
      <c r="X916" s="32">
        <v>4.2666999999999997E-2</v>
      </c>
      <c r="Y916" s="32">
        <v>0.7</v>
      </c>
      <c r="Z916" s="32">
        <v>0.99110500000000001</v>
      </c>
      <c r="AA916" s="32">
        <v>72.2</v>
      </c>
      <c r="AB916" s="32">
        <v>295</v>
      </c>
      <c r="AC916" s="32">
        <v>16</v>
      </c>
      <c r="AD916" s="32">
        <v>14</v>
      </c>
      <c r="AE916" s="32" t="s">
        <v>200</v>
      </c>
      <c r="AF916" s="32" t="s">
        <v>200</v>
      </c>
      <c r="AG916" s="32" t="s">
        <v>200</v>
      </c>
    </row>
    <row r="917" spans="1:33">
      <c r="A917" s="32" t="s">
        <v>3364</v>
      </c>
      <c r="B917" s="32" t="s">
        <v>78</v>
      </c>
      <c r="C917" s="32" t="s">
        <v>3365</v>
      </c>
      <c r="D917" s="32" t="s">
        <v>3366</v>
      </c>
      <c r="E917" s="32" t="s">
        <v>3033</v>
      </c>
      <c r="F917" s="32" t="s">
        <v>3034</v>
      </c>
      <c r="G917" s="32" t="s">
        <v>1261</v>
      </c>
      <c r="H917" s="32" t="s">
        <v>1262</v>
      </c>
      <c r="I917" s="32" t="s">
        <v>198</v>
      </c>
      <c r="J917" s="32" t="s">
        <v>199</v>
      </c>
      <c r="K917" s="32">
        <v>2.7447370000000002</v>
      </c>
      <c r="L917" s="33">
        <v>2090</v>
      </c>
      <c r="M917" s="32">
        <v>302</v>
      </c>
      <c r="N917" s="32">
        <v>473</v>
      </c>
      <c r="O917" s="32">
        <v>606</v>
      </c>
      <c r="P917" s="32">
        <v>462</v>
      </c>
      <c r="Q917" s="32">
        <v>247</v>
      </c>
      <c r="R917" s="32">
        <v>5</v>
      </c>
      <c r="S917" s="32">
        <v>27.954999999999998</v>
      </c>
      <c r="T917" s="32">
        <v>16.1951</v>
      </c>
      <c r="U917" s="32">
        <v>0.915642387</v>
      </c>
      <c r="V917" s="32">
        <v>2</v>
      </c>
      <c r="W917" s="32">
        <v>0.91295499999999996</v>
      </c>
      <c r="X917" s="32">
        <v>0.18279999999999999</v>
      </c>
      <c r="Y917" s="32">
        <v>0.7</v>
      </c>
      <c r="Z917" s="32">
        <v>0.94699999999999995</v>
      </c>
      <c r="AA917" s="32">
        <v>56.7</v>
      </c>
      <c r="AB917" s="32">
        <v>380</v>
      </c>
      <c r="AC917" s="32">
        <v>30</v>
      </c>
      <c r="AD917" s="32">
        <v>21</v>
      </c>
      <c r="AE917" s="32">
        <v>0</v>
      </c>
      <c r="AF917" s="32">
        <v>0</v>
      </c>
      <c r="AG917" s="32" t="s">
        <v>200</v>
      </c>
    </row>
    <row r="918" spans="1:33">
      <c r="A918" s="32" t="s">
        <v>3429</v>
      </c>
      <c r="B918" s="32" t="s">
        <v>78</v>
      </c>
      <c r="C918" s="32" t="s">
        <v>3430</v>
      </c>
      <c r="D918" s="32" t="s">
        <v>3431</v>
      </c>
      <c r="E918" s="32" t="s">
        <v>3427</v>
      </c>
      <c r="F918" s="32" t="s">
        <v>3428</v>
      </c>
      <c r="G918" s="32" t="s">
        <v>1261</v>
      </c>
      <c r="H918" s="32" t="s">
        <v>1262</v>
      </c>
      <c r="I918" s="32" t="s">
        <v>198</v>
      </c>
      <c r="J918" s="32" t="s">
        <v>199</v>
      </c>
      <c r="K918" s="32">
        <v>2.739725</v>
      </c>
      <c r="L918" s="33">
        <v>2394</v>
      </c>
      <c r="M918" s="32">
        <v>460</v>
      </c>
      <c r="N918" s="32">
        <v>565</v>
      </c>
      <c r="O918" s="32">
        <v>526</v>
      </c>
      <c r="P918" s="32">
        <v>589</v>
      </c>
      <c r="Q918" s="32">
        <v>254</v>
      </c>
      <c r="R918" s="32">
        <v>3</v>
      </c>
      <c r="S918" s="32">
        <v>22.1983</v>
      </c>
      <c r="T918" s="32">
        <v>0</v>
      </c>
      <c r="U918" s="32">
        <v>0.87084094300000003</v>
      </c>
      <c r="V918" s="32">
        <v>3</v>
      </c>
      <c r="W918" s="32">
        <v>0.90908299999999997</v>
      </c>
      <c r="X918" s="32">
        <v>0.13517000000000001</v>
      </c>
      <c r="Y918" s="32">
        <v>0.7</v>
      </c>
      <c r="Z918" s="32">
        <v>0.99007400000000001</v>
      </c>
      <c r="AA918" s="32">
        <v>64.3</v>
      </c>
      <c r="AB918" s="32">
        <v>332</v>
      </c>
      <c r="AC918" s="32">
        <v>35</v>
      </c>
      <c r="AD918" s="32">
        <v>109</v>
      </c>
      <c r="AE918" s="32">
        <v>24</v>
      </c>
      <c r="AF918" s="32" t="s">
        <v>200</v>
      </c>
      <c r="AG918" s="32">
        <v>95</v>
      </c>
    </row>
    <row r="919" spans="1:33">
      <c r="A919" s="32" t="s">
        <v>3432</v>
      </c>
      <c r="B919" s="32" t="s">
        <v>78</v>
      </c>
      <c r="C919" s="32" t="s">
        <v>3433</v>
      </c>
      <c r="D919" s="32" t="s">
        <v>3434</v>
      </c>
      <c r="E919" s="32" t="s">
        <v>3427</v>
      </c>
      <c r="F919" s="32" t="s">
        <v>3428</v>
      </c>
      <c r="G919" s="32" t="s">
        <v>1261</v>
      </c>
      <c r="H919" s="32" t="s">
        <v>1262</v>
      </c>
      <c r="I919" s="32" t="s">
        <v>198</v>
      </c>
      <c r="J919" s="32" t="s">
        <v>199</v>
      </c>
      <c r="K919" s="32">
        <v>2.7626029999999999</v>
      </c>
      <c r="L919" s="33">
        <v>2073</v>
      </c>
      <c r="M919" s="32">
        <v>501</v>
      </c>
      <c r="N919" s="32">
        <v>496</v>
      </c>
      <c r="O919" s="32">
        <v>470</v>
      </c>
      <c r="P919" s="32">
        <v>492</v>
      </c>
      <c r="Q919" s="32">
        <v>114</v>
      </c>
      <c r="R919" s="32">
        <v>2</v>
      </c>
      <c r="S919" s="32">
        <v>15.3027</v>
      </c>
      <c r="T919" s="32">
        <v>0</v>
      </c>
      <c r="U919" s="32">
        <v>0.82275852400000005</v>
      </c>
      <c r="V919" s="32">
        <v>3</v>
      </c>
      <c r="W919" s="32">
        <v>0.91191800000000001</v>
      </c>
      <c r="X919" s="32">
        <v>0.15765000000000001</v>
      </c>
      <c r="Y919" s="32">
        <v>0.7</v>
      </c>
      <c r="Z919" s="32">
        <v>1</v>
      </c>
      <c r="AA919" s="32">
        <v>70.8</v>
      </c>
      <c r="AB919" s="32">
        <v>379</v>
      </c>
      <c r="AC919" s="32">
        <v>22</v>
      </c>
      <c r="AD919" s="32">
        <v>47</v>
      </c>
      <c r="AE919" s="32">
        <v>8</v>
      </c>
      <c r="AF919" s="32">
        <v>5</v>
      </c>
      <c r="AG919" s="32">
        <v>109</v>
      </c>
    </row>
    <row r="920" spans="1:33">
      <c r="A920" s="32" t="s">
        <v>3435</v>
      </c>
      <c r="B920" s="32" t="s">
        <v>78</v>
      </c>
      <c r="C920" s="32" t="s">
        <v>3436</v>
      </c>
      <c r="D920" s="32" t="s">
        <v>3437</v>
      </c>
      <c r="E920" s="32" t="s">
        <v>3438</v>
      </c>
      <c r="F920" s="32" t="s">
        <v>3439</v>
      </c>
      <c r="G920" s="32" t="s">
        <v>1261</v>
      </c>
      <c r="H920" s="32" t="s">
        <v>1262</v>
      </c>
      <c r="I920" s="32" t="s">
        <v>198</v>
      </c>
      <c r="J920" s="32" t="s">
        <v>199</v>
      </c>
      <c r="K920" s="32">
        <v>2.6510690000000001</v>
      </c>
      <c r="L920" s="33">
        <v>2317</v>
      </c>
      <c r="M920" s="32">
        <v>483</v>
      </c>
      <c r="N920" s="32">
        <v>485</v>
      </c>
      <c r="O920" s="32">
        <v>558</v>
      </c>
      <c r="P920" s="32">
        <v>607</v>
      </c>
      <c r="Q920" s="32">
        <v>184</v>
      </c>
      <c r="R920" s="32">
        <v>3</v>
      </c>
      <c r="S920" s="32">
        <v>19.177499999999998</v>
      </c>
      <c r="T920" s="32">
        <v>0</v>
      </c>
      <c r="U920" s="32">
        <v>0.94465427199999996</v>
      </c>
      <c r="V920" s="32">
        <v>2</v>
      </c>
      <c r="W920" s="32">
        <v>0.91084699999999996</v>
      </c>
      <c r="X920" s="32">
        <v>8.5123000000000004E-2</v>
      </c>
      <c r="Y920" s="32">
        <v>0.7</v>
      </c>
      <c r="Z920" s="32">
        <v>0.95866499999999999</v>
      </c>
      <c r="AA920" s="32">
        <v>54.3</v>
      </c>
      <c r="AB920" s="32">
        <v>359</v>
      </c>
      <c r="AC920" s="32">
        <v>42</v>
      </c>
      <c r="AD920" s="32">
        <v>35</v>
      </c>
      <c r="AE920" s="32">
        <v>0</v>
      </c>
      <c r="AF920" s="32" t="s">
        <v>200</v>
      </c>
      <c r="AG920" s="32" t="s">
        <v>200</v>
      </c>
    </row>
    <row r="921" spans="1:33">
      <c r="A921" s="32" t="s">
        <v>3440</v>
      </c>
      <c r="B921" s="32" t="s">
        <v>78</v>
      </c>
      <c r="C921" s="32" t="s">
        <v>3441</v>
      </c>
      <c r="D921" s="32" t="s">
        <v>3442</v>
      </c>
      <c r="E921" s="32" t="s">
        <v>3438</v>
      </c>
      <c r="F921" s="32" t="s">
        <v>3439</v>
      </c>
      <c r="G921" s="32" t="s">
        <v>1261</v>
      </c>
      <c r="H921" s="32" t="s">
        <v>1262</v>
      </c>
      <c r="I921" s="32" t="s">
        <v>198</v>
      </c>
      <c r="J921" s="32" t="s">
        <v>199</v>
      </c>
      <c r="K921" s="32">
        <v>2.7919399999999999</v>
      </c>
      <c r="L921" s="33">
        <v>1865</v>
      </c>
      <c r="M921" s="32">
        <v>358</v>
      </c>
      <c r="N921" s="32">
        <v>474</v>
      </c>
      <c r="O921" s="32">
        <v>439</v>
      </c>
      <c r="P921" s="32">
        <v>381</v>
      </c>
      <c r="Q921" s="32">
        <v>213</v>
      </c>
      <c r="R921" s="32">
        <v>4</v>
      </c>
      <c r="S921" s="32">
        <v>25.296600000000002</v>
      </c>
      <c r="T921" s="32">
        <v>13.6045</v>
      </c>
      <c r="U921" s="32">
        <v>0.91984300500000005</v>
      </c>
      <c r="V921" s="32">
        <v>2</v>
      </c>
      <c r="W921" s="32">
        <v>0.93552199999999996</v>
      </c>
      <c r="X921" s="32">
        <v>0.14985100000000001</v>
      </c>
      <c r="Y921" s="32">
        <v>0.7</v>
      </c>
      <c r="Z921" s="32">
        <v>1</v>
      </c>
      <c r="AA921" s="32">
        <v>56.2</v>
      </c>
      <c r="AB921" s="32">
        <v>286</v>
      </c>
      <c r="AC921" s="32">
        <v>39</v>
      </c>
      <c r="AD921" s="32">
        <v>24</v>
      </c>
      <c r="AE921" s="32" t="s">
        <v>200</v>
      </c>
      <c r="AF921" s="32" t="s">
        <v>200</v>
      </c>
      <c r="AG921" s="32" t="s">
        <v>200</v>
      </c>
    </row>
    <row r="922" spans="1:33">
      <c r="A922" s="32" t="s">
        <v>3443</v>
      </c>
      <c r="B922" s="32" t="s">
        <v>78</v>
      </c>
      <c r="C922" s="32" t="s">
        <v>3444</v>
      </c>
      <c r="D922" s="32" t="s">
        <v>3445</v>
      </c>
      <c r="E922" s="32" t="s">
        <v>3446</v>
      </c>
      <c r="F922" s="32" t="s">
        <v>3447</v>
      </c>
      <c r="G922" s="32" t="s">
        <v>1261</v>
      </c>
      <c r="H922" s="32" t="s">
        <v>1262</v>
      </c>
      <c r="I922" s="32" t="s">
        <v>198</v>
      </c>
      <c r="J922" s="32" t="s">
        <v>199</v>
      </c>
      <c r="K922" s="32">
        <v>2.7</v>
      </c>
      <c r="L922" s="33">
        <v>2100</v>
      </c>
      <c r="M922" s="32">
        <v>387</v>
      </c>
      <c r="N922" s="32">
        <v>422</v>
      </c>
      <c r="O922" s="32">
        <v>470</v>
      </c>
      <c r="P922" s="32">
        <v>521</v>
      </c>
      <c r="Q922" s="32">
        <v>300</v>
      </c>
      <c r="R922" s="32">
        <v>5</v>
      </c>
      <c r="S922" s="32">
        <v>48.025599999999997</v>
      </c>
      <c r="T922" s="32">
        <v>16.115300000000001</v>
      </c>
      <c r="U922" s="32">
        <v>1.0436009100000001</v>
      </c>
      <c r="V922" s="32">
        <v>2</v>
      </c>
      <c r="W922" s="32">
        <v>0.95517200000000002</v>
      </c>
      <c r="X922" s="32">
        <v>5.4787000000000002E-2</v>
      </c>
      <c r="Y922" s="32">
        <v>0.7</v>
      </c>
      <c r="Z922" s="32">
        <v>0.99441500000000005</v>
      </c>
      <c r="AA922" s="32">
        <v>55.2</v>
      </c>
      <c r="AB922" s="32">
        <v>291</v>
      </c>
      <c r="AC922" s="32">
        <v>19</v>
      </c>
      <c r="AD922" s="32">
        <v>5</v>
      </c>
      <c r="AE922" s="32">
        <v>0</v>
      </c>
      <c r="AF922" s="32">
        <v>0</v>
      </c>
      <c r="AG922" s="32">
        <v>5</v>
      </c>
    </row>
    <row r="923" spans="1:33">
      <c r="A923" s="32" t="s">
        <v>3049</v>
      </c>
      <c r="B923" s="32" t="s">
        <v>78</v>
      </c>
      <c r="C923" s="32" t="s">
        <v>3050</v>
      </c>
      <c r="D923" s="32" t="s">
        <v>3051</v>
      </c>
      <c r="E923" s="32" t="s">
        <v>3052</v>
      </c>
      <c r="F923" s="32" t="s">
        <v>3053</v>
      </c>
      <c r="G923" s="32" t="s">
        <v>2164</v>
      </c>
      <c r="H923" s="32" t="s">
        <v>2165</v>
      </c>
      <c r="I923" s="32" t="s">
        <v>198</v>
      </c>
      <c r="J923" s="32" t="s">
        <v>199</v>
      </c>
      <c r="K923" s="32">
        <v>2.578049</v>
      </c>
      <c r="L923" s="33">
        <v>1945</v>
      </c>
      <c r="M923" s="32">
        <v>408</v>
      </c>
      <c r="N923" s="32">
        <v>434</v>
      </c>
      <c r="O923" s="32">
        <v>506</v>
      </c>
      <c r="P923" s="32">
        <v>398</v>
      </c>
      <c r="Q923" s="32">
        <v>199</v>
      </c>
      <c r="R923" s="32">
        <v>2</v>
      </c>
      <c r="S923" s="32">
        <v>18.078299999999999</v>
      </c>
      <c r="T923" s="32">
        <v>1.80765</v>
      </c>
      <c r="U923" s="32">
        <v>1.0134807320000001</v>
      </c>
      <c r="V923" s="32">
        <v>2</v>
      </c>
      <c r="W923" s="32">
        <v>0.90365899999999999</v>
      </c>
      <c r="X923" s="32">
        <v>8.6144999999999999E-2</v>
      </c>
      <c r="Y923" s="32">
        <v>0.7</v>
      </c>
      <c r="Z923" s="32">
        <v>0.88658499999999996</v>
      </c>
      <c r="AA923" s="32">
        <v>52</v>
      </c>
      <c r="AB923" s="32">
        <v>440</v>
      </c>
      <c r="AC923" s="32">
        <v>11</v>
      </c>
      <c r="AD923" s="32">
        <v>16</v>
      </c>
      <c r="AE923" s="32">
        <v>0</v>
      </c>
      <c r="AF923" s="32" t="s">
        <v>200</v>
      </c>
      <c r="AG923" s="32" t="s">
        <v>200</v>
      </c>
    </row>
    <row r="924" spans="1:33">
      <c r="A924" s="32" t="s">
        <v>3448</v>
      </c>
      <c r="B924" s="32" t="s">
        <v>78</v>
      </c>
      <c r="C924" s="32" t="s">
        <v>3449</v>
      </c>
      <c r="D924" s="32" t="s">
        <v>3450</v>
      </c>
      <c r="E924" s="32" t="s">
        <v>3052</v>
      </c>
      <c r="F924" s="32" t="s">
        <v>3053</v>
      </c>
      <c r="G924" s="32" t="s">
        <v>2164</v>
      </c>
      <c r="H924" s="32" t="s">
        <v>2165</v>
      </c>
      <c r="I924" s="32" t="s">
        <v>198</v>
      </c>
      <c r="J924" s="32" t="s">
        <v>199</v>
      </c>
      <c r="K924" s="32">
        <v>2.7146669999999999</v>
      </c>
      <c r="L924" s="33">
        <v>1624</v>
      </c>
      <c r="M924" s="32">
        <v>321</v>
      </c>
      <c r="N924" s="32">
        <v>306</v>
      </c>
      <c r="O924" s="32">
        <v>457</v>
      </c>
      <c r="P924" s="32">
        <v>387</v>
      </c>
      <c r="Q924" s="32">
        <v>153</v>
      </c>
      <c r="R924" s="32">
        <v>2</v>
      </c>
      <c r="S924" s="32">
        <v>19.380299999999998</v>
      </c>
      <c r="T924" s="32">
        <v>2.3743599999999998</v>
      </c>
      <c r="U924" s="32">
        <v>0.87845374300000001</v>
      </c>
      <c r="V924" s="32">
        <v>3</v>
      </c>
      <c r="W924" s="32">
        <v>0.90826700000000005</v>
      </c>
      <c r="X924" s="32">
        <v>0.18981200000000001</v>
      </c>
      <c r="Y924" s="32">
        <v>0.7</v>
      </c>
      <c r="Z924" s="32">
        <v>0.93083099999999996</v>
      </c>
      <c r="AA924" s="32">
        <v>67.3</v>
      </c>
      <c r="AB924" s="32">
        <v>361</v>
      </c>
      <c r="AC924" s="32">
        <v>33</v>
      </c>
      <c r="AD924" s="32">
        <v>12</v>
      </c>
      <c r="AE924" s="32">
        <v>0</v>
      </c>
      <c r="AF924" s="32">
        <v>0</v>
      </c>
      <c r="AG924" s="32" t="s">
        <v>200</v>
      </c>
    </row>
    <row r="925" spans="1:33">
      <c r="A925" s="32" t="s">
        <v>3451</v>
      </c>
      <c r="B925" s="32" t="s">
        <v>97</v>
      </c>
      <c r="C925" s="32" t="s">
        <v>3452</v>
      </c>
      <c r="D925" s="32" t="s">
        <v>3453</v>
      </c>
      <c r="E925" s="32" t="s">
        <v>3454</v>
      </c>
      <c r="F925" s="32" t="s">
        <v>3455</v>
      </c>
      <c r="G925" s="32" t="s">
        <v>1261</v>
      </c>
      <c r="H925" s="32" t="s">
        <v>1262</v>
      </c>
      <c r="I925" s="32" t="s">
        <v>198</v>
      </c>
      <c r="J925" s="32" t="s">
        <v>199</v>
      </c>
      <c r="K925" s="32">
        <v>2.809536</v>
      </c>
      <c r="L925" s="33">
        <v>1770</v>
      </c>
      <c r="M925" s="32">
        <v>427</v>
      </c>
      <c r="N925" s="32">
        <v>369</v>
      </c>
      <c r="O925" s="32">
        <v>492</v>
      </c>
      <c r="P925" s="32">
        <v>358</v>
      </c>
      <c r="Q925" s="32">
        <v>124</v>
      </c>
      <c r="R925" s="32">
        <v>4</v>
      </c>
      <c r="S925" s="32">
        <v>26.899799999999999</v>
      </c>
      <c r="T925" s="32">
        <v>11.630100000000001</v>
      </c>
      <c r="U925" s="32">
        <v>0.804472348</v>
      </c>
      <c r="V925" s="32">
        <v>4</v>
      </c>
      <c r="W925" s="32">
        <v>0.91469100000000003</v>
      </c>
      <c r="X925" s="32">
        <v>0.242455</v>
      </c>
      <c r="Y925" s="32">
        <v>0.7</v>
      </c>
      <c r="Z925" s="32">
        <v>0.94215899999999997</v>
      </c>
      <c r="AA925" s="32">
        <v>37.1</v>
      </c>
      <c r="AB925" s="32">
        <v>276</v>
      </c>
      <c r="AC925" s="32">
        <v>30</v>
      </c>
      <c r="AD925" s="32">
        <v>13</v>
      </c>
      <c r="AE925" s="32" t="s">
        <v>200</v>
      </c>
      <c r="AF925" s="32" t="s">
        <v>200</v>
      </c>
      <c r="AG925" s="32" t="s">
        <v>200</v>
      </c>
    </row>
    <row r="926" spans="1:33">
      <c r="A926" s="32" t="s">
        <v>3456</v>
      </c>
      <c r="B926" s="32" t="s">
        <v>97</v>
      </c>
      <c r="C926" s="32" t="s">
        <v>3457</v>
      </c>
      <c r="D926" s="32" t="s">
        <v>3458</v>
      </c>
      <c r="E926" s="32" t="s">
        <v>3459</v>
      </c>
      <c r="F926" s="32" t="s">
        <v>3460</v>
      </c>
      <c r="G926" s="32" t="s">
        <v>1261</v>
      </c>
      <c r="H926" s="32" t="s">
        <v>1262</v>
      </c>
      <c r="I926" s="32" t="s">
        <v>198</v>
      </c>
      <c r="J926" s="32" t="s">
        <v>199</v>
      </c>
      <c r="K926" s="32">
        <v>2.8554219999999999</v>
      </c>
      <c r="L926" s="33">
        <v>3854</v>
      </c>
      <c r="M926" s="32">
        <v>749</v>
      </c>
      <c r="N926" s="32">
        <v>727</v>
      </c>
      <c r="O926" s="33">
        <v>1449</v>
      </c>
      <c r="P926" s="32">
        <v>628</v>
      </c>
      <c r="Q926" s="32">
        <v>301</v>
      </c>
      <c r="R926" s="32">
        <v>4</v>
      </c>
      <c r="S926" s="32">
        <v>20.875</v>
      </c>
      <c r="T926" s="32">
        <v>10.195</v>
      </c>
      <c r="U926" s="32">
        <v>0.69575770800000003</v>
      </c>
      <c r="V926" s="32">
        <v>4</v>
      </c>
      <c r="W926" s="32">
        <v>0.91686699999999999</v>
      </c>
      <c r="X926" s="32">
        <v>0.238729</v>
      </c>
      <c r="Y926" s="32">
        <v>0.7</v>
      </c>
      <c r="Z926" s="32">
        <v>0.99954500000000002</v>
      </c>
      <c r="AA926" s="32">
        <v>34.799999999999997</v>
      </c>
      <c r="AB926" s="32">
        <v>465</v>
      </c>
      <c r="AC926" s="32">
        <v>30</v>
      </c>
      <c r="AD926" s="32">
        <v>32</v>
      </c>
      <c r="AE926" s="32">
        <v>0</v>
      </c>
      <c r="AF926" s="32">
        <v>0</v>
      </c>
      <c r="AG926" s="32">
        <v>9</v>
      </c>
    </row>
    <row r="927" spans="1:33">
      <c r="A927" s="32" t="s">
        <v>3461</v>
      </c>
      <c r="B927" s="32" t="s">
        <v>97</v>
      </c>
      <c r="C927" s="32" t="s">
        <v>3462</v>
      </c>
      <c r="D927" s="32" t="s">
        <v>3463</v>
      </c>
      <c r="E927" s="32" t="s">
        <v>3459</v>
      </c>
      <c r="F927" s="32" t="s">
        <v>3460</v>
      </c>
      <c r="G927" s="32" t="s">
        <v>1261</v>
      </c>
      <c r="H927" s="32" t="s">
        <v>1262</v>
      </c>
      <c r="I927" s="32" t="s">
        <v>198</v>
      </c>
      <c r="J927" s="32" t="s">
        <v>199</v>
      </c>
      <c r="K927" s="32">
        <v>2.7683430000000002</v>
      </c>
      <c r="L927" s="33">
        <v>1955</v>
      </c>
      <c r="M927" s="32">
        <v>411</v>
      </c>
      <c r="N927" s="32">
        <v>361</v>
      </c>
      <c r="O927" s="32">
        <v>524</v>
      </c>
      <c r="P927" s="32">
        <v>457</v>
      </c>
      <c r="Q927" s="32">
        <v>202</v>
      </c>
      <c r="R927" s="32">
        <v>3</v>
      </c>
      <c r="S927" s="32">
        <v>21.592600000000001</v>
      </c>
      <c r="T927" s="32">
        <v>12.190200000000001</v>
      </c>
      <c r="U927" s="32">
        <v>0.85791477599999999</v>
      </c>
      <c r="V927" s="32">
        <v>3</v>
      </c>
      <c r="W927" s="32">
        <v>0.91508900000000004</v>
      </c>
      <c r="X927" s="32">
        <v>0.156471</v>
      </c>
      <c r="Y927" s="32">
        <v>0.7</v>
      </c>
      <c r="Z927" s="32">
        <v>0.99676500000000001</v>
      </c>
      <c r="AA927" s="32">
        <v>33.299999999999997</v>
      </c>
      <c r="AB927" s="32">
        <v>295</v>
      </c>
      <c r="AC927" s="32">
        <v>16</v>
      </c>
      <c r="AD927" s="32">
        <v>29</v>
      </c>
      <c r="AE927" s="32">
        <v>0</v>
      </c>
      <c r="AF927" s="32" t="s">
        <v>200</v>
      </c>
      <c r="AG927" s="32" t="s">
        <v>200</v>
      </c>
    </row>
    <row r="928" spans="1:33">
      <c r="A928" s="32" t="s">
        <v>3464</v>
      </c>
      <c r="B928" s="32" t="s">
        <v>97</v>
      </c>
      <c r="C928" s="32" t="s">
        <v>3465</v>
      </c>
      <c r="D928" s="32" t="s">
        <v>3466</v>
      </c>
      <c r="E928" s="32" t="s">
        <v>3459</v>
      </c>
      <c r="F928" s="32" t="s">
        <v>3460</v>
      </c>
      <c r="G928" s="32" t="s">
        <v>1261</v>
      </c>
      <c r="H928" s="32" t="s">
        <v>1262</v>
      </c>
      <c r="I928" s="32" t="s">
        <v>198</v>
      </c>
      <c r="J928" s="32" t="s">
        <v>199</v>
      </c>
      <c r="K928" s="32">
        <v>2.9338669999999998</v>
      </c>
      <c r="L928" s="33">
        <v>2815</v>
      </c>
      <c r="M928" s="32">
        <v>530</v>
      </c>
      <c r="N928" s="32">
        <v>619</v>
      </c>
      <c r="O928" s="32">
        <v>948</v>
      </c>
      <c r="P928" s="32">
        <v>557</v>
      </c>
      <c r="Q928" s="32">
        <v>161</v>
      </c>
      <c r="R928" s="32">
        <v>3</v>
      </c>
      <c r="S928" s="32">
        <v>17.802800000000001</v>
      </c>
      <c r="T928" s="32">
        <v>6.7929399999999998</v>
      </c>
      <c r="U928" s="32">
        <v>0.71155568599999997</v>
      </c>
      <c r="V928" s="32">
        <v>4</v>
      </c>
      <c r="W928" s="32">
        <v>0.92720000000000002</v>
      </c>
      <c r="X928" s="32">
        <v>0.31034499999999998</v>
      </c>
      <c r="Y928" s="32">
        <v>0.7</v>
      </c>
      <c r="Z928" s="32">
        <v>1</v>
      </c>
      <c r="AA928" s="32">
        <v>40.6</v>
      </c>
      <c r="AB928" s="32">
        <v>322</v>
      </c>
      <c r="AC928" s="32">
        <v>19</v>
      </c>
      <c r="AD928" s="32">
        <v>43</v>
      </c>
      <c r="AE928" s="32">
        <v>0</v>
      </c>
      <c r="AF928" s="32">
        <v>0</v>
      </c>
      <c r="AG928" s="32">
        <v>0</v>
      </c>
    </row>
    <row r="929" spans="1:33">
      <c r="A929" s="32" t="s">
        <v>3467</v>
      </c>
      <c r="B929" s="32" t="s">
        <v>97</v>
      </c>
      <c r="C929" s="32" t="s">
        <v>3468</v>
      </c>
      <c r="D929" s="32" t="s">
        <v>3469</v>
      </c>
      <c r="E929" s="32" t="s">
        <v>3470</v>
      </c>
      <c r="F929" s="32" t="s">
        <v>3471</v>
      </c>
      <c r="G929" s="32" t="s">
        <v>1261</v>
      </c>
      <c r="H929" s="32" t="s">
        <v>1262</v>
      </c>
      <c r="I929" s="32" t="s">
        <v>198</v>
      </c>
      <c r="J929" s="32" t="s">
        <v>199</v>
      </c>
      <c r="K929" s="32">
        <v>2.5901489999999998</v>
      </c>
      <c r="L929" s="33">
        <v>2419</v>
      </c>
      <c r="M929" s="32">
        <v>310</v>
      </c>
      <c r="N929" s="32">
        <v>628</v>
      </c>
      <c r="O929" s="32">
        <v>975</v>
      </c>
      <c r="P929" s="32">
        <v>405</v>
      </c>
      <c r="Q929" s="32">
        <v>101</v>
      </c>
      <c r="R929" s="32">
        <v>4</v>
      </c>
      <c r="S929" s="32">
        <v>27.6357</v>
      </c>
      <c r="T929" s="32">
        <v>11.5068</v>
      </c>
      <c r="U929" s="32">
        <v>0.60491329100000002</v>
      </c>
      <c r="V929" s="32">
        <v>7</v>
      </c>
      <c r="W929" s="32">
        <v>0.92835800000000002</v>
      </c>
      <c r="X929" s="32">
        <v>5.9199999999999997E-4</v>
      </c>
      <c r="Y929" s="32">
        <v>0.7</v>
      </c>
      <c r="Z929" s="32">
        <v>0.960117</v>
      </c>
      <c r="AA929" s="32">
        <v>38.9</v>
      </c>
      <c r="AB929" s="32">
        <v>330</v>
      </c>
      <c r="AC929" s="32">
        <v>18</v>
      </c>
      <c r="AD929" s="32">
        <v>10</v>
      </c>
      <c r="AE929" s="32">
        <v>0</v>
      </c>
      <c r="AF929" s="32">
        <v>0</v>
      </c>
      <c r="AG929" s="32">
        <v>0</v>
      </c>
    </row>
    <row r="930" spans="1:33">
      <c r="A930" s="32" t="s">
        <v>3472</v>
      </c>
      <c r="B930" s="32" t="s">
        <v>97</v>
      </c>
      <c r="C930" s="32" t="s">
        <v>3473</v>
      </c>
      <c r="D930" s="32" t="s">
        <v>3474</v>
      </c>
      <c r="E930" s="32" t="s">
        <v>3454</v>
      </c>
      <c r="F930" s="32" t="s">
        <v>3455</v>
      </c>
      <c r="G930" s="32" t="s">
        <v>1261</v>
      </c>
      <c r="H930" s="32" t="s">
        <v>1262</v>
      </c>
      <c r="I930" s="32" t="s">
        <v>198</v>
      </c>
      <c r="J930" s="32" t="s">
        <v>199</v>
      </c>
      <c r="K930" s="32">
        <v>2.6761740000000001</v>
      </c>
      <c r="L930" s="33">
        <v>1527</v>
      </c>
      <c r="M930" s="32">
        <v>165</v>
      </c>
      <c r="N930" s="32">
        <v>309</v>
      </c>
      <c r="O930" s="32">
        <v>460</v>
      </c>
      <c r="P930" s="32">
        <v>418</v>
      </c>
      <c r="Q930" s="32">
        <v>175</v>
      </c>
      <c r="R930" s="32">
        <v>5</v>
      </c>
      <c r="S930" s="32">
        <v>27.153199999999998</v>
      </c>
      <c r="T930" s="32">
        <v>15.1348</v>
      </c>
      <c r="U930" s="32">
        <v>0.82835957299999996</v>
      </c>
      <c r="V930" s="32">
        <v>4</v>
      </c>
      <c r="W930" s="32">
        <v>0.92349000000000003</v>
      </c>
      <c r="X930" s="32">
        <v>0.122819</v>
      </c>
      <c r="Y930" s="32">
        <v>0.7</v>
      </c>
      <c r="Z930" s="32">
        <v>0.92567600000000005</v>
      </c>
      <c r="AA930" s="32">
        <v>29.8</v>
      </c>
      <c r="AB930" s="32">
        <v>270</v>
      </c>
      <c r="AC930" s="32">
        <v>28</v>
      </c>
      <c r="AD930" s="32">
        <v>6</v>
      </c>
      <c r="AE930" s="32">
        <v>0</v>
      </c>
      <c r="AF930" s="32" t="s">
        <v>200</v>
      </c>
      <c r="AG930" s="32" t="s">
        <v>200</v>
      </c>
    </row>
    <row r="931" spans="1:33">
      <c r="A931" s="32" t="s">
        <v>3475</v>
      </c>
      <c r="B931" s="32" t="s">
        <v>97</v>
      </c>
      <c r="C931" s="32" t="s">
        <v>3476</v>
      </c>
      <c r="D931" s="32" t="s">
        <v>3477</v>
      </c>
      <c r="E931" s="32" t="s">
        <v>3454</v>
      </c>
      <c r="F931" s="32" t="s">
        <v>3455</v>
      </c>
      <c r="G931" s="32" t="s">
        <v>1261</v>
      </c>
      <c r="H931" s="32" t="s">
        <v>1262</v>
      </c>
      <c r="I931" s="32" t="s">
        <v>198</v>
      </c>
      <c r="J931" s="32" t="s">
        <v>199</v>
      </c>
      <c r="K931" s="32">
        <v>2.792157</v>
      </c>
      <c r="L931" s="33">
        <v>2787</v>
      </c>
      <c r="M931" s="32">
        <v>496</v>
      </c>
      <c r="N931" s="32">
        <v>614</v>
      </c>
      <c r="O931" s="32">
        <v>940</v>
      </c>
      <c r="P931" s="32">
        <v>523</v>
      </c>
      <c r="Q931" s="32">
        <v>214</v>
      </c>
      <c r="R931" s="32" t="s">
        <v>302</v>
      </c>
      <c r="S931" s="32">
        <v>35.7684</v>
      </c>
      <c r="T931" s="32">
        <v>10.5884</v>
      </c>
      <c r="U931" s="32">
        <v>0.90593561600000005</v>
      </c>
      <c r="V931" s="32">
        <v>3</v>
      </c>
      <c r="W931" s="32">
        <v>0.93529399999999996</v>
      </c>
      <c r="X931" s="32">
        <v>0.20300399999999999</v>
      </c>
      <c r="Y931" s="32">
        <v>0.7</v>
      </c>
      <c r="Z931" s="32">
        <v>0.95909100000000003</v>
      </c>
      <c r="AA931" s="32">
        <v>43.1</v>
      </c>
      <c r="AB931" s="32">
        <v>377</v>
      </c>
      <c r="AC931" s="32">
        <v>33</v>
      </c>
      <c r="AD931" s="32">
        <v>25</v>
      </c>
      <c r="AE931" s="32">
        <v>0</v>
      </c>
      <c r="AF931" s="32">
        <v>0</v>
      </c>
      <c r="AG931" s="32">
        <v>5</v>
      </c>
    </row>
    <row r="932" spans="1:33">
      <c r="A932" s="32" t="s">
        <v>3478</v>
      </c>
      <c r="B932" s="32" t="s">
        <v>97</v>
      </c>
      <c r="C932" s="32" t="s">
        <v>3479</v>
      </c>
      <c r="D932" s="32" t="s">
        <v>3480</v>
      </c>
      <c r="E932" s="32" t="s">
        <v>3481</v>
      </c>
      <c r="F932" s="32" t="s">
        <v>3482</v>
      </c>
      <c r="G932" s="32" t="s">
        <v>1261</v>
      </c>
      <c r="H932" s="32" t="s">
        <v>1262</v>
      </c>
      <c r="I932" s="32" t="s">
        <v>198</v>
      </c>
      <c r="J932" s="32" t="s">
        <v>199</v>
      </c>
      <c r="K932" s="32">
        <v>2.7804350000000002</v>
      </c>
      <c r="L932" s="33">
        <v>1357</v>
      </c>
      <c r="M932" s="32">
        <v>73</v>
      </c>
      <c r="N932" s="32">
        <v>280</v>
      </c>
      <c r="O932" s="32">
        <v>540</v>
      </c>
      <c r="P932" s="32">
        <v>358</v>
      </c>
      <c r="Q932" s="32">
        <v>106</v>
      </c>
      <c r="R932" s="32">
        <v>3</v>
      </c>
      <c r="S932" s="32">
        <v>12.863899999999999</v>
      </c>
      <c r="T932" s="32">
        <v>9.7587399999999995</v>
      </c>
      <c r="U932" s="32">
        <v>0.45756082199999998</v>
      </c>
      <c r="V932" s="32">
        <v>8</v>
      </c>
      <c r="W932" s="32">
        <v>0.99058000000000002</v>
      </c>
      <c r="X932" s="32">
        <v>9.4285999999999995E-2</v>
      </c>
      <c r="Y932" s="32">
        <v>0.7</v>
      </c>
      <c r="Z932" s="32">
        <v>1</v>
      </c>
      <c r="AA932" s="32">
        <v>19.100000000000001</v>
      </c>
      <c r="AB932" s="32">
        <v>238</v>
      </c>
      <c r="AC932" s="32">
        <v>9</v>
      </c>
      <c r="AD932" s="32">
        <v>12</v>
      </c>
      <c r="AE932" s="32">
        <v>0</v>
      </c>
      <c r="AF932" s="32" t="s">
        <v>200</v>
      </c>
      <c r="AG932" s="32" t="s">
        <v>200</v>
      </c>
    </row>
    <row r="933" spans="1:33">
      <c r="A933" s="32" t="s">
        <v>3483</v>
      </c>
      <c r="B933" s="32" t="s">
        <v>97</v>
      </c>
      <c r="C933" s="32" t="s">
        <v>3484</v>
      </c>
      <c r="D933" s="32" t="s">
        <v>3485</v>
      </c>
      <c r="E933" s="32" t="s">
        <v>3481</v>
      </c>
      <c r="F933" s="32" t="s">
        <v>3482</v>
      </c>
      <c r="G933" s="32" t="s">
        <v>1261</v>
      </c>
      <c r="H933" s="32" t="s">
        <v>1262</v>
      </c>
      <c r="I933" s="32" t="s">
        <v>198</v>
      </c>
      <c r="J933" s="32" t="s">
        <v>199</v>
      </c>
      <c r="K933" s="32">
        <v>2.78</v>
      </c>
      <c r="L933" s="33">
        <v>1553</v>
      </c>
      <c r="M933" s="32">
        <v>70</v>
      </c>
      <c r="N933" s="32">
        <v>551</v>
      </c>
      <c r="O933" s="32">
        <v>638</v>
      </c>
      <c r="P933" s="32">
        <v>249</v>
      </c>
      <c r="Q933" s="32">
        <v>45</v>
      </c>
      <c r="R933" s="32" t="s">
        <v>302</v>
      </c>
      <c r="S933" s="32">
        <v>62.462499999999999</v>
      </c>
      <c r="T933" s="32">
        <v>11.5345</v>
      </c>
      <c r="U933" s="32">
        <v>0.444585595</v>
      </c>
      <c r="V933" s="32">
        <v>8</v>
      </c>
      <c r="W933" s="32">
        <v>1</v>
      </c>
      <c r="X933" s="32">
        <v>9.4656000000000004E-2</v>
      </c>
      <c r="Y933" s="32">
        <v>0.7</v>
      </c>
      <c r="Z933" s="32">
        <v>1</v>
      </c>
      <c r="AA933" s="32">
        <v>23.4</v>
      </c>
      <c r="AB933" s="32">
        <v>157</v>
      </c>
      <c r="AC933" s="32">
        <v>5</v>
      </c>
      <c r="AD933" s="32">
        <v>8</v>
      </c>
      <c r="AE933" s="32">
        <v>0</v>
      </c>
      <c r="AF933" s="32">
        <v>0</v>
      </c>
      <c r="AG933" s="32">
        <v>0</v>
      </c>
    </row>
    <row r="934" spans="1:33">
      <c r="A934" s="32" t="s">
        <v>3486</v>
      </c>
      <c r="B934" s="32" t="s">
        <v>97</v>
      </c>
      <c r="C934" s="32" t="s">
        <v>3487</v>
      </c>
      <c r="D934" s="32" t="s">
        <v>3488</v>
      </c>
      <c r="E934" s="32" t="s">
        <v>3481</v>
      </c>
      <c r="F934" s="32" t="s">
        <v>3482</v>
      </c>
      <c r="G934" s="32" t="s">
        <v>1261</v>
      </c>
      <c r="H934" s="32" t="s">
        <v>1262</v>
      </c>
      <c r="I934" s="32" t="s">
        <v>198</v>
      </c>
      <c r="J934" s="32" t="s">
        <v>199</v>
      </c>
      <c r="K934" s="32">
        <v>2.628889</v>
      </c>
      <c r="L934" s="33">
        <v>1520</v>
      </c>
      <c r="M934" s="32">
        <v>103</v>
      </c>
      <c r="N934" s="32">
        <v>318</v>
      </c>
      <c r="O934" s="32">
        <v>624</v>
      </c>
      <c r="P934" s="32">
        <v>375</v>
      </c>
      <c r="Q934" s="32">
        <v>100</v>
      </c>
      <c r="R934" s="32">
        <v>2</v>
      </c>
      <c r="S934" s="32">
        <v>10.739599999999999</v>
      </c>
      <c r="T934" s="32">
        <v>6.6926500000000004</v>
      </c>
      <c r="U934" s="32">
        <v>0.44746944599999999</v>
      </c>
      <c r="V934" s="32">
        <v>10</v>
      </c>
      <c r="W934" s="32">
        <v>0.92888899999999996</v>
      </c>
      <c r="X934" s="32">
        <v>0</v>
      </c>
      <c r="Y934" s="32">
        <v>0.7</v>
      </c>
      <c r="Z934" s="32">
        <v>1</v>
      </c>
      <c r="AA934" s="32">
        <v>14.9</v>
      </c>
      <c r="AB934" s="32">
        <v>221</v>
      </c>
      <c r="AC934" s="32">
        <v>21</v>
      </c>
      <c r="AD934" s="32">
        <v>10</v>
      </c>
      <c r="AE934" s="32">
        <v>0</v>
      </c>
      <c r="AF934" s="32">
        <v>0</v>
      </c>
      <c r="AG934" s="32" t="s">
        <v>200</v>
      </c>
    </row>
    <row r="935" spans="1:33">
      <c r="A935" s="32" t="s">
        <v>3489</v>
      </c>
      <c r="B935" s="32" t="s">
        <v>97</v>
      </c>
      <c r="C935" s="32" t="s">
        <v>3490</v>
      </c>
      <c r="D935" s="32" t="s">
        <v>3491</v>
      </c>
      <c r="E935" s="32" t="s">
        <v>3481</v>
      </c>
      <c r="F935" s="32" t="s">
        <v>3482</v>
      </c>
      <c r="G935" s="32" t="s">
        <v>1261</v>
      </c>
      <c r="H935" s="32" t="s">
        <v>1262</v>
      </c>
      <c r="I935" s="32" t="s">
        <v>198</v>
      </c>
      <c r="J935" s="32" t="s">
        <v>199</v>
      </c>
      <c r="K935" s="32">
        <v>2.8097219999999998</v>
      </c>
      <c r="L935" s="33">
        <v>1541</v>
      </c>
      <c r="M935" s="32">
        <v>110</v>
      </c>
      <c r="N935" s="32">
        <v>341</v>
      </c>
      <c r="O935" s="32">
        <v>618</v>
      </c>
      <c r="P935" s="32">
        <v>391</v>
      </c>
      <c r="Q935" s="32">
        <v>81</v>
      </c>
      <c r="R935" s="32" t="s">
        <v>302</v>
      </c>
      <c r="S935" s="32">
        <v>61.263500000000001</v>
      </c>
      <c r="T935" s="32">
        <v>12.230600000000001</v>
      </c>
      <c r="U935" s="32">
        <v>0.38341198100000001</v>
      </c>
      <c r="V935" s="32">
        <v>8</v>
      </c>
      <c r="W935" s="32">
        <v>1</v>
      </c>
      <c r="X935" s="32">
        <v>0.15068500000000001</v>
      </c>
      <c r="Y935" s="32">
        <v>0.7</v>
      </c>
      <c r="Z935" s="32">
        <v>1</v>
      </c>
      <c r="AA935" s="32">
        <v>21.2</v>
      </c>
      <c r="AB935" s="32">
        <v>213</v>
      </c>
      <c r="AC935" s="32">
        <v>17</v>
      </c>
      <c r="AD935" s="32">
        <v>8</v>
      </c>
      <c r="AE935" s="32">
        <v>0</v>
      </c>
      <c r="AF935" s="32">
        <v>0</v>
      </c>
      <c r="AG935" s="32" t="s">
        <v>200</v>
      </c>
    </row>
    <row r="936" spans="1:33">
      <c r="A936" s="32" t="s">
        <v>3492</v>
      </c>
      <c r="B936" s="32" t="s">
        <v>98</v>
      </c>
      <c r="C936" s="32" t="s">
        <v>3493</v>
      </c>
      <c r="D936" s="32" t="s">
        <v>3494</v>
      </c>
      <c r="E936" s="32" t="s">
        <v>3481</v>
      </c>
      <c r="F936" s="32" t="s">
        <v>3482</v>
      </c>
      <c r="G936" s="32" t="s">
        <v>1261</v>
      </c>
      <c r="H936" s="32" t="s">
        <v>1262</v>
      </c>
      <c r="I936" s="32" t="s">
        <v>198</v>
      </c>
      <c r="J936" s="32" t="s">
        <v>199</v>
      </c>
      <c r="K936" s="32">
        <v>2.8946239999999999</v>
      </c>
      <c r="L936" s="33">
        <v>2438</v>
      </c>
      <c r="M936" s="32">
        <v>510</v>
      </c>
      <c r="N936" s="32">
        <v>627</v>
      </c>
      <c r="O936" s="32">
        <v>831</v>
      </c>
      <c r="P936" s="32">
        <v>380</v>
      </c>
      <c r="Q936" s="32">
        <v>90</v>
      </c>
      <c r="R936" s="32">
        <v>5</v>
      </c>
      <c r="S936" s="32">
        <v>61.9694</v>
      </c>
      <c r="T936" s="32">
        <v>10.280200000000001</v>
      </c>
      <c r="U936" s="32">
        <v>0.68499240100000003</v>
      </c>
      <c r="V936" s="32">
        <v>3</v>
      </c>
      <c r="W936" s="32">
        <v>0.98602199999999995</v>
      </c>
      <c r="X936" s="32">
        <v>0.221607</v>
      </c>
      <c r="Y936" s="32">
        <v>0.7</v>
      </c>
      <c r="Z936" s="32">
        <v>1</v>
      </c>
      <c r="AA936" s="32">
        <v>40.4</v>
      </c>
      <c r="AB936" s="32">
        <v>315</v>
      </c>
      <c r="AC936" s="32">
        <v>43</v>
      </c>
      <c r="AD936" s="32">
        <v>22</v>
      </c>
      <c r="AE936" s="32" t="s">
        <v>200</v>
      </c>
      <c r="AF936" s="32">
        <v>16</v>
      </c>
      <c r="AG936" s="32">
        <v>5</v>
      </c>
    </row>
    <row r="937" spans="1:33">
      <c r="A937" s="32" t="s">
        <v>3495</v>
      </c>
      <c r="B937" s="32" t="s">
        <v>98</v>
      </c>
      <c r="C937" s="32" t="s">
        <v>3496</v>
      </c>
      <c r="D937" s="32" t="s">
        <v>3497</v>
      </c>
      <c r="E937" s="32" t="s">
        <v>3498</v>
      </c>
      <c r="F937" s="32" t="s">
        <v>3499</v>
      </c>
      <c r="G937" s="32" t="s">
        <v>1261</v>
      </c>
      <c r="H937" s="32" t="s">
        <v>1262</v>
      </c>
      <c r="I937" s="32" t="s">
        <v>198</v>
      </c>
      <c r="J937" s="32" t="s">
        <v>199</v>
      </c>
      <c r="K937" s="32">
        <v>2.8376030000000001</v>
      </c>
      <c r="L937" s="33">
        <v>1925</v>
      </c>
      <c r="M937" s="32">
        <v>267</v>
      </c>
      <c r="N937" s="32">
        <v>412</v>
      </c>
      <c r="O937" s="32">
        <v>548</v>
      </c>
      <c r="P937" s="32">
        <v>441</v>
      </c>
      <c r="Q937" s="32">
        <v>257</v>
      </c>
      <c r="R937" s="32">
        <v>4</v>
      </c>
      <c r="S937" s="32">
        <v>25.6295</v>
      </c>
      <c r="T937" s="32">
        <v>8.9443900000000003</v>
      </c>
      <c r="U937" s="32">
        <v>0.79312977900000003</v>
      </c>
      <c r="V937" s="32">
        <v>3</v>
      </c>
      <c r="W937" s="32">
        <v>0.96115700000000004</v>
      </c>
      <c r="X937" s="32">
        <v>0.20041700000000001</v>
      </c>
      <c r="Y937" s="32">
        <v>0.7</v>
      </c>
      <c r="Z937" s="32">
        <v>1</v>
      </c>
      <c r="AA937" s="32">
        <v>40.799999999999997</v>
      </c>
      <c r="AB937" s="32">
        <v>299</v>
      </c>
      <c r="AC937" s="32">
        <v>26</v>
      </c>
      <c r="AD937" s="32">
        <v>94</v>
      </c>
      <c r="AE937" s="32">
        <v>0</v>
      </c>
      <c r="AF937" s="32">
        <v>282</v>
      </c>
      <c r="AG937" s="32">
        <v>16</v>
      </c>
    </row>
    <row r="938" spans="1:33">
      <c r="A938" s="32" t="s">
        <v>3500</v>
      </c>
      <c r="B938" s="32" t="s">
        <v>98</v>
      </c>
      <c r="C938" s="32" t="s">
        <v>3501</v>
      </c>
      <c r="D938" s="32" t="s">
        <v>3502</v>
      </c>
      <c r="E938" s="32" t="s">
        <v>3498</v>
      </c>
      <c r="F938" s="32" t="s">
        <v>3499</v>
      </c>
      <c r="G938" s="32" t="s">
        <v>1261</v>
      </c>
      <c r="H938" s="32" t="s">
        <v>1262</v>
      </c>
      <c r="I938" s="32" t="s">
        <v>198</v>
      </c>
      <c r="J938" s="32" t="s">
        <v>199</v>
      </c>
      <c r="K938" s="32">
        <v>3.110922</v>
      </c>
      <c r="L938" s="33">
        <v>2085</v>
      </c>
      <c r="M938" s="32">
        <v>289</v>
      </c>
      <c r="N938" s="32">
        <v>481</v>
      </c>
      <c r="O938" s="32">
        <v>781</v>
      </c>
      <c r="P938" s="32">
        <v>409</v>
      </c>
      <c r="Q938" s="32">
        <v>125</v>
      </c>
      <c r="R938" s="32">
        <v>4</v>
      </c>
      <c r="S938" s="32">
        <v>25.529499999999999</v>
      </c>
      <c r="T938" s="32">
        <v>14.289099999999999</v>
      </c>
      <c r="U938" s="32">
        <v>0.41722357900000001</v>
      </c>
      <c r="V938" s="32">
        <v>5</v>
      </c>
      <c r="W938" s="32">
        <v>1</v>
      </c>
      <c r="X938" s="32">
        <v>0.40745799999999999</v>
      </c>
      <c r="Y938" s="32">
        <v>0.7</v>
      </c>
      <c r="Z938" s="32">
        <v>1</v>
      </c>
      <c r="AA938" s="32">
        <v>36.9</v>
      </c>
      <c r="AB938" s="32">
        <v>299</v>
      </c>
      <c r="AC938" s="32">
        <v>16</v>
      </c>
      <c r="AD938" s="32">
        <v>15</v>
      </c>
      <c r="AE938" s="32">
        <v>0</v>
      </c>
      <c r="AF938" s="32">
        <v>0</v>
      </c>
      <c r="AG938" s="32" t="s">
        <v>200</v>
      </c>
    </row>
    <row r="939" spans="1:33">
      <c r="A939" s="32" t="s">
        <v>3503</v>
      </c>
      <c r="B939" s="32" t="s">
        <v>98</v>
      </c>
      <c r="C939" s="32" t="s">
        <v>3504</v>
      </c>
      <c r="D939" s="32" t="s">
        <v>3505</v>
      </c>
      <c r="E939" s="32" t="s">
        <v>3481</v>
      </c>
      <c r="F939" s="32" t="s">
        <v>3482</v>
      </c>
      <c r="G939" s="32" t="s">
        <v>1261</v>
      </c>
      <c r="H939" s="32" t="s">
        <v>1262</v>
      </c>
      <c r="I939" s="32" t="s">
        <v>198</v>
      </c>
      <c r="J939" s="32" t="s">
        <v>199</v>
      </c>
      <c r="K939" s="32">
        <v>2.9956520000000002</v>
      </c>
      <c r="L939" s="33">
        <v>1721</v>
      </c>
      <c r="M939" s="32">
        <v>199</v>
      </c>
      <c r="N939" s="32">
        <v>522</v>
      </c>
      <c r="O939" s="32">
        <v>636</v>
      </c>
      <c r="P939" s="32">
        <v>289</v>
      </c>
      <c r="Q939" s="32">
        <v>75</v>
      </c>
      <c r="R939" s="32" t="s">
        <v>668</v>
      </c>
      <c r="S939" s="32">
        <v>72.412800000000004</v>
      </c>
      <c r="T939" s="32">
        <v>8.7533399999999997</v>
      </c>
      <c r="U939" s="32">
        <v>0.42839390999999999</v>
      </c>
      <c r="V939" s="32">
        <v>7</v>
      </c>
      <c r="W939" s="32">
        <v>1</v>
      </c>
      <c r="X939" s="32">
        <v>0.28756799999999999</v>
      </c>
      <c r="Y939" s="32">
        <v>0.7</v>
      </c>
      <c r="Z939" s="32">
        <v>1</v>
      </c>
      <c r="AA939" s="32">
        <v>30.3</v>
      </c>
      <c r="AB939" s="32">
        <v>235</v>
      </c>
      <c r="AC939" s="32">
        <v>20</v>
      </c>
      <c r="AD939" s="32">
        <v>26</v>
      </c>
      <c r="AE939" s="32" t="s">
        <v>200</v>
      </c>
      <c r="AF939" s="32" t="s">
        <v>200</v>
      </c>
      <c r="AG939" s="32" t="s">
        <v>200</v>
      </c>
    </row>
    <row r="940" spans="1:33">
      <c r="A940" s="32" t="s">
        <v>1239</v>
      </c>
      <c r="B940" s="32" t="s">
        <v>99</v>
      </c>
      <c r="C940" s="32" t="s">
        <v>1240</v>
      </c>
      <c r="D940" s="32" t="s">
        <v>1241</v>
      </c>
      <c r="E940" s="32" t="s">
        <v>1242</v>
      </c>
      <c r="F940" s="32" t="s">
        <v>1243</v>
      </c>
      <c r="G940" s="32" t="s">
        <v>1232</v>
      </c>
      <c r="H940" s="32" t="s">
        <v>1233</v>
      </c>
      <c r="I940" s="32" t="s">
        <v>198</v>
      </c>
      <c r="J940" s="32" t="s">
        <v>199</v>
      </c>
      <c r="K940" s="32">
        <v>3.0814699999999999</v>
      </c>
      <c r="L940" s="33">
        <v>2739</v>
      </c>
      <c r="M940" s="32">
        <v>130</v>
      </c>
      <c r="N940" s="33">
        <v>1566</v>
      </c>
      <c r="O940" s="32">
        <v>636</v>
      </c>
      <c r="P940" s="32">
        <v>297</v>
      </c>
      <c r="Q940" s="32">
        <v>110</v>
      </c>
      <c r="R940" s="32" t="s">
        <v>668</v>
      </c>
      <c r="S940" s="32">
        <v>117.336</v>
      </c>
      <c r="T940" s="32">
        <v>10.7951</v>
      </c>
      <c r="U940" s="32">
        <v>0.38083277900000001</v>
      </c>
      <c r="V940" s="32">
        <v>7</v>
      </c>
      <c r="W940" s="32">
        <v>1</v>
      </c>
      <c r="X940" s="32">
        <v>0.38303399999999999</v>
      </c>
      <c r="Y940" s="32">
        <v>0.7</v>
      </c>
      <c r="Z940" s="32">
        <v>1</v>
      </c>
      <c r="AA940" s="32">
        <v>48.6</v>
      </c>
      <c r="AB940" s="32">
        <v>268</v>
      </c>
      <c r="AC940" s="32">
        <v>13</v>
      </c>
      <c r="AD940" s="32">
        <v>68</v>
      </c>
      <c r="AE940" s="32" t="s">
        <v>200</v>
      </c>
      <c r="AF940" s="32" t="s">
        <v>200</v>
      </c>
      <c r="AG940" s="32">
        <v>28</v>
      </c>
    </row>
    <row r="941" spans="1:33">
      <c r="A941" s="32" t="s">
        <v>1250</v>
      </c>
      <c r="B941" s="32" t="s">
        <v>99</v>
      </c>
      <c r="C941" s="32" t="s">
        <v>1251</v>
      </c>
      <c r="D941" s="32" t="s">
        <v>1252</v>
      </c>
      <c r="E941" s="32" t="s">
        <v>1242</v>
      </c>
      <c r="F941" s="32" t="s">
        <v>1243</v>
      </c>
      <c r="G941" s="32" t="s">
        <v>1232</v>
      </c>
      <c r="H941" s="32" t="s">
        <v>1233</v>
      </c>
      <c r="I941" s="32" t="s">
        <v>198</v>
      </c>
      <c r="J941" s="32" t="s">
        <v>199</v>
      </c>
      <c r="K941" s="32">
        <v>3.0790150000000001</v>
      </c>
      <c r="L941" s="33">
        <v>2843</v>
      </c>
      <c r="M941" s="32">
        <v>109</v>
      </c>
      <c r="N941" s="33">
        <v>1992</v>
      </c>
      <c r="O941" s="32">
        <v>307</v>
      </c>
      <c r="P941" s="32">
        <v>294</v>
      </c>
      <c r="Q941" s="32">
        <v>141</v>
      </c>
      <c r="R941" s="32" t="s">
        <v>668</v>
      </c>
      <c r="S941" s="32">
        <v>128.92599999999999</v>
      </c>
      <c r="T941" s="32">
        <v>84.484399999999994</v>
      </c>
      <c r="U941" s="32">
        <v>0.443867132</v>
      </c>
      <c r="V941" s="32">
        <v>7</v>
      </c>
      <c r="W941" s="32">
        <v>1</v>
      </c>
      <c r="X941" s="32">
        <v>0.38936199999999999</v>
      </c>
      <c r="Y941" s="32">
        <v>0.7</v>
      </c>
      <c r="Z941" s="32">
        <v>1</v>
      </c>
      <c r="AA941" s="32">
        <v>49.2</v>
      </c>
      <c r="AB941" s="32">
        <v>198</v>
      </c>
      <c r="AC941" s="32" t="s">
        <v>200</v>
      </c>
      <c r="AD941" s="32">
        <v>5</v>
      </c>
      <c r="AE941" s="32">
        <v>0</v>
      </c>
      <c r="AF941" s="32">
        <v>0</v>
      </c>
      <c r="AG941" s="32">
        <v>0</v>
      </c>
    </row>
    <row r="942" spans="1:33">
      <c r="A942" s="32" t="s">
        <v>1253</v>
      </c>
      <c r="B942" s="32" t="s">
        <v>99</v>
      </c>
      <c r="C942" s="32" t="s">
        <v>1254</v>
      </c>
      <c r="D942" s="32" t="s">
        <v>1255</v>
      </c>
      <c r="E942" s="32" t="s">
        <v>1242</v>
      </c>
      <c r="F942" s="32" t="s">
        <v>1243</v>
      </c>
      <c r="G942" s="32" t="s">
        <v>1232</v>
      </c>
      <c r="H942" s="32" t="s">
        <v>1233</v>
      </c>
      <c r="I942" s="32" t="s">
        <v>198</v>
      </c>
      <c r="J942" s="32" t="s">
        <v>199</v>
      </c>
      <c r="K942" s="32">
        <v>2.8471199999999999</v>
      </c>
      <c r="L942" s="33">
        <v>2029</v>
      </c>
      <c r="M942" s="32">
        <v>201</v>
      </c>
      <c r="N942" s="32">
        <v>709</v>
      </c>
      <c r="O942" s="32">
        <v>449</v>
      </c>
      <c r="P942" s="32">
        <v>426</v>
      </c>
      <c r="Q942" s="32">
        <v>244</v>
      </c>
      <c r="R942" s="32" t="s">
        <v>668</v>
      </c>
      <c r="S942" s="32">
        <v>123.193</v>
      </c>
      <c r="T942" s="32">
        <v>96.225700000000003</v>
      </c>
      <c r="U942" s="32">
        <v>0.73887804599999996</v>
      </c>
      <c r="V942" s="32">
        <v>4</v>
      </c>
      <c r="W942" s="32">
        <v>1</v>
      </c>
      <c r="X942" s="32">
        <v>0.16562499999999999</v>
      </c>
      <c r="Y942" s="32">
        <v>0.7</v>
      </c>
      <c r="Z942" s="32">
        <v>1</v>
      </c>
      <c r="AA942" s="32">
        <v>31.7</v>
      </c>
      <c r="AB942" s="32">
        <v>273</v>
      </c>
      <c r="AC942" s="32">
        <v>20</v>
      </c>
      <c r="AD942" s="32">
        <v>13</v>
      </c>
      <c r="AE942" s="32">
        <v>0</v>
      </c>
      <c r="AF942" s="32">
        <v>0</v>
      </c>
      <c r="AG942" s="32" t="s">
        <v>200</v>
      </c>
    </row>
    <row r="943" spans="1:33">
      <c r="A943" s="32" t="s">
        <v>3506</v>
      </c>
      <c r="B943" s="32" t="s">
        <v>99</v>
      </c>
      <c r="C943" s="32" t="s">
        <v>3507</v>
      </c>
      <c r="D943" s="32" t="s">
        <v>3508</v>
      </c>
      <c r="E943" s="32" t="s">
        <v>3481</v>
      </c>
      <c r="F943" s="32" t="s">
        <v>3482</v>
      </c>
      <c r="G943" s="32" t="s">
        <v>1261</v>
      </c>
      <c r="H943" s="32" t="s">
        <v>1262</v>
      </c>
      <c r="I943" s="32" t="s">
        <v>198</v>
      </c>
      <c r="J943" s="32" t="s">
        <v>199</v>
      </c>
      <c r="K943" s="32">
        <v>3.0614490000000001</v>
      </c>
      <c r="L943" s="33">
        <v>2750</v>
      </c>
      <c r="M943" s="32">
        <v>419</v>
      </c>
      <c r="N943" s="32">
        <v>757</v>
      </c>
      <c r="O943" s="32">
        <v>917</v>
      </c>
      <c r="P943" s="32">
        <v>551</v>
      </c>
      <c r="Q943" s="32">
        <v>106</v>
      </c>
      <c r="R943" s="32" t="s">
        <v>668</v>
      </c>
      <c r="S943" s="32">
        <v>135.66900000000001</v>
      </c>
      <c r="T943" s="32">
        <v>13.2073</v>
      </c>
      <c r="U943" s="32">
        <v>0.525264709</v>
      </c>
      <c r="V943" s="32">
        <v>5</v>
      </c>
      <c r="W943" s="32">
        <v>0.997664</v>
      </c>
      <c r="X943" s="32">
        <v>0.36361500000000002</v>
      </c>
      <c r="Y943" s="32">
        <v>0.7</v>
      </c>
      <c r="Z943" s="32">
        <v>1</v>
      </c>
      <c r="AA943" s="32">
        <v>39.299999999999997</v>
      </c>
      <c r="AB943" s="32">
        <v>353</v>
      </c>
      <c r="AC943" s="32">
        <v>18</v>
      </c>
      <c r="AD943" s="32">
        <v>37</v>
      </c>
      <c r="AE943" s="32">
        <v>10</v>
      </c>
      <c r="AF943" s="32">
        <v>6</v>
      </c>
      <c r="AG943" s="32" t="s">
        <v>200</v>
      </c>
    </row>
    <row r="944" spans="1:33">
      <c r="A944" s="32" t="s">
        <v>3509</v>
      </c>
      <c r="B944" s="32" t="s">
        <v>99</v>
      </c>
      <c r="C944" s="32" t="s">
        <v>3510</v>
      </c>
      <c r="D944" s="32" t="s">
        <v>3511</v>
      </c>
      <c r="E944" s="32" t="s">
        <v>3498</v>
      </c>
      <c r="F944" s="32" t="s">
        <v>3499</v>
      </c>
      <c r="G944" s="32" t="s">
        <v>1261</v>
      </c>
      <c r="H944" s="32" t="s">
        <v>1262</v>
      </c>
      <c r="I944" s="32" t="s">
        <v>198</v>
      </c>
      <c r="J944" s="32" t="s">
        <v>199</v>
      </c>
      <c r="K944" s="32">
        <v>2.9414289999999998</v>
      </c>
      <c r="L944" s="33">
        <v>2333</v>
      </c>
      <c r="M944" s="32">
        <v>224</v>
      </c>
      <c r="N944" s="33">
        <v>1131</v>
      </c>
      <c r="O944" s="32">
        <v>456</v>
      </c>
      <c r="P944" s="32">
        <v>368</v>
      </c>
      <c r="Q944" s="32">
        <v>154</v>
      </c>
      <c r="R944" s="32" t="s">
        <v>668</v>
      </c>
      <c r="S944" s="32">
        <v>124.785</v>
      </c>
      <c r="T944" s="32">
        <v>58.439900000000002</v>
      </c>
      <c r="U944" s="32">
        <v>0.68613608500000001</v>
      </c>
      <c r="V944" s="32">
        <v>4</v>
      </c>
      <c r="W944" s="32">
        <v>1</v>
      </c>
      <c r="X944" s="32">
        <v>0.25</v>
      </c>
      <c r="Y944" s="32">
        <v>0.7</v>
      </c>
      <c r="Z944" s="32">
        <v>1</v>
      </c>
      <c r="AA944" s="32">
        <v>44.3</v>
      </c>
      <c r="AB944" s="32">
        <v>202</v>
      </c>
      <c r="AC944" s="32">
        <v>11</v>
      </c>
      <c r="AD944" s="32">
        <v>18</v>
      </c>
      <c r="AE944" s="32">
        <v>0</v>
      </c>
      <c r="AF944" s="32" t="s">
        <v>200</v>
      </c>
      <c r="AG944" s="32">
        <v>15</v>
      </c>
    </row>
    <row r="945" spans="1:33">
      <c r="A945" s="32" t="s">
        <v>3512</v>
      </c>
      <c r="B945" s="32" t="s">
        <v>99</v>
      </c>
      <c r="C945" s="32" t="s">
        <v>3513</v>
      </c>
      <c r="D945" s="32" t="s">
        <v>3514</v>
      </c>
      <c r="E945" s="32" t="s">
        <v>1259</v>
      </c>
      <c r="F945" s="32" t="s">
        <v>1260</v>
      </c>
      <c r="G945" s="32" t="s">
        <v>1261</v>
      </c>
      <c r="H945" s="32" t="s">
        <v>1262</v>
      </c>
      <c r="I945" s="32" t="s">
        <v>198</v>
      </c>
      <c r="J945" s="32" t="s">
        <v>199</v>
      </c>
      <c r="K945" s="32">
        <v>2.9786069999999998</v>
      </c>
      <c r="L945" s="33">
        <v>3566</v>
      </c>
      <c r="M945" s="32">
        <v>260</v>
      </c>
      <c r="N945" s="33">
        <v>1792</v>
      </c>
      <c r="O945" s="32">
        <v>888</v>
      </c>
      <c r="P945" s="32">
        <v>485</v>
      </c>
      <c r="Q945" s="32">
        <v>141</v>
      </c>
      <c r="R945" s="32" t="s">
        <v>668</v>
      </c>
      <c r="S945" s="32">
        <v>105.218</v>
      </c>
      <c r="T945" s="32">
        <v>34.616399999999999</v>
      </c>
      <c r="U945" s="32">
        <v>0.54133283499999996</v>
      </c>
      <c r="V945" s="32">
        <v>6</v>
      </c>
      <c r="W945" s="32">
        <v>1</v>
      </c>
      <c r="X945" s="32">
        <v>0.27546199999999998</v>
      </c>
      <c r="Y945" s="32">
        <v>0.7</v>
      </c>
      <c r="Z945" s="32">
        <v>1</v>
      </c>
      <c r="AA945" s="32">
        <v>28.9</v>
      </c>
      <c r="AB945" s="32">
        <v>349</v>
      </c>
      <c r="AC945" s="32">
        <v>21</v>
      </c>
      <c r="AD945" s="32">
        <v>76</v>
      </c>
      <c r="AE945" s="32">
        <v>11</v>
      </c>
      <c r="AF945" s="32">
        <v>10</v>
      </c>
      <c r="AG945" s="32">
        <v>50</v>
      </c>
    </row>
    <row r="946" spans="1:33">
      <c r="A946" s="32" t="s">
        <v>3515</v>
      </c>
      <c r="B946" s="32" t="s">
        <v>99</v>
      </c>
      <c r="C946" s="32" t="s">
        <v>3516</v>
      </c>
      <c r="D946" s="32" t="s">
        <v>3517</v>
      </c>
      <c r="E946" s="32" t="s">
        <v>1259</v>
      </c>
      <c r="F946" s="32" t="s">
        <v>1260</v>
      </c>
      <c r="G946" s="32" t="s">
        <v>1261</v>
      </c>
      <c r="H946" s="32" t="s">
        <v>1262</v>
      </c>
      <c r="I946" s="32" t="s">
        <v>198</v>
      </c>
      <c r="J946" s="32" t="s">
        <v>199</v>
      </c>
      <c r="K946" s="32">
        <v>3.023876</v>
      </c>
      <c r="L946" s="33">
        <v>2463</v>
      </c>
      <c r="M946" s="32">
        <v>263</v>
      </c>
      <c r="N946" s="32">
        <v>587</v>
      </c>
      <c r="O946" s="32">
        <v>888</v>
      </c>
      <c r="P946" s="32">
        <v>567</v>
      </c>
      <c r="Q946" s="32">
        <v>158</v>
      </c>
      <c r="R946" s="32" t="s">
        <v>668</v>
      </c>
      <c r="S946" s="32">
        <v>130.83000000000001</v>
      </c>
      <c r="T946" s="32">
        <v>68.0227</v>
      </c>
      <c r="U946" s="32">
        <v>0.51996193199999996</v>
      </c>
      <c r="V946" s="32">
        <v>4</v>
      </c>
      <c r="W946" s="32">
        <v>1</v>
      </c>
      <c r="X946" s="32">
        <v>0.31602799999999998</v>
      </c>
      <c r="Y946" s="32">
        <v>0.7</v>
      </c>
      <c r="Z946" s="32">
        <v>1</v>
      </c>
      <c r="AA946" s="32">
        <v>30.1</v>
      </c>
      <c r="AB946" s="32">
        <v>356</v>
      </c>
      <c r="AC946" s="32">
        <v>186</v>
      </c>
      <c r="AD946" s="32">
        <v>81</v>
      </c>
      <c r="AE946" s="32">
        <v>38</v>
      </c>
      <c r="AF946" s="32">
        <v>0</v>
      </c>
      <c r="AG946" s="32">
        <v>41</v>
      </c>
    </row>
    <row r="947" spans="1:33">
      <c r="A947" s="32" t="s">
        <v>1256</v>
      </c>
      <c r="B947" s="32" t="s">
        <v>99</v>
      </c>
      <c r="C947" s="32" t="s">
        <v>1257</v>
      </c>
      <c r="D947" s="32" t="s">
        <v>1258</v>
      </c>
      <c r="E947" s="32" t="s">
        <v>1259</v>
      </c>
      <c r="F947" s="32" t="s">
        <v>1260</v>
      </c>
      <c r="G947" s="32" t="s">
        <v>1261</v>
      </c>
      <c r="H947" s="32" t="s">
        <v>1262</v>
      </c>
      <c r="I947" s="32" t="s">
        <v>198</v>
      </c>
      <c r="J947" s="32" t="s">
        <v>199</v>
      </c>
      <c r="K947" s="32">
        <v>2.9761470000000001</v>
      </c>
      <c r="L947" s="33">
        <v>2163</v>
      </c>
      <c r="M947" s="32">
        <v>171</v>
      </c>
      <c r="N947" s="32">
        <v>707</v>
      </c>
      <c r="O947" s="32">
        <v>565</v>
      </c>
      <c r="P947" s="32">
        <v>472</v>
      </c>
      <c r="Q947" s="32">
        <v>248</v>
      </c>
      <c r="R947" s="32" t="s">
        <v>668</v>
      </c>
      <c r="S947" s="32">
        <v>113.505</v>
      </c>
      <c r="T947" s="32">
        <v>19.251200000000001</v>
      </c>
      <c r="U947" s="32">
        <v>0.52373289300000003</v>
      </c>
      <c r="V947" s="32">
        <v>5</v>
      </c>
      <c r="W947" s="32">
        <v>1</v>
      </c>
      <c r="X947" s="32">
        <v>0.280061</v>
      </c>
      <c r="Y947" s="32">
        <v>0.7</v>
      </c>
      <c r="Z947" s="32">
        <v>1</v>
      </c>
      <c r="AA947" s="32">
        <v>34.5</v>
      </c>
      <c r="AB947" s="32">
        <v>385</v>
      </c>
      <c r="AC947" s="32">
        <v>24</v>
      </c>
      <c r="AD947" s="32">
        <v>35</v>
      </c>
      <c r="AE947" s="32" t="s">
        <v>200</v>
      </c>
      <c r="AF947" s="32">
        <v>0</v>
      </c>
      <c r="AG947" s="32" t="s">
        <v>200</v>
      </c>
    </row>
    <row r="948" spans="1:33">
      <c r="A948" s="32" t="s">
        <v>3518</v>
      </c>
      <c r="B948" s="32" t="s">
        <v>99</v>
      </c>
      <c r="C948" s="32" t="s">
        <v>3519</v>
      </c>
      <c r="D948" s="32" t="s">
        <v>3520</v>
      </c>
      <c r="E948" s="32" t="s">
        <v>1259</v>
      </c>
      <c r="F948" s="32" t="s">
        <v>1260</v>
      </c>
      <c r="G948" s="32" t="s">
        <v>1261</v>
      </c>
      <c r="H948" s="32" t="s">
        <v>1262</v>
      </c>
      <c r="I948" s="32" t="s">
        <v>198</v>
      </c>
      <c r="J948" s="32" t="s">
        <v>199</v>
      </c>
      <c r="K948" s="32">
        <v>2.8744679999999998</v>
      </c>
      <c r="L948" s="33">
        <v>1294</v>
      </c>
      <c r="M948" s="32">
        <v>153</v>
      </c>
      <c r="N948" s="32">
        <v>544</v>
      </c>
      <c r="O948" s="32">
        <v>264</v>
      </c>
      <c r="P948" s="32">
        <v>244</v>
      </c>
      <c r="Q948" s="32">
        <v>89</v>
      </c>
      <c r="R948" s="32" t="s">
        <v>668</v>
      </c>
      <c r="S948" s="32">
        <v>98.8904</v>
      </c>
      <c r="T948" s="32">
        <v>27.454799999999999</v>
      </c>
      <c r="U948" s="32">
        <v>0.56729278999999999</v>
      </c>
      <c r="V948" s="32">
        <v>5</v>
      </c>
      <c r="W948" s="32">
        <v>1</v>
      </c>
      <c r="X948" s="32">
        <v>0.174458</v>
      </c>
      <c r="Y948" s="32">
        <v>0.7</v>
      </c>
      <c r="Z948" s="32">
        <v>1</v>
      </c>
      <c r="AA948" s="32">
        <v>45.6</v>
      </c>
      <c r="AB948" s="32">
        <v>646</v>
      </c>
      <c r="AC948" s="32">
        <v>17</v>
      </c>
      <c r="AD948" s="32">
        <v>41</v>
      </c>
      <c r="AE948" s="32" t="s">
        <v>200</v>
      </c>
      <c r="AF948" s="32">
        <v>0</v>
      </c>
      <c r="AG948" s="32">
        <v>14</v>
      </c>
    </row>
    <row r="949" spans="1:33">
      <c r="A949" s="32" t="s">
        <v>3521</v>
      </c>
      <c r="B949" s="32" t="s">
        <v>99</v>
      </c>
      <c r="C949" s="32" t="s">
        <v>3522</v>
      </c>
      <c r="D949" s="32" t="s">
        <v>3523</v>
      </c>
      <c r="E949" s="32" t="s">
        <v>3524</v>
      </c>
      <c r="F949" s="32" t="s">
        <v>3525</v>
      </c>
      <c r="G949" s="32" t="s">
        <v>1261</v>
      </c>
      <c r="H949" s="32" t="s">
        <v>1262</v>
      </c>
      <c r="I949" s="32" t="s">
        <v>198</v>
      </c>
      <c r="J949" s="32" t="s">
        <v>199</v>
      </c>
      <c r="K949" s="32">
        <v>2.8265310000000001</v>
      </c>
      <c r="L949" s="33">
        <v>3291</v>
      </c>
      <c r="M949" s="32">
        <v>196</v>
      </c>
      <c r="N949" s="33">
        <v>2325</v>
      </c>
      <c r="O949" s="32">
        <v>514</v>
      </c>
      <c r="P949" s="32">
        <v>171</v>
      </c>
      <c r="Q949" s="32">
        <v>85</v>
      </c>
      <c r="R949" s="32" t="s">
        <v>668</v>
      </c>
      <c r="S949" s="32">
        <v>83.170500000000004</v>
      </c>
      <c r="T949" s="32">
        <v>17.024699999999999</v>
      </c>
      <c r="U949" s="32">
        <v>0.49439195600000002</v>
      </c>
      <c r="V949" s="32">
        <v>6</v>
      </c>
      <c r="W949" s="32">
        <v>1</v>
      </c>
      <c r="X949" s="32">
        <v>0.122184</v>
      </c>
      <c r="Y949" s="32">
        <v>0.7</v>
      </c>
      <c r="Z949" s="32">
        <v>1</v>
      </c>
      <c r="AA949" s="32">
        <v>32</v>
      </c>
      <c r="AB949" s="32">
        <v>196</v>
      </c>
      <c r="AC949" s="32">
        <v>9</v>
      </c>
      <c r="AD949" s="32">
        <v>10</v>
      </c>
      <c r="AE949" s="32">
        <v>0</v>
      </c>
      <c r="AF949" s="32">
        <v>0</v>
      </c>
      <c r="AG949" s="32">
        <v>0</v>
      </c>
    </row>
    <row r="950" spans="1:33">
      <c r="A950" s="32" t="s">
        <v>3526</v>
      </c>
      <c r="B950" s="32" t="s">
        <v>99</v>
      </c>
      <c r="C950" s="32" t="s">
        <v>3527</v>
      </c>
      <c r="D950" s="32" t="s">
        <v>3528</v>
      </c>
      <c r="E950" s="32" t="s">
        <v>3498</v>
      </c>
      <c r="F950" s="32" t="s">
        <v>3499</v>
      </c>
      <c r="G950" s="32" t="s">
        <v>1261</v>
      </c>
      <c r="H950" s="32" t="s">
        <v>1262</v>
      </c>
      <c r="I950" s="32" t="s">
        <v>198</v>
      </c>
      <c r="J950" s="32" t="s">
        <v>199</v>
      </c>
      <c r="K950" s="32">
        <v>2.8330540000000002</v>
      </c>
      <c r="L950" s="33">
        <v>1588</v>
      </c>
      <c r="M950" s="32">
        <v>317</v>
      </c>
      <c r="N950" s="32">
        <v>405</v>
      </c>
      <c r="O950" s="32">
        <v>411</v>
      </c>
      <c r="P950" s="32">
        <v>348</v>
      </c>
      <c r="Q950" s="32">
        <v>107</v>
      </c>
      <c r="R950" s="32" t="s">
        <v>668</v>
      </c>
      <c r="S950" s="32">
        <v>75.046000000000006</v>
      </c>
      <c r="T950" s="32">
        <v>57.709699999999998</v>
      </c>
      <c r="U950" s="32">
        <v>0.735236789</v>
      </c>
      <c r="V950" s="32">
        <v>3</v>
      </c>
      <c r="W950" s="32">
        <v>1</v>
      </c>
      <c r="X950" s="32">
        <v>0.142041</v>
      </c>
      <c r="Y950" s="32">
        <v>0.7</v>
      </c>
      <c r="Z950" s="32">
        <v>1</v>
      </c>
      <c r="AA950" s="32">
        <v>51.4</v>
      </c>
      <c r="AB950" s="32">
        <v>268</v>
      </c>
      <c r="AC950" s="32">
        <v>12</v>
      </c>
      <c r="AD950" s="32">
        <v>15</v>
      </c>
      <c r="AE950" s="32">
        <v>0</v>
      </c>
      <c r="AF950" s="32">
        <v>0</v>
      </c>
      <c r="AG950" s="32" t="s">
        <v>200</v>
      </c>
    </row>
    <row r="951" spans="1:33">
      <c r="A951" s="32" t="s">
        <v>3529</v>
      </c>
      <c r="B951" s="32" t="s">
        <v>99</v>
      </c>
      <c r="C951" s="32" t="s">
        <v>3530</v>
      </c>
      <c r="D951" s="32" t="s">
        <v>3531</v>
      </c>
      <c r="E951" s="32" t="s">
        <v>1259</v>
      </c>
      <c r="F951" s="32" t="s">
        <v>1260</v>
      </c>
      <c r="G951" s="32" t="s">
        <v>1261</v>
      </c>
      <c r="H951" s="32" t="s">
        <v>1262</v>
      </c>
      <c r="I951" s="32" t="s">
        <v>198</v>
      </c>
      <c r="J951" s="32" t="s">
        <v>199</v>
      </c>
      <c r="K951" s="32">
        <v>2.9269810000000001</v>
      </c>
      <c r="L951" s="33">
        <v>1968</v>
      </c>
      <c r="M951" s="32">
        <v>234</v>
      </c>
      <c r="N951" s="32">
        <v>742</v>
      </c>
      <c r="O951" s="32">
        <v>626</v>
      </c>
      <c r="P951" s="32">
        <v>277</v>
      </c>
      <c r="Q951" s="32">
        <v>89</v>
      </c>
      <c r="R951" s="32" t="s">
        <v>668</v>
      </c>
      <c r="S951" s="32">
        <v>104.242</v>
      </c>
      <c r="T951" s="32">
        <v>73.8279</v>
      </c>
      <c r="U951" s="32">
        <v>0.52977360399999995</v>
      </c>
      <c r="V951" s="32">
        <v>5</v>
      </c>
      <c r="W951" s="32">
        <v>1</v>
      </c>
      <c r="X951" s="32">
        <v>0.25948300000000002</v>
      </c>
      <c r="Y951" s="32">
        <v>0.7</v>
      </c>
      <c r="Z951" s="32">
        <v>1</v>
      </c>
      <c r="AA951" s="32">
        <v>45.5</v>
      </c>
      <c r="AB951" s="32">
        <v>243</v>
      </c>
      <c r="AC951" s="32">
        <v>21</v>
      </c>
      <c r="AD951" s="32">
        <v>33</v>
      </c>
      <c r="AE951" s="32" t="s">
        <v>200</v>
      </c>
      <c r="AF951" s="32">
        <v>0</v>
      </c>
      <c r="AG951" s="32">
        <v>14</v>
      </c>
    </row>
    <row r="952" spans="1:33">
      <c r="A952" s="32" t="s">
        <v>3532</v>
      </c>
      <c r="B952" s="32" t="s">
        <v>99</v>
      </c>
      <c r="C952" s="32" t="s">
        <v>3533</v>
      </c>
      <c r="D952" s="32" t="s">
        <v>3534</v>
      </c>
      <c r="E952" s="32" t="s">
        <v>3498</v>
      </c>
      <c r="F952" s="32" t="s">
        <v>3499</v>
      </c>
      <c r="G952" s="32" t="s">
        <v>1261</v>
      </c>
      <c r="H952" s="32" t="s">
        <v>1262</v>
      </c>
      <c r="I952" s="32" t="s">
        <v>198</v>
      </c>
      <c r="J952" s="32" t="s">
        <v>199</v>
      </c>
      <c r="K952" s="32">
        <v>2.7758620000000001</v>
      </c>
      <c r="L952" s="33">
        <v>1376</v>
      </c>
      <c r="M952" s="32">
        <v>275</v>
      </c>
      <c r="N952" s="32">
        <v>343</v>
      </c>
      <c r="O952" s="32">
        <v>275</v>
      </c>
      <c r="P952" s="32">
        <v>359</v>
      </c>
      <c r="Q952" s="32">
        <v>124</v>
      </c>
      <c r="R952" s="32" t="s">
        <v>302</v>
      </c>
      <c r="S952" s="32">
        <v>58.414700000000003</v>
      </c>
      <c r="T952" s="32">
        <v>19.487100000000002</v>
      </c>
      <c r="U952" s="32">
        <v>0.822708035</v>
      </c>
      <c r="V952" s="32">
        <v>2</v>
      </c>
      <c r="W952" s="32">
        <v>1</v>
      </c>
      <c r="X952" s="32">
        <v>8.3907999999999996E-2</v>
      </c>
      <c r="Y952" s="32">
        <v>0.7</v>
      </c>
      <c r="Z952" s="32">
        <v>1</v>
      </c>
      <c r="AA952" s="32">
        <v>60.4</v>
      </c>
      <c r="AB952" s="32">
        <v>225</v>
      </c>
      <c r="AC952" s="32">
        <v>8</v>
      </c>
      <c r="AD952" s="32">
        <v>13</v>
      </c>
      <c r="AE952" s="32">
        <v>0</v>
      </c>
      <c r="AF952" s="32">
        <v>0</v>
      </c>
      <c r="AG952" s="32" t="s">
        <v>200</v>
      </c>
    </row>
    <row r="953" spans="1:33">
      <c r="A953" s="32" t="s">
        <v>3535</v>
      </c>
      <c r="B953" s="32" t="s">
        <v>99</v>
      </c>
      <c r="C953" s="32" t="s">
        <v>3536</v>
      </c>
      <c r="D953" s="32" t="s">
        <v>3537</v>
      </c>
      <c r="E953" s="32" t="s">
        <v>3498</v>
      </c>
      <c r="F953" s="32" t="s">
        <v>3499</v>
      </c>
      <c r="G953" s="32" t="s">
        <v>1261</v>
      </c>
      <c r="H953" s="32" t="s">
        <v>1262</v>
      </c>
      <c r="I953" s="32" t="s">
        <v>198</v>
      </c>
      <c r="J953" s="32" t="s">
        <v>199</v>
      </c>
      <c r="K953" s="32">
        <v>2.9561600000000001</v>
      </c>
      <c r="L953" s="33">
        <v>1509</v>
      </c>
      <c r="M953" s="32">
        <v>364</v>
      </c>
      <c r="N953" s="32">
        <v>403</v>
      </c>
      <c r="O953" s="32">
        <v>302</v>
      </c>
      <c r="P953" s="32">
        <v>299</v>
      </c>
      <c r="Q953" s="32">
        <v>141</v>
      </c>
      <c r="R953" s="32" t="s">
        <v>302</v>
      </c>
      <c r="S953" s="32">
        <v>41.6357</v>
      </c>
      <c r="T953" s="32">
        <v>19.463899999999999</v>
      </c>
      <c r="U953" s="32">
        <v>0.70688928699999998</v>
      </c>
      <c r="V953" s="32">
        <v>3</v>
      </c>
      <c r="W953" s="32">
        <v>1</v>
      </c>
      <c r="X953" s="32">
        <v>0.25071199999999999</v>
      </c>
      <c r="Y953" s="32">
        <v>0.7</v>
      </c>
      <c r="Z953" s="32">
        <v>1</v>
      </c>
      <c r="AA953" s="32">
        <v>57.4</v>
      </c>
      <c r="AB953" s="32">
        <v>257</v>
      </c>
      <c r="AC953" s="32">
        <v>10</v>
      </c>
      <c r="AD953" s="32">
        <v>8</v>
      </c>
      <c r="AE953" s="32" t="s">
        <v>200</v>
      </c>
      <c r="AF953" s="32" t="s">
        <v>200</v>
      </c>
      <c r="AG953" s="32" t="s">
        <v>200</v>
      </c>
    </row>
    <row r="954" spans="1:33">
      <c r="A954" s="32" t="s">
        <v>3538</v>
      </c>
      <c r="B954" s="32" t="s">
        <v>99</v>
      </c>
      <c r="C954" s="32" t="s">
        <v>3539</v>
      </c>
      <c r="D954" s="32" t="s">
        <v>3540</v>
      </c>
      <c r="E954" s="32" t="s">
        <v>3481</v>
      </c>
      <c r="F954" s="32" t="s">
        <v>3482</v>
      </c>
      <c r="G954" s="32" t="s">
        <v>1261</v>
      </c>
      <c r="H954" s="32" t="s">
        <v>1262</v>
      </c>
      <c r="I954" s="32" t="s">
        <v>198</v>
      </c>
      <c r="J954" s="32" t="s">
        <v>199</v>
      </c>
      <c r="K954" s="32">
        <v>2.819372</v>
      </c>
      <c r="L954" s="33">
        <v>1434</v>
      </c>
      <c r="M954" s="32">
        <v>140</v>
      </c>
      <c r="N954" s="32">
        <v>456</v>
      </c>
      <c r="O954" s="32">
        <v>586</v>
      </c>
      <c r="P954" s="32">
        <v>209</v>
      </c>
      <c r="Q954" s="32">
        <v>43</v>
      </c>
      <c r="R954" s="32" t="s">
        <v>668</v>
      </c>
      <c r="S954" s="32">
        <v>61.880800000000001</v>
      </c>
      <c r="T954" s="32">
        <v>57.675400000000003</v>
      </c>
      <c r="U954" s="32">
        <v>0.56989740700000002</v>
      </c>
      <c r="V954" s="32">
        <v>6</v>
      </c>
      <c r="W954" s="32">
        <v>1</v>
      </c>
      <c r="X954" s="32">
        <v>0.110417</v>
      </c>
      <c r="Y954" s="32">
        <v>0.7</v>
      </c>
      <c r="Z954" s="32">
        <v>1</v>
      </c>
      <c r="AA954" s="32">
        <v>31.3</v>
      </c>
      <c r="AB954" s="32">
        <v>217</v>
      </c>
      <c r="AC954" s="32">
        <v>14</v>
      </c>
      <c r="AD954" s="32">
        <v>22</v>
      </c>
      <c r="AE954" s="32">
        <v>0</v>
      </c>
      <c r="AF954" s="32">
        <v>0</v>
      </c>
      <c r="AG954" s="32" t="s">
        <v>200</v>
      </c>
    </row>
    <row r="955" spans="1:33">
      <c r="A955" s="32" t="s">
        <v>1263</v>
      </c>
      <c r="B955" s="32" t="s">
        <v>99</v>
      </c>
      <c r="C955" s="32" t="s">
        <v>1264</v>
      </c>
      <c r="D955" s="32" t="s">
        <v>1265</v>
      </c>
      <c r="E955" s="32" t="s">
        <v>1242</v>
      </c>
      <c r="F955" s="32" t="s">
        <v>1243</v>
      </c>
      <c r="G955" s="32" t="s">
        <v>1232</v>
      </c>
      <c r="H955" s="32" t="s">
        <v>1233</v>
      </c>
      <c r="I955" s="32" t="s">
        <v>198</v>
      </c>
      <c r="J955" s="32" t="s">
        <v>199</v>
      </c>
      <c r="K955" s="32">
        <v>2.9688599999999998</v>
      </c>
      <c r="L955" s="33">
        <v>2028</v>
      </c>
      <c r="M955" s="32">
        <v>263</v>
      </c>
      <c r="N955" s="32">
        <v>514</v>
      </c>
      <c r="O955" s="32">
        <v>628</v>
      </c>
      <c r="P955" s="32">
        <v>429</v>
      </c>
      <c r="Q955" s="32">
        <v>194</v>
      </c>
      <c r="R955" s="32" t="s">
        <v>668</v>
      </c>
      <c r="S955" s="32">
        <v>142.93100000000001</v>
      </c>
      <c r="T955" s="32">
        <v>89.631500000000003</v>
      </c>
      <c r="U955" s="32">
        <v>0.665987777</v>
      </c>
      <c r="V955" s="32">
        <v>3</v>
      </c>
      <c r="W955" s="32">
        <v>1</v>
      </c>
      <c r="X955" s="32">
        <v>0.26932400000000001</v>
      </c>
      <c r="Y955" s="32">
        <v>0.7</v>
      </c>
      <c r="Z955" s="32">
        <v>1</v>
      </c>
      <c r="AA955" s="32">
        <v>41.7</v>
      </c>
      <c r="AB955" s="32">
        <v>299</v>
      </c>
      <c r="AC955" s="32">
        <v>17</v>
      </c>
      <c r="AD955" s="32">
        <v>144</v>
      </c>
      <c r="AE955" s="32">
        <v>8</v>
      </c>
      <c r="AF955" s="32" t="s">
        <v>200</v>
      </c>
      <c r="AG955" s="32">
        <v>124</v>
      </c>
    </row>
    <row r="956" spans="1:33">
      <c r="A956" s="32" t="s">
        <v>1266</v>
      </c>
      <c r="B956" s="32" t="s">
        <v>99</v>
      </c>
      <c r="C956" s="32" t="s">
        <v>1267</v>
      </c>
      <c r="D956" s="32" t="s">
        <v>1268</v>
      </c>
      <c r="E956" s="32" t="s">
        <v>1269</v>
      </c>
      <c r="F956" s="32" t="s">
        <v>1270</v>
      </c>
      <c r="G956" s="32" t="s">
        <v>1261</v>
      </c>
      <c r="H956" s="32" t="s">
        <v>1262</v>
      </c>
      <c r="I956" s="32" t="s">
        <v>198</v>
      </c>
      <c r="J956" s="32" t="s">
        <v>199</v>
      </c>
      <c r="K956" s="32">
        <v>2.9</v>
      </c>
      <c r="L956" s="33">
        <v>1692</v>
      </c>
      <c r="M956" s="32">
        <v>211</v>
      </c>
      <c r="N956" s="32">
        <v>500</v>
      </c>
      <c r="O956" s="32">
        <v>526</v>
      </c>
      <c r="P956" s="32">
        <v>341</v>
      </c>
      <c r="Q956" s="32">
        <v>114</v>
      </c>
      <c r="R956" s="32" t="s">
        <v>668</v>
      </c>
      <c r="S956" s="32">
        <v>116.857</v>
      </c>
      <c r="T956" s="32">
        <v>71.036100000000005</v>
      </c>
      <c r="U956" s="32">
        <v>0.67156270399999995</v>
      </c>
      <c r="V956" s="32">
        <v>3</v>
      </c>
      <c r="W956" s="32">
        <v>1</v>
      </c>
      <c r="X956" s="32">
        <v>0.20086200000000001</v>
      </c>
      <c r="Y956" s="32">
        <v>0.7</v>
      </c>
      <c r="Z956" s="32">
        <v>1</v>
      </c>
      <c r="AA956" s="32">
        <v>33.6</v>
      </c>
      <c r="AB956" s="32">
        <v>246</v>
      </c>
      <c r="AC956" s="32">
        <v>14</v>
      </c>
      <c r="AD956" s="32">
        <v>23</v>
      </c>
      <c r="AE956" s="32" t="s">
        <v>200</v>
      </c>
      <c r="AF956" s="32">
        <v>0</v>
      </c>
      <c r="AG956" s="32">
        <v>15</v>
      </c>
    </row>
    <row r="957" spans="1:33">
      <c r="A957" s="32" t="s">
        <v>3503</v>
      </c>
      <c r="B957" s="32" t="s">
        <v>99</v>
      </c>
      <c r="C957" s="32" t="s">
        <v>3504</v>
      </c>
      <c r="D957" s="32" t="s">
        <v>3505</v>
      </c>
      <c r="E957" s="32" t="s">
        <v>3481</v>
      </c>
      <c r="F957" s="32" t="s">
        <v>3482</v>
      </c>
      <c r="G957" s="32" t="s">
        <v>1261</v>
      </c>
      <c r="H957" s="32" t="s">
        <v>1262</v>
      </c>
      <c r="I957" s="32" t="s">
        <v>198</v>
      </c>
      <c r="J957" s="32" t="s">
        <v>199</v>
      </c>
      <c r="K957" s="32">
        <v>2.9956520000000002</v>
      </c>
      <c r="L957" s="33">
        <v>1721</v>
      </c>
      <c r="M957" s="32">
        <v>199</v>
      </c>
      <c r="N957" s="32">
        <v>522</v>
      </c>
      <c r="O957" s="32">
        <v>636</v>
      </c>
      <c r="P957" s="32">
        <v>289</v>
      </c>
      <c r="Q957" s="32">
        <v>75</v>
      </c>
      <c r="R957" s="32" t="s">
        <v>668</v>
      </c>
      <c r="S957" s="32">
        <v>72.412800000000004</v>
      </c>
      <c r="T957" s="32">
        <v>8.7533399999999997</v>
      </c>
      <c r="U957" s="32">
        <v>0.42839390999999999</v>
      </c>
      <c r="V957" s="32">
        <v>7</v>
      </c>
      <c r="W957" s="32">
        <v>1</v>
      </c>
      <c r="X957" s="32">
        <v>0.28756799999999999</v>
      </c>
      <c r="Y957" s="32">
        <v>0.7</v>
      </c>
      <c r="Z957" s="32">
        <v>1</v>
      </c>
      <c r="AA957" s="32">
        <v>30.3</v>
      </c>
      <c r="AB957" s="32">
        <v>235</v>
      </c>
      <c r="AC957" s="32">
        <v>20</v>
      </c>
      <c r="AD957" s="32">
        <v>26</v>
      </c>
      <c r="AE957" s="32" t="s">
        <v>200</v>
      </c>
      <c r="AF957" s="32" t="s">
        <v>200</v>
      </c>
      <c r="AG957" s="32" t="s">
        <v>200</v>
      </c>
    </row>
    <row r="958" spans="1:33">
      <c r="A958" s="32" t="s">
        <v>3541</v>
      </c>
      <c r="B958" s="32" t="s">
        <v>40</v>
      </c>
      <c r="C958" s="32" t="s">
        <v>3542</v>
      </c>
      <c r="D958" s="32" t="s">
        <v>3543</v>
      </c>
      <c r="E958" s="32" t="s">
        <v>3446</v>
      </c>
      <c r="F958" s="32" t="s">
        <v>3447</v>
      </c>
      <c r="G958" s="32" t="s">
        <v>1261</v>
      </c>
      <c r="H958" s="32" t="s">
        <v>1262</v>
      </c>
      <c r="I958" s="32" t="s">
        <v>198</v>
      </c>
      <c r="J958" s="32" t="s">
        <v>199</v>
      </c>
      <c r="K958" s="32">
        <v>2.9737269999999998</v>
      </c>
      <c r="L958" s="33">
        <v>2019</v>
      </c>
      <c r="M958" s="32">
        <v>302</v>
      </c>
      <c r="N958" s="32">
        <v>734</v>
      </c>
      <c r="O958" s="32">
        <v>472</v>
      </c>
      <c r="P958" s="32">
        <v>365</v>
      </c>
      <c r="Q958" s="32">
        <v>146</v>
      </c>
      <c r="R958" s="32" t="s">
        <v>302</v>
      </c>
      <c r="S958" s="32">
        <v>48.383299999999998</v>
      </c>
      <c r="T958" s="32">
        <v>19.536100000000001</v>
      </c>
      <c r="U958" s="32">
        <v>0.67740349399999999</v>
      </c>
      <c r="V958" s="32">
        <v>3</v>
      </c>
      <c r="W958" s="32">
        <v>0.99222500000000002</v>
      </c>
      <c r="X958" s="32">
        <v>0.29946800000000001</v>
      </c>
      <c r="Y958" s="32">
        <v>0.7</v>
      </c>
      <c r="Z958" s="32">
        <v>1</v>
      </c>
      <c r="AA958" s="32">
        <v>40.299999999999997</v>
      </c>
      <c r="AB958" s="32">
        <v>253</v>
      </c>
      <c r="AC958" s="32">
        <v>26</v>
      </c>
      <c r="AD958" s="32">
        <v>7</v>
      </c>
      <c r="AE958" s="32">
        <v>0</v>
      </c>
      <c r="AF958" s="32" t="s">
        <v>200</v>
      </c>
      <c r="AG958" s="32" t="s">
        <v>200</v>
      </c>
    </row>
    <row r="959" spans="1:33">
      <c r="A959" s="32" t="s">
        <v>3512</v>
      </c>
      <c r="B959" s="32" t="s">
        <v>40</v>
      </c>
      <c r="C959" s="32" t="s">
        <v>3513</v>
      </c>
      <c r="D959" s="32" t="s">
        <v>3514</v>
      </c>
      <c r="E959" s="32" t="s">
        <v>1259</v>
      </c>
      <c r="F959" s="32" t="s">
        <v>1260</v>
      </c>
      <c r="G959" s="32" t="s">
        <v>1261</v>
      </c>
      <c r="H959" s="32" t="s">
        <v>1262</v>
      </c>
      <c r="I959" s="32" t="s">
        <v>198</v>
      </c>
      <c r="J959" s="32" t="s">
        <v>199</v>
      </c>
      <c r="K959" s="32">
        <v>2.9786069999999998</v>
      </c>
      <c r="L959" s="33">
        <v>3566</v>
      </c>
      <c r="M959" s="32">
        <v>260</v>
      </c>
      <c r="N959" s="33">
        <v>1792</v>
      </c>
      <c r="O959" s="32">
        <v>888</v>
      </c>
      <c r="P959" s="32">
        <v>485</v>
      </c>
      <c r="Q959" s="32">
        <v>141</v>
      </c>
      <c r="R959" s="32" t="s">
        <v>668</v>
      </c>
      <c r="S959" s="32">
        <v>105.218</v>
      </c>
      <c r="T959" s="32">
        <v>34.616399999999999</v>
      </c>
      <c r="U959" s="32">
        <v>0.54133283499999996</v>
      </c>
      <c r="V959" s="32">
        <v>6</v>
      </c>
      <c r="W959" s="32">
        <v>1</v>
      </c>
      <c r="X959" s="32">
        <v>0.27546199999999998</v>
      </c>
      <c r="Y959" s="32">
        <v>0.7</v>
      </c>
      <c r="Z959" s="32">
        <v>1</v>
      </c>
      <c r="AA959" s="32">
        <v>28.9</v>
      </c>
      <c r="AB959" s="32">
        <v>349</v>
      </c>
      <c r="AC959" s="32">
        <v>21</v>
      </c>
      <c r="AD959" s="32">
        <v>76</v>
      </c>
      <c r="AE959" s="32">
        <v>11</v>
      </c>
      <c r="AF959" s="32">
        <v>10</v>
      </c>
      <c r="AG959" s="32">
        <v>50</v>
      </c>
    </row>
    <row r="960" spans="1:33">
      <c r="A960" s="32" t="s">
        <v>3544</v>
      </c>
      <c r="B960" s="32" t="s">
        <v>40</v>
      </c>
      <c r="C960" s="32" t="s">
        <v>3545</v>
      </c>
      <c r="D960" s="32" t="s">
        <v>3546</v>
      </c>
      <c r="E960" s="32" t="s">
        <v>1269</v>
      </c>
      <c r="F960" s="32" t="s">
        <v>1270</v>
      </c>
      <c r="G960" s="32" t="s">
        <v>1261</v>
      </c>
      <c r="H960" s="32" t="s">
        <v>1262</v>
      </c>
      <c r="I960" s="32" t="s">
        <v>198</v>
      </c>
      <c r="J960" s="32" t="s">
        <v>199</v>
      </c>
      <c r="K960" s="32">
        <v>3.0620479999999999</v>
      </c>
      <c r="L960" s="33">
        <v>1874</v>
      </c>
      <c r="M960" s="32">
        <v>368</v>
      </c>
      <c r="N960" s="32">
        <v>540</v>
      </c>
      <c r="O960" s="32">
        <v>416</v>
      </c>
      <c r="P960" s="32">
        <v>434</v>
      </c>
      <c r="Q960" s="32">
        <v>116</v>
      </c>
      <c r="R960" s="32" t="s">
        <v>668</v>
      </c>
      <c r="S960" s="32">
        <v>121.054</v>
      </c>
      <c r="T960" s="32">
        <v>48.132800000000003</v>
      </c>
      <c r="U960" s="32">
        <v>0.68686619000000004</v>
      </c>
      <c r="V960" s="32">
        <v>3</v>
      </c>
      <c r="W960" s="32">
        <v>1</v>
      </c>
      <c r="X960" s="32">
        <v>0.35568899999999998</v>
      </c>
      <c r="Y960" s="32">
        <v>0.7</v>
      </c>
      <c r="Z960" s="32">
        <v>1</v>
      </c>
      <c r="AA960" s="32">
        <v>39.799999999999997</v>
      </c>
      <c r="AB960" s="32">
        <v>200</v>
      </c>
      <c r="AC960" s="32">
        <v>18</v>
      </c>
      <c r="AD960" s="32">
        <v>18</v>
      </c>
      <c r="AE960" s="32">
        <v>0</v>
      </c>
      <c r="AF960" s="32" t="s">
        <v>200</v>
      </c>
      <c r="AG960" s="32" t="s">
        <v>200</v>
      </c>
    </row>
    <row r="961" spans="1:33">
      <c r="A961" s="32" t="s">
        <v>3547</v>
      </c>
      <c r="B961" s="32" t="s">
        <v>40</v>
      </c>
      <c r="C961" s="32" t="s">
        <v>3548</v>
      </c>
      <c r="D961" s="32" t="s">
        <v>3549</v>
      </c>
      <c r="E961" s="32" t="s">
        <v>1269</v>
      </c>
      <c r="F961" s="32" t="s">
        <v>1270</v>
      </c>
      <c r="G961" s="32" t="s">
        <v>1261</v>
      </c>
      <c r="H961" s="32" t="s">
        <v>1262</v>
      </c>
      <c r="I961" s="32" t="s">
        <v>198</v>
      </c>
      <c r="J961" s="32" t="s">
        <v>199</v>
      </c>
      <c r="K961" s="32">
        <v>3.0866669999999998</v>
      </c>
      <c r="L961" s="33">
        <v>1592</v>
      </c>
      <c r="M961" s="32">
        <v>254</v>
      </c>
      <c r="N961" s="32">
        <v>388</v>
      </c>
      <c r="O961" s="32">
        <v>446</v>
      </c>
      <c r="P961" s="32">
        <v>391</v>
      </c>
      <c r="Q961" s="32">
        <v>113</v>
      </c>
      <c r="R961" s="32" t="s">
        <v>668</v>
      </c>
      <c r="S961" s="32">
        <v>123.949</v>
      </c>
      <c r="T961" s="32">
        <v>47.669499999999999</v>
      </c>
      <c r="U961" s="32">
        <v>0.81931273599999999</v>
      </c>
      <c r="V961" s="32">
        <v>2</v>
      </c>
      <c r="W961" s="32">
        <v>1</v>
      </c>
      <c r="X961" s="32">
        <v>0.38567600000000002</v>
      </c>
      <c r="Y961" s="32">
        <v>0.7</v>
      </c>
      <c r="Z961" s="32">
        <v>1</v>
      </c>
      <c r="AA961" s="32">
        <v>53.6</v>
      </c>
      <c r="AB961" s="32">
        <v>221</v>
      </c>
      <c r="AC961" s="32">
        <v>19</v>
      </c>
      <c r="AD961" s="32">
        <v>12</v>
      </c>
      <c r="AE961" s="32" t="s">
        <v>200</v>
      </c>
      <c r="AF961" s="32">
        <v>0</v>
      </c>
      <c r="AG961" s="32" t="s">
        <v>200</v>
      </c>
    </row>
    <row r="962" spans="1:33">
      <c r="A962" s="32" t="s">
        <v>3550</v>
      </c>
      <c r="B962" s="32" t="s">
        <v>40</v>
      </c>
      <c r="C962" s="32" t="s">
        <v>3551</v>
      </c>
      <c r="D962" s="32" t="s">
        <v>3552</v>
      </c>
      <c r="E962" s="32" t="s">
        <v>3524</v>
      </c>
      <c r="F962" s="32" t="s">
        <v>3525</v>
      </c>
      <c r="G962" s="32" t="s">
        <v>1261</v>
      </c>
      <c r="H962" s="32" t="s">
        <v>1262</v>
      </c>
      <c r="I962" s="32" t="s">
        <v>198</v>
      </c>
      <c r="J962" s="32" t="s">
        <v>199</v>
      </c>
      <c r="K962" s="32">
        <v>2.8508770000000001</v>
      </c>
      <c r="L962" s="33">
        <v>1435</v>
      </c>
      <c r="M962" s="32">
        <v>137</v>
      </c>
      <c r="N962" s="32">
        <v>436</v>
      </c>
      <c r="O962" s="32">
        <v>564</v>
      </c>
      <c r="P962" s="32">
        <v>227</v>
      </c>
      <c r="Q962" s="32">
        <v>71</v>
      </c>
      <c r="R962" s="32" t="s">
        <v>668</v>
      </c>
      <c r="S962" s="32">
        <v>113.492</v>
      </c>
      <c r="T962" s="32">
        <v>52.805399999999999</v>
      </c>
      <c r="U962" s="32">
        <v>0.65858594800000003</v>
      </c>
      <c r="V962" s="32">
        <v>4</v>
      </c>
      <c r="W962" s="32">
        <v>1</v>
      </c>
      <c r="X962" s="32">
        <v>0.195683</v>
      </c>
      <c r="Y962" s="32">
        <v>0.7</v>
      </c>
      <c r="Z962" s="32">
        <v>1</v>
      </c>
      <c r="AA962" s="32">
        <v>44.7</v>
      </c>
      <c r="AB962" s="32">
        <v>208</v>
      </c>
      <c r="AC962" s="32">
        <v>10</v>
      </c>
      <c r="AD962" s="32">
        <v>6</v>
      </c>
      <c r="AE962" s="32">
        <v>0</v>
      </c>
      <c r="AF962" s="32">
        <v>0</v>
      </c>
      <c r="AG962" s="32" t="s">
        <v>200</v>
      </c>
    </row>
    <row r="963" spans="1:33">
      <c r="A963" s="32" t="s">
        <v>3535</v>
      </c>
      <c r="B963" s="32" t="s">
        <v>40</v>
      </c>
      <c r="C963" s="32" t="s">
        <v>3536</v>
      </c>
      <c r="D963" s="32" t="s">
        <v>3537</v>
      </c>
      <c r="E963" s="32" t="s">
        <v>3498</v>
      </c>
      <c r="F963" s="32" t="s">
        <v>3499</v>
      </c>
      <c r="G963" s="32" t="s">
        <v>1261</v>
      </c>
      <c r="H963" s="32" t="s">
        <v>1262</v>
      </c>
      <c r="I963" s="32" t="s">
        <v>198</v>
      </c>
      <c r="J963" s="32" t="s">
        <v>199</v>
      </c>
      <c r="K963" s="32">
        <v>2.9561600000000001</v>
      </c>
      <c r="L963" s="33">
        <v>1509</v>
      </c>
      <c r="M963" s="32">
        <v>364</v>
      </c>
      <c r="N963" s="32">
        <v>403</v>
      </c>
      <c r="O963" s="32">
        <v>302</v>
      </c>
      <c r="P963" s="32">
        <v>299</v>
      </c>
      <c r="Q963" s="32">
        <v>141</v>
      </c>
      <c r="R963" s="32" t="s">
        <v>302</v>
      </c>
      <c r="S963" s="32">
        <v>41.6357</v>
      </c>
      <c r="T963" s="32">
        <v>19.463899999999999</v>
      </c>
      <c r="U963" s="32">
        <v>0.70688928699999998</v>
      </c>
      <c r="V963" s="32">
        <v>3</v>
      </c>
      <c r="W963" s="32">
        <v>1</v>
      </c>
      <c r="X963" s="32">
        <v>0.25071199999999999</v>
      </c>
      <c r="Y963" s="32">
        <v>0.7</v>
      </c>
      <c r="Z963" s="32">
        <v>1</v>
      </c>
      <c r="AA963" s="32">
        <v>57.4</v>
      </c>
      <c r="AB963" s="32">
        <v>257</v>
      </c>
      <c r="AC963" s="32">
        <v>10</v>
      </c>
      <c r="AD963" s="32">
        <v>8</v>
      </c>
      <c r="AE963" s="32" t="s">
        <v>200</v>
      </c>
      <c r="AF963" s="32" t="s">
        <v>200</v>
      </c>
      <c r="AG963" s="32" t="s">
        <v>200</v>
      </c>
    </row>
    <row r="964" spans="1:33">
      <c r="A964" s="32" t="s">
        <v>3553</v>
      </c>
      <c r="B964" s="32" t="s">
        <v>40</v>
      </c>
      <c r="C964" s="32" t="s">
        <v>3554</v>
      </c>
      <c r="D964" s="32" t="s">
        <v>3555</v>
      </c>
      <c r="E964" s="32" t="s">
        <v>3524</v>
      </c>
      <c r="F964" s="32" t="s">
        <v>3525</v>
      </c>
      <c r="G964" s="32" t="s">
        <v>1261</v>
      </c>
      <c r="H964" s="32" t="s">
        <v>1262</v>
      </c>
      <c r="I964" s="32" t="s">
        <v>198</v>
      </c>
      <c r="J964" s="32" t="s">
        <v>199</v>
      </c>
      <c r="K964" s="32">
        <v>2.7463769999999998</v>
      </c>
      <c r="L964" s="33">
        <v>1118</v>
      </c>
      <c r="M964" s="32">
        <v>284</v>
      </c>
      <c r="N964" s="32">
        <v>177</v>
      </c>
      <c r="O964" s="32">
        <v>297</v>
      </c>
      <c r="P964" s="32">
        <v>254</v>
      </c>
      <c r="Q964" s="32">
        <v>106</v>
      </c>
      <c r="R964" s="32" t="s">
        <v>668</v>
      </c>
      <c r="S964" s="32">
        <v>70.316800000000001</v>
      </c>
      <c r="T964" s="32">
        <v>59.960900000000002</v>
      </c>
      <c r="U964" s="32">
        <v>0.99891246099999997</v>
      </c>
      <c r="V964" s="32">
        <v>2</v>
      </c>
      <c r="W964" s="32">
        <v>1</v>
      </c>
      <c r="X964" s="32">
        <v>4.5069999999999999E-2</v>
      </c>
      <c r="Y964" s="32">
        <v>0.7</v>
      </c>
      <c r="Z964" s="32">
        <v>1</v>
      </c>
      <c r="AA964" s="32">
        <v>65.900000000000006</v>
      </c>
      <c r="AB964" s="32">
        <v>199</v>
      </c>
      <c r="AC964" s="32">
        <v>22</v>
      </c>
      <c r="AD964" s="32">
        <v>7</v>
      </c>
      <c r="AE964" s="32">
        <v>0</v>
      </c>
      <c r="AF964" s="32" t="s">
        <v>200</v>
      </c>
      <c r="AG964" s="32" t="s">
        <v>200</v>
      </c>
    </row>
    <row r="965" spans="1:33">
      <c r="A965" s="32" t="s">
        <v>3556</v>
      </c>
      <c r="B965" s="32" t="s">
        <v>40</v>
      </c>
      <c r="C965" s="32" t="s">
        <v>3557</v>
      </c>
      <c r="D965" s="32" t="s">
        <v>3558</v>
      </c>
      <c r="E965" s="32" t="s">
        <v>3524</v>
      </c>
      <c r="F965" s="32" t="s">
        <v>3525</v>
      </c>
      <c r="G965" s="32" t="s">
        <v>1261</v>
      </c>
      <c r="H965" s="32" t="s">
        <v>1262</v>
      </c>
      <c r="I965" s="32" t="s">
        <v>198</v>
      </c>
      <c r="J965" s="32" t="s">
        <v>199</v>
      </c>
      <c r="K965" s="32">
        <v>3.1154470000000001</v>
      </c>
      <c r="L965" s="33">
        <v>1405</v>
      </c>
      <c r="M965" s="32">
        <v>245</v>
      </c>
      <c r="N965" s="32">
        <v>431</v>
      </c>
      <c r="O965" s="32">
        <v>366</v>
      </c>
      <c r="P965" s="32">
        <v>268</v>
      </c>
      <c r="Q965" s="32">
        <v>95</v>
      </c>
      <c r="R965" s="32" t="s">
        <v>668</v>
      </c>
      <c r="S965" s="32">
        <v>88.935500000000005</v>
      </c>
      <c r="T965" s="32">
        <v>31.959099999999999</v>
      </c>
      <c r="U965" s="32">
        <v>0.73829119200000004</v>
      </c>
      <c r="V965" s="32">
        <v>1</v>
      </c>
      <c r="W965" s="32">
        <v>1</v>
      </c>
      <c r="X965" s="32">
        <v>0.41522599999999998</v>
      </c>
      <c r="Y965" s="32">
        <v>0.7</v>
      </c>
      <c r="Z965" s="32">
        <v>1</v>
      </c>
      <c r="AA965" s="32">
        <v>62.6</v>
      </c>
      <c r="AB965" s="32">
        <v>211</v>
      </c>
      <c r="AC965" s="32">
        <v>14</v>
      </c>
      <c r="AD965" s="32">
        <v>17</v>
      </c>
      <c r="AE965" s="32">
        <v>0</v>
      </c>
      <c r="AF965" s="32">
        <v>0</v>
      </c>
      <c r="AG965" s="32" t="s">
        <v>200</v>
      </c>
    </row>
    <row r="966" spans="1:33">
      <c r="A966" s="32" t="s">
        <v>3559</v>
      </c>
      <c r="B966" s="32" t="s">
        <v>40</v>
      </c>
      <c r="C966" s="32" t="s">
        <v>3560</v>
      </c>
      <c r="D966" s="32" t="s">
        <v>3561</v>
      </c>
      <c r="E966" s="32" t="s">
        <v>1269</v>
      </c>
      <c r="F966" s="32" t="s">
        <v>1270</v>
      </c>
      <c r="G966" s="32" t="s">
        <v>1261</v>
      </c>
      <c r="H966" s="32" t="s">
        <v>1262</v>
      </c>
      <c r="I966" s="32" t="s">
        <v>198</v>
      </c>
      <c r="J966" s="32" t="s">
        <v>199</v>
      </c>
      <c r="K966" s="32">
        <v>3.1014179999999998</v>
      </c>
      <c r="L966" s="33">
        <v>1302</v>
      </c>
      <c r="M966" s="32">
        <v>174</v>
      </c>
      <c r="N966" s="32">
        <v>437</v>
      </c>
      <c r="O966" s="32">
        <v>285</v>
      </c>
      <c r="P966" s="32">
        <v>301</v>
      </c>
      <c r="Q966" s="32">
        <v>105</v>
      </c>
      <c r="R966" s="32" t="s">
        <v>668</v>
      </c>
      <c r="S966" s="32">
        <v>131.34200000000001</v>
      </c>
      <c r="T966" s="32">
        <v>110.681</v>
      </c>
      <c r="U966" s="32">
        <v>0.60833842999999999</v>
      </c>
      <c r="V966" s="32">
        <v>3</v>
      </c>
      <c r="W966" s="32">
        <v>1</v>
      </c>
      <c r="X966" s="32">
        <v>0.410638</v>
      </c>
      <c r="Y966" s="32">
        <v>0.7</v>
      </c>
      <c r="Z966" s="32">
        <v>1</v>
      </c>
      <c r="AA966" s="32">
        <v>46.1</v>
      </c>
      <c r="AB966" s="32">
        <v>183</v>
      </c>
      <c r="AC966" s="32">
        <v>16</v>
      </c>
      <c r="AD966" s="32">
        <v>16</v>
      </c>
      <c r="AE966" s="32">
        <v>0</v>
      </c>
      <c r="AF966" s="32" t="s">
        <v>200</v>
      </c>
      <c r="AG966" s="32" t="s">
        <v>200</v>
      </c>
    </row>
    <row r="967" spans="1:33">
      <c r="A967" s="32" t="s">
        <v>3562</v>
      </c>
      <c r="B967" s="32" t="s">
        <v>44</v>
      </c>
      <c r="C967" s="32" t="s">
        <v>3563</v>
      </c>
      <c r="D967" s="32" t="s">
        <v>3564</v>
      </c>
      <c r="E967" s="32" t="s">
        <v>1237</v>
      </c>
      <c r="F967" s="32" t="s">
        <v>1238</v>
      </c>
      <c r="G967" s="32" t="s">
        <v>1232</v>
      </c>
      <c r="H967" s="32" t="s">
        <v>1233</v>
      </c>
      <c r="I967" s="32" t="s">
        <v>198</v>
      </c>
      <c r="J967" s="32" t="s">
        <v>199</v>
      </c>
      <c r="K967" s="32">
        <v>2.9912000000000001</v>
      </c>
      <c r="L967" s="33">
        <v>1594</v>
      </c>
      <c r="M967" s="32">
        <v>312</v>
      </c>
      <c r="N967" s="32">
        <v>252</v>
      </c>
      <c r="O967" s="32">
        <v>436</v>
      </c>
      <c r="P967" s="32">
        <v>381</v>
      </c>
      <c r="Q967" s="32">
        <v>213</v>
      </c>
      <c r="R967" s="32" t="s">
        <v>302</v>
      </c>
      <c r="S967" s="32">
        <v>51.01</v>
      </c>
      <c r="T967" s="32">
        <v>9.1888400000000008</v>
      </c>
      <c r="U967" s="32">
        <v>0.76957018700000002</v>
      </c>
      <c r="V967" s="32">
        <v>3</v>
      </c>
      <c r="W967" s="32">
        <v>1</v>
      </c>
      <c r="X967" s="32">
        <v>0.27330700000000002</v>
      </c>
      <c r="Y967" s="32">
        <v>0.7</v>
      </c>
      <c r="Z967" s="32">
        <v>1</v>
      </c>
      <c r="AA967" s="32">
        <v>50</v>
      </c>
      <c r="AB967" s="32">
        <v>243</v>
      </c>
      <c r="AC967" s="32">
        <v>17</v>
      </c>
      <c r="AD967" s="32">
        <v>8</v>
      </c>
      <c r="AE967" s="32">
        <v>0</v>
      </c>
      <c r="AF967" s="32" t="s">
        <v>200</v>
      </c>
      <c r="AG967" s="32" t="s">
        <v>200</v>
      </c>
    </row>
    <row r="968" spans="1:33">
      <c r="A968" s="32" t="s">
        <v>3565</v>
      </c>
      <c r="B968" s="32" t="s">
        <v>44</v>
      </c>
      <c r="C968" s="32" t="s">
        <v>3566</v>
      </c>
      <c r="D968" s="32" t="s">
        <v>3567</v>
      </c>
      <c r="E968" s="32" t="s">
        <v>1237</v>
      </c>
      <c r="F968" s="32" t="s">
        <v>1238</v>
      </c>
      <c r="G968" s="32" t="s">
        <v>1232</v>
      </c>
      <c r="H968" s="32" t="s">
        <v>1233</v>
      </c>
      <c r="I968" s="32" t="s">
        <v>198</v>
      </c>
      <c r="J968" s="32" t="s">
        <v>199</v>
      </c>
      <c r="K968" s="32">
        <v>2.8659289999999999</v>
      </c>
      <c r="L968" s="33">
        <v>2206</v>
      </c>
      <c r="M968" s="32">
        <v>328</v>
      </c>
      <c r="N968" s="32">
        <v>479</v>
      </c>
      <c r="O968" s="32">
        <v>638</v>
      </c>
      <c r="P968" s="32">
        <v>506</v>
      </c>
      <c r="Q968" s="32">
        <v>255</v>
      </c>
      <c r="R968" s="32" t="s">
        <v>302</v>
      </c>
      <c r="S968" s="32">
        <v>58.132199999999997</v>
      </c>
      <c r="T968" s="32">
        <v>24.078499999999998</v>
      </c>
      <c r="U968" s="32">
        <v>0.56729782299999998</v>
      </c>
      <c r="V968" s="32">
        <v>6</v>
      </c>
      <c r="W968" s="32">
        <v>1</v>
      </c>
      <c r="X968" s="32">
        <v>0.17383599999999999</v>
      </c>
      <c r="Y968" s="32">
        <v>0.7</v>
      </c>
      <c r="Z968" s="32">
        <v>1</v>
      </c>
      <c r="AA968" s="32">
        <v>28.6</v>
      </c>
      <c r="AB968" s="32">
        <v>433</v>
      </c>
      <c r="AC968" s="32">
        <v>40</v>
      </c>
      <c r="AD968" s="32">
        <v>17</v>
      </c>
      <c r="AE968" s="32">
        <v>0</v>
      </c>
      <c r="AF968" s="32">
        <v>0</v>
      </c>
      <c r="AG968" s="32" t="s">
        <v>200</v>
      </c>
    </row>
    <row r="969" spans="1:33">
      <c r="A969" s="32" t="s">
        <v>3568</v>
      </c>
      <c r="B969" s="32" t="s">
        <v>44</v>
      </c>
      <c r="C969" s="32" t="s">
        <v>3569</v>
      </c>
      <c r="D969" s="32" t="s">
        <v>3570</v>
      </c>
      <c r="E969" s="32" t="s">
        <v>3261</v>
      </c>
      <c r="F969" s="32" t="s">
        <v>3262</v>
      </c>
      <c r="G969" s="32" t="s">
        <v>1232</v>
      </c>
      <c r="H969" s="32" t="s">
        <v>1233</v>
      </c>
      <c r="I969" s="32" t="s">
        <v>198</v>
      </c>
      <c r="J969" s="32" t="s">
        <v>199</v>
      </c>
      <c r="K969" s="32">
        <v>2.9620410000000001</v>
      </c>
      <c r="L969" s="33">
        <v>1822</v>
      </c>
      <c r="M969" s="32">
        <v>286</v>
      </c>
      <c r="N969" s="32">
        <v>472</v>
      </c>
      <c r="O969" s="32">
        <v>583</v>
      </c>
      <c r="P969" s="32">
        <v>367</v>
      </c>
      <c r="Q969" s="32">
        <v>114</v>
      </c>
      <c r="R969" s="32" t="s">
        <v>302</v>
      </c>
      <c r="S969" s="32">
        <v>59.009399999999999</v>
      </c>
      <c r="T969" s="32">
        <v>13.577</v>
      </c>
      <c r="U969" s="32">
        <v>0.71399952099999997</v>
      </c>
      <c r="V969" s="32">
        <v>3</v>
      </c>
      <c r="W969" s="32">
        <v>0.98566500000000001</v>
      </c>
      <c r="X969" s="32">
        <v>0.27727299999999999</v>
      </c>
      <c r="Y969" s="32">
        <v>0.7</v>
      </c>
      <c r="Z969" s="32">
        <v>1</v>
      </c>
      <c r="AA969" s="32">
        <v>41.7</v>
      </c>
      <c r="AB969" s="32">
        <v>257</v>
      </c>
      <c r="AC969" s="32">
        <v>14</v>
      </c>
      <c r="AD969" s="32">
        <v>19</v>
      </c>
      <c r="AE969" s="32">
        <v>0</v>
      </c>
      <c r="AF969" s="32">
        <v>0</v>
      </c>
      <c r="AG969" s="32" t="s">
        <v>200</v>
      </c>
    </row>
    <row r="970" spans="1:33">
      <c r="A970" s="32" t="s">
        <v>3571</v>
      </c>
      <c r="B970" s="32" t="s">
        <v>44</v>
      </c>
      <c r="C970" s="32" t="s">
        <v>3572</v>
      </c>
      <c r="D970" s="32" t="s">
        <v>3573</v>
      </c>
      <c r="E970" s="32" t="s">
        <v>1230</v>
      </c>
      <c r="F970" s="32" t="s">
        <v>1231</v>
      </c>
      <c r="G970" s="32" t="s">
        <v>1232</v>
      </c>
      <c r="H970" s="32" t="s">
        <v>1233</v>
      </c>
      <c r="I970" s="32" t="s">
        <v>198</v>
      </c>
      <c r="J970" s="32" t="s">
        <v>199</v>
      </c>
      <c r="K970" s="32">
        <v>2.9188679999999998</v>
      </c>
      <c r="L970" s="33">
        <v>1580</v>
      </c>
      <c r="M970" s="32">
        <v>257</v>
      </c>
      <c r="N970" s="32">
        <v>440</v>
      </c>
      <c r="O970" s="32">
        <v>447</v>
      </c>
      <c r="P970" s="32">
        <v>327</v>
      </c>
      <c r="Q970" s="32">
        <v>109</v>
      </c>
      <c r="R970" s="32" t="s">
        <v>668</v>
      </c>
      <c r="S970" s="32">
        <v>51.677500000000002</v>
      </c>
      <c r="T970" s="32">
        <v>28.504100000000001</v>
      </c>
      <c r="U970" s="32">
        <v>0.67380352499999996</v>
      </c>
      <c r="V970" s="32">
        <v>3</v>
      </c>
      <c r="W970" s="32">
        <v>1</v>
      </c>
      <c r="X970" s="32">
        <v>0.221024</v>
      </c>
      <c r="Y970" s="32">
        <v>0.7</v>
      </c>
      <c r="Z970" s="32">
        <v>1</v>
      </c>
      <c r="AA970" s="32">
        <v>41.8</v>
      </c>
      <c r="AB970" s="32">
        <v>209</v>
      </c>
      <c r="AC970" s="32">
        <v>21</v>
      </c>
      <c r="AD970" s="32">
        <v>14</v>
      </c>
      <c r="AE970" s="32">
        <v>0</v>
      </c>
      <c r="AF970" s="32">
        <v>0</v>
      </c>
      <c r="AG970" s="32" t="s">
        <v>200</v>
      </c>
    </row>
    <row r="971" spans="1:33">
      <c r="A971" s="32" t="s">
        <v>3574</v>
      </c>
      <c r="B971" s="32" t="s">
        <v>44</v>
      </c>
      <c r="C971" s="32" t="s">
        <v>3575</v>
      </c>
      <c r="D971" s="32" t="s">
        <v>3576</v>
      </c>
      <c r="E971" s="32" t="s">
        <v>3577</v>
      </c>
      <c r="F971" s="32" t="s">
        <v>3578</v>
      </c>
      <c r="G971" s="32" t="s">
        <v>1232</v>
      </c>
      <c r="H971" s="32" t="s">
        <v>1233</v>
      </c>
      <c r="I971" s="32" t="s">
        <v>198</v>
      </c>
      <c r="J971" s="32" t="s">
        <v>199</v>
      </c>
      <c r="K971" s="32">
        <v>3.0039009999999999</v>
      </c>
      <c r="L971" s="33">
        <v>1832</v>
      </c>
      <c r="M971" s="32">
        <v>134</v>
      </c>
      <c r="N971" s="32">
        <v>557</v>
      </c>
      <c r="O971" s="32">
        <v>580</v>
      </c>
      <c r="P971" s="32">
        <v>367</v>
      </c>
      <c r="Q971" s="32">
        <v>194</v>
      </c>
      <c r="R971" s="32" t="s">
        <v>668</v>
      </c>
      <c r="S971" s="32">
        <v>62.8155</v>
      </c>
      <c r="T971" s="32">
        <v>28.9038</v>
      </c>
      <c r="U971" s="32">
        <v>0.63407701999999999</v>
      </c>
      <c r="V971" s="32">
        <v>4</v>
      </c>
      <c r="W971" s="32">
        <v>0.99835700000000005</v>
      </c>
      <c r="X971" s="32">
        <v>0.32206200000000001</v>
      </c>
      <c r="Y971" s="32">
        <v>0.7</v>
      </c>
      <c r="Z971" s="32">
        <v>1</v>
      </c>
      <c r="AA971" s="32">
        <v>31.1</v>
      </c>
      <c r="AB971" s="32">
        <v>245</v>
      </c>
      <c r="AC971" s="32">
        <v>23</v>
      </c>
      <c r="AD971" s="32">
        <v>43</v>
      </c>
      <c r="AE971" s="32">
        <v>0</v>
      </c>
      <c r="AF971" s="32" t="s">
        <v>200</v>
      </c>
      <c r="AG971" s="32" t="s">
        <v>200</v>
      </c>
    </row>
    <row r="972" spans="1:33">
      <c r="A972" s="32" t="s">
        <v>3579</v>
      </c>
      <c r="B972" s="32" t="s">
        <v>44</v>
      </c>
      <c r="C972" s="32" t="s">
        <v>3580</v>
      </c>
      <c r="D972" s="32" t="s">
        <v>3581</v>
      </c>
      <c r="E972" s="32" t="s">
        <v>1230</v>
      </c>
      <c r="F972" s="32" t="s">
        <v>1231</v>
      </c>
      <c r="G972" s="32" t="s">
        <v>1232</v>
      </c>
      <c r="H972" s="32" t="s">
        <v>1233</v>
      </c>
      <c r="I972" s="32" t="s">
        <v>198</v>
      </c>
      <c r="J972" s="32" t="s">
        <v>199</v>
      </c>
      <c r="K972" s="32">
        <v>2.9450259999999999</v>
      </c>
      <c r="L972" s="33">
        <v>2173</v>
      </c>
      <c r="M972" s="32">
        <v>428</v>
      </c>
      <c r="N972" s="32">
        <v>417</v>
      </c>
      <c r="O972" s="32">
        <v>588</v>
      </c>
      <c r="P972" s="32">
        <v>519</v>
      </c>
      <c r="Q972" s="32">
        <v>221</v>
      </c>
      <c r="R972" s="32">
        <v>5</v>
      </c>
      <c r="S972" s="32">
        <v>34.703400000000002</v>
      </c>
      <c r="T972" s="32">
        <v>13.368399999999999</v>
      </c>
      <c r="U972" s="32">
        <v>0.61266451799999999</v>
      </c>
      <c r="V972" s="32">
        <v>3</v>
      </c>
      <c r="W972" s="32">
        <v>1</v>
      </c>
      <c r="X972" s="32">
        <v>0.23812</v>
      </c>
      <c r="Y972" s="32">
        <v>0.7</v>
      </c>
      <c r="Z972" s="32">
        <v>1</v>
      </c>
      <c r="AA972" s="32">
        <v>35.799999999999997</v>
      </c>
      <c r="AB972" s="32">
        <v>393</v>
      </c>
      <c r="AC972" s="32">
        <v>26</v>
      </c>
      <c r="AD972" s="32">
        <v>20</v>
      </c>
      <c r="AE972" s="32">
        <v>0</v>
      </c>
      <c r="AF972" s="32">
        <v>0</v>
      </c>
      <c r="AG972" s="32" t="s">
        <v>200</v>
      </c>
    </row>
    <row r="973" spans="1:33">
      <c r="A973" s="32" t="s">
        <v>3582</v>
      </c>
      <c r="B973" s="32" t="s">
        <v>44</v>
      </c>
      <c r="C973" s="32" t="s">
        <v>3583</v>
      </c>
      <c r="D973" s="32" t="s">
        <v>3584</v>
      </c>
      <c r="E973" s="32" t="s">
        <v>1230</v>
      </c>
      <c r="F973" s="32" t="s">
        <v>1231</v>
      </c>
      <c r="G973" s="32" t="s">
        <v>1232</v>
      </c>
      <c r="H973" s="32" t="s">
        <v>1233</v>
      </c>
      <c r="I973" s="32" t="s">
        <v>198</v>
      </c>
      <c r="J973" s="32" t="s">
        <v>199</v>
      </c>
      <c r="K973" s="32">
        <v>2.961881</v>
      </c>
      <c r="L973" s="33">
        <v>1977</v>
      </c>
      <c r="M973" s="32">
        <v>228</v>
      </c>
      <c r="N973" s="32">
        <v>515</v>
      </c>
      <c r="O973" s="32">
        <v>643</v>
      </c>
      <c r="P973" s="32">
        <v>433</v>
      </c>
      <c r="Q973" s="32">
        <v>158</v>
      </c>
      <c r="R973" s="32" t="s">
        <v>668</v>
      </c>
      <c r="S973" s="32">
        <v>47.926600000000001</v>
      </c>
      <c r="T973" s="32">
        <v>26.048100000000002</v>
      </c>
      <c r="U973" s="32">
        <v>0.45844207199999998</v>
      </c>
      <c r="V973" s="32">
        <v>6</v>
      </c>
      <c r="W973" s="32">
        <v>1</v>
      </c>
      <c r="X973" s="32">
        <v>0.25530900000000001</v>
      </c>
      <c r="Y973" s="32">
        <v>0.7</v>
      </c>
      <c r="Z973" s="32">
        <v>1</v>
      </c>
      <c r="AA973" s="32">
        <v>30.2</v>
      </c>
      <c r="AB973" s="32">
        <v>380</v>
      </c>
      <c r="AC973" s="32">
        <v>28</v>
      </c>
      <c r="AD973" s="32">
        <v>24</v>
      </c>
      <c r="AE973" s="32">
        <v>0</v>
      </c>
      <c r="AF973" s="32">
        <v>0</v>
      </c>
      <c r="AG973" s="32" t="s">
        <v>200</v>
      </c>
    </row>
    <row r="974" spans="1:33">
      <c r="A974" s="32" t="s">
        <v>3585</v>
      </c>
      <c r="B974" s="32" t="s">
        <v>44</v>
      </c>
      <c r="C974" s="32" t="s">
        <v>3586</v>
      </c>
      <c r="D974" s="32" t="s">
        <v>3587</v>
      </c>
      <c r="E974" s="32" t="s">
        <v>3588</v>
      </c>
      <c r="F974" s="32" t="s">
        <v>3589</v>
      </c>
      <c r="G974" s="32" t="s">
        <v>1261</v>
      </c>
      <c r="H974" s="32" t="s">
        <v>1262</v>
      </c>
      <c r="I974" s="32" t="s">
        <v>198</v>
      </c>
      <c r="J974" s="32" t="s">
        <v>199</v>
      </c>
      <c r="K974" s="32">
        <v>2.7370890000000001</v>
      </c>
      <c r="L974" s="33">
        <v>1452</v>
      </c>
      <c r="M974" s="32">
        <v>231</v>
      </c>
      <c r="N974" s="32">
        <v>240</v>
      </c>
      <c r="O974" s="32">
        <v>398</v>
      </c>
      <c r="P974" s="32">
        <v>415</v>
      </c>
      <c r="Q974" s="32">
        <v>168</v>
      </c>
      <c r="R974" s="32" t="s">
        <v>668</v>
      </c>
      <c r="S974" s="32">
        <v>52.982599999999998</v>
      </c>
      <c r="T974" s="32">
        <v>30.720099999999999</v>
      </c>
      <c r="U974" s="32">
        <v>0.97120765799999997</v>
      </c>
      <c r="V974" s="32">
        <v>2</v>
      </c>
      <c r="W974" s="32">
        <v>0.98920200000000003</v>
      </c>
      <c r="X974" s="32">
        <v>7.3148000000000005E-2</v>
      </c>
      <c r="Y974" s="32">
        <v>0.7</v>
      </c>
      <c r="Z974" s="32">
        <v>1</v>
      </c>
      <c r="AA974" s="32">
        <v>43.8</v>
      </c>
      <c r="AB974" s="32">
        <v>204</v>
      </c>
      <c r="AC974" s="32">
        <v>27</v>
      </c>
      <c r="AD974" s="32">
        <v>24</v>
      </c>
      <c r="AE974" s="32">
        <v>0</v>
      </c>
      <c r="AF974" s="32">
        <v>0</v>
      </c>
      <c r="AG974" s="32" t="s">
        <v>200</v>
      </c>
    </row>
    <row r="975" spans="1:33">
      <c r="A975" s="32" t="s">
        <v>3590</v>
      </c>
      <c r="B975" s="32" t="s">
        <v>44</v>
      </c>
      <c r="C975" s="32" t="s">
        <v>3591</v>
      </c>
      <c r="D975" s="32" t="s">
        <v>3592</v>
      </c>
      <c r="E975" s="32" t="s">
        <v>3588</v>
      </c>
      <c r="F975" s="32" t="s">
        <v>3589</v>
      </c>
      <c r="G975" s="32" t="s">
        <v>1261</v>
      </c>
      <c r="H975" s="32" t="s">
        <v>1262</v>
      </c>
      <c r="I975" s="32" t="s">
        <v>198</v>
      </c>
      <c r="J975" s="32" t="s">
        <v>199</v>
      </c>
      <c r="K975" s="32">
        <v>2.795623</v>
      </c>
      <c r="L975" s="33">
        <v>1446</v>
      </c>
      <c r="M975" s="32">
        <v>171</v>
      </c>
      <c r="N975" s="32">
        <v>326</v>
      </c>
      <c r="O975" s="32">
        <v>456</v>
      </c>
      <c r="P975" s="32">
        <v>349</v>
      </c>
      <c r="Q975" s="32">
        <v>144</v>
      </c>
      <c r="R975" s="32" t="s">
        <v>302</v>
      </c>
      <c r="S975" s="32">
        <v>51.162700000000001</v>
      </c>
      <c r="T975" s="32">
        <v>24.731999999999999</v>
      </c>
      <c r="U975" s="32">
        <v>0.73043603999999995</v>
      </c>
      <c r="V975" s="32">
        <v>4</v>
      </c>
      <c r="W975" s="32">
        <v>0.98787899999999995</v>
      </c>
      <c r="X975" s="32">
        <v>0.14189199999999999</v>
      </c>
      <c r="Y975" s="32">
        <v>0.7</v>
      </c>
      <c r="Z975" s="32">
        <v>1</v>
      </c>
      <c r="AA975" s="32">
        <v>29.4</v>
      </c>
      <c r="AB975" s="32">
        <v>259</v>
      </c>
      <c r="AC975" s="32">
        <v>11</v>
      </c>
      <c r="AD975" s="32">
        <v>12</v>
      </c>
      <c r="AE975" s="32">
        <v>0</v>
      </c>
      <c r="AF975" s="32">
        <v>0</v>
      </c>
      <c r="AG975" s="32" t="s">
        <v>200</v>
      </c>
    </row>
    <row r="976" spans="1:33">
      <c r="A976" s="32" t="s">
        <v>3593</v>
      </c>
      <c r="B976" s="32" t="s">
        <v>44</v>
      </c>
      <c r="C976" s="32" t="s">
        <v>3594</v>
      </c>
      <c r="D976" s="32" t="s">
        <v>3595</v>
      </c>
      <c r="E976" s="32" t="s">
        <v>1269</v>
      </c>
      <c r="F976" s="32" t="s">
        <v>1270</v>
      </c>
      <c r="G976" s="32" t="s">
        <v>1261</v>
      </c>
      <c r="H976" s="32" t="s">
        <v>1262</v>
      </c>
      <c r="I976" s="32" t="s">
        <v>198</v>
      </c>
      <c r="J976" s="32" t="s">
        <v>199</v>
      </c>
      <c r="K976" s="32">
        <v>3.0500780000000001</v>
      </c>
      <c r="L976" s="33">
        <v>1881</v>
      </c>
      <c r="M976" s="32">
        <v>205</v>
      </c>
      <c r="N976" s="32">
        <v>679</v>
      </c>
      <c r="O976" s="32">
        <v>456</v>
      </c>
      <c r="P976" s="32">
        <v>394</v>
      </c>
      <c r="Q976" s="32">
        <v>147</v>
      </c>
      <c r="R976" s="32" t="s">
        <v>668</v>
      </c>
      <c r="S976" s="32">
        <v>94.046800000000005</v>
      </c>
      <c r="T976" s="32">
        <v>36.751399999999997</v>
      </c>
      <c r="U976" s="32">
        <v>0.70007057900000003</v>
      </c>
      <c r="V976" s="32">
        <v>2</v>
      </c>
      <c r="W976" s="32">
        <v>1</v>
      </c>
      <c r="X976" s="32">
        <v>0.351242</v>
      </c>
      <c r="Y976" s="32">
        <v>0.7</v>
      </c>
      <c r="Z976" s="32">
        <v>1</v>
      </c>
      <c r="AA976" s="32">
        <v>42.9</v>
      </c>
      <c r="AB976" s="32">
        <v>356</v>
      </c>
      <c r="AC976" s="32">
        <v>24</v>
      </c>
      <c r="AD976" s="32">
        <v>13</v>
      </c>
      <c r="AE976" s="32">
        <v>0</v>
      </c>
      <c r="AF976" s="32">
        <v>19</v>
      </c>
      <c r="AG976" s="32">
        <v>6</v>
      </c>
    </row>
    <row r="977" spans="1:33">
      <c r="A977" s="32" t="s">
        <v>3596</v>
      </c>
      <c r="B977" s="32" t="s">
        <v>44</v>
      </c>
      <c r="C977" s="32" t="s">
        <v>3597</v>
      </c>
      <c r="D977" s="32" t="s">
        <v>3598</v>
      </c>
      <c r="E977" s="32" t="s">
        <v>3588</v>
      </c>
      <c r="F977" s="32" t="s">
        <v>3589</v>
      </c>
      <c r="G977" s="32" t="s">
        <v>1261</v>
      </c>
      <c r="H977" s="32" t="s">
        <v>1262</v>
      </c>
      <c r="I977" s="32" t="s">
        <v>198</v>
      </c>
      <c r="J977" s="32" t="s">
        <v>199</v>
      </c>
      <c r="K977" s="32">
        <v>3.0710350000000002</v>
      </c>
      <c r="L977" s="33">
        <v>1908</v>
      </c>
      <c r="M977" s="32">
        <v>282</v>
      </c>
      <c r="N977" s="32">
        <v>509</v>
      </c>
      <c r="O977" s="32">
        <v>617</v>
      </c>
      <c r="P977" s="32">
        <v>378</v>
      </c>
      <c r="Q977" s="32">
        <v>122</v>
      </c>
      <c r="R977" s="32" t="s">
        <v>668</v>
      </c>
      <c r="S977" s="32">
        <v>76.319599999999994</v>
      </c>
      <c r="T977" s="32">
        <v>53.633000000000003</v>
      </c>
      <c r="U977" s="32">
        <v>0.66529607800000001</v>
      </c>
      <c r="V977" s="32">
        <v>4</v>
      </c>
      <c r="W977" s="32">
        <v>1</v>
      </c>
      <c r="X977" s="32">
        <v>0.43698599999999999</v>
      </c>
      <c r="Y977" s="32">
        <v>0.7</v>
      </c>
      <c r="Z977" s="32">
        <v>1</v>
      </c>
      <c r="AA977" s="32">
        <v>52.8</v>
      </c>
      <c r="AB977" s="32">
        <v>135</v>
      </c>
      <c r="AC977" s="32">
        <v>15</v>
      </c>
      <c r="AD977" s="32">
        <v>6</v>
      </c>
      <c r="AE977" s="32">
        <v>0</v>
      </c>
      <c r="AF977" s="32" t="s">
        <v>200</v>
      </c>
      <c r="AG977" s="32" t="s">
        <v>200</v>
      </c>
    </row>
    <row r="978" spans="1:33">
      <c r="A978" s="32" t="s">
        <v>3599</v>
      </c>
      <c r="B978" s="32" t="s">
        <v>65</v>
      </c>
      <c r="C978" s="32" t="s">
        <v>3600</v>
      </c>
      <c r="D978" s="32" t="s">
        <v>3601</v>
      </c>
      <c r="E978" s="32" t="s">
        <v>3602</v>
      </c>
      <c r="F978" s="32" t="s">
        <v>3603</v>
      </c>
      <c r="G978" s="32" t="s">
        <v>1232</v>
      </c>
      <c r="H978" s="32" t="s">
        <v>1233</v>
      </c>
      <c r="I978" s="32" t="s">
        <v>198</v>
      </c>
      <c r="J978" s="32" t="s">
        <v>199</v>
      </c>
      <c r="K978" s="32">
        <v>2.7473679999999998</v>
      </c>
      <c r="L978" s="33">
        <v>1482</v>
      </c>
      <c r="M978" s="32">
        <v>219</v>
      </c>
      <c r="N978" s="32">
        <v>355</v>
      </c>
      <c r="O978" s="32">
        <v>430</v>
      </c>
      <c r="P978" s="32">
        <v>316</v>
      </c>
      <c r="Q978" s="32">
        <v>162</v>
      </c>
      <c r="R978" s="32" t="s">
        <v>302</v>
      </c>
      <c r="S978" s="32">
        <v>29.540299999999998</v>
      </c>
      <c r="T978" s="32">
        <v>16.410599999999999</v>
      </c>
      <c r="U978" s="32">
        <v>0.85934933000000002</v>
      </c>
      <c r="V978" s="32">
        <v>3</v>
      </c>
      <c r="W978" s="32">
        <v>0.92024300000000003</v>
      </c>
      <c r="X978" s="32">
        <v>0.12177399999999999</v>
      </c>
      <c r="Y978" s="32">
        <v>0.7056</v>
      </c>
      <c r="Z978" s="32">
        <v>1</v>
      </c>
      <c r="AA978" s="32">
        <v>39.1</v>
      </c>
      <c r="AB978" s="32">
        <v>220</v>
      </c>
      <c r="AC978" s="32">
        <v>22</v>
      </c>
      <c r="AD978" s="32">
        <v>10</v>
      </c>
      <c r="AE978" s="32" t="s">
        <v>200</v>
      </c>
      <c r="AF978" s="32">
        <v>0</v>
      </c>
      <c r="AG978" s="32" t="s">
        <v>200</v>
      </c>
    </row>
    <row r="979" spans="1:33">
      <c r="A979" s="32" t="s">
        <v>3604</v>
      </c>
      <c r="B979" s="32" t="s">
        <v>65</v>
      </c>
      <c r="C979" s="32" t="s">
        <v>3605</v>
      </c>
      <c r="D979" s="32" t="s">
        <v>3606</v>
      </c>
      <c r="E979" s="32" t="s">
        <v>3602</v>
      </c>
      <c r="F979" s="32" t="s">
        <v>3603</v>
      </c>
      <c r="G979" s="32" t="s">
        <v>1232</v>
      </c>
      <c r="H979" s="32" t="s">
        <v>1233</v>
      </c>
      <c r="I979" s="32" t="s">
        <v>198</v>
      </c>
      <c r="J979" s="32" t="s">
        <v>199</v>
      </c>
      <c r="K979" s="32">
        <v>2.891489</v>
      </c>
      <c r="L979" s="33">
        <v>1796</v>
      </c>
      <c r="M979" s="32">
        <v>396</v>
      </c>
      <c r="N979" s="32">
        <v>339</v>
      </c>
      <c r="O979" s="32">
        <v>426</v>
      </c>
      <c r="P979" s="32">
        <v>436</v>
      </c>
      <c r="Q979" s="32">
        <v>199</v>
      </c>
      <c r="R979" s="32">
        <v>5</v>
      </c>
      <c r="S979" s="32">
        <v>30.470700000000001</v>
      </c>
      <c r="T979" s="32">
        <v>12.873100000000001</v>
      </c>
      <c r="U979" s="32">
        <v>0.82775412400000004</v>
      </c>
      <c r="V979" s="32">
        <v>3</v>
      </c>
      <c r="W979" s="32">
        <v>0.91404300000000005</v>
      </c>
      <c r="X979" s="32">
        <v>0.24249999999999999</v>
      </c>
      <c r="Y979" s="32">
        <v>0.7</v>
      </c>
      <c r="Z979" s="32">
        <v>1</v>
      </c>
      <c r="AA979" s="32">
        <v>61</v>
      </c>
      <c r="AB979" s="32">
        <v>260</v>
      </c>
      <c r="AC979" s="32">
        <v>21</v>
      </c>
      <c r="AD979" s="32">
        <v>13</v>
      </c>
      <c r="AE979" s="32">
        <v>0</v>
      </c>
      <c r="AF979" s="32">
        <v>0</v>
      </c>
      <c r="AG979" s="32" t="s">
        <v>200</v>
      </c>
    </row>
    <row r="980" spans="1:33">
      <c r="A980" s="32" t="s">
        <v>3607</v>
      </c>
      <c r="B980" s="32" t="s">
        <v>65</v>
      </c>
      <c r="C980" s="32" t="s">
        <v>3608</v>
      </c>
      <c r="D980" s="32" t="s">
        <v>3609</v>
      </c>
      <c r="E980" s="32" t="s">
        <v>3610</v>
      </c>
      <c r="F980" s="32" t="s">
        <v>3611</v>
      </c>
      <c r="G980" s="32" t="s">
        <v>1232</v>
      </c>
      <c r="H980" s="32" t="s">
        <v>1233</v>
      </c>
      <c r="I980" s="32" t="s">
        <v>198</v>
      </c>
      <c r="J980" s="32" t="s">
        <v>199</v>
      </c>
      <c r="K980" s="32">
        <v>2.8914749999999998</v>
      </c>
      <c r="L980" s="33">
        <v>1535</v>
      </c>
      <c r="M980" s="32">
        <v>261</v>
      </c>
      <c r="N980" s="32">
        <v>359</v>
      </c>
      <c r="O980" s="32">
        <v>439</v>
      </c>
      <c r="P980" s="32">
        <v>379</v>
      </c>
      <c r="Q980" s="32">
        <v>97</v>
      </c>
      <c r="R980" s="32" t="s">
        <v>302</v>
      </c>
      <c r="S980" s="32">
        <v>40.331099999999999</v>
      </c>
      <c r="T980" s="32">
        <v>24.039000000000001</v>
      </c>
      <c r="U980" s="32">
        <v>0.79343593400000001</v>
      </c>
      <c r="V980" s="32">
        <v>3</v>
      </c>
      <c r="W980" s="32">
        <v>0.92786900000000005</v>
      </c>
      <c r="X980" s="32">
        <v>0.20200699999999999</v>
      </c>
      <c r="Y980" s="32">
        <v>0.75800000000000001</v>
      </c>
      <c r="Z980" s="32">
        <v>1</v>
      </c>
      <c r="AA980" s="32">
        <v>48</v>
      </c>
      <c r="AB980" s="32">
        <v>247</v>
      </c>
      <c r="AC980" s="32">
        <v>16</v>
      </c>
      <c r="AD980" s="32">
        <v>11</v>
      </c>
      <c r="AE980" s="32">
        <v>0</v>
      </c>
      <c r="AF980" s="32" t="s">
        <v>200</v>
      </c>
      <c r="AG980" s="32" t="s">
        <v>200</v>
      </c>
    </row>
    <row r="981" spans="1:33">
      <c r="A981" s="32" t="s">
        <v>3612</v>
      </c>
      <c r="B981" s="32" t="s">
        <v>65</v>
      </c>
      <c r="C981" s="32" t="s">
        <v>3613</v>
      </c>
      <c r="D981" s="32" t="s">
        <v>3614</v>
      </c>
      <c r="E981" s="32" t="s">
        <v>3615</v>
      </c>
      <c r="F981" s="32" t="s">
        <v>3616</v>
      </c>
      <c r="G981" s="32" t="s">
        <v>1232</v>
      </c>
      <c r="H981" s="32" t="s">
        <v>1233</v>
      </c>
      <c r="I981" s="32" t="s">
        <v>198</v>
      </c>
      <c r="J981" s="32" t="s">
        <v>199</v>
      </c>
      <c r="K981" s="32">
        <v>2.808163</v>
      </c>
      <c r="L981" s="33">
        <v>1789</v>
      </c>
      <c r="M981" s="32">
        <v>264</v>
      </c>
      <c r="N981" s="32">
        <v>477</v>
      </c>
      <c r="O981" s="32">
        <v>463</v>
      </c>
      <c r="P981" s="32">
        <v>431</v>
      </c>
      <c r="Q981" s="32">
        <v>154</v>
      </c>
      <c r="R981" s="32" t="s">
        <v>302</v>
      </c>
      <c r="S981" s="32">
        <v>40.32</v>
      </c>
      <c r="T981" s="32">
        <v>24.101700000000001</v>
      </c>
      <c r="U981" s="32">
        <v>0.71904669099999996</v>
      </c>
      <c r="V981" s="32">
        <v>4</v>
      </c>
      <c r="W981" s="32">
        <v>0.91505099999999995</v>
      </c>
      <c r="X981" s="32">
        <v>0.101523</v>
      </c>
      <c r="Y981" s="32">
        <v>0.79974299999999998</v>
      </c>
      <c r="Z981" s="32">
        <v>1</v>
      </c>
      <c r="AA981" s="32">
        <v>36.9</v>
      </c>
      <c r="AB981" s="32">
        <v>343</v>
      </c>
      <c r="AC981" s="32">
        <v>25</v>
      </c>
      <c r="AD981" s="32">
        <v>18</v>
      </c>
      <c r="AE981" s="32">
        <v>0</v>
      </c>
      <c r="AF981" s="32">
        <v>0</v>
      </c>
      <c r="AG981" s="32" t="s">
        <v>200</v>
      </c>
    </row>
    <row r="982" spans="1:33">
      <c r="A982" s="32" t="s">
        <v>3617</v>
      </c>
      <c r="B982" s="32" t="s">
        <v>65</v>
      </c>
      <c r="C982" s="32" t="s">
        <v>3618</v>
      </c>
      <c r="D982" s="32" t="s">
        <v>3619</v>
      </c>
      <c r="E982" s="32" t="s">
        <v>3610</v>
      </c>
      <c r="F982" s="32" t="s">
        <v>3611</v>
      </c>
      <c r="G982" s="32" t="s">
        <v>1232</v>
      </c>
      <c r="H982" s="32" t="s">
        <v>1233</v>
      </c>
      <c r="I982" s="32" t="s">
        <v>198</v>
      </c>
      <c r="J982" s="32" t="s">
        <v>199</v>
      </c>
      <c r="K982" s="32">
        <v>2.8208329999999999</v>
      </c>
      <c r="L982" s="33">
        <v>1558</v>
      </c>
      <c r="M982" s="32">
        <v>301</v>
      </c>
      <c r="N982" s="32">
        <v>348</v>
      </c>
      <c r="O982" s="32">
        <v>432</v>
      </c>
      <c r="P982" s="32">
        <v>353</v>
      </c>
      <c r="Q982" s="32">
        <v>124</v>
      </c>
      <c r="R982" s="32" t="s">
        <v>302</v>
      </c>
      <c r="S982" s="32">
        <v>39.780700000000003</v>
      </c>
      <c r="T982" s="32">
        <v>17.619399999999999</v>
      </c>
      <c r="U982" s="32">
        <v>0.92679260799999996</v>
      </c>
      <c r="V982" s="32">
        <v>2</v>
      </c>
      <c r="W982" s="32">
        <v>0.90643899999999999</v>
      </c>
      <c r="X982" s="32">
        <v>0.15789500000000001</v>
      </c>
      <c r="Y982" s="32">
        <v>0.73863599999999996</v>
      </c>
      <c r="Z982" s="32">
        <v>1</v>
      </c>
      <c r="AA982" s="32">
        <v>51.5</v>
      </c>
      <c r="AB982" s="32">
        <v>263</v>
      </c>
      <c r="AC982" s="32">
        <v>22</v>
      </c>
      <c r="AD982" s="32">
        <v>12</v>
      </c>
      <c r="AE982" s="32">
        <v>0</v>
      </c>
      <c r="AF982" s="32">
        <v>0</v>
      </c>
      <c r="AG982" s="32" t="s">
        <v>200</v>
      </c>
    </row>
    <row r="983" spans="1:33">
      <c r="A983" s="32" t="s">
        <v>3620</v>
      </c>
      <c r="B983" s="32" t="s">
        <v>65</v>
      </c>
      <c r="C983" s="32" t="s">
        <v>3621</v>
      </c>
      <c r="D983" s="32" t="s">
        <v>3622</v>
      </c>
      <c r="E983" s="32" t="s">
        <v>3577</v>
      </c>
      <c r="F983" s="32" t="s">
        <v>3578</v>
      </c>
      <c r="G983" s="32" t="s">
        <v>1232</v>
      </c>
      <c r="H983" s="32" t="s">
        <v>1233</v>
      </c>
      <c r="I983" s="32" t="s">
        <v>198</v>
      </c>
      <c r="J983" s="32" t="s">
        <v>199</v>
      </c>
      <c r="K983" s="32">
        <v>2.6770429999999998</v>
      </c>
      <c r="L983" s="33">
        <v>1798</v>
      </c>
      <c r="M983" s="32">
        <v>227</v>
      </c>
      <c r="N983" s="32">
        <v>433</v>
      </c>
      <c r="O983" s="32">
        <v>599</v>
      </c>
      <c r="P983" s="32">
        <v>377</v>
      </c>
      <c r="Q983" s="32">
        <v>162</v>
      </c>
      <c r="R983" s="32">
        <v>5</v>
      </c>
      <c r="S983" s="32">
        <v>33.806199999999997</v>
      </c>
      <c r="T983" s="32">
        <v>12.9636</v>
      </c>
      <c r="U983" s="32">
        <v>0.72795432999999998</v>
      </c>
      <c r="V983" s="32">
        <v>4</v>
      </c>
      <c r="W983" s="32">
        <v>0.91634199999999999</v>
      </c>
      <c r="X983" s="32">
        <v>7.1815000000000004E-2</v>
      </c>
      <c r="Y983" s="32">
        <v>0.7</v>
      </c>
      <c r="Z983" s="32">
        <v>1</v>
      </c>
      <c r="AA983" s="32">
        <v>36.299999999999997</v>
      </c>
      <c r="AB983" s="32">
        <v>305</v>
      </c>
      <c r="AC983" s="32">
        <v>36</v>
      </c>
      <c r="AD983" s="32">
        <v>19</v>
      </c>
      <c r="AE983" s="32">
        <v>0</v>
      </c>
      <c r="AF983" s="32">
        <v>0</v>
      </c>
      <c r="AG983" s="32" t="s">
        <v>200</v>
      </c>
    </row>
    <row r="984" spans="1:33">
      <c r="A984" s="32" t="s">
        <v>3623</v>
      </c>
      <c r="B984" s="32" t="s">
        <v>65</v>
      </c>
      <c r="C984" s="32" t="s">
        <v>3624</v>
      </c>
      <c r="D984" s="32" t="s">
        <v>3625</v>
      </c>
      <c r="E984" s="32" t="s">
        <v>3615</v>
      </c>
      <c r="F984" s="32" t="s">
        <v>3616</v>
      </c>
      <c r="G984" s="32" t="s">
        <v>1232</v>
      </c>
      <c r="H984" s="32" t="s">
        <v>1233</v>
      </c>
      <c r="I984" s="32" t="s">
        <v>198</v>
      </c>
      <c r="J984" s="32" t="s">
        <v>199</v>
      </c>
      <c r="K984" s="32">
        <v>2.9068969999999998</v>
      </c>
      <c r="L984" s="33">
        <v>2609</v>
      </c>
      <c r="M984" s="32">
        <v>606</v>
      </c>
      <c r="N984" s="32">
        <v>602</v>
      </c>
      <c r="O984" s="32">
        <v>686</v>
      </c>
      <c r="P984" s="32">
        <v>473</v>
      </c>
      <c r="Q984" s="32">
        <v>242</v>
      </c>
      <c r="R984" s="32" t="s">
        <v>302</v>
      </c>
      <c r="S984" s="32">
        <v>34.4392</v>
      </c>
      <c r="T984" s="32">
        <v>24.352499999999999</v>
      </c>
      <c r="U984" s="32">
        <v>0.81408476699999999</v>
      </c>
      <c r="V984" s="32">
        <v>2</v>
      </c>
      <c r="W984" s="32">
        <v>0.91982799999999998</v>
      </c>
      <c r="X984" s="32">
        <v>0.201709</v>
      </c>
      <c r="Y984" s="32">
        <v>0.8</v>
      </c>
      <c r="Z984" s="32">
        <v>1</v>
      </c>
      <c r="AA984" s="32">
        <v>62.8</v>
      </c>
      <c r="AB984" s="32">
        <v>312</v>
      </c>
      <c r="AC984" s="32">
        <v>15</v>
      </c>
      <c r="AD984" s="32">
        <v>16</v>
      </c>
      <c r="AE984" s="32" t="s">
        <v>200</v>
      </c>
      <c r="AF984" s="32" t="s">
        <v>200</v>
      </c>
      <c r="AG984" s="32" t="s">
        <v>200</v>
      </c>
    </row>
    <row r="985" spans="1:33">
      <c r="A985" s="32" t="s">
        <v>3626</v>
      </c>
      <c r="B985" s="32" t="s">
        <v>65</v>
      </c>
      <c r="C985" s="32" t="s">
        <v>3627</v>
      </c>
      <c r="D985" s="32" t="s">
        <v>3628</v>
      </c>
      <c r="E985" s="32" t="s">
        <v>3615</v>
      </c>
      <c r="F985" s="32" t="s">
        <v>3616</v>
      </c>
      <c r="G985" s="32" t="s">
        <v>1232</v>
      </c>
      <c r="H985" s="32" t="s">
        <v>1233</v>
      </c>
      <c r="I985" s="32" t="s">
        <v>198</v>
      </c>
      <c r="J985" s="32" t="s">
        <v>199</v>
      </c>
      <c r="K985" s="32">
        <v>2.6337299999999999</v>
      </c>
      <c r="L985" s="33">
        <v>1490</v>
      </c>
      <c r="M985" s="32">
        <v>172</v>
      </c>
      <c r="N985" s="32">
        <v>446</v>
      </c>
      <c r="O985" s="32">
        <v>399</v>
      </c>
      <c r="P985" s="32">
        <v>316</v>
      </c>
      <c r="Q985" s="32">
        <v>157</v>
      </c>
      <c r="R985" s="32" t="s">
        <v>302</v>
      </c>
      <c r="S985" s="32">
        <v>30.910599999999999</v>
      </c>
      <c r="T985" s="32">
        <v>20.9496</v>
      </c>
      <c r="U985" s="32">
        <v>0.84672077700000004</v>
      </c>
      <c r="V985" s="32">
        <v>3</v>
      </c>
      <c r="W985" s="32">
        <v>0.90793599999999997</v>
      </c>
      <c r="X985" s="32">
        <v>6.6396999999999998E-2</v>
      </c>
      <c r="Y985" s="32">
        <v>0.77817499999999995</v>
      </c>
      <c r="Z985" s="32">
        <v>0.90117599999999998</v>
      </c>
      <c r="AA985" s="32">
        <v>38.700000000000003</v>
      </c>
      <c r="AB985" s="32">
        <v>260</v>
      </c>
      <c r="AC985" s="32">
        <v>35</v>
      </c>
      <c r="AD985" s="32">
        <v>6</v>
      </c>
      <c r="AE985" s="32">
        <v>0</v>
      </c>
      <c r="AF985" s="32">
        <v>0</v>
      </c>
      <c r="AG985" s="32" t="s">
        <v>200</v>
      </c>
    </row>
    <row r="986" spans="1:33">
      <c r="A986" s="32" t="s">
        <v>3629</v>
      </c>
      <c r="B986" s="32" t="s">
        <v>65</v>
      </c>
      <c r="C986" s="32" t="s">
        <v>3630</v>
      </c>
      <c r="D986" s="32" t="s">
        <v>3631</v>
      </c>
      <c r="E986" s="32" t="s">
        <v>3615</v>
      </c>
      <c r="F986" s="32" t="s">
        <v>3616</v>
      </c>
      <c r="G986" s="32" t="s">
        <v>1232</v>
      </c>
      <c r="H986" s="32" t="s">
        <v>1233</v>
      </c>
      <c r="I986" s="32" t="s">
        <v>198</v>
      </c>
      <c r="J986" s="32" t="s">
        <v>199</v>
      </c>
      <c r="K986" s="32">
        <v>2.708297</v>
      </c>
      <c r="L986" s="33">
        <v>2443</v>
      </c>
      <c r="M986" s="32">
        <v>145</v>
      </c>
      <c r="N986" s="33">
        <v>1134</v>
      </c>
      <c r="O986" s="32">
        <v>747</v>
      </c>
      <c r="P986" s="32">
        <v>293</v>
      </c>
      <c r="Q986" s="32">
        <v>124</v>
      </c>
      <c r="R986" s="32">
        <v>5</v>
      </c>
      <c r="S986" s="32">
        <v>45.947200000000002</v>
      </c>
      <c r="T986" s="32">
        <v>8.6404499999999995</v>
      </c>
      <c r="U986" s="32">
        <v>0.756092078</v>
      </c>
      <c r="V986" s="32">
        <v>4</v>
      </c>
      <c r="W986" s="32">
        <v>0.90851499999999996</v>
      </c>
      <c r="X986" s="32">
        <v>9.1067999999999996E-2</v>
      </c>
      <c r="Y986" s="32">
        <v>0.76768599999999998</v>
      </c>
      <c r="Z986" s="32">
        <v>0.93538500000000002</v>
      </c>
      <c r="AA986" s="32">
        <v>28.3</v>
      </c>
      <c r="AB986" s="32">
        <v>312</v>
      </c>
      <c r="AC986" s="32">
        <v>22</v>
      </c>
      <c r="AD986" s="32">
        <v>17</v>
      </c>
      <c r="AE986" s="32">
        <v>0</v>
      </c>
      <c r="AF986" s="32" t="s">
        <v>200</v>
      </c>
      <c r="AG986" s="32" t="s">
        <v>200</v>
      </c>
    </row>
    <row r="987" spans="1:33">
      <c r="A987" s="32" t="s">
        <v>3632</v>
      </c>
      <c r="B987" s="32" t="s">
        <v>65</v>
      </c>
      <c r="C987" s="32" t="s">
        <v>3633</v>
      </c>
      <c r="D987" s="32" t="s">
        <v>3634</v>
      </c>
      <c r="E987" s="32" t="s">
        <v>3602</v>
      </c>
      <c r="F987" s="32" t="s">
        <v>3603</v>
      </c>
      <c r="G987" s="32" t="s">
        <v>1232</v>
      </c>
      <c r="H987" s="32" t="s">
        <v>1233</v>
      </c>
      <c r="I987" s="32" t="s">
        <v>198</v>
      </c>
      <c r="J987" s="32" t="s">
        <v>199</v>
      </c>
      <c r="K987" s="32">
        <v>2.782524</v>
      </c>
      <c r="L987" s="33">
        <v>1652</v>
      </c>
      <c r="M987" s="32">
        <v>263</v>
      </c>
      <c r="N987" s="32">
        <v>349</v>
      </c>
      <c r="O987" s="32">
        <v>422</v>
      </c>
      <c r="P987" s="32">
        <v>388</v>
      </c>
      <c r="Q987" s="32">
        <v>230</v>
      </c>
      <c r="R987" s="32">
        <v>4</v>
      </c>
      <c r="S987" s="32">
        <v>31.506599999999999</v>
      </c>
      <c r="T987" s="32">
        <v>8.13734</v>
      </c>
      <c r="U987" s="32">
        <v>0.87818672200000003</v>
      </c>
      <c r="V987" s="32">
        <v>3</v>
      </c>
      <c r="W987" s="32">
        <v>0.93818800000000002</v>
      </c>
      <c r="X987" s="32">
        <v>0.147368</v>
      </c>
      <c r="Y987" s="32">
        <v>0.7</v>
      </c>
      <c r="Z987" s="32">
        <v>1</v>
      </c>
      <c r="AA987" s="32">
        <v>44.5</v>
      </c>
      <c r="AB987" s="32">
        <v>238</v>
      </c>
      <c r="AC987" s="32">
        <v>17</v>
      </c>
      <c r="AD987" s="32">
        <v>10</v>
      </c>
      <c r="AE987" s="32">
        <v>0</v>
      </c>
      <c r="AF987" s="32">
        <v>0</v>
      </c>
      <c r="AG987" s="32" t="s">
        <v>200</v>
      </c>
    </row>
    <row r="988" spans="1:33">
      <c r="A988" s="32" t="s">
        <v>3635</v>
      </c>
      <c r="B988" s="32" t="s">
        <v>65</v>
      </c>
      <c r="C988" s="32" t="s">
        <v>3636</v>
      </c>
      <c r="D988" s="32" t="s">
        <v>3637</v>
      </c>
      <c r="E988" s="32" t="s">
        <v>3261</v>
      </c>
      <c r="F988" s="32" t="s">
        <v>3262</v>
      </c>
      <c r="G988" s="32" t="s">
        <v>1232</v>
      </c>
      <c r="H988" s="32" t="s">
        <v>1233</v>
      </c>
      <c r="I988" s="32" t="s">
        <v>198</v>
      </c>
      <c r="J988" s="32" t="s">
        <v>199</v>
      </c>
      <c r="K988" s="32">
        <v>2.6672929999999999</v>
      </c>
      <c r="L988" s="33">
        <v>1509</v>
      </c>
      <c r="M988" s="32">
        <v>229</v>
      </c>
      <c r="N988" s="32">
        <v>323</v>
      </c>
      <c r="O988" s="32">
        <v>431</v>
      </c>
      <c r="P988" s="32">
        <v>363</v>
      </c>
      <c r="Q988" s="32">
        <v>163</v>
      </c>
      <c r="R988" s="32">
        <v>5</v>
      </c>
      <c r="S988" s="32">
        <v>30.838999999999999</v>
      </c>
      <c r="T988" s="32">
        <v>11.8918</v>
      </c>
      <c r="U988" s="32">
        <v>0.74308931199999995</v>
      </c>
      <c r="V988" s="32">
        <v>4</v>
      </c>
      <c r="W988" s="32">
        <v>0.93496199999999996</v>
      </c>
      <c r="X988" s="32">
        <v>1.4671999999999999E-2</v>
      </c>
      <c r="Y988" s="32">
        <v>0.7</v>
      </c>
      <c r="Z988" s="32">
        <v>1</v>
      </c>
      <c r="AA988" s="32">
        <v>37.6</v>
      </c>
      <c r="AB988" s="32">
        <v>265</v>
      </c>
      <c r="AC988" s="32">
        <v>14</v>
      </c>
      <c r="AD988" s="32">
        <v>34</v>
      </c>
      <c r="AE988" s="32">
        <v>0</v>
      </c>
      <c r="AF988" s="32">
        <v>0</v>
      </c>
      <c r="AG988" s="32" t="s">
        <v>200</v>
      </c>
    </row>
    <row r="989" spans="1:33">
      <c r="A989" s="32" t="s">
        <v>3258</v>
      </c>
      <c r="B989" s="32" t="s">
        <v>65</v>
      </c>
      <c r="C989" s="32" t="s">
        <v>3259</v>
      </c>
      <c r="D989" s="32" t="s">
        <v>3260</v>
      </c>
      <c r="E989" s="32" t="s">
        <v>3261</v>
      </c>
      <c r="F989" s="32" t="s">
        <v>3262</v>
      </c>
      <c r="G989" s="32" t="s">
        <v>1232</v>
      </c>
      <c r="H989" s="32" t="s">
        <v>1233</v>
      </c>
      <c r="I989" s="32" t="s">
        <v>198</v>
      </c>
      <c r="J989" s="32" t="s">
        <v>199</v>
      </c>
      <c r="K989" s="32">
        <v>3.0671919999999999</v>
      </c>
      <c r="L989" s="33">
        <v>2020</v>
      </c>
      <c r="M989" s="32">
        <v>170</v>
      </c>
      <c r="N989" s="32">
        <v>770</v>
      </c>
      <c r="O989" s="32">
        <v>720</v>
      </c>
      <c r="P989" s="32">
        <v>290</v>
      </c>
      <c r="Q989" s="32">
        <v>70</v>
      </c>
      <c r="R989" s="32" t="s">
        <v>302</v>
      </c>
      <c r="S989" s="32">
        <v>36.8215</v>
      </c>
      <c r="T989" s="32">
        <v>24.703499999999998</v>
      </c>
      <c r="U989" s="32">
        <v>0.38403917599999998</v>
      </c>
      <c r="V989" s="32">
        <v>6</v>
      </c>
      <c r="W989" s="32">
        <v>0.99053599999999997</v>
      </c>
      <c r="X989" s="32">
        <v>0.37079400000000001</v>
      </c>
      <c r="Y989" s="32">
        <v>0.7</v>
      </c>
      <c r="Z989" s="32">
        <v>1</v>
      </c>
      <c r="AA989" s="32">
        <v>22.6</v>
      </c>
      <c r="AB989" s="32">
        <v>217</v>
      </c>
      <c r="AC989" s="32">
        <v>13</v>
      </c>
      <c r="AD989" s="32">
        <v>13</v>
      </c>
      <c r="AE989" s="32">
        <v>0</v>
      </c>
      <c r="AF989" s="32">
        <v>0</v>
      </c>
      <c r="AG989" s="32">
        <v>0</v>
      </c>
    </row>
    <row r="990" spans="1:33">
      <c r="A990" s="32" t="s">
        <v>3638</v>
      </c>
      <c r="B990" s="32" t="s">
        <v>65</v>
      </c>
      <c r="C990" s="32" t="s">
        <v>3639</v>
      </c>
      <c r="D990" s="32" t="s">
        <v>3640</v>
      </c>
      <c r="E990" s="32" t="s">
        <v>3577</v>
      </c>
      <c r="F990" s="32" t="s">
        <v>3578</v>
      </c>
      <c r="G990" s="32" t="s">
        <v>1232</v>
      </c>
      <c r="H990" s="32" t="s">
        <v>1233</v>
      </c>
      <c r="I990" s="32" t="s">
        <v>198</v>
      </c>
      <c r="J990" s="32" t="s">
        <v>199</v>
      </c>
      <c r="K990" s="32">
        <v>2.7613029999999998</v>
      </c>
      <c r="L990" s="33">
        <v>1674</v>
      </c>
      <c r="M990" s="32">
        <v>172</v>
      </c>
      <c r="N990" s="32">
        <v>513</v>
      </c>
      <c r="O990" s="32">
        <v>519</v>
      </c>
      <c r="P990" s="32">
        <v>328</v>
      </c>
      <c r="Q990" s="32">
        <v>142</v>
      </c>
      <c r="R990" s="32" t="s">
        <v>302</v>
      </c>
      <c r="S990" s="32">
        <v>41.6828</v>
      </c>
      <c r="T990" s="32">
        <v>17.3977</v>
      </c>
      <c r="U990" s="32">
        <v>0.74038328499999995</v>
      </c>
      <c r="V990" s="32">
        <v>4</v>
      </c>
      <c r="W990" s="32">
        <v>0.95019200000000004</v>
      </c>
      <c r="X990" s="32">
        <v>0.116226</v>
      </c>
      <c r="Y990" s="32">
        <v>0.7</v>
      </c>
      <c r="Z990" s="32">
        <v>1</v>
      </c>
      <c r="AA990" s="32">
        <v>35.299999999999997</v>
      </c>
      <c r="AB990" s="32">
        <v>233</v>
      </c>
      <c r="AC990" s="32">
        <v>22</v>
      </c>
      <c r="AD990" s="32">
        <v>15</v>
      </c>
      <c r="AE990" s="32">
        <v>0</v>
      </c>
      <c r="AF990" s="32">
        <v>0</v>
      </c>
      <c r="AG990" s="32" t="s">
        <v>200</v>
      </c>
    </row>
    <row r="991" spans="1:33">
      <c r="A991" s="32" t="s">
        <v>3641</v>
      </c>
      <c r="B991" s="32" t="s">
        <v>65</v>
      </c>
      <c r="C991" s="32" t="s">
        <v>3642</v>
      </c>
      <c r="D991" s="32" t="s">
        <v>3643</v>
      </c>
      <c r="E991" s="32" t="s">
        <v>3615</v>
      </c>
      <c r="F991" s="32" t="s">
        <v>3616</v>
      </c>
      <c r="G991" s="32" t="s">
        <v>1232</v>
      </c>
      <c r="H991" s="32" t="s">
        <v>1233</v>
      </c>
      <c r="I991" s="32" t="s">
        <v>198</v>
      </c>
      <c r="J991" s="32" t="s">
        <v>199</v>
      </c>
      <c r="K991" s="32">
        <v>2.540702</v>
      </c>
      <c r="L991" s="33">
        <v>1586</v>
      </c>
      <c r="M991" s="32">
        <v>231</v>
      </c>
      <c r="N991" s="32">
        <v>519</v>
      </c>
      <c r="O991" s="32">
        <v>451</v>
      </c>
      <c r="P991" s="32">
        <v>293</v>
      </c>
      <c r="Q991" s="32">
        <v>92</v>
      </c>
      <c r="R991" s="32">
        <v>5</v>
      </c>
      <c r="S991" s="32">
        <v>26.317299999999999</v>
      </c>
      <c r="T991" s="32">
        <v>16.959499999999998</v>
      </c>
      <c r="U991" s="32">
        <v>0.93528043500000002</v>
      </c>
      <c r="V991" s="32">
        <v>3</v>
      </c>
      <c r="W991" s="32">
        <v>0.90526300000000004</v>
      </c>
      <c r="X991" s="32">
        <v>0.148789</v>
      </c>
      <c r="Y991" s="32">
        <v>0.70446699999999995</v>
      </c>
      <c r="Z991" s="32">
        <v>0.77003500000000003</v>
      </c>
      <c r="AA991" s="32">
        <v>45.6</v>
      </c>
      <c r="AB991" s="32">
        <v>238</v>
      </c>
      <c r="AC991" s="32">
        <v>25</v>
      </c>
      <c r="AD991" s="32">
        <v>17</v>
      </c>
      <c r="AE991" s="32">
        <v>0</v>
      </c>
      <c r="AF991" s="32">
        <v>0</v>
      </c>
      <c r="AG991" s="32" t="s">
        <v>200</v>
      </c>
    </row>
    <row r="992" spans="1:33">
      <c r="A992" s="32" t="s">
        <v>3644</v>
      </c>
      <c r="B992" s="32" t="s">
        <v>65</v>
      </c>
      <c r="C992" s="32" t="s">
        <v>3645</v>
      </c>
      <c r="D992" s="32" t="s">
        <v>3646</v>
      </c>
      <c r="E992" s="32" t="s">
        <v>3647</v>
      </c>
      <c r="F992" s="32" t="s">
        <v>3648</v>
      </c>
      <c r="G992" s="32" t="s">
        <v>1232</v>
      </c>
      <c r="H992" s="32" t="s">
        <v>1233</v>
      </c>
      <c r="I992" s="32" t="s">
        <v>198</v>
      </c>
      <c r="J992" s="32" t="s">
        <v>199</v>
      </c>
      <c r="K992" s="32">
        <v>2.6724060000000001</v>
      </c>
      <c r="L992" s="33">
        <v>2348</v>
      </c>
      <c r="M992" s="32">
        <v>204</v>
      </c>
      <c r="N992" s="32">
        <v>897</v>
      </c>
      <c r="O992" s="32">
        <v>774</v>
      </c>
      <c r="P992" s="32">
        <v>336</v>
      </c>
      <c r="Q992" s="32">
        <v>137</v>
      </c>
      <c r="R992" s="32" t="s">
        <v>302</v>
      </c>
      <c r="S992" s="32">
        <v>38.765500000000003</v>
      </c>
      <c r="T992" s="32">
        <v>22.495899999999999</v>
      </c>
      <c r="U992" s="32">
        <v>0.74715956800000005</v>
      </c>
      <c r="V992" s="32">
        <v>4</v>
      </c>
      <c r="W992" s="32">
        <v>0.918632</v>
      </c>
      <c r="X992" s="32">
        <v>0.21179200000000001</v>
      </c>
      <c r="Y992" s="32">
        <v>0.70236399999999999</v>
      </c>
      <c r="Z992" s="32">
        <v>0.83744099999999999</v>
      </c>
      <c r="AA992" s="32">
        <v>31.1</v>
      </c>
      <c r="AB992" s="32">
        <v>388</v>
      </c>
      <c r="AC992" s="32">
        <v>37</v>
      </c>
      <c r="AD992" s="32">
        <v>33</v>
      </c>
      <c r="AE992" s="32">
        <v>0</v>
      </c>
      <c r="AF992" s="32">
        <v>0</v>
      </c>
      <c r="AG992" s="32" t="s">
        <v>200</v>
      </c>
    </row>
    <row r="993" spans="1:33">
      <c r="A993" s="32" t="s">
        <v>3649</v>
      </c>
      <c r="B993" s="32" t="s">
        <v>65</v>
      </c>
      <c r="C993" s="32" t="s">
        <v>3650</v>
      </c>
      <c r="D993" s="32" t="s">
        <v>3651</v>
      </c>
      <c r="E993" s="32" t="s">
        <v>3266</v>
      </c>
      <c r="F993" s="32" t="s">
        <v>3267</v>
      </c>
      <c r="G993" s="32" t="s">
        <v>1232</v>
      </c>
      <c r="H993" s="32" t="s">
        <v>1233</v>
      </c>
      <c r="I993" s="32" t="s">
        <v>198</v>
      </c>
      <c r="J993" s="32" t="s">
        <v>199</v>
      </c>
      <c r="K993" s="32">
        <v>2.9178030000000001</v>
      </c>
      <c r="L993" s="33">
        <v>1554</v>
      </c>
      <c r="M993" s="32">
        <v>301</v>
      </c>
      <c r="N993" s="32">
        <v>307</v>
      </c>
      <c r="O993" s="32">
        <v>437</v>
      </c>
      <c r="P993" s="32">
        <v>342</v>
      </c>
      <c r="Q993" s="32">
        <v>167</v>
      </c>
      <c r="R993" s="32" t="s">
        <v>302</v>
      </c>
      <c r="S993" s="32">
        <v>46.063400000000001</v>
      </c>
      <c r="T993" s="32">
        <v>23.502500000000001</v>
      </c>
      <c r="U993" s="32">
        <v>0.93912136599999996</v>
      </c>
      <c r="V993" s="32">
        <v>2</v>
      </c>
      <c r="W993" s="32">
        <v>0.91552999999999995</v>
      </c>
      <c r="X993" s="32">
        <v>0.19703699999999999</v>
      </c>
      <c r="Y993" s="32">
        <v>0.8</v>
      </c>
      <c r="Z993" s="32">
        <v>1</v>
      </c>
      <c r="AA993" s="32">
        <v>63.3</v>
      </c>
      <c r="AB993" s="32">
        <v>255</v>
      </c>
      <c r="AC993" s="32">
        <v>22</v>
      </c>
      <c r="AD993" s="32">
        <v>15</v>
      </c>
      <c r="AE993" s="32">
        <v>0</v>
      </c>
      <c r="AF993" s="32">
        <v>0</v>
      </c>
      <c r="AG993" s="32" t="s">
        <v>200</v>
      </c>
    </row>
    <row r="994" spans="1:33">
      <c r="A994" s="32" t="s">
        <v>3268</v>
      </c>
      <c r="B994" s="32" t="s">
        <v>65</v>
      </c>
      <c r="C994" s="32" t="s">
        <v>3269</v>
      </c>
      <c r="D994" s="32" t="s">
        <v>3270</v>
      </c>
      <c r="E994" s="32" t="s">
        <v>3266</v>
      </c>
      <c r="F994" s="32" t="s">
        <v>3267</v>
      </c>
      <c r="G994" s="32" t="s">
        <v>1232</v>
      </c>
      <c r="H994" s="32" t="s">
        <v>1233</v>
      </c>
      <c r="I994" s="32" t="s">
        <v>198</v>
      </c>
      <c r="J994" s="32" t="s">
        <v>199</v>
      </c>
      <c r="K994" s="32">
        <v>3.014113</v>
      </c>
      <c r="L994" s="33">
        <v>1035</v>
      </c>
      <c r="M994" s="32">
        <v>106</v>
      </c>
      <c r="N994" s="32">
        <v>264</v>
      </c>
      <c r="O994" s="32">
        <v>342</v>
      </c>
      <c r="P994" s="32">
        <v>250</v>
      </c>
      <c r="Q994" s="32">
        <v>73</v>
      </c>
      <c r="R994" s="32" t="s">
        <v>302</v>
      </c>
      <c r="S994" s="32">
        <v>47.667099999999998</v>
      </c>
      <c r="T994" s="32">
        <v>15.9384</v>
      </c>
      <c r="U994" s="32">
        <v>0.81790094199999996</v>
      </c>
      <c r="V994" s="32">
        <v>2</v>
      </c>
      <c r="W994" s="32">
        <v>0.92540299999999998</v>
      </c>
      <c r="X994" s="32">
        <v>0.331984</v>
      </c>
      <c r="Y994" s="32">
        <v>0.74734699999999998</v>
      </c>
      <c r="Z994" s="32">
        <v>1</v>
      </c>
      <c r="AA994" s="32">
        <v>47.5</v>
      </c>
      <c r="AB994" s="32">
        <v>145</v>
      </c>
      <c r="AC994" s="32">
        <v>21</v>
      </c>
      <c r="AD994" s="32">
        <v>10</v>
      </c>
      <c r="AE994" s="32">
        <v>0</v>
      </c>
      <c r="AF994" s="32">
        <v>8</v>
      </c>
      <c r="AG994" s="32" t="s">
        <v>200</v>
      </c>
    </row>
    <row r="995" spans="1:33">
      <c r="A995" s="32" t="s">
        <v>3652</v>
      </c>
      <c r="B995" s="32" t="s">
        <v>65</v>
      </c>
      <c r="C995" s="32" t="s">
        <v>3653</v>
      </c>
      <c r="D995" s="32" t="s">
        <v>3654</v>
      </c>
      <c r="E995" s="32" t="s">
        <v>3655</v>
      </c>
      <c r="F995" s="32" t="s">
        <v>3656</v>
      </c>
      <c r="G995" s="32" t="s">
        <v>1232</v>
      </c>
      <c r="H995" s="32" t="s">
        <v>1233</v>
      </c>
      <c r="I995" s="32" t="s">
        <v>198</v>
      </c>
      <c r="J995" s="32" t="s">
        <v>199</v>
      </c>
      <c r="K995" s="32">
        <v>2.8459240000000001</v>
      </c>
      <c r="L995" s="33">
        <v>1680</v>
      </c>
      <c r="M995" s="32">
        <v>136</v>
      </c>
      <c r="N995" s="32">
        <v>608</v>
      </c>
      <c r="O995" s="32">
        <v>605</v>
      </c>
      <c r="P995" s="32">
        <v>233</v>
      </c>
      <c r="Q995" s="32">
        <v>98</v>
      </c>
      <c r="R995" s="32" t="s">
        <v>302</v>
      </c>
      <c r="S995" s="32">
        <v>47.351799999999997</v>
      </c>
      <c r="T995" s="32">
        <v>18.8186</v>
      </c>
      <c r="U995" s="32">
        <v>0.63284478600000005</v>
      </c>
      <c r="V995" s="32">
        <v>4</v>
      </c>
      <c r="W995" s="32">
        <v>0.90380400000000005</v>
      </c>
      <c r="X995" s="32">
        <v>0.23013700000000001</v>
      </c>
      <c r="Y995" s="32">
        <v>0.73468800000000001</v>
      </c>
      <c r="Z995" s="32">
        <v>0.98360700000000001</v>
      </c>
      <c r="AA995" s="32">
        <v>28</v>
      </c>
      <c r="AB995" s="32">
        <v>285</v>
      </c>
      <c r="AC995" s="32">
        <v>29</v>
      </c>
      <c r="AD995" s="32">
        <v>22</v>
      </c>
      <c r="AE995" s="32" t="s">
        <v>200</v>
      </c>
      <c r="AF995" s="32">
        <v>0</v>
      </c>
      <c r="AG995" s="32" t="s">
        <v>200</v>
      </c>
    </row>
    <row r="996" spans="1:33">
      <c r="A996" s="32" t="s">
        <v>3657</v>
      </c>
      <c r="B996" s="32" t="s">
        <v>65</v>
      </c>
      <c r="C996" s="32" t="s">
        <v>3658</v>
      </c>
      <c r="D996" s="32" t="s">
        <v>3659</v>
      </c>
      <c r="E996" s="32" t="s">
        <v>3655</v>
      </c>
      <c r="F996" s="32" t="s">
        <v>3656</v>
      </c>
      <c r="G996" s="32" t="s">
        <v>1232</v>
      </c>
      <c r="H996" s="32" t="s">
        <v>1233</v>
      </c>
      <c r="I996" s="32" t="s">
        <v>198</v>
      </c>
      <c r="J996" s="32" t="s">
        <v>199</v>
      </c>
      <c r="K996" s="32">
        <v>2.577032</v>
      </c>
      <c r="L996" s="33">
        <v>2079</v>
      </c>
      <c r="M996" s="32">
        <v>180</v>
      </c>
      <c r="N996" s="32">
        <v>944</v>
      </c>
      <c r="O996" s="32">
        <v>687</v>
      </c>
      <c r="P996" s="32">
        <v>182</v>
      </c>
      <c r="Q996" s="32">
        <v>86</v>
      </c>
      <c r="R996" s="32" t="s">
        <v>302</v>
      </c>
      <c r="S996" s="32">
        <v>34.091900000000003</v>
      </c>
      <c r="T996" s="32">
        <v>23.7835</v>
      </c>
      <c r="U996" s="32">
        <v>0.71101869799999995</v>
      </c>
      <c r="V996" s="32">
        <v>4</v>
      </c>
      <c r="W996" s="32">
        <v>0.91554800000000003</v>
      </c>
      <c r="X996" s="32">
        <v>0.188693</v>
      </c>
      <c r="Y996" s="32">
        <v>0.7</v>
      </c>
      <c r="Z996" s="32">
        <v>0.79503500000000005</v>
      </c>
      <c r="AA996" s="32">
        <v>20.100000000000001</v>
      </c>
      <c r="AB996" s="32">
        <v>279</v>
      </c>
      <c r="AC996" s="32">
        <v>20</v>
      </c>
      <c r="AD996" s="32">
        <v>13</v>
      </c>
      <c r="AE996" s="32" t="s">
        <v>200</v>
      </c>
      <c r="AF996" s="32">
        <v>0</v>
      </c>
      <c r="AG996" s="32">
        <v>0</v>
      </c>
    </row>
    <row r="997" spans="1:33">
      <c r="A997" s="32" t="s">
        <v>3660</v>
      </c>
      <c r="B997" s="32" t="s">
        <v>65</v>
      </c>
      <c r="C997" s="32" t="s">
        <v>3661</v>
      </c>
      <c r="D997" s="32" t="s">
        <v>3662</v>
      </c>
      <c r="E997" s="32" t="s">
        <v>3663</v>
      </c>
      <c r="F997" s="32" t="s">
        <v>3664</v>
      </c>
      <c r="G997" s="32" t="s">
        <v>1232</v>
      </c>
      <c r="H997" s="32" t="s">
        <v>1233</v>
      </c>
      <c r="I997" s="32" t="s">
        <v>198</v>
      </c>
      <c r="J997" s="32" t="s">
        <v>199</v>
      </c>
      <c r="K997" s="32">
        <v>2.5460229999999999</v>
      </c>
      <c r="L997" s="33">
        <v>1747</v>
      </c>
      <c r="M997" s="32">
        <v>237</v>
      </c>
      <c r="N997" s="32">
        <v>485</v>
      </c>
      <c r="O997" s="32">
        <v>451</v>
      </c>
      <c r="P997" s="32">
        <v>354</v>
      </c>
      <c r="Q997" s="32">
        <v>220</v>
      </c>
      <c r="R997" s="32" t="s">
        <v>302</v>
      </c>
      <c r="S997" s="32">
        <v>41.878300000000003</v>
      </c>
      <c r="T997" s="32">
        <v>19.754200000000001</v>
      </c>
      <c r="U997" s="32">
        <v>0.96388614500000003</v>
      </c>
      <c r="V997" s="32">
        <v>3</v>
      </c>
      <c r="W997" s="32">
        <v>0.92234799999999995</v>
      </c>
      <c r="X997" s="32">
        <v>0.279026</v>
      </c>
      <c r="Y997" s="32">
        <v>0.72732399999999997</v>
      </c>
      <c r="Z997" s="32">
        <v>0.64037699999999997</v>
      </c>
      <c r="AA997" s="32">
        <v>39.200000000000003</v>
      </c>
      <c r="AB997" s="32">
        <v>366</v>
      </c>
      <c r="AC997" s="32">
        <v>16</v>
      </c>
      <c r="AD997" s="32">
        <v>26</v>
      </c>
      <c r="AE997" s="32">
        <v>0</v>
      </c>
      <c r="AF997" s="32" t="s">
        <v>200</v>
      </c>
      <c r="AG997" s="32" t="s">
        <v>200</v>
      </c>
    </row>
    <row r="998" spans="1:33">
      <c r="A998" s="32" t="s">
        <v>3665</v>
      </c>
      <c r="B998" s="32" t="s">
        <v>65</v>
      </c>
      <c r="C998" s="32" t="s">
        <v>3666</v>
      </c>
      <c r="D998" s="32" t="s">
        <v>3667</v>
      </c>
      <c r="E998" s="32" t="s">
        <v>3647</v>
      </c>
      <c r="F998" s="32" t="s">
        <v>3648</v>
      </c>
      <c r="G998" s="32" t="s">
        <v>1232</v>
      </c>
      <c r="H998" s="32" t="s">
        <v>1233</v>
      </c>
      <c r="I998" s="32" t="s">
        <v>198</v>
      </c>
      <c r="J998" s="32" t="s">
        <v>199</v>
      </c>
      <c r="K998" s="32">
        <v>2.633426</v>
      </c>
      <c r="L998" s="33">
        <v>1600</v>
      </c>
      <c r="M998" s="32">
        <v>174</v>
      </c>
      <c r="N998" s="32">
        <v>592</v>
      </c>
      <c r="O998" s="32">
        <v>481</v>
      </c>
      <c r="P998" s="32">
        <v>242</v>
      </c>
      <c r="Q998" s="32">
        <v>111</v>
      </c>
      <c r="R998" s="32" t="s">
        <v>302</v>
      </c>
      <c r="S998" s="32">
        <v>32.8611</v>
      </c>
      <c r="T998" s="32">
        <v>16.9589</v>
      </c>
      <c r="U998" s="32">
        <v>0.79727139899999999</v>
      </c>
      <c r="V998" s="32">
        <v>4</v>
      </c>
      <c r="W998" s="32">
        <v>0.90640699999999996</v>
      </c>
      <c r="X998" s="32">
        <v>0.19125700000000001</v>
      </c>
      <c r="Y998" s="32">
        <v>0.7</v>
      </c>
      <c r="Z998" s="32">
        <v>0.82383600000000001</v>
      </c>
      <c r="AA998" s="32">
        <v>25.9</v>
      </c>
      <c r="AB998" s="32">
        <v>238</v>
      </c>
      <c r="AC998" s="32">
        <v>42</v>
      </c>
      <c r="AD998" s="32">
        <v>43</v>
      </c>
      <c r="AE998" s="32" t="s">
        <v>200</v>
      </c>
      <c r="AF998" s="32">
        <v>0</v>
      </c>
      <c r="AG998" s="32" t="s">
        <v>200</v>
      </c>
    </row>
    <row r="999" spans="1:33">
      <c r="A999" s="32" t="s">
        <v>3668</v>
      </c>
      <c r="B999" s="32" t="s">
        <v>65</v>
      </c>
      <c r="C999" s="32" t="s">
        <v>3669</v>
      </c>
      <c r="D999" s="32" t="s">
        <v>3670</v>
      </c>
      <c r="E999" s="32" t="s">
        <v>3671</v>
      </c>
      <c r="F999" s="32" t="s">
        <v>3672</v>
      </c>
      <c r="G999" s="32" t="s">
        <v>1232</v>
      </c>
      <c r="H999" s="32" t="s">
        <v>1233</v>
      </c>
      <c r="I999" s="32" t="s">
        <v>198</v>
      </c>
      <c r="J999" s="32" t="s">
        <v>199</v>
      </c>
      <c r="K999" s="32">
        <v>2.4741939999999998</v>
      </c>
      <c r="L999" s="33">
        <v>2465</v>
      </c>
      <c r="M999" s="32">
        <v>333</v>
      </c>
      <c r="N999" s="32">
        <v>707</v>
      </c>
      <c r="O999" s="32">
        <v>870</v>
      </c>
      <c r="P999" s="32">
        <v>398</v>
      </c>
      <c r="Q999" s="32">
        <v>157</v>
      </c>
      <c r="R999" s="32" t="s">
        <v>302</v>
      </c>
      <c r="S999" s="32">
        <v>36.165799999999997</v>
      </c>
      <c r="T999" s="32">
        <v>18.9209</v>
      </c>
      <c r="U999" s="32">
        <v>0.63569198299999996</v>
      </c>
      <c r="V999" s="32">
        <v>8</v>
      </c>
      <c r="W999" s="32">
        <v>0.91442100000000004</v>
      </c>
      <c r="X999" s="32">
        <v>9.8485000000000003E-2</v>
      </c>
      <c r="Y999" s="32">
        <v>0.74486699999999995</v>
      </c>
      <c r="Z999" s="32">
        <v>0.71138500000000005</v>
      </c>
      <c r="AA999" s="32">
        <v>18.8</v>
      </c>
      <c r="AB999" s="32">
        <v>470</v>
      </c>
      <c r="AC999" s="32">
        <v>41</v>
      </c>
      <c r="AD999" s="32">
        <v>30</v>
      </c>
      <c r="AE999" s="32">
        <v>0</v>
      </c>
      <c r="AF999" s="32">
        <v>0</v>
      </c>
      <c r="AG999" s="32" t="s">
        <v>200</v>
      </c>
    </row>
    <row r="1000" spans="1:33">
      <c r="A1000" s="32" t="s">
        <v>3673</v>
      </c>
      <c r="B1000" s="32" t="s">
        <v>65</v>
      </c>
      <c r="C1000" s="32" t="s">
        <v>3674</v>
      </c>
      <c r="D1000" s="32" t="s">
        <v>3675</v>
      </c>
      <c r="E1000" s="32" t="s">
        <v>3663</v>
      </c>
      <c r="F1000" s="32" t="s">
        <v>3664</v>
      </c>
      <c r="G1000" s="32" t="s">
        <v>1232</v>
      </c>
      <c r="H1000" s="32" t="s">
        <v>1233</v>
      </c>
      <c r="I1000" s="32" t="s">
        <v>198</v>
      </c>
      <c r="J1000" s="32" t="s">
        <v>199</v>
      </c>
      <c r="K1000" s="32">
        <v>2.545455</v>
      </c>
      <c r="L1000" s="33">
        <v>1574</v>
      </c>
      <c r="M1000" s="32">
        <v>255</v>
      </c>
      <c r="N1000" s="32">
        <v>454</v>
      </c>
      <c r="O1000" s="32">
        <v>365</v>
      </c>
      <c r="P1000" s="32">
        <v>325</v>
      </c>
      <c r="Q1000" s="32">
        <v>175</v>
      </c>
      <c r="R1000" s="32" t="s">
        <v>302</v>
      </c>
      <c r="S1000" s="32">
        <v>38.709600000000002</v>
      </c>
      <c r="T1000" s="32">
        <v>24.876799999999999</v>
      </c>
      <c r="U1000" s="32">
        <v>1.062374111</v>
      </c>
      <c r="V1000" s="32">
        <v>2</v>
      </c>
      <c r="W1000" s="32">
        <v>0.91461000000000003</v>
      </c>
      <c r="X1000" s="32">
        <v>0.19225800000000001</v>
      </c>
      <c r="Y1000" s="32">
        <v>0.7</v>
      </c>
      <c r="Z1000" s="32">
        <v>0.74317500000000003</v>
      </c>
      <c r="AA1000" s="32">
        <v>45.3</v>
      </c>
      <c r="AB1000" s="32">
        <v>223</v>
      </c>
      <c r="AC1000" s="32">
        <v>22</v>
      </c>
      <c r="AD1000" s="32">
        <v>11</v>
      </c>
      <c r="AE1000" s="32">
        <v>0</v>
      </c>
      <c r="AF1000" s="32">
        <v>0</v>
      </c>
      <c r="AG1000" s="32">
        <v>0</v>
      </c>
    </row>
    <row r="1001" spans="1:33">
      <c r="A1001" s="32" t="s">
        <v>3304</v>
      </c>
      <c r="B1001" s="32" t="s">
        <v>65</v>
      </c>
      <c r="C1001" s="32" t="s">
        <v>3305</v>
      </c>
      <c r="D1001" s="32" t="s">
        <v>3306</v>
      </c>
      <c r="E1001" s="32" t="s">
        <v>3307</v>
      </c>
      <c r="F1001" s="32" t="s">
        <v>3308</v>
      </c>
      <c r="G1001" s="32" t="s">
        <v>1232</v>
      </c>
      <c r="H1001" s="32" t="s">
        <v>1233</v>
      </c>
      <c r="I1001" s="32" t="s">
        <v>198</v>
      </c>
      <c r="J1001" s="32" t="s">
        <v>199</v>
      </c>
      <c r="K1001" s="32">
        <v>2.8316210000000002</v>
      </c>
      <c r="L1001" s="33">
        <v>1430</v>
      </c>
      <c r="M1001" s="32">
        <v>219</v>
      </c>
      <c r="N1001" s="32">
        <v>332</v>
      </c>
      <c r="O1001" s="32">
        <v>400</v>
      </c>
      <c r="P1001" s="32">
        <v>342</v>
      </c>
      <c r="Q1001" s="32">
        <v>137</v>
      </c>
      <c r="R1001" s="32">
        <v>5</v>
      </c>
      <c r="S1001" s="32">
        <v>25.7105</v>
      </c>
      <c r="T1001" s="32">
        <v>19.318100000000001</v>
      </c>
      <c r="U1001" s="32">
        <v>0.89236122799999995</v>
      </c>
      <c r="V1001" s="32">
        <v>2</v>
      </c>
      <c r="W1001" s="32">
        <v>0.979051</v>
      </c>
      <c r="X1001" s="32">
        <v>0.177953</v>
      </c>
      <c r="Y1001" s="32">
        <v>0.7</v>
      </c>
      <c r="Z1001" s="32">
        <v>1</v>
      </c>
      <c r="AA1001" s="32">
        <v>48.5</v>
      </c>
      <c r="AB1001" s="32">
        <v>255</v>
      </c>
      <c r="AC1001" s="32">
        <v>16</v>
      </c>
      <c r="AD1001" s="32">
        <v>17</v>
      </c>
      <c r="AE1001" s="32">
        <v>0</v>
      </c>
      <c r="AF1001" s="32" t="s">
        <v>200</v>
      </c>
      <c r="AG1001" s="32">
        <v>0</v>
      </c>
    </row>
    <row r="1002" spans="1:33">
      <c r="A1002" s="32" t="s">
        <v>3318</v>
      </c>
      <c r="B1002" s="32" t="s">
        <v>65</v>
      </c>
      <c r="C1002" s="32" t="s">
        <v>3319</v>
      </c>
      <c r="D1002" s="32" t="s">
        <v>3320</v>
      </c>
      <c r="E1002" s="32" t="s">
        <v>3307</v>
      </c>
      <c r="F1002" s="32" t="s">
        <v>3308</v>
      </c>
      <c r="G1002" s="32" t="s">
        <v>1232</v>
      </c>
      <c r="H1002" s="32" t="s">
        <v>1233</v>
      </c>
      <c r="I1002" s="32" t="s">
        <v>198</v>
      </c>
      <c r="J1002" s="32" t="s">
        <v>199</v>
      </c>
      <c r="K1002" s="32">
        <v>2.8077429999999999</v>
      </c>
      <c r="L1002" s="33">
        <v>2815</v>
      </c>
      <c r="M1002" s="32">
        <v>353</v>
      </c>
      <c r="N1002" s="32">
        <v>912</v>
      </c>
      <c r="O1002" s="32">
        <v>898</v>
      </c>
      <c r="P1002" s="32">
        <v>497</v>
      </c>
      <c r="Q1002" s="32">
        <v>155</v>
      </c>
      <c r="R1002" s="32">
        <v>5</v>
      </c>
      <c r="S1002" s="32">
        <v>29.562000000000001</v>
      </c>
      <c r="T1002" s="32">
        <v>8.6146799999999999</v>
      </c>
      <c r="U1002" s="32">
        <v>0.67225022999999995</v>
      </c>
      <c r="V1002" s="32">
        <v>5</v>
      </c>
      <c r="W1002" s="32">
        <v>0.92421699999999996</v>
      </c>
      <c r="X1002" s="32">
        <v>0.12970300000000001</v>
      </c>
      <c r="Y1002" s="32">
        <v>0.76644599999999996</v>
      </c>
      <c r="Z1002" s="32">
        <v>1</v>
      </c>
      <c r="AA1002" s="32">
        <v>35.9</v>
      </c>
      <c r="AB1002" s="32">
        <v>420</v>
      </c>
      <c r="AC1002" s="32">
        <v>26</v>
      </c>
      <c r="AD1002" s="32">
        <v>33</v>
      </c>
      <c r="AE1002" s="32">
        <v>0</v>
      </c>
      <c r="AF1002" s="32">
        <v>0</v>
      </c>
      <c r="AG1002" s="32" t="s">
        <v>200</v>
      </c>
    </row>
    <row r="1003" spans="1:33">
      <c r="A1003" s="32" t="s">
        <v>3676</v>
      </c>
      <c r="B1003" s="32" t="s">
        <v>65</v>
      </c>
      <c r="C1003" s="32" t="s">
        <v>3677</v>
      </c>
      <c r="D1003" s="32" t="s">
        <v>3678</v>
      </c>
      <c r="E1003" s="32" t="s">
        <v>3577</v>
      </c>
      <c r="F1003" s="32" t="s">
        <v>3578</v>
      </c>
      <c r="G1003" s="32" t="s">
        <v>1232</v>
      </c>
      <c r="H1003" s="32" t="s">
        <v>1233</v>
      </c>
      <c r="I1003" s="32" t="s">
        <v>198</v>
      </c>
      <c r="J1003" s="32" t="s">
        <v>199</v>
      </c>
      <c r="K1003" s="32">
        <v>2.9119519999999999</v>
      </c>
      <c r="L1003" s="33">
        <v>2649</v>
      </c>
      <c r="M1003" s="32">
        <v>334</v>
      </c>
      <c r="N1003" s="32">
        <v>877</v>
      </c>
      <c r="O1003" s="32">
        <v>686</v>
      </c>
      <c r="P1003" s="32">
        <v>516</v>
      </c>
      <c r="Q1003" s="32">
        <v>236</v>
      </c>
      <c r="R1003" s="32" t="s">
        <v>302</v>
      </c>
      <c r="S1003" s="32">
        <v>47.217599999999997</v>
      </c>
      <c r="T1003" s="32">
        <v>12.0655</v>
      </c>
      <c r="U1003" s="32">
        <v>0.95118255399999996</v>
      </c>
      <c r="V1003" s="32">
        <v>2</v>
      </c>
      <c r="W1003" s="32">
        <v>0.98207199999999994</v>
      </c>
      <c r="X1003" s="32">
        <v>0.234043</v>
      </c>
      <c r="Y1003" s="32">
        <v>0.706897</v>
      </c>
      <c r="Z1003" s="32">
        <v>1</v>
      </c>
      <c r="AA1003" s="32">
        <v>38.1</v>
      </c>
      <c r="AB1003" s="32">
        <v>345</v>
      </c>
      <c r="AC1003" s="32">
        <v>20</v>
      </c>
      <c r="AD1003" s="32">
        <v>28</v>
      </c>
      <c r="AE1003" s="32" t="s">
        <v>200</v>
      </c>
      <c r="AF1003" s="32" t="s">
        <v>200</v>
      </c>
      <c r="AG1003" s="32" t="s">
        <v>200</v>
      </c>
    </row>
    <row r="1004" spans="1:33">
      <c r="A1004" s="32" t="s">
        <v>3679</v>
      </c>
      <c r="B1004" s="32" t="s">
        <v>59</v>
      </c>
      <c r="C1004" s="32" t="s">
        <v>3680</v>
      </c>
      <c r="D1004" s="32" t="s">
        <v>3681</v>
      </c>
      <c r="E1004" s="32" t="s">
        <v>3682</v>
      </c>
      <c r="F1004" s="32" t="s">
        <v>3683</v>
      </c>
      <c r="G1004" s="32" t="s">
        <v>3684</v>
      </c>
      <c r="H1004" s="32" t="s">
        <v>3685</v>
      </c>
      <c r="I1004" s="32" t="s">
        <v>198</v>
      </c>
      <c r="J1004" s="32" t="s">
        <v>199</v>
      </c>
      <c r="K1004" s="32">
        <v>3.1266080000000001</v>
      </c>
      <c r="L1004" s="33">
        <v>1476</v>
      </c>
      <c r="M1004" s="32">
        <v>230</v>
      </c>
      <c r="N1004" s="32">
        <v>341</v>
      </c>
      <c r="O1004" s="32">
        <v>437</v>
      </c>
      <c r="P1004" s="32">
        <v>322</v>
      </c>
      <c r="Q1004" s="32">
        <v>146</v>
      </c>
      <c r="R1004" s="32" t="s">
        <v>302</v>
      </c>
      <c r="S1004" s="32">
        <v>29.095300000000002</v>
      </c>
      <c r="T1004" s="32">
        <v>21.236599999999999</v>
      </c>
      <c r="U1004" s="32">
        <v>0.58623847600000001</v>
      </c>
      <c r="V1004" s="32">
        <v>3</v>
      </c>
      <c r="W1004" s="32">
        <v>0.94824600000000003</v>
      </c>
      <c r="X1004" s="32">
        <v>0.47701500000000002</v>
      </c>
      <c r="Y1004" s="32">
        <v>0.7</v>
      </c>
      <c r="Z1004" s="32">
        <v>1</v>
      </c>
      <c r="AA1004" s="32">
        <v>39.700000000000003</v>
      </c>
      <c r="AB1004" s="32">
        <v>210</v>
      </c>
      <c r="AC1004" s="32">
        <v>17</v>
      </c>
      <c r="AD1004" s="32">
        <v>18</v>
      </c>
      <c r="AE1004" s="32">
        <v>0</v>
      </c>
      <c r="AF1004" s="32">
        <v>0</v>
      </c>
      <c r="AG1004" s="32">
        <v>0</v>
      </c>
    </row>
    <row r="1005" spans="1:33">
      <c r="A1005" s="32" t="s">
        <v>3686</v>
      </c>
      <c r="B1005" s="32" t="s">
        <v>59</v>
      </c>
      <c r="C1005" s="32" t="s">
        <v>3687</v>
      </c>
      <c r="D1005" s="32" t="s">
        <v>3688</v>
      </c>
      <c r="E1005" s="32" t="s">
        <v>3682</v>
      </c>
      <c r="F1005" s="32" t="s">
        <v>3683</v>
      </c>
      <c r="G1005" s="32" t="s">
        <v>3684</v>
      </c>
      <c r="H1005" s="32" t="s">
        <v>3685</v>
      </c>
      <c r="I1005" s="32" t="s">
        <v>198</v>
      </c>
      <c r="J1005" s="32" t="s">
        <v>199</v>
      </c>
      <c r="K1005" s="32">
        <v>2.8939789999999999</v>
      </c>
      <c r="L1005" s="33">
        <v>1775</v>
      </c>
      <c r="M1005" s="32">
        <v>231</v>
      </c>
      <c r="N1005" s="32">
        <v>459</v>
      </c>
      <c r="O1005" s="32">
        <v>701</v>
      </c>
      <c r="P1005" s="32">
        <v>296</v>
      </c>
      <c r="Q1005" s="32">
        <v>88</v>
      </c>
      <c r="R1005" s="32">
        <v>3</v>
      </c>
      <c r="S1005" s="32">
        <v>24.590499999999999</v>
      </c>
      <c r="T1005" s="32">
        <v>2.3000799999999999</v>
      </c>
      <c r="U1005" s="32">
        <v>0.66860614299999999</v>
      </c>
      <c r="V1005" s="32">
        <v>3</v>
      </c>
      <c r="W1005" s="32">
        <v>0.91466000000000003</v>
      </c>
      <c r="X1005" s="32">
        <v>0.276393</v>
      </c>
      <c r="Y1005" s="32">
        <v>0.7</v>
      </c>
      <c r="Z1005" s="32">
        <v>1</v>
      </c>
      <c r="AA1005" s="32">
        <v>41.9</v>
      </c>
      <c r="AB1005" s="32">
        <v>253</v>
      </c>
      <c r="AC1005" s="32">
        <v>34</v>
      </c>
      <c r="AD1005" s="32">
        <v>9</v>
      </c>
      <c r="AE1005" s="32">
        <v>0</v>
      </c>
      <c r="AF1005" s="32">
        <v>0</v>
      </c>
      <c r="AG1005" s="32" t="s">
        <v>200</v>
      </c>
    </row>
    <row r="1006" spans="1:33">
      <c r="A1006" s="32" t="s">
        <v>3689</v>
      </c>
      <c r="B1006" s="32" t="s">
        <v>59</v>
      </c>
      <c r="C1006" s="32" t="s">
        <v>3690</v>
      </c>
      <c r="D1006" s="32" t="s">
        <v>3691</v>
      </c>
      <c r="E1006" s="32" t="s">
        <v>3682</v>
      </c>
      <c r="F1006" s="32" t="s">
        <v>3683</v>
      </c>
      <c r="G1006" s="32" t="s">
        <v>3684</v>
      </c>
      <c r="H1006" s="32" t="s">
        <v>3685</v>
      </c>
      <c r="I1006" s="32" t="s">
        <v>198</v>
      </c>
      <c r="J1006" s="32" t="s">
        <v>199</v>
      </c>
      <c r="K1006" s="32">
        <v>2.8882029999999999</v>
      </c>
      <c r="L1006" s="33">
        <v>2057</v>
      </c>
      <c r="M1006" s="32">
        <v>283</v>
      </c>
      <c r="N1006" s="32">
        <v>633</v>
      </c>
      <c r="O1006" s="32">
        <v>705</v>
      </c>
      <c r="P1006" s="32">
        <v>355</v>
      </c>
      <c r="Q1006" s="32">
        <v>81</v>
      </c>
      <c r="R1006" s="32">
        <v>4</v>
      </c>
      <c r="S1006" s="32">
        <v>26.322099999999999</v>
      </c>
      <c r="T1006" s="32">
        <v>0</v>
      </c>
      <c r="U1006" s="32">
        <v>0.52119470300000004</v>
      </c>
      <c r="V1006" s="32">
        <v>6</v>
      </c>
      <c r="W1006" s="32">
        <v>0.91609700000000005</v>
      </c>
      <c r="X1006" s="32">
        <v>0.364091</v>
      </c>
      <c r="Y1006" s="32">
        <v>0.7</v>
      </c>
      <c r="Z1006" s="32">
        <v>0.91106200000000004</v>
      </c>
      <c r="AA1006" s="32">
        <v>33.200000000000003</v>
      </c>
      <c r="AB1006" s="32">
        <v>199</v>
      </c>
      <c r="AC1006" s="32">
        <v>17</v>
      </c>
      <c r="AD1006" s="32">
        <v>16</v>
      </c>
      <c r="AE1006" s="32">
        <v>0</v>
      </c>
      <c r="AF1006" s="32">
        <v>0</v>
      </c>
      <c r="AG1006" s="32" t="s">
        <v>200</v>
      </c>
    </row>
    <row r="1007" spans="1:33">
      <c r="A1007" s="32" t="s">
        <v>3692</v>
      </c>
      <c r="B1007" s="32" t="s">
        <v>59</v>
      </c>
      <c r="C1007" s="32" t="s">
        <v>3693</v>
      </c>
      <c r="D1007" s="32" t="s">
        <v>3694</v>
      </c>
      <c r="E1007" s="32" t="s">
        <v>3695</v>
      </c>
      <c r="F1007" s="32" t="s">
        <v>3696</v>
      </c>
      <c r="G1007" s="32" t="s">
        <v>3684</v>
      </c>
      <c r="H1007" s="32" t="s">
        <v>3685</v>
      </c>
      <c r="I1007" s="32" t="s">
        <v>198</v>
      </c>
      <c r="J1007" s="32" t="s">
        <v>199</v>
      </c>
      <c r="K1007" s="32">
        <v>2.347</v>
      </c>
      <c r="L1007" s="33">
        <v>2184</v>
      </c>
      <c r="M1007" s="32">
        <v>325</v>
      </c>
      <c r="N1007" s="32">
        <v>482</v>
      </c>
      <c r="O1007" s="32">
        <v>649</v>
      </c>
      <c r="P1007" s="32">
        <v>511</v>
      </c>
      <c r="Q1007" s="32">
        <v>217</v>
      </c>
      <c r="R1007" s="32">
        <v>2</v>
      </c>
      <c r="S1007" s="32">
        <v>23.077300000000001</v>
      </c>
      <c r="T1007" s="32">
        <v>0</v>
      </c>
      <c r="U1007" s="32">
        <v>0.81293117299999995</v>
      </c>
      <c r="V1007" s="32">
        <v>6</v>
      </c>
      <c r="W1007" s="32">
        <v>0.90794699999999995</v>
      </c>
      <c r="X1007" s="32">
        <v>0.19483900000000001</v>
      </c>
      <c r="Y1007" s="32">
        <v>0.70388499999999998</v>
      </c>
      <c r="Z1007" s="32">
        <v>0.544292</v>
      </c>
      <c r="AA1007" s="32">
        <v>21.5</v>
      </c>
      <c r="AB1007" s="32">
        <v>497</v>
      </c>
      <c r="AC1007" s="32">
        <v>51</v>
      </c>
      <c r="AD1007" s="32">
        <v>63</v>
      </c>
      <c r="AE1007" s="32" t="s">
        <v>200</v>
      </c>
      <c r="AF1007" s="32">
        <v>0</v>
      </c>
      <c r="AG1007" s="32">
        <v>12</v>
      </c>
    </row>
    <row r="1008" spans="1:33">
      <c r="A1008" s="32" t="s">
        <v>3697</v>
      </c>
      <c r="B1008" s="32" t="s">
        <v>59</v>
      </c>
      <c r="C1008" s="32" t="s">
        <v>3698</v>
      </c>
      <c r="D1008" s="32" t="s">
        <v>3699</v>
      </c>
      <c r="E1008" s="32" t="s">
        <v>3682</v>
      </c>
      <c r="F1008" s="32" t="s">
        <v>3683</v>
      </c>
      <c r="G1008" s="32" t="s">
        <v>3684</v>
      </c>
      <c r="H1008" s="32" t="s">
        <v>3685</v>
      </c>
      <c r="I1008" s="32" t="s">
        <v>198</v>
      </c>
      <c r="J1008" s="32" t="s">
        <v>199</v>
      </c>
      <c r="K1008" s="32">
        <v>2.934539</v>
      </c>
      <c r="L1008" s="33">
        <v>2900</v>
      </c>
      <c r="M1008" s="32">
        <v>520</v>
      </c>
      <c r="N1008" s="32">
        <v>670</v>
      </c>
      <c r="O1008" s="32">
        <v>916</v>
      </c>
      <c r="P1008" s="32">
        <v>515</v>
      </c>
      <c r="Q1008" s="32">
        <v>279</v>
      </c>
      <c r="R1008" s="32">
        <v>3</v>
      </c>
      <c r="S1008" s="32">
        <v>48.506500000000003</v>
      </c>
      <c r="T1008" s="32">
        <v>0</v>
      </c>
      <c r="U1008" s="32">
        <v>0.64170606600000002</v>
      </c>
      <c r="V1008" s="32">
        <v>3</v>
      </c>
      <c r="W1008" s="32">
        <v>0.93020800000000003</v>
      </c>
      <c r="X1008" s="32">
        <v>0.29868600000000001</v>
      </c>
      <c r="Y1008" s="32">
        <v>0.71265100000000003</v>
      </c>
      <c r="Z1008" s="32">
        <v>1</v>
      </c>
      <c r="AA1008" s="32">
        <v>50.5</v>
      </c>
      <c r="AB1008" s="32">
        <v>883</v>
      </c>
      <c r="AC1008" s="32">
        <v>63</v>
      </c>
      <c r="AD1008" s="32">
        <v>453</v>
      </c>
      <c r="AE1008" s="32">
        <v>25</v>
      </c>
      <c r="AF1008" s="32">
        <v>6</v>
      </c>
      <c r="AG1008" s="32">
        <v>14</v>
      </c>
    </row>
    <row r="1009" spans="1:33">
      <c r="A1009" s="32" t="s">
        <v>3700</v>
      </c>
      <c r="B1009" s="32" t="s">
        <v>59</v>
      </c>
      <c r="C1009" s="32" t="s">
        <v>3701</v>
      </c>
      <c r="D1009" s="32" t="s">
        <v>3702</v>
      </c>
      <c r="E1009" s="32" t="s">
        <v>3682</v>
      </c>
      <c r="F1009" s="32" t="s">
        <v>3683</v>
      </c>
      <c r="G1009" s="32" t="s">
        <v>3684</v>
      </c>
      <c r="H1009" s="32" t="s">
        <v>3685</v>
      </c>
      <c r="I1009" s="32" t="s">
        <v>198</v>
      </c>
      <c r="J1009" s="32" t="s">
        <v>199</v>
      </c>
      <c r="K1009" s="32">
        <v>2.9065789999999998</v>
      </c>
      <c r="L1009" s="33">
        <v>2285</v>
      </c>
      <c r="M1009" s="32">
        <v>478</v>
      </c>
      <c r="N1009" s="32">
        <v>495</v>
      </c>
      <c r="O1009" s="32">
        <v>684</v>
      </c>
      <c r="P1009" s="32">
        <v>479</v>
      </c>
      <c r="Q1009" s="32">
        <v>149</v>
      </c>
      <c r="R1009" s="32">
        <v>4</v>
      </c>
      <c r="S1009" s="32">
        <v>26.044799999999999</v>
      </c>
      <c r="T1009" s="32">
        <v>2.3310499999999998</v>
      </c>
      <c r="U1009" s="32">
        <v>0.74953627499999997</v>
      </c>
      <c r="V1009" s="32">
        <v>3</v>
      </c>
      <c r="W1009" s="32">
        <v>0.91271899999999995</v>
      </c>
      <c r="X1009" s="32">
        <v>0.51048000000000004</v>
      </c>
      <c r="Y1009" s="32">
        <v>0.70413899999999996</v>
      </c>
      <c r="Z1009" s="32">
        <v>0.78611699999999995</v>
      </c>
      <c r="AA1009" s="32">
        <v>49.1</v>
      </c>
      <c r="AB1009" s="32">
        <v>327</v>
      </c>
      <c r="AC1009" s="32">
        <v>41</v>
      </c>
      <c r="AD1009" s="32">
        <v>53</v>
      </c>
      <c r="AE1009" s="32">
        <v>15</v>
      </c>
      <c r="AF1009" s="32">
        <v>0</v>
      </c>
      <c r="AG1009" s="32" t="s">
        <v>200</v>
      </c>
    </row>
    <row r="1010" spans="1:33">
      <c r="A1010" s="32" t="s">
        <v>3703</v>
      </c>
      <c r="B1010" s="32" t="s">
        <v>59</v>
      </c>
      <c r="C1010" s="32" t="s">
        <v>3704</v>
      </c>
      <c r="D1010" s="32" t="s">
        <v>3705</v>
      </c>
      <c r="E1010" s="32" t="s">
        <v>3682</v>
      </c>
      <c r="F1010" s="32" t="s">
        <v>3683</v>
      </c>
      <c r="G1010" s="32" t="s">
        <v>3684</v>
      </c>
      <c r="H1010" s="32" t="s">
        <v>3685</v>
      </c>
      <c r="I1010" s="32" t="s">
        <v>198</v>
      </c>
      <c r="J1010" s="32" t="s">
        <v>199</v>
      </c>
      <c r="K1010" s="32">
        <v>2.8404039999999999</v>
      </c>
      <c r="L1010" s="33">
        <v>1800</v>
      </c>
      <c r="M1010" s="32">
        <v>211</v>
      </c>
      <c r="N1010" s="32">
        <v>537</v>
      </c>
      <c r="O1010" s="32">
        <v>569</v>
      </c>
      <c r="P1010" s="32">
        <v>362</v>
      </c>
      <c r="Q1010" s="32">
        <v>121</v>
      </c>
      <c r="R1010" s="32">
        <v>4</v>
      </c>
      <c r="S1010" s="32">
        <v>27.197800000000001</v>
      </c>
      <c r="T1010" s="32">
        <v>2.2866499999999998</v>
      </c>
      <c r="U1010" s="32">
        <v>0.53109915100000005</v>
      </c>
      <c r="V1010" s="32">
        <v>5</v>
      </c>
      <c r="W1010" s="32">
        <v>0.90918299999999996</v>
      </c>
      <c r="X1010" s="32">
        <v>0.27393699999999999</v>
      </c>
      <c r="Y1010" s="32">
        <v>0.7</v>
      </c>
      <c r="Z1010" s="32">
        <v>0.96853699999999998</v>
      </c>
      <c r="AA1010" s="32">
        <v>23</v>
      </c>
      <c r="AB1010" s="32">
        <v>367</v>
      </c>
      <c r="AC1010" s="32">
        <v>24</v>
      </c>
      <c r="AD1010" s="32">
        <v>110</v>
      </c>
      <c r="AE1010" s="32" t="s">
        <v>200</v>
      </c>
      <c r="AF1010" s="32" t="s">
        <v>200</v>
      </c>
      <c r="AG1010" s="32" t="s">
        <v>200</v>
      </c>
    </row>
    <row r="1011" spans="1:33">
      <c r="A1011" s="32" t="s">
        <v>3706</v>
      </c>
      <c r="B1011" s="32" t="s">
        <v>59</v>
      </c>
      <c r="C1011" s="32" t="s">
        <v>3707</v>
      </c>
      <c r="D1011" s="32" t="s">
        <v>3708</v>
      </c>
      <c r="E1011" s="32" t="s">
        <v>3695</v>
      </c>
      <c r="F1011" s="32" t="s">
        <v>3696</v>
      </c>
      <c r="G1011" s="32" t="s">
        <v>3684</v>
      </c>
      <c r="H1011" s="32" t="s">
        <v>3685</v>
      </c>
      <c r="I1011" s="32" t="s">
        <v>198</v>
      </c>
      <c r="J1011" s="32" t="s">
        <v>199</v>
      </c>
      <c r="K1011" s="32">
        <v>2.7425169999999999</v>
      </c>
      <c r="L1011" s="33">
        <v>1739</v>
      </c>
      <c r="M1011" s="32">
        <v>230</v>
      </c>
      <c r="N1011" s="32">
        <v>402</v>
      </c>
      <c r="O1011" s="32">
        <v>516</v>
      </c>
      <c r="P1011" s="32">
        <v>376</v>
      </c>
      <c r="Q1011" s="32">
        <v>215</v>
      </c>
      <c r="R1011" s="32">
        <v>5</v>
      </c>
      <c r="S1011" s="32">
        <v>27.599499999999999</v>
      </c>
      <c r="T1011" s="32">
        <v>19.6629</v>
      </c>
      <c r="U1011" s="32">
        <v>0.52017682700000001</v>
      </c>
      <c r="V1011" s="32">
        <v>7</v>
      </c>
      <c r="W1011" s="32">
        <v>0.93435400000000002</v>
      </c>
      <c r="X1011" s="32">
        <v>0.225939</v>
      </c>
      <c r="Y1011" s="32">
        <v>0.7</v>
      </c>
      <c r="Z1011" s="32">
        <v>0.86644100000000002</v>
      </c>
      <c r="AA1011" s="32">
        <v>13.5</v>
      </c>
      <c r="AB1011" s="32">
        <v>365</v>
      </c>
      <c r="AC1011" s="32">
        <v>31</v>
      </c>
      <c r="AD1011" s="32">
        <v>14</v>
      </c>
      <c r="AE1011" s="32" t="s">
        <v>200</v>
      </c>
      <c r="AF1011" s="32">
        <v>0</v>
      </c>
      <c r="AG1011" s="32">
        <v>0</v>
      </c>
    </row>
    <row r="1012" spans="1:33">
      <c r="A1012" s="32" t="s">
        <v>3709</v>
      </c>
      <c r="B1012" s="32" t="s">
        <v>59</v>
      </c>
      <c r="C1012" s="32" t="s">
        <v>3710</v>
      </c>
      <c r="D1012" s="32" t="s">
        <v>3711</v>
      </c>
      <c r="E1012" s="32" t="s">
        <v>3682</v>
      </c>
      <c r="F1012" s="32" t="s">
        <v>3683</v>
      </c>
      <c r="G1012" s="32" t="s">
        <v>3684</v>
      </c>
      <c r="H1012" s="32" t="s">
        <v>3685</v>
      </c>
      <c r="I1012" s="32" t="s">
        <v>198</v>
      </c>
      <c r="J1012" s="32" t="s">
        <v>199</v>
      </c>
      <c r="K1012" s="32">
        <v>2.7985989999999998</v>
      </c>
      <c r="L1012" s="33">
        <v>2477</v>
      </c>
      <c r="M1012" s="32">
        <v>576</v>
      </c>
      <c r="N1012" s="32">
        <v>509</v>
      </c>
      <c r="O1012" s="32">
        <v>799</v>
      </c>
      <c r="P1012" s="32">
        <v>442</v>
      </c>
      <c r="Q1012" s="32">
        <v>151</v>
      </c>
      <c r="R1012" s="32">
        <v>2</v>
      </c>
      <c r="S1012" s="32">
        <v>18.842500000000001</v>
      </c>
      <c r="T1012" s="32">
        <v>2.0611799999999998</v>
      </c>
      <c r="U1012" s="32">
        <v>0.85855257399999996</v>
      </c>
      <c r="V1012" s="32">
        <v>3</v>
      </c>
      <c r="W1012" s="32">
        <v>0.90756300000000001</v>
      </c>
      <c r="X1012" s="32">
        <v>0.204482</v>
      </c>
      <c r="Y1012" s="32">
        <v>0.7</v>
      </c>
      <c r="Z1012" s="32">
        <v>1</v>
      </c>
      <c r="AA1012" s="32">
        <v>57</v>
      </c>
      <c r="AB1012" s="32">
        <v>334</v>
      </c>
      <c r="AC1012" s="32">
        <v>20</v>
      </c>
      <c r="AD1012" s="32">
        <v>16</v>
      </c>
      <c r="AE1012" s="32">
        <v>0</v>
      </c>
      <c r="AF1012" s="32">
        <v>0</v>
      </c>
      <c r="AG1012" s="32" t="s">
        <v>200</v>
      </c>
    </row>
    <row r="1013" spans="1:33">
      <c r="A1013" s="32" t="s">
        <v>3712</v>
      </c>
      <c r="B1013" s="32" t="s">
        <v>59</v>
      </c>
      <c r="C1013" s="32" t="s">
        <v>3713</v>
      </c>
      <c r="D1013" s="32" t="s">
        <v>3714</v>
      </c>
      <c r="E1013" s="32" t="s">
        <v>3715</v>
      </c>
      <c r="F1013" s="32" t="s">
        <v>3716</v>
      </c>
      <c r="G1013" s="32" t="s">
        <v>3684</v>
      </c>
      <c r="H1013" s="32" t="s">
        <v>3685</v>
      </c>
      <c r="I1013" s="32" t="s">
        <v>198</v>
      </c>
      <c r="J1013" s="32" t="s">
        <v>199</v>
      </c>
      <c r="K1013" s="32">
        <v>2.486005</v>
      </c>
      <c r="L1013" s="33">
        <v>2138</v>
      </c>
      <c r="M1013" s="32">
        <v>534</v>
      </c>
      <c r="N1013" s="32">
        <v>425</v>
      </c>
      <c r="O1013" s="32">
        <v>506</v>
      </c>
      <c r="P1013" s="32">
        <v>502</v>
      </c>
      <c r="Q1013" s="32">
        <v>171</v>
      </c>
      <c r="R1013" s="32">
        <v>2</v>
      </c>
      <c r="S1013" s="32">
        <v>17.247199999999999</v>
      </c>
      <c r="T1013" s="32">
        <v>2.47566</v>
      </c>
      <c r="U1013" s="32">
        <v>1.0672016660000001</v>
      </c>
      <c r="V1013" s="32">
        <v>2</v>
      </c>
      <c r="W1013" s="32">
        <v>0.91068700000000002</v>
      </c>
      <c r="X1013" s="32">
        <v>0.25012800000000002</v>
      </c>
      <c r="Y1013" s="32">
        <v>0.78746799999999995</v>
      </c>
      <c r="Z1013" s="32">
        <v>0.53629400000000005</v>
      </c>
      <c r="AA1013" s="32">
        <v>55.1</v>
      </c>
      <c r="AB1013" s="32">
        <v>377</v>
      </c>
      <c r="AC1013" s="32">
        <v>62</v>
      </c>
      <c r="AD1013" s="32">
        <v>29</v>
      </c>
      <c r="AE1013" s="32">
        <v>0</v>
      </c>
      <c r="AF1013" s="32">
        <v>0</v>
      </c>
      <c r="AG1013" s="32">
        <v>0</v>
      </c>
    </row>
    <row r="1014" spans="1:33">
      <c r="A1014" s="32" t="s">
        <v>3717</v>
      </c>
      <c r="B1014" s="32" t="s">
        <v>59</v>
      </c>
      <c r="C1014" s="32" t="s">
        <v>3718</v>
      </c>
      <c r="D1014" s="32" t="s">
        <v>3719</v>
      </c>
      <c r="E1014" s="32" t="s">
        <v>3715</v>
      </c>
      <c r="F1014" s="32" t="s">
        <v>3716</v>
      </c>
      <c r="G1014" s="32" t="s">
        <v>3684</v>
      </c>
      <c r="H1014" s="32" t="s">
        <v>3685</v>
      </c>
      <c r="I1014" s="32" t="s">
        <v>198</v>
      </c>
      <c r="J1014" s="32" t="s">
        <v>199</v>
      </c>
      <c r="K1014" s="32">
        <v>2.491546</v>
      </c>
      <c r="L1014" s="33">
        <v>2080</v>
      </c>
      <c r="M1014" s="32">
        <v>307</v>
      </c>
      <c r="N1014" s="32">
        <v>436</v>
      </c>
      <c r="O1014" s="32">
        <v>681</v>
      </c>
      <c r="P1014" s="32">
        <v>456</v>
      </c>
      <c r="Q1014" s="32">
        <v>200</v>
      </c>
      <c r="R1014" s="32">
        <v>2</v>
      </c>
      <c r="S1014" s="32">
        <v>13.706899999999999</v>
      </c>
      <c r="T1014" s="32">
        <v>0</v>
      </c>
      <c r="U1014" s="32">
        <v>0.90425399900000003</v>
      </c>
      <c r="V1014" s="32">
        <v>4</v>
      </c>
      <c r="W1014" s="32">
        <v>0.92391299999999998</v>
      </c>
      <c r="X1014" s="32">
        <v>0.25060199999999999</v>
      </c>
      <c r="Y1014" s="32">
        <v>0.79951799999999995</v>
      </c>
      <c r="Z1014" s="32">
        <v>0.51853700000000003</v>
      </c>
      <c r="AA1014" s="32">
        <v>30.1</v>
      </c>
      <c r="AB1014" s="32">
        <v>453</v>
      </c>
      <c r="AC1014" s="32">
        <v>51</v>
      </c>
      <c r="AD1014" s="32">
        <v>31</v>
      </c>
      <c r="AE1014" s="32">
        <v>5</v>
      </c>
      <c r="AF1014" s="32" t="s">
        <v>200</v>
      </c>
      <c r="AG1014" s="32">
        <v>5</v>
      </c>
    </row>
    <row r="1015" spans="1:33">
      <c r="A1015" s="32" t="s">
        <v>3720</v>
      </c>
      <c r="B1015" s="32" t="s">
        <v>104</v>
      </c>
      <c r="C1015" s="32" t="s">
        <v>3721</v>
      </c>
      <c r="D1015" s="32" t="s">
        <v>3722</v>
      </c>
      <c r="E1015" s="32" t="s">
        <v>3140</v>
      </c>
      <c r="F1015" s="32" t="s">
        <v>3141</v>
      </c>
      <c r="G1015" s="32" t="s">
        <v>1232</v>
      </c>
      <c r="H1015" s="32" t="s">
        <v>1233</v>
      </c>
      <c r="I1015" s="32" t="s">
        <v>198</v>
      </c>
      <c r="J1015" s="32" t="s">
        <v>199</v>
      </c>
      <c r="K1015" s="32">
        <v>2.361561</v>
      </c>
      <c r="L1015" s="33">
        <v>1739</v>
      </c>
      <c r="M1015" s="32">
        <v>256</v>
      </c>
      <c r="N1015" s="32">
        <v>412</v>
      </c>
      <c r="O1015" s="32">
        <v>605</v>
      </c>
      <c r="P1015" s="32">
        <v>346</v>
      </c>
      <c r="Q1015" s="32">
        <v>120</v>
      </c>
      <c r="R1015" s="32">
        <v>4</v>
      </c>
      <c r="S1015" s="32">
        <v>24.561</v>
      </c>
      <c r="T1015" s="32">
        <v>10.198499999999999</v>
      </c>
      <c r="U1015" s="32">
        <v>0.94300651899999999</v>
      </c>
      <c r="V1015" s="32">
        <v>4</v>
      </c>
      <c r="W1015" s="32">
        <v>0.90549100000000005</v>
      </c>
      <c r="X1015" s="32">
        <v>5.1462000000000001E-2</v>
      </c>
      <c r="Y1015" s="32">
        <v>0.7</v>
      </c>
      <c r="Z1015" s="32">
        <v>0.70463799999999999</v>
      </c>
      <c r="AA1015" s="32">
        <v>40.1</v>
      </c>
      <c r="AB1015" s="32">
        <v>339</v>
      </c>
      <c r="AC1015" s="32">
        <v>35</v>
      </c>
      <c r="AD1015" s="32">
        <v>25</v>
      </c>
      <c r="AE1015" s="32">
        <v>0</v>
      </c>
      <c r="AF1015" s="32" t="s">
        <v>200</v>
      </c>
      <c r="AG1015" s="32" t="s">
        <v>200</v>
      </c>
    </row>
    <row r="1016" spans="1:33">
      <c r="A1016" s="32" t="s">
        <v>3723</v>
      </c>
      <c r="B1016" s="32" t="s">
        <v>104</v>
      </c>
      <c r="C1016" s="32" t="s">
        <v>3724</v>
      </c>
      <c r="D1016" s="32" t="s">
        <v>3725</v>
      </c>
      <c r="E1016" s="32" t="s">
        <v>3726</v>
      </c>
      <c r="F1016" s="32" t="s">
        <v>3727</v>
      </c>
      <c r="G1016" s="32" t="s">
        <v>1232</v>
      </c>
      <c r="H1016" s="32" t="s">
        <v>1233</v>
      </c>
      <c r="I1016" s="32" t="s">
        <v>198</v>
      </c>
      <c r="J1016" s="32" t="s">
        <v>199</v>
      </c>
      <c r="K1016" s="32">
        <v>2.271363</v>
      </c>
      <c r="L1016" s="33">
        <v>1594</v>
      </c>
      <c r="M1016" s="32">
        <v>292</v>
      </c>
      <c r="N1016" s="32">
        <v>379</v>
      </c>
      <c r="O1016" s="32">
        <v>444</v>
      </c>
      <c r="P1016" s="32">
        <v>338</v>
      </c>
      <c r="Q1016" s="32">
        <v>141</v>
      </c>
      <c r="R1016" s="32">
        <v>2</v>
      </c>
      <c r="S1016" s="32">
        <v>11.8363</v>
      </c>
      <c r="T1016" s="32">
        <v>2.97661</v>
      </c>
      <c r="U1016" s="32">
        <v>0.88149033799999998</v>
      </c>
      <c r="V1016" s="32">
        <v>5</v>
      </c>
      <c r="W1016" s="32">
        <v>0.901617</v>
      </c>
      <c r="X1016" s="32">
        <v>3.6951999999999999E-2</v>
      </c>
      <c r="Y1016" s="32">
        <v>0.7</v>
      </c>
      <c r="Z1016" s="32">
        <v>0.62886799999999998</v>
      </c>
      <c r="AA1016" s="32">
        <v>21.9</v>
      </c>
      <c r="AB1016" s="32">
        <v>410</v>
      </c>
      <c r="AC1016" s="32">
        <v>22</v>
      </c>
      <c r="AD1016" s="32">
        <v>11</v>
      </c>
      <c r="AE1016" s="32">
        <v>0</v>
      </c>
      <c r="AF1016" s="32">
        <v>0</v>
      </c>
      <c r="AG1016" s="32" t="s">
        <v>200</v>
      </c>
    </row>
    <row r="1017" spans="1:33">
      <c r="A1017" s="32" t="s">
        <v>3728</v>
      </c>
      <c r="B1017" s="32" t="s">
        <v>104</v>
      </c>
      <c r="C1017" s="32" t="s">
        <v>3729</v>
      </c>
      <c r="D1017" s="32" t="s">
        <v>3730</v>
      </c>
      <c r="E1017" s="32" t="s">
        <v>3726</v>
      </c>
      <c r="F1017" s="32" t="s">
        <v>3727</v>
      </c>
      <c r="G1017" s="32" t="s">
        <v>1232</v>
      </c>
      <c r="H1017" s="32" t="s">
        <v>1233</v>
      </c>
      <c r="I1017" s="32" t="s">
        <v>198</v>
      </c>
      <c r="J1017" s="32" t="s">
        <v>199</v>
      </c>
      <c r="K1017" s="32">
        <v>2.5474999999999999</v>
      </c>
      <c r="L1017" s="33">
        <v>2032</v>
      </c>
      <c r="M1017" s="32">
        <v>279</v>
      </c>
      <c r="N1017" s="32">
        <v>632</v>
      </c>
      <c r="O1017" s="32">
        <v>744</v>
      </c>
      <c r="P1017" s="32">
        <v>263</v>
      </c>
      <c r="Q1017" s="32">
        <v>114</v>
      </c>
      <c r="R1017" s="32">
        <v>4</v>
      </c>
      <c r="S1017" s="32">
        <v>26.7164</v>
      </c>
      <c r="T1017" s="32">
        <v>15.256500000000001</v>
      </c>
      <c r="U1017" s="32">
        <v>0.65292214500000001</v>
      </c>
      <c r="V1017" s="32">
        <v>6</v>
      </c>
      <c r="W1017" s="32">
        <v>0.91625000000000001</v>
      </c>
      <c r="X1017" s="32">
        <v>0.29431600000000002</v>
      </c>
      <c r="Y1017" s="32">
        <v>0.8</v>
      </c>
      <c r="Z1017" s="32">
        <v>0.53592399999999996</v>
      </c>
      <c r="AA1017" s="32">
        <v>16.7</v>
      </c>
      <c r="AB1017" s="32">
        <v>329</v>
      </c>
      <c r="AC1017" s="32">
        <v>28</v>
      </c>
      <c r="AD1017" s="32">
        <v>7</v>
      </c>
      <c r="AE1017" s="32">
        <v>0</v>
      </c>
      <c r="AF1017" s="32">
        <v>0</v>
      </c>
      <c r="AG1017" s="32" t="s">
        <v>200</v>
      </c>
    </row>
    <row r="1018" spans="1:33">
      <c r="A1018" s="32" t="s">
        <v>3731</v>
      </c>
      <c r="B1018" s="32" t="s">
        <v>104</v>
      </c>
      <c r="C1018" s="32" t="s">
        <v>3732</v>
      </c>
      <c r="D1018" s="32" t="s">
        <v>3733</v>
      </c>
      <c r="E1018" s="32" t="s">
        <v>3734</v>
      </c>
      <c r="F1018" s="32" t="s">
        <v>3735</v>
      </c>
      <c r="G1018" s="32" t="s">
        <v>1232</v>
      </c>
      <c r="H1018" s="32" t="s">
        <v>1233</v>
      </c>
      <c r="I1018" s="32" t="s">
        <v>198</v>
      </c>
      <c r="J1018" s="32" t="s">
        <v>199</v>
      </c>
      <c r="K1018" s="32">
        <v>2.589855</v>
      </c>
      <c r="L1018" s="33">
        <v>1733</v>
      </c>
      <c r="M1018" s="32">
        <v>273</v>
      </c>
      <c r="N1018" s="32">
        <v>574</v>
      </c>
      <c r="O1018" s="32">
        <v>511</v>
      </c>
      <c r="P1018" s="32">
        <v>277</v>
      </c>
      <c r="Q1018" s="32">
        <v>98</v>
      </c>
      <c r="R1018" s="32">
        <v>3</v>
      </c>
      <c r="S1018" s="32">
        <v>16.433299999999999</v>
      </c>
      <c r="T1018" s="32">
        <v>6.35555</v>
      </c>
      <c r="U1018" s="32">
        <v>0.74705735399999995</v>
      </c>
      <c r="V1018" s="32">
        <v>4</v>
      </c>
      <c r="W1018" s="32">
        <v>0.91666700000000001</v>
      </c>
      <c r="X1018" s="32">
        <v>0.25177300000000002</v>
      </c>
      <c r="Y1018" s="32">
        <v>0.75724400000000003</v>
      </c>
      <c r="Z1018" s="32">
        <v>0.66295000000000004</v>
      </c>
      <c r="AA1018" s="32">
        <v>35.6</v>
      </c>
      <c r="AB1018" s="32">
        <v>274</v>
      </c>
      <c r="AC1018" s="32">
        <v>18</v>
      </c>
      <c r="AD1018" s="32">
        <v>11</v>
      </c>
      <c r="AE1018" s="32" t="s">
        <v>200</v>
      </c>
      <c r="AF1018" s="32">
        <v>0</v>
      </c>
      <c r="AG1018" s="32" t="s">
        <v>200</v>
      </c>
    </row>
    <row r="1019" spans="1:33">
      <c r="A1019" s="32" t="s">
        <v>3736</v>
      </c>
      <c r="B1019" s="32" t="s">
        <v>104</v>
      </c>
      <c r="C1019" s="32" t="s">
        <v>3737</v>
      </c>
      <c r="D1019" s="32" t="s">
        <v>3738</v>
      </c>
      <c r="E1019" s="32" t="s">
        <v>3145</v>
      </c>
      <c r="F1019" s="32" t="s">
        <v>3146</v>
      </c>
      <c r="G1019" s="32" t="s">
        <v>1232</v>
      </c>
      <c r="H1019" s="32" t="s">
        <v>1233</v>
      </c>
      <c r="I1019" s="32" t="s">
        <v>198</v>
      </c>
      <c r="J1019" s="32" t="s">
        <v>199</v>
      </c>
      <c r="K1019" s="32">
        <v>2.5963539999999998</v>
      </c>
      <c r="L1019" s="33">
        <v>2714</v>
      </c>
      <c r="M1019" s="32">
        <v>414</v>
      </c>
      <c r="N1019" s="32">
        <v>778</v>
      </c>
      <c r="O1019" s="32">
        <v>976</v>
      </c>
      <c r="P1019" s="32">
        <v>414</v>
      </c>
      <c r="Q1019" s="32">
        <v>132</v>
      </c>
      <c r="R1019" s="32">
        <v>5</v>
      </c>
      <c r="S1019" s="32">
        <v>28.616499999999998</v>
      </c>
      <c r="T1019" s="32">
        <v>17.898900000000001</v>
      </c>
      <c r="U1019" s="32">
        <v>0.76056632999999996</v>
      </c>
      <c r="V1019" s="32">
        <v>5</v>
      </c>
      <c r="W1019" s="32">
        <v>0.91145799999999999</v>
      </c>
      <c r="X1019" s="32">
        <v>0.15795100000000001</v>
      </c>
      <c r="Y1019" s="32">
        <v>0.71379300000000001</v>
      </c>
      <c r="Z1019" s="32">
        <v>0.79005199999999998</v>
      </c>
      <c r="AA1019" s="32">
        <v>39.1</v>
      </c>
      <c r="AB1019" s="32">
        <v>388</v>
      </c>
      <c r="AC1019" s="32">
        <v>35</v>
      </c>
      <c r="AD1019" s="32">
        <v>22</v>
      </c>
      <c r="AE1019" s="32" t="s">
        <v>200</v>
      </c>
      <c r="AF1019" s="32" t="s">
        <v>200</v>
      </c>
      <c r="AG1019" s="32">
        <v>0</v>
      </c>
    </row>
    <row r="1020" spans="1:33">
      <c r="A1020" s="32" t="s">
        <v>3739</v>
      </c>
      <c r="B1020" s="32" t="s">
        <v>104</v>
      </c>
      <c r="C1020" s="32" t="s">
        <v>3740</v>
      </c>
      <c r="D1020" s="32" t="s">
        <v>3741</v>
      </c>
      <c r="E1020" s="32" t="s">
        <v>3140</v>
      </c>
      <c r="F1020" s="32" t="s">
        <v>3141</v>
      </c>
      <c r="G1020" s="32" t="s">
        <v>1232</v>
      </c>
      <c r="H1020" s="32" t="s">
        <v>1233</v>
      </c>
      <c r="I1020" s="32" t="s">
        <v>198</v>
      </c>
      <c r="J1020" s="32" t="s">
        <v>199</v>
      </c>
      <c r="K1020" s="32">
        <v>2.5795599999999999</v>
      </c>
      <c r="L1020" s="33">
        <v>1422</v>
      </c>
      <c r="M1020" s="32">
        <v>249</v>
      </c>
      <c r="N1020" s="32">
        <v>376</v>
      </c>
      <c r="O1020" s="32">
        <v>342</v>
      </c>
      <c r="P1020" s="32">
        <v>368</v>
      </c>
      <c r="Q1020" s="32">
        <v>87</v>
      </c>
      <c r="R1020" s="32">
        <v>3</v>
      </c>
      <c r="S1020" s="32">
        <v>16.904599999999999</v>
      </c>
      <c r="T1020" s="32">
        <v>3.1449600000000002</v>
      </c>
      <c r="U1020" s="32">
        <v>0.99705812800000004</v>
      </c>
      <c r="V1020" s="32">
        <v>3</v>
      </c>
      <c r="W1020" s="32">
        <v>0.91100599999999998</v>
      </c>
      <c r="X1020" s="32">
        <v>0.26877000000000001</v>
      </c>
      <c r="Y1020" s="32">
        <v>0.70156200000000002</v>
      </c>
      <c r="Z1020" s="32">
        <v>0.7</v>
      </c>
      <c r="AA1020" s="32">
        <v>65.2</v>
      </c>
      <c r="AB1020" s="32">
        <v>277</v>
      </c>
      <c r="AC1020" s="32">
        <v>14</v>
      </c>
      <c r="AD1020" s="32">
        <v>18</v>
      </c>
      <c r="AE1020" s="32" t="s">
        <v>200</v>
      </c>
      <c r="AF1020" s="32">
        <v>0</v>
      </c>
      <c r="AG1020" s="32" t="s">
        <v>200</v>
      </c>
    </row>
    <row r="1021" spans="1:33">
      <c r="A1021" s="32" t="s">
        <v>3742</v>
      </c>
      <c r="B1021" s="32" t="s">
        <v>104</v>
      </c>
      <c r="C1021" s="32" t="s">
        <v>3743</v>
      </c>
      <c r="D1021" s="32" t="s">
        <v>3744</v>
      </c>
      <c r="E1021" s="32" t="s">
        <v>3734</v>
      </c>
      <c r="F1021" s="32" t="s">
        <v>3735</v>
      </c>
      <c r="G1021" s="32" t="s">
        <v>1232</v>
      </c>
      <c r="H1021" s="32" t="s">
        <v>1233</v>
      </c>
      <c r="I1021" s="32" t="s">
        <v>198</v>
      </c>
      <c r="J1021" s="32" t="s">
        <v>199</v>
      </c>
      <c r="K1021" s="32">
        <v>2.3975339999999998</v>
      </c>
      <c r="L1021" s="33">
        <v>1232</v>
      </c>
      <c r="M1021" s="32">
        <v>255</v>
      </c>
      <c r="N1021" s="32">
        <v>344</v>
      </c>
      <c r="O1021" s="32">
        <v>324</v>
      </c>
      <c r="P1021" s="32">
        <v>191</v>
      </c>
      <c r="Q1021" s="32">
        <v>118</v>
      </c>
      <c r="R1021" s="32">
        <v>3</v>
      </c>
      <c r="S1021" s="32">
        <v>16.337599999999998</v>
      </c>
      <c r="T1021" s="32">
        <v>4.0016299999999996</v>
      </c>
      <c r="U1021" s="32">
        <v>0.82278760200000001</v>
      </c>
      <c r="V1021" s="32">
        <v>5</v>
      </c>
      <c r="W1021" s="32">
        <v>0.90630100000000002</v>
      </c>
      <c r="X1021" s="32">
        <v>6.5745999999999999E-2</v>
      </c>
      <c r="Y1021" s="32">
        <v>0.78504200000000002</v>
      </c>
      <c r="Z1021" s="32">
        <v>0.64726799999999995</v>
      </c>
      <c r="AA1021" s="32">
        <v>33.5</v>
      </c>
      <c r="AB1021" s="32">
        <v>304</v>
      </c>
      <c r="AC1021" s="32">
        <v>18</v>
      </c>
      <c r="AD1021" s="32">
        <v>11</v>
      </c>
      <c r="AE1021" s="32">
        <v>0</v>
      </c>
      <c r="AF1021" s="32" t="s">
        <v>200</v>
      </c>
      <c r="AG1021" s="32" t="s">
        <v>200</v>
      </c>
    </row>
    <row r="1022" spans="1:33">
      <c r="A1022" s="32" t="s">
        <v>3745</v>
      </c>
      <c r="B1022" s="32" t="s">
        <v>104</v>
      </c>
      <c r="C1022" s="32" t="s">
        <v>3746</v>
      </c>
      <c r="D1022" s="32" t="s">
        <v>3747</v>
      </c>
      <c r="E1022" s="32" t="s">
        <v>3140</v>
      </c>
      <c r="F1022" s="32" t="s">
        <v>3141</v>
      </c>
      <c r="G1022" s="32" t="s">
        <v>1232</v>
      </c>
      <c r="H1022" s="32" t="s">
        <v>1233</v>
      </c>
      <c r="I1022" s="32" t="s">
        <v>198</v>
      </c>
      <c r="J1022" s="32" t="s">
        <v>199</v>
      </c>
      <c r="K1022" s="32">
        <v>2.5688949999999999</v>
      </c>
      <c r="L1022" s="33">
        <v>1965</v>
      </c>
      <c r="M1022" s="32">
        <v>415</v>
      </c>
      <c r="N1022" s="32">
        <v>415</v>
      </c>
      <c r="O1022" s="32">
        <v>500</v>
      </c>
      <c r="P1022" s="32">
        <v>499</v>
      </c>
      <c r="Q1022" s="32">
        <v>136</v>
      </c>
      <c r="R1022" s="32">
        <v>4</v>
      </c>
      <c r="S1022" s="32">
        <v>23.553999999999998</v>
      </c>
      <c r="T1022" s="32">
        <v>11.349</v>
      </c>
      <c r="U1022" s="32">
        <v>0.95566923299999995</v>
      </c>
      <c r="V1022" s="32">
        <v>3</v>
      </c>
      <c r="W1022" s="32">
        <v>0.91308100000000003</v>
      </c>
      <c r="X1022" s="32">
        <v>0.233819</v>
      </c>
      <c r="Y1022" s="32">
        <v>0.7</v>
      </c>
      <c r="Z1022" s="32">
        <v>0.72558100000000003</v>
      </c>
      <c r="AA1022" s="32">
        <v>65.5</v>
      </c>
      <c r="AB1022" s="32">
        <v>337</v>
      </c>
      <c r="AC1022" s="32">
        <v>29</v>
      </c>
      <c r="AD1022" s="32">
        <v>7</v>
      </c>
      <c r="AE1022" s="32">
        <v>0</v>
      </c>
      <c r="AF1022" s="32">
        <v>0</v>
      </c>
      <c r="AG1022" s="32" t="s">
        <v>200</v>
      </c>
    </row>
    <row r="1023" spans="1:33">
      <c r="A1023" s="32" t="s">
        <v>3748</v>
      </c>
      <c r="B1023" s="32" t="s">
        <v>104</v>
      </c>
      <c r="C1023" s="32" t="s">
        <v>3749</v>
      </c>
      <c r="D1023" s="32" t="s">
        <v>3750</v>
      </c>
      <c r="E1023" s="32" t="s">
        <v>3734</v>
      </c>
      <c r="F1023" s="32" t="s">
        <v>3735</v>
      </c>
      <c r="G1023" s="32" t="s">
        <v>1232</v>
      </c>
      <c r="H1023" s="32" t="s">
        <v>1233</v>
      </c>
      <c r="I1023" s="32" t="s">
        <v>198</v>
      </c>
      <c r="J1023" s="32" t="s">
        <v>199</v>
      </c>
      <c r="K1023" s="32">
        <v>2.3348640000000001</v>
      </c>
      <c r="L1023" s="33">
        <v>1645</v>
      </c>
      <c r="M1023" s="32">
        <v>310</v>
      </c>
      <c r="N1023" s="32">
        <v>373</v>
      </c>
      <c r="O1023" s="32">
        <v>412</v>
      </c>
      <c r="P1023" s="32">
        <v>339</v>
      </c>
      <c r="Q1023" s="32">
        <v>211</v>
      </c>
      <c r="R1023" s="32">
        <v>3</v>
      </c>
      <c r="S1023" s="32">
        <v>14.0466</v>
      </c>
      <c r="T1023" s="32">
        <v>4.1032000000000002</v>
      </c>
      <c r="U1023" s="32">
        <v>0.78162300799999995</v>
      </c>
      <c r="V1023" s="32">
        <v>6</v>
      </c>
      <c r="W1023" s="32">
        <v>0.90578199999999998</v>
      </c>
      <c r="X1023" s="32">
        <v>6.9862999999999995E-2</v>
      </c>
      <c r="Y1023" s="32">
        <v>0.7</v>
      </c>
      <c r="Z1023" s="32">
        <v>0.66281800000000002</v>
      </c>
      <c r="AA1023" s="32">
        <v>35.9</v>
      </c>
      <c r="AB1023" s="32">
        <v>476</v>
      </c>
      <c r="AC1023" s="32">
        <v>34</v>
      </c>
      <c r="AD1023" s="32">
        <v>29</v>
      </c>
      <c r="AE1023" s="32">
        <v>5</v>
      </c>
      <c r="AF1023" s="32" t="s">
        <v>200</v>
      </c>
      <c r="AG1023" s="32" t="s">
        <v>200</v>
      </c>
    </row>
    <row r="1024" spans="1:33">
      <c r="A1024" s="32" t="s">
        <v>3751</v>
      </c>
      <c r="B1024" s="32" t="s">
        <v>104</v>
      </c>
      <c r="C1024" s="32" t="s">
        <v>3752</v>
      </c>
      <c r="D1024" s="32" t="s">
        <v>3753</v>
      </c>
      <c r="E1024" s="32" t="s">
        <v>3754</v>
      </c>
      <c r="F1024" s="32" t="s">
        <v>3755</v>
      </c>
      <c r="G1024" s="32" t="s">
        <v>3684</v>
      </c>
      <c r="H1024" s="32" t="s">
        <v>3685</v>
      </c>
      <c r="I1024" s="32" t="s">
        <v>198</v>
      </c>
      <c r="J1024" s="32" t="s">
        <v>199</v>
      </c>
      <c r="K1024" s="32">
        <v>2.3656899999999998</v>
      </c>
      <c r="L1024" s="33">
        <v>1819</v>
      </c>
      <c r="M1024" s="32">
        <v>261</v>
      </c>
      <c r="N1024" s="32">
        <v>609</v>
      </c>
      <c r="O1024" s="32">
        <v>626</v>
      </c>
      <c r="P1024" s="32">
        <v>191</v>
      </c>
      <c r="Q1024" s="32">
        <v>132</v>
      </c>
      <c r="R1024" s="32">
        <v>4</v>
      </c>
      <c r="S1024" s="32">
        <v>28.601800000000001</v>
      </c>
      <c r="T1024" s="32">
        <v>13.776</v>
      </c>
      <c r="U1024" s="32">
        <v>0.63265961800000003</v>
      </c>
      <c r="V1024" s="32">
        <v>9</v>
      </c>
      <c r="W1024" s="32">
        <v>0.90460200000000002</v>
      </c>
      <c r="X1024" s="32">
        <v>5.2941000000000002E-2</v>
      </c>
      <c r="Y1024" s="32">
        <v>0.8</v>
      </c>
      <c r="Z1024" s="32">
        <v>0.61548099999999994</v>
      </c>
      <c r="AA1024" s="32">
        <v>23.5</v>
      </c>
      <c r="AB1024" s="32">
        <v>342</v>
      </c>
      <c r="AC1024" s="32">
        <v>12</v>
      </c>
      <c r="AD1024" s="32">
        <v>13</v>
      </c>
      <c r="AE1024" s="32">
        <v>0</v>
      </c>
      <c r="AF1024" s="32">
        <v>24</v>
      </c>
      <c r="AG1024" s="32" t="s">
        <v>200</v>
      </c>
    </row>
    <row r="1025" spans="1:33">
      <c r="A1025" s="32" t="s">
        <v>3249</v>
      </c>
      <c r="B1025" s="32" t="s">
        <v>105</v>
      </c>
      <c r="C1025" s="32" t="s">
        <v>3250</v>
      </c>
      <c r="D1025" s="32" t="s">
        <v>3251</v>
      </c>
      <c r="E1025" s="32" t="s">
        <v>3247</v>
      </c>
      <c r="F1025" s="32" t="s">
        <v>3248</v>
      </c>
      <c r="G1025" s="32" t="s">
        <v>1232</v>
      </c>
      <c r="H1025" s="32" t="s">
        <v>1233</v>
      </c>
      <c r="I1025" s="32" t="s">
        <v>198</v>
      </c>
      <c r="J1025" s="32" t="s">
        <v>199</v>
      </c>
      <c r="K1025" s="32">
        <v>2.2700999999999998</v>
      </c>
      <c r="L1025" s="33">
        <v>2066</v>
      </c>
      <c r="M1025" s="32">
        <v>424</v>
      </c>
      <c r="N1025" s="32">
        <v>368</v>
      </c>
      <c r="O1025" s="32">
        <v>632</v>
      </c>
      <c r="P1025" s="32">
        <v>417</v>
      </c>
      <c r="Q1025" s="32">
        <v>225</v>
      </c>
      <c r="R1025" s="32">
        <v>5</v>
      </c>
      <c r="S1025" s="32">
        <v>39.274900000000002</v>
      </c>
      <c r="T1025" s="32">
        <v>5.56717</v>
      </c>
      <c r="U1025" s="32">
        <v>0.95481671700000004</v>
      </c>
      <c r="V1025" s="32">
        <v>4</v>
      </c>
      <c r="W1025" s="32">
        <v>0.90564800000000001</v>
      </c>
      <c r="X1025" s="32">
        <v>0.123361</v>
      </c>
      <c r="Y1025" s="32">
        <v>0.71228999999999998</v>
      </c>
      <c r="Z1025" s="32">
        <v>0.51588599999999996</v>
      </c>
      <c r="AA1025" s="32">
        <v>33.5</v>
      </c>
      <c r="AB1025" s="32">
        <v>426</v>
      </c>
      <c r="AC1025" s="32">
        <v>43</v>
      </c>
      <c r="AD1025" s="32">
        <v>19</v>
      </c>
      <c r="AE1025" s="32">
        <v>0</v>
      </c>
      <c r="AF1025" s="32" t="s">
        <v>200</v>
      </c>
      <c r="AG1025" s="32">
        <v>6</v>
      </c>
    </row>
    <row r="1026" spans="1:33">
      <c r="A1026" s="32" t="s">
        <v>3756</v>
      </c>
      <c r="B1026" s="32" t="s">
        <v>105</v>
      </c>
      <c r="C1026" s="32" t="s">
        <v>3757</v>
      </c>
      <c r="D1026" s="32" t="s">
        <v>3758</v>
      </c>
      <c r="E1026" s="32" t="s">
        <v>3094</v>
      </c>
      <c r="F1026" s="32" t="s">
        <v>3095</v>
      </c>
      <c r="G1026" s="32" t="s">
        <v>1232</v>
      </c>
      <c r="H1026" s="32" t="s">
        <v>1233</v>
      </c>
      <c r="I1026" s="32" t="s">
        <v>198</v>
      </c>
      <c r="J1026" s="32" t="s">
        <v>199</v>
      </c>
      <c r="K1026" s="32">
        <v>2.5641699999999998</v>
      </c>
      <c r="L1026" s="33">
        <v>2317</v>
      </c>
      <c r="M1026" s="32">
        <v>429</v>
      </c>
      <c r="N1026" s="32">
        <v>419</v>
      </c>
      <c r="O1026" s="32">
        <v>819</v>
      </c>
      <c r="P1026" s="32">
        <v>467</v>
      </c>
      <c r="Q1026" s="32">
        <v>183</v>
      </c>
      <c r="R1026" s="32" t="s">
        <v>302</v>
      </c>
      <c r="S1026" s="32">
        <v>36.767499999999998</v>
      </c>
      <c r="T1026" s="32">
        <v>10.0021</v>
      </c>
      <c r="U1026" s="32">
        <v>0.78993077099999998</v>
      </c>
      <c r="V1026" s="32">
        <v>4</v>
      </c>
      <c r="W1026" s="32">
        <v>0.91153799999999996</v>
      </c>
      <c r="X1026" s="32">
        <v>0.35422700000000001</v>
      </c>
      <c r="Y1026" s="32">
        <v>0.8</v>
      </c>
      <c r="Z1026" s="32">
        <v>0.50141100000000005</v>
      </c>
      <c r="AA1026" s="32">
        <v>33.6</v>
      </c>
      <c r="AB1026" s="32">
        <v>431</v>
      </c>
      <c r="AC1026" s="32">
        <v>43</v>
      </c>
      <c r="AD1026" s="32">
        <v>25</v>
      </c>
      <c r="AE1026" s="32" t="s">
        <v>200</v>
      </c>
      <c r="AF1026" s="32" t="s">
        <v>200</v>
      </c>
      <c r="AG1026" s="32" t="s">
        <v>200</v>
      </c>
    </row>
    <row r="1027" spans="1:33">
      <c r="A1027" s="32" t="s">
        <v>3759</v>
      </c>
      <c r="B1027" s="32" t="s">
        <v>105</v>
      </c>
      <c r="C1027" s="32" t="s">
        <v>3760</v>
      </c>
      <c r="D1027" s="32" t="s">
        <v>3761</v>
      </c>
      <c r="E1027" s="32" t="s">
        <v>3762</v>
      </c>
      <c r="F1027" s="32" t="s">
        <v>3763</v>
      </c>
      <c r="G1027" s="32" t="s">
        <v>3684</v>
      </c>
      <c r="H1027" s="32" t="s">
        <v>3685</v>
      </c>
      <c r="I1027" s="32" t="s">
        <v>198</v>
      </c>
      <c r="J1027" s="32" t="s">
        <v>199</v>
      </c>
      <c r="K1027" s="32">
        <v>2.1420620000000001</v>
      </c>
      <c r="L1027" s="33">
        <v>1824</v>
      </c>
      <c r="M1027" s="32">
        <v>362</v>
      </c>
      <c r="N1027" s="32">
        <v>284</v>
      </c>
      <c r="O1027" s="32">
        <v>444</v>
      </c>
      <c r="P1027" s="32">
        <v>435</v>
      </c>
      <c r="Q1027" s="32">
        <v>299</v>
      </c>
      <c r="R1027" s="32">
        <v>2</v>
      </c>
      <c r="S1027" s="32">
        <v>8.3999900000000007</v>
      </c>
      <c r="T1027" s="32">
        <v>2.4324699999999999</v>
      </c>
      <c r="U1027" s="32">
        <v>0.95080304699999996</v>
      </c>
      <c r="V1027" s="32">
        <v>5</v>
      </c>
      <c r="W1027" s="32">
        <v>0.90370799999999996</v>
      </c>
      <c r="X1027" s="32">
        <v>5.4712999999999998E-2</v>
      </c>
      <c r="Y1027" s="32">
        <v>0.790219</v>
      </c>
      <c r="Z1027" s="32">
        <v>0.39895999999999998</v>
      </c>
      <c r="AA1027" s="32">
        <v>32.9</v>
      </c>
      <c r="AB1027" s="32">
        <v>458</v>
      </c>
      <c r="AC1027" s="32">
        <v>40</v>
      </c>
      <c r="AD1027" s="32">
        <v>29</v>
      </c>
      <c r="AE1027" s="32" t="s">
        <v>200</v>
      </c>
      <c r="AF1027" s="32" t="s">
        <v>200</v>
      </c>
      <c r="AG1027" s="32" t="s">
        <v>200</v>
      </c>
    </row>
    <row r="1028" spans="1:33">
      <c r="A1028" s="32" t="s">
        <v>3764</v>
      </c>
      <c r="B1028" s="32" t="s">
        <v>105</v>
      </c>
      <c r="C1028" s="32" t="s">
        <v>3765</v>
      </c>
      <c r="D1028" s="32" t="s">
        <v>3766</v>
      </c>
      <c r="E1028" s="32" t="s">
        <v>3767</v>
      </c>
      <c r="F1028" s="32" t="s">
        <v>3768</v>
      </c>
      <c r="G1028" s="32" t="s">
        <v>3684</v>
      </c>
      <c r="H1028" s="32" t="s">
        <v>3685</v>
      </c>
      <c r="I1028" s="32" t="s">
        <v>198</v>
      </c>
      <c r="J1028" s="32" t="s">
        <v>199</v>
      </c>
      <c r="K1028" s="32">
        <v>2.3449490000000002</v>
      </c>
      <c r="L1028" s="33">
        <v>1933</v>
      </c>
      <c r="M1028" s="32">
        <v>457</v>
      </c>
      <c r="N1028" s="32">
        <v>287</v>
      </c>
      <c r="O1028" s="32">
        <v>527</v>
      </c>
      <c r="P1028" s="32">
        <v>423</v>
      </c>
      <c r="Q1028" s="32">
        <v>239</v>
      </c>
      <c r="R1028" s="32">
        <v>2</v>
      </c>
      <c r="S1028" s="32">
        <v>10.7158</v>
      </c>
      <c r="T1028" s="32">
        <v>6.4573900000000002</v>
      </c>
      <c r="U1028" s="32">
        <v>1.1824918849999999</v>
      </c>
      <c r="V1028" s="32">
        <v>2</v>
      </c>
      <c r="W1028" s="32">
        <v>0.90303</v>
      </c>
      <c r="X1028" s="32">
        <v>0.20453399999999999</v>
      </c>
      <c r="Y1028" s="32">
        <v>0.8</v>
      </c>
      <c r="Z1028" s="32">
        <v>0.42664999999999997</v>
      </c>
      <c r="AA1028" s="32">
        <v>49.8</v>
      </c>
      <c r="AB1028" s="32">
        <v>365</v>
      </c>
      <c r="AC1028" s="32">
        <v>24</v>
      </c>
      <c r="AD1028" s="32">
        <v>24</v>
      </c>
      <c r="AE1028" s="32" t="s">
        <v>200</v>
      </c>
      <c r="AF1028" s="32" t="s">
        <v>200</v>
      </c>
      <c r="AG1028" s="32" t="s">
        <v>200</v>
      </c>
    </row>
    <row r="1029" spans="1:33">
      <c r="A1029" s="32" t="s">
        <v>3769</v>
      </c>
      <c r="B1029" s="32" t="s">
        <v>105</v>
      </c>
      <c r="C1029" s="32" t="s">
        <v>3770</v>
      </c>
      <c r="D1029" s="32" t="s">
        <v>3771</v>
      </c>
      <c r="E1029" s="32" t="s">
        <v>3772</v>
      </c>
      <c r="F1029" s="32" t="s">
        <v>3773</v>
      </c>
      <c r="G1029" s="32" t="s">
        <v>3684</v>
      </c>
      <c r="H1029" s="32" t="s">
        <v>3685</v>
      </c>
      <c r="I1029" s="32" t="s">
        <v>198</v>
      </c>
      <c r="J1029" s="32" t="s">
        <v>199</v>
      </c>
      <c r="K1029" s="32">
        <v>2.3839229999999998</v>
      </c>
      <c r="L1029" s="33">
        <v>1557</v>
      </c>
      <c r="M1029" s="32">
        <v>200</v>
      </c>
      <c r="N1029" s="32">
        <v>463</v>
      </c>
      <c r="O1029" s="32">
        <v>561</v>
      </c>
      <c r="P1029" s="32">
        <v>229</v>
      </c>
      <c r="Q1029" s="32">
        <v>104</v>
      </c>
      <c r="R1029" s="32">
        <v>5</v>
      </c>
      <c r="S1029" s="32">
        <v>31.2087</v>
      </c>
      <c r="T1029" s="32">
        <v>17.764399999999998</v>
      </c>
      <c r="U1029" s="32">
        <v>0.75950752399999999</v>
      </c>
      <c r="V1029" s="32">
        <v>6</v>
      </c>
      <c r="W1029" s="32">
        <v>0.909968</v>
      </c>
      <c r="X1029" s="32">
        <v>0.18274799999999999</v>
      </c>
      <c r="Y1029" s="32">
        <v>0.79967600000000005</v>
      </c>
      <c r="Z1029" s="32">
        <v>0.52443700000000004</v>
      </c>
      <c r="AA1029" s="32">
        <v>31.4</v>
      </c>
      <c r="AB1029" s="32">
        <v>306</v>
      </c>
      <c r="AC1029" s="32">
        <v>31</v>
      </c>
      <c r="AD1029" s="32">
        <v>16</v>
      </c>
      <c r="AE1029" s="32">
        <v>0</v>
      </c>
      <c r="AF1029" s="32">
        <v>0</v>
      </c>
      <c r="AG1029" s="32" t="s">
        <v>200</v>
      </c>
    </row>
    <row r="1030" spans="1:33">
      <c r="A1030" s="32" t="s">
        <v>3774</v>
      </c>
      <c r="B1030" s="32" t="s">
        <v>105</v>
      </c>
      <c r="C1030" s="32" t="s">
        <v>3775</v>
      </c>
      <c r="D1030" s="32" t="s">
        <v>3776</v>
      </c>
      <c r="E1030" s="32" t="s">
        <v>3777</v>
      </c>
      <c r="F1030" s="32" t="s">
        <v>3778</v>
      </c>
      <c r="G1030" s="32" t="s">
        <v>3684</v>
      </c>
      <c r="H1030" s="32" t="s">
        <v>3685</v>
      </c>
      <c r="I1030" s="32" t="s">
        <v>198</v>
      </c>
      <c r="J1030" s="32" t="s">
        <v>199</v>
      </c>
      <c r="K1030" s="32">
        <v>2.2478259999999999</v>
      </c>
      <c r="L1030" s="33">
        <v>1615</v>
      </c>
      <c r="M1030" s="32">
        <v>274</v>
      </c>
      <c r="N1030" s="32">
        <v>390</v>
      </c>
      <c r="O1030" s="32">
        <v>476</v>
      </c>
      <c r="P1030" s="32">
        <v>292</v>
      </c>
      <c r="Q1030" s="32">
        <v>183</v>
      </c>
      <c r="R1030" s="32">
        <v>3</v>
      </c>
      <c r="S1030" s="32">
        <v>18.6495</v>
      </c>
      <c r="T1030" s="32">
        <v>4.0656299999999996</v>
      </c>
      <c r="U1030" s="32">
        <v>0.86441799799999997</v>
      </c>
      <c r="V1030" s="32">
        <v>6</v>
      </c>
      <c r="W1030" s="32">
        <v>0.90625</v>
      </c>
      <c r="X1030" s="32">
        <v>0.105405</v>
      </c>
      <c r="Y1030" s="32">
        <v>0.74972700000000003</v>
      </c>
      <c r="Z1030" s="32">
        <v>0.48668499999999998</v>
      </c>
      <c r="AA1030" s="32">
        <v>35.4</v>
      </c>
      <c r="AB1030" s="32">
        <v>351</v>
      </c>
      <c r="AC1030" s="32">
        <v>37</v>
      </c>
      <c r="AD1030" s="32">
        <v>17</v>
      </c>
      <c r="AE1030" s="32">
        <v>0</v>
      </c>
      <c r="AF1030" s="32">
        <v>0</v>
      </c>
      <c r="AG1030" s="32" t="s">
        <v>200</v>
      </c>
    </row>
    <row r="1031" spans="1:33">
      <c r="A1031" s="32" t="s">
        <v>3779</v>
      </c>
      <c r="B1031" s="32" t="s">
        <v>105</v>
      </c>
      <c r="C1031" s="32" t="s">
        <v>3780</v>
      </c>
      <c r="D1031" s="32" t="s">
        <v>3781</v>
      </c>
      <c r="E1031" s="32" t="s">
        <v>3754</v>
      </c>
      <c r="F1031" s="32" t="s">
        <v>3755</v>
      </c>
      <c r="G1031" s="32" t="s">
        <v>3684</v>
      </c>
      <c r="H1031" s="32" t="s">
        <v>3685</v>
      </c>
      <c r="I1031" s="32" t="s">
        <v>198</v>
      </c>
      <c r="J1031" s="32" t="s">
        <v>199</v>
      </c>
      <c r="K1031" s="32">
        <v>2.197257</v>
      </c>
      <c r="L1031" s="33">
        <v>2033</v>
      </c>
      <c r="M1031" s="32">
        <v>314</v>
      </c>
      <c r="N1031" s="32">
        <v>502</v>
      </c>
      <c r="O1031" s="32">
        <v>758</v>
      </c>
      <c r="P1031" s="32">
        <v>342</v>
      </c>
      <c r="Q1031" s="32">
        <v>117</v>
      </c>
      <c r="R1031" s="32">
        <v>2</v>
      </c>
      <c r="S1031" s="32">
        <v>26.5596</v>
      </c>
      <c r="T1031" s="32">
        <v>0</v>
      </c>
      <c r="U1031" s="32">
        <v>0.882328263</v>
      </c>
      <c r="V1031" s="32">
        <v>7</v>
      </c>
      <c r="W1031" s="32">
        <v>0.90352699999999997</v>
      </c>
      <c r="X1031" s="32">
        <v>0.19637499999999999</v>
      </c>
      <c r="Y1031" s="32">
        <v>0.72556900000000002</v>
      </c>
      <c r="Z1031" s="32">
        <v>0.36918200000000001</v>
      </c>
      <c r="AA1031" s="32">
        <v>34</v>
      </c>
      <c r="AB1031" s="32">
        <v>465</v>
      </c>
      <c r="AC1031" s="32">
        <v>33</v>
      </c>
      <c r="AD1031" s="32">
        <v>11</v>
      </c>
      <c r="AE1031" s="32">
        <v>0</v>
      </c>
      <c r="AF1031" s="32">
        <v>0</v>
      </c>
      <c r="AG1031" s="32" t="s">
        <v>200</v>
      </c>
    </row>
    <row r="1032" spans="1:33">
      <c r="A1032" s="32" t="s">
        <v>3782</v>
      </c>
      <c r="B1032" s="32" t="s">
        <v>105</v>
      </c>
      <c r="C1032" s="32" t="s">
        <v>3783</v>
      </c>
      <c r="D1032" s="32" t="s">
        <v>3784</v>
      </c>
      <c r="E1032" s="32" t="s">
        <v>3777</v>
      </c>
      <c r="F1032" s="32" t="s">
        <v>3778</v>
      </c>
      <c r="G1032" s="32" t="s">
        <v>3684</v>
      </c>
      <c r="H1032" s="32" t="s">
        <v>3685</v>
      </c>
      <c r="I1032" s="32" t="s">
        <v>198</v>
      </c>
      <c r="J1032" s="32" t="s">
        <v>199</v>
      </c>
      <c r="K1032" s="32">
        <v>2.1620819999999998</v>
      </c>
      <c r="L1032" s="33">
        <v>1398</v>
      </c>
      <c r="M1032" s="32">
        <v>336</v>
      </c>
      <c r="N1032" s="32">
        <v>253</v>
      </c>
      <c r="O1032" s="32">
        <v>332</v>
      </c>
      <c r="P1032" s="32">
        <v>360</v>
      </c>
      <c r="Q1032" s="32">
        <v>117</v>
      </c>
      <c r="R1032" s="32">
        <v>3</v>
      </c>
      <c r="S1032" s="32">
        <v>17.8322</v>
      </c>
      <c r="T1032" s="32">
        <v>4.11341</v>
      </c>
      <c r="U1032" s="32">
        <v>1.0594361299999999</v>
      </c>
      <c r="V1032" s="32">
        <v>3</v>
      </c>
      <c r="W1032" s="32">
        <v>0.90315999999999996</v>
      </c>
      <c r="X1032" s="32">
        <v>9.3854999999999994E-2</v>
      </c>
      <c r="Y1032" s="32">
        <v>0.71176499999999998</v>
      </c>
      <c r="Z1032" s="32">
        <v>0.44953399999999999</v>
      </c>
      <c r="AA1032" s="32">
        <v>23.7</v>
      </c>
      <c r="AB1032" s="32">
        <v>405</v>
      </c>
      <c r="AC1032" s="32">
        <v>25</v>
      </c>
      <c r="AD1032" s="32">
        <v>16</v>
      </c>
      <c r="AE1032" s="32">
        <v>0</v>
      </c>
      <c r="AF1032" s="32">
        <v>0</v>
      </c>
      <c r="AG1032" s="32" t="s">
        <v>200</v>
      </c>
    </row>
    <row r="1033" spans="1:33">
      <c r="A1033" s="32" t="s">
        <v>1327</v>
      </c>
      <c r="B1033" s="32" t="s">
        <v>3785</v>
      </c>
      <c r="C1033" s="32" t="s">
        <v>1328</v>
      </c>
      <c r="D1033" s="32" t="s">
        <v>1329</v>
      </c>
      <c r="E1033" s="32" t="s">
        <v>1285</v>
      </c>
      <c r="F1033" s="32" t="s">
        <v>1286</v>
      </c>
      <c r="G1033" s="32" t="s">
        <v>655</v>
      </c>
      <c r="H1033" s="32" t="s">
        <v>656</v>
      </c>
      <c r="I1033" s="32" t="s">
        <v>198</v>
      </c>
      <c r="J1033" s="32" t="s">
        <v>199</v>
      </c>
      <c r="K1033" s="32">
        <v>2.848554</v>
      </c>
      <c r="L1033" s="33">
        <v>2284</v>
      </c>
      <c r="M1033" s="32">
        <v>105</v>
      </c>
      <c r="N1033" s="32">
        <v>946</v>
      </c>
      <c r="O1033" s="32">
        <v>955</v>
      </c>
      <c r="P1033" s="32">
        <v>231</v>
      </c>
      <c r="Q1033" s="32">
        <v>47</v>
      </c>
      <c r="R1033" s="32" t="s">
        <v>668</v>
      </c>
      <c r="S1033" s="32">
        <v>106.014</v>
      </c>
      <c r="T1033" s="32">
        <v>36.423200000000001</v>
      </c>
      <c r="U1033" s="32">
        <v>0.58706593399999996</v>
      </c>
      <c r="V1033" s="32">
        <v>5</v>
      </c>
      <c r="W1033" s="32">
        <v>1</v>
      </c>
      <c r="X1033" s="32">
        <v>0.23313300000000001</v>
      </c>
      <c r="Y1033" s="32">
        <v>0.61205200000000004</v>
      </c>
      <c r="Z1033" s="32">
        <v>1</v>
      </c>
      <c r="AA1033" s="32">
        <v>24.7</v>
      </c>
      <c r="AB1033" s="32">
        <v>284</v>
      </c>
      <c r="AC1033" s="32">
        <v>28</v>
      </c>
      <c r="AD1033" s="32">
        <v>125</v>
      </c>
      <c r="AE1033" s="32">
        <v>7</v>
      </c>
      <c r="AF1033" s="32">
        <v>0</v>
      </c>
      <c r="AG1033" s="32" t="s">
        <v>200</v>
      </c>
    </row>
    <row r="1034" spans="1:33">
      <c r="A1034" s="32" t="s">
        <v>3394</v>
      </c>
      <c r="B1034" s="32" t="s">
        <v>70</v>
      </c>
      <c r="C1034" s="32" t="s">
        <v>3395</v>
      </c>
      <c r="D1034" s="32" t="s">
        <v>3396</v>
      </c>
      <c r="E1034" s="32" t="s">
        <v>3397</v>
      </c>
      <c r="F1034" s="32" t="s">
        <v>3398</v>
      </c>
      <c r="G1034" s="32" t="s">
        <v>300</v>
      </c>
      <c r="H1034" s="32" t="s">
        <v>301</v>
      </c>
      <c r="I1034" s="32" t="s">
        <v>198</v>
      </c>
      <c r="J1034" s="32" t="s">
        <v>199</v>
      </c>
      <c r="K1034" s="32">
        <v>2.9446599999999998</v>
      </c>
      <c r="L1034" s="33">
        <v>3802</v>
      </c>
      <c r="M1034" s="32">
        <v>522</v>
      </c>
      <c r="N1034" s="33">
        <v>1643</v>
      </c>
      <c r="O1034" s="33">
        <v>1153</v>
      </c>
      <c r="P1034" s="32">
        <v>351</v>
      </c>
      <c r="Q1034" s="32">
        <v>133</v>
      </c>
      <c r="R1034" s="32" t="s">
        <v>668</v>
      </c>
      <c r="S1034" s="32">
        <v>87.209800000000001</v>
      </c>
      <c r="T1034" s="32">
        <v>23.972999999999999</v>
      </c>
      <c r="U1034" s="32">
        <v>0.66263938099999997</v>
      </c>
      <c r="V1034" s="32">
        <v>4</v>
      </c>
      <c r="W1034" s="32">
        <v>1</v>
      </c>
      <c r="X1034" s="32">
        <v>0.29752499999999998</v>
      </c>
      <c r="Y1034" s="32">
        <v>0.65732000000000002</v>
      </c>
      <c r="Z1034" s="32">
        <v>1</v>
      </c>
      <c r="AA1034" s="32">
        <v>48.6</v>
      </c>
      <c r="AB1034" s="32">
        <v>241</v>
      </c>
      <c r="AC1034" s="32">
        <v>81</v>
      </c>
      <c r="AD1034" s="32">
        <v>28</v>
      </c>
      <c r="AE1034" s="32">
        <v>0</v>
      </c>
      <c r="AF1034" s="32" t="s">
        <v>200</v>
      </c>
      <c r="AG1034" s="32">
        <v>7</v>
      </c>
    </row>
    <row r="1035" spans="1:33">
      <c r="A1035" s="32" t="s">
        <v>3786</v>
      </c>
      <c r="B1035" s="32" t="s">
        <v>70</v>
      </c>
      <c r="C1035" s="32" t="s">
        <v>3787</v>
      </c>
      <c r="D1035" s="32" t="s">
        <v>3788</v>
      </c>
      <c r="E1035" s="32" t="s">
        <v>3789</v>
      </c>
      <c r="F1035" s="32" t="s">
        <v>3790</v>
      </c>
      <c r="G1035" s="32" t="s">
        <v>300</v>
      </c>
      <c r="H1035" s="32" t="s">
        <v>301</v>
      </c>
      <c r="I1035" s="32" t="s">
        <v>198</v>
      </c>
      <c r="J1035" s="32" t="s">
        <v>199</v>
      </c>
      <c r="K1035" s="32">
        <v>2.6110060000000002</v>
      </c>
      <c r="L1035" s="33">
        <v>2075</v>
      </c>
      <c r="M1035" s="32">
        <v>431</v>
      </c>
      <c r="N1035" s="32">
        <v>549</v>
      </c>
      <c r="O1035" s="32">
        <v>552</v>
      </c>
      <c r="P1035" s="32">
        <v>340</v>
      </c>
      <c r="Q1035" s="32">
        <v>203</v>
      </c>
      <c r="R1035" s="32">
        <v>5</v>
      </c>
      <c r="S1035" s="32">
        <v>38.943399999999997</v>
      </c>
      <c r="T1035" s="32">
        <v>16.0929</v>
      </c>
      <c r="U1035" s="32">
        <v>0.92788017899999997</v>
      </c>
      <c r="V1035" s="32">
        <v>3</v>
      </c>
      <c r="W1035" s="32">
        <v>0.91540900000000003</v>
      </c>
      <c r="X1035" s="32">
        <v>0.12834899999999999</v>
      </c>
      <c r="Y1035" s="32">
        <v>0.6</v>
      </c>
      <c r="Z1035" s="32">
        <v>1</v>
      </c>
      <c r="AA1035" s="32">
        <v>42.1</v>
      </c>
      <c r="AB1035" s="32">
        <v>229</v>
      </c>
      <c r="AC1035" s="32">
        <v>15</v>
      </c>
      <c r="AD1035" s="32">
        <v>10</v>
      </c>
      <c r="AE1035" s="32">
        <v>0</v>
      </c>
      <c r="AF1035" s="32">
        <v>0</v>
      </c>
      <c r="AG1035" s="32" t="s">
        <v>200</v>
      </c>
    </row>
    <row r="1036" spans="1:33">
      <c r="A1036" s="32" t="s">
        <v>3399</v>
      </c>
      <c r="B1036" s="32" t="s">
        <v>70</v>
      </c>
      <c r="C1036" s="32" t="s">
        <v>3400</v>
      </c>
      <c r="D1036" s="32" t="s">
        <v>3401</v>
      </c>
      <c r="E1036" s="32" t="s">
        <v>3392</v>
      </c>
      <c r="F1036" s="32" t="s">
        <v>3393</v>
      </c>
      <c r="G1036" s="32" t="s">
        <v>300</v>
      </c>
      <c r="H1036" s="32" t="s">
        <v>301</v>
      </c>
      <c r="I1036" s="32" t="s">
        <v>198</v>
      </c>
      <c r="J1036" s="32" t="s">
        <v>199</v>
      </c>
      <c r="K1036" s="32">
        <v>2.8966259999999999</v>
      </c>
      <c r="L1036" s="33">
        <v>3450</v>
      </c>
      <c r="M1036" s="32">
        <v>592</v>
      </c>
      <c r="N1036" s="33">
        <v>1161</v>
      </c>
      <c r="O1036" s="32">
        <v>979</v>
      </c>
      <c r="P1036" s="32">
        <v>508</v>
      </c>
      <c r="Q1036" s="32">
        <v>210</v>
      </c>
      <c r="R1036" s="32" t="s">
        <v>302</v>
      </c>
      <c r="S1036" s="32">
        <v>93.439499999999995</v>
      </c>
      <c r="T1036" s="32">
        <v>19.500299999999999</v>
      </c>
      <c r="U1036" s="32">
        <v>1.005631674</v>
      </c>
      <c r="V1036" s="32">
        <v>2</v>
      </c>
      <c r="W1036" s="32">
        <v>1</v>
      </c>
      <c r="X1036" s="32">
        <v>0.235071</v>
      </c>
      <c r="Y1036" s="32">
        <v>0.63938700000000004</v>
      </c>
      <c r="Z1036" s="32">
        <v>1</v>
      </c>
      <c r="AA1036" s="32">
        <v>64.099999999999994</v>
      </c>
      <c r="AB1036" s="32">
        <v>308</v>
      </c>
      <c r="AC1036" s="32">
        <v>12</v>
      </c>
      <c r="AD1036" s="32">
        <v>8</v>
      </c>
      <c r="AE1036" s="32">
        <v>0</v>
      </c>
      <c r="AF1036" s="32">
        <v>0</v>
      </c>
      <c r="AG1036" s="32" t="s">
        <v>200</v>
      </c>
    </row>
    <row r="1037" spans="1:33">
      <c r="A1037" s="32" t="s">
        <v>3791</v>
      </c>
      <c r="B1037" s="32" t="s">
        <v>70</v>
      </c>
      <c r="C1037" s="32" t="s">
        <v>3792</v>
      </c>
      <c r="D1037" s="32" t="s">
        <v>3793</v>
      </c>
      <c r="E1037" s="32" t="s">
        <v>3794</v>
      </c>
      <c r="F1037" s="32" t="s">
        <v>3795</v>
      </c>
      <c r="G1037" s="32" t="s">
        <v>300</v>
      </c>
      <c r="H1037" s="32" t="s">
        <v>301</v>
      </c>
      <c r="I1037" s="32" t="s">
        <v>198</v>
      </c>
      <c r="J1037" s="32" t="s">
        <v>199</v>
      </c>
      <c r="K1037" s="32">
        <v>2.7166670000000002</v>
      </c>
      <c r="L1037" s="33">
        <v>3087</v>
      </c>
      <c r="M1037" s="32">
        <v>336</v>
      </c>
      <c r="N1037" s="33">
        <v>2010</v>
      </c>
      <c r="O1037" s="32">
        <v>366</v>
      </c>
      <c r="P1037" s="32">
        <v>234</v>
      </c>
      <c r="Q1037" s="32">
        <v>141</v>
      </c>
      <c r="R1037" s="32" t="s">
        <v>302</v>
      </c>
      <c r="S1037" s="32">
        <v>36.380899999999997</v>
      </c>
      <c r="T1037" s="32">
        <v>21.389500000000002</v>
      </c>
      <c r="U1037" s="32">
        <v>0.75903964999999995</v>
      </c>
      <c r="V1037" s="32">
        <v>4</v>
      </c>
      <c r="W1037" s="32">
        <v>0.90654800000000002</v>
      </c>
      <c r="X1037" s="32">
        <v>0.20790500000000001</v>
      </c>
      <c r="Y1037" s="32">
        <v>0.60235300000000003</v>
      </c>
      <c r="Z1037" s="32">
        <v>1</v>
      </c>
      <c r="AA1037" s="32">
        <v>59.2</v>
      </c>
      <c r="AB1037" s="32">
        <v>166</v>
      </c>
      <c r="AC1037" s="32">
        <v>5</v>
      </c>
      <c r="AD1037" s="32">
        <v>16</v>
      </c>
      <c r="AE1037" s="32">
        <v>0</v>
      </c>
      <c r="AF1037" s="32">
        <v>0</v>
      </c>
      <c r="AG1037" s="32" t="s">
        <v>200</v>
      </c>
    </row>
    <row r="1038" spans="1:33">
      <c r="A1038" s="32" t="s">
        <v>3796</v>
      </c>
      <c r="B1038" s="32" t="s">
        <v>70</v>
      </c>
      <c r="C1038" s="32" t="s">
        <v>3797</v>
      </c>
      <c r="D1038" s="32" t="s">
        <v>3798</v>
      </c>
      <c r="E1038" s="32" t="s">
        <v>3799</v>
      </c>
      <c r="F1038" s="32" t="s">
        <v>3800</v>
      </c>
      <c r="G1038" s="32" t="s">
        <v>300</v>
      </c>
      <c r="H1038" s="32" t="s">
        <v>301</v>
      </c>
      <c r="I1038" s="32" t="s">
        <v>198</v>
      </c>
      <c r="J1038" s="32" t="s">
        <v>199</v>
      </c>
      <c r="K1038" s="32">
        <v>2.6177779999999999</v>
      </c>
      <c r="L1038" s="33">
        <v>1489</v>
      </c>
      <c r="M1038" s="32">
        <v>269</v>
      </c>
      <c r="N1038" s="32">
        <v>388</v>
      </c>
      <c r="O1038" s="32">
        <v>375</v>
      </c>
      <c r="P1038" s="32">
        <v>330</v>
      </c>
      <c r="Q1038" s="32">
        <v>127</v>
      </c>
      <c r="R1038" s="32" t="s">
        <v>302</v>
      </c>
      <c r="S1038" s="32">
        <v>34.577599999999997</v>
      </c>
      <c r="T1038" s="32">
        <v>16.9527</v>
      </c>
      <c r="U1038" s="32">
        <v>1.07603633</v>
      </c>
      <c r="V1038" s="32">
        <v>2</v>
      </c>
      <c r="W1038" s="32">
        <v>0.911111</v>
      </c>
      <c r="X1038" s="32">
        <v>9.3450000000000005E-2</v>
      </c>
      <c r="Y1038" s="32">
        <v>0.6</v>
      </c>
      <c r="Z1038" s="32">
        <v>1</v>
      </c>
      <c r="AA1038" s="32">
        <v>59.4</v>
      </c>
      <c r="AB1038" s="32">
        <v>202</v>
      </c>
      <c r="AC1038" s="32">
        <v>10</v>
      </c>
      <c r="AD1038" s="32">
        <v>13</v>
      </c>
      <c r="AE1038" s="32">
        <v>0</v>
      </c>
      <c r="AF1038" s="32">
        <v>0</v>
      </c>
      <c r="AG1038" s="32">
        <v>5</v>
      </c>
    </row>
    <row r="1039" spans="1:33">
      <c r="A1039" s="32" t="s">
        <v>3801</v>
      </c>
      <c r="B1039" s="32" t="s">
        <v>70</v>
      </c>
      <c r="C1039" s="32" t="s">
        <v>3802</v>
      </c>
      <c r="D1039" s="32" t="s">
        <v>3803</v>
      </c>
      <c r="E1039" s="32" t="s">
        <v>3794</v>
      </c>
      <c r="F1039" s="32" t="s">
        <v>3795</v>
      </c>
      <c r="G1039" s="32" t="s">
        <v>300</v>
      </c>
      <c r="H1039" s="32" t="s">
        <v>301</v>
      </c>
      <c r="I1039" s="32" t="s">
        <v>198</v>
      </c>
      <c r="J1039" s="32" t="s">
        <v>199</v>
      </c>
      <c r="K1039" s="32">
        <v>2.7782330000000002</v>
      </c>
      <c r="L1039" s="33">
        <v>2040</v>
      </c>
      <c r="M1039" s="32">
        <v>270</v>
      </c>
      <c r="N1039" s="33">
        <v>1031</v>
      </c>
      <c r="O1039" s="32">
        <v>350</v>
      </c>
      <c r="P1039" s="32">
        <v>245</v>
      </c>
      <c r="Q1039" s="32">
        <v>144</v>
      </c>
      <c r="R1039" s="32">
        <v>4</v>
      </c>
      <c r="S1039" s="32">
        <v>27.8186</v>
      </c>
      <c r="T1039" s="32">
        <v>6.2387100000000002</v>
      </c>
      <c r="U1039" s="32">
        <v>0.82459187499999997</v>
      </c>
      <c r="V1039" s="32">
        <v>3</v>
      </c>
      <c r="W1039" s="32">
        <v>0.90517199999999998</v>
      </c>
      <c r="X1039" s="32">
        <v>0.26811299999999999</v>
      </c>
      <c r="Y1039" s="32">
        <v>0.61568599999999996</v>
      </c>
      <c r="Z1039" s="32">
        <v>0.99782599999999999</v>
      </c>
      <c r="AA1039" s="32">
        <v>54.9</v>
      </c>
      <c r="AB1039" s="32">
        <v>196</v>
      </c>
      <c r="AC1039" s="32">
        <v>8</v>
      </c>
      <c r="AD1039" s="32">
        <v>5</v>
      </c>
      <c r="AE1039" s="32">
        <v>0</v>
      </c>
      <c r="AF1039" s="32">
        <v>0</v>
      </c>
      <c r="AG1039" s="32" t="s">
        <v>200</v>
      </c>
    </row>
    <row r="1040" spans="1:33">
      <c r="A1040" s="32" t="s">
        <v>3804</v>
      </c>
      <c r="B1040" s="32" t="s">
        <v>70</v>
      </c>
      <c r="C1040" s="32" t="s">
        <v>3805</v>
      </c>
      <c r="D1040" s="32" t="s">
        <v>3806</v>
      </c>
      <c r="E1040" s="32" t="s">
        <v>3807</v>
      </c>
      <c r="F1040" s="32" t="s">
        <v>3808</v>
      </c>
      <c r="G1040" s="32" t="s">
        <v>300</v>
      </c>
      <c r="H1040" s="32" t="s">
        <v>301</v>
      </c>
      <c r="I1040" s="32" t="s">
        <v>198</v>
      </c>
      <c r="J1040" s="32" t="s">
        <v>199</v>
      </c>
      <c r="K1040" s="32">
        <v>2.8773089999999999</v>
      </c>
      <c r="L1040" s="33">
        <v>2598</v>
      </c>
      <c r="M1040" s="32">
        <v>268</v>
      </c>
      <c r="N1040" s="33">
        <v>1086</v>
      </c>
      <c r="O1040" s="32">
        <v>842</v>
      </c>
      <c r="P1040" s="32">
        <v>329</v>
      </c>
      <c r="Q1040" s="32">
        <v>73</v>
      </c>
      <c r="R1040" s="32" t="s">
        <v>302</v>
      </c>
      <c r="S1040" s="32">
        <v>44.675899999999999</v>
      </c>
      <c r="T1040" s="32">
        <v>21.013300000000001</v>
      </c>
      <c r="U1040" s="32">
        <v>0.755537346</v>
      </c>
      <c r="V1040" s="32">
        <v>4</v>
      </c>
      <c r="W1040" s="32">
        <v>0.94317300000000004</v>
      </c>
      <c r="X1040" s="32">
        <v>0.30865199999999998</v>
      </c>
      <c r="Y1040" s="32">
        <v>0.6</v>
      </c>
      <c r="Z1040" s="32">
        <v>1</v>
      </c>
      <c r="AA1040" s="32">
        <v>51.6</v>
      </c>
      <c r="AB1040" s="32">
        <v>202</v>
      </c>
      <c r="AC1040" s="32">
        <v>24</v>
      </c>
      <c r="AD1040" s="32">
        <v>46</v>
      </c>
      <c r="AE1040" s="32" t="s">
        <v>200</v>
      </c>
      <c r="AF1040" s="32">
        <v>0</v>
      </c>
      <c r="AG1040" s="32" t="s">
        <v>200</v>
      </c>
    </row>
    <row r="1041" spans="1:33">
      <c r="A1041" s="32" t="s">
        <v>3809</v>
      </c>
      <c r="B1041" s="32" t="s">
        <v>70</v>
      </c>
      <c r="C1041" s="32" t="s">
        <v>3810</v>
      </c>
      <c r="D1041" s="32" t="s">
        <v>3811</v>
      </c>
      <c r="E1041" s="32" t="s">
        <v>3812</v>
      </c>
      <c r="F1041" s="32" t="s">
        <v>3813</v>
      </c>
      <c r="G1041" s="32" t="s">
        <v>300</v>
      </c>
      <c r="H1041" s="32" t="s">
        <v>301</v>
      </c>
      <c r="I1041" s="32" t="s">
        <v>198</v>
      </c>
      <c r="J1041" s="32" t="s">
        <v>199</v>
      </c>
      <c r="K1041" s="32">
        <v>2.7054119999999999</v>
      </c>
      <c r="L1041" s="33">
        <v>1526</v>
      </c>
      <c r="M1041" s="32">
        <v>301</v>
      </c>
      <c r="N1041" s="32">
        <v>461</v>
      </c>
      <c r="O1041" s="32">
        <v>408</v>
      </c>
      <c r="P1041" s="32">
        <v>256</v>
      </c>
      <c r="Q1041" s="32">
        <v>100</v>
      </c>
      <c r="R1041" s="32" t="s">
        <v>302</v>
      </c>
      <c r="S1041" s="32">
        <v>44.6417</v>
      </c>
      <c r="T1041" s="32">
        <v>26.787800000000001</v>
      </c>
      <c r="U1041" s="32">
        <v>1.0847211670000001</v>
      </c>
      <c r="V1041" s="32">
        <v>3</v>
      </c>
      <c r="W1041" s="32">
        <v>0.97411800000000004</v>
      </c>
      <c r="X1041" s="32">
        <v>0.17036999999999999</v>
      </c>
      <c r="Y1041" s="32">
        <v>0.6</v>
      </c>
      <c r="Z1041" s="32">
        <v>1</v>
      </c>
      <c r="AA1041" s="32">
        <v>61.1</v>
      </c>
      <c r="AB1041" s="32">
        <v>139</v>
      </c>
      <c r="AC1041" s="32">
        <v>24</v>
      </c>
      <c r="AD1041" s="32">
        <v>140</v>
      </c>
      <c r="AE1041" s="32" t="s">
        <v>200</v>
      </c>
      <c r="AF1041" s="32">
        <v>0</v>
      </c>
      <c r="AG1041" s="32" t="s">
        <v>200</v>
      </c>
    </row>
    <row r="1042" spans="1:33">
      <c r="A1042" s="32" t="s">
        <v>3814</v>
      </c>
      <c r="B1042" s="32" t="s">
        <v>107</v>
      </c>
      <c r="C1042" s="32" t="s">
        <v>3815</v>
      </c>
      <c r="D1042" s="32" t="s">
        <v>3816</v>
      </c>
      <c r="E1042" s="32" t="s">
        <v>3817</v>
      </c>
      <c r="F1042" s="32" t="s">
        <v>3818</v>
      </c>
      <c r="G1042" s="32" t="s">
        <v>3684</v>
      </c>
      <c r="H1042" s="32" t="s">
        <v>3685</v>
      </c>
      <c r="I1042" s="32" t="s">
        <v>198</v>
      </c>
      <c r="J1042" s="32" t="s">
        <v>199</v>
      </c>
      <c r="K1042" s="32">
        <v>2.3793730000000002</v>
      </c>
      <c r="L1042" s="33">
        <v>1694</v>
      </c>
      <c r="M1042" s="32">
        <v>313</v>
      </c>
      <c r="N1042" s="32">
        <v>398</v>
      </c>
      <c r="O1042" s="32">
        <v>431</v>
      </c>
      <c r="P1042" s="32">
        <v>414</v>
      </c>
      <c r="Q1042" s="32">
        <v>138</v>
      </c>
      <c r="R1042" s="32">
        <v>4</v>
      </c>
      <c r="S1042" s="32">
        <v>23.7059</v>
      </c>
      <c r="T1042" s="32">
        <v>12.2211</v>
      </c>
      <c r="U1042" s="32">
        <v>0.65330332700000004</v>
      </c>
      <c r="V1042" s="32">
        <v>9</v>
      </c>
      <c r="W1042" s="32">
        <v>0.90792099999999998</v>
      </c>
      <c r="X1042" s="32">
        <v>0.27049200000000001</v>
      </c>
      <c r="Y1042" s="32">
        <v>0.8</v>
      </c>
      <c r="Z1042" s="32">
        <v>0.41197400000000001</v>
      </c>
      <c r="AA1042" s="32">
        <v>13.1</v>
      </c>
      <c r="AB1042" s="32">
        <v>572</v>
      </c>
      <c r="AC1042" s="32">
        <v>34</v>
      </c>
      <c r="AD1042" s="32">
        <v>11</v>
      </c>
      <c r="AE1042" s="32">
        <v>0</v>
      </c>
      <c r="AF1042" s="32">
        <v>0</v>
      </c>
      <c r="AG1042" s="32">
        <v>5</v>
      </c>
    </row>
    <row r="1043" spans="1:33">
      <c r="A1043" s="32" t="s">
        <v>3819</v>
      </c>
      <c r="B1043" s="32" t="s">
        <v>107</v>
      </c>
      <c r="C1043" s="32" t="s">
        <v>3820</v>
      </c>
      <c r="D1043" s="32" t="s">
        <v>3821</v>
      </c>
      <c r="E1043" s="32" t="s">
        <v>3817</v>
      </c>
      <c r="F1043" s="32" t="s">
        <v>3818</v>
      </c>
      <c r="G1043" s="32" t="s">
        <v>3684</v>
      </c>
      <c r="H1043" s="32" t="s">
        <v>3685</v>
      </c>
      <c r="I1043" s="32" t="s">
        <v>198</v>
      </c>
      <c r="J1043" s="32" t="s">
        <v>199</v>
      </c>
      <c r="K1043" s="32">
        <v>2.1671480000000001</v>
      </c>
      <c r="L1043" s="33">
        <v>1473</v>
      </c>
      <c r="M1043" s="32">
        <v>268</v>
      </c>
      <c r="N1043" s="32">
        <v>373</v>
      </c>
      <c r="O1043" s="32">
        <v>475</v>
      </c>
      <c r="P1043" s="32">
        <v>241</v>
      </c>
      <c r="Q1043" s="32">
        <v>116</v>
      </c>
      <c r="R1043" s="32">
        <v>5</v>
      </c>
      <c r="S1043" s="32">
        <v>25.7181</v>
      </c>
      <c r="T1043" s="32">
        <v>22.616399999999999</v>
      </c>
      <c r="U1043" s="32">
        <v>0.72997353099999995</v>
      </c>
      <c r="V1043" s="32">
        <v>9</v>
      </c>
      <c r="W1043" s="32">
        <v>0.9</v>
      </c>
      <c r="X1043" s="32">
        <v>0</v>
      </c>
      <c r="Y1043" s="32">
        <v>0.8</v>
      </c>
      <c r="Z1043" s="32">
        <v>0.468613</v>
      </c>
      <c r="AA1043" s="32">
        <v>19.3</v>
      </c>
      <c r="AB1043" s="32">
        <v>377</v>
      </c>
      <c r="AC1043" s="32">
        <v>18</v>
      </c>
      <c r="AD1043" s="32">
        <v>7</v>
      </c>
      <c r="AE1043" s="32" t="s">
        <v>200</v>
      </c>
      <c r="AF1043" s="32" t="s">
        <v>200</v>
      </c>
      <c r="AG1043" s="32">
        <v>0</v>
      </c>
    </row>
    <row r="1044" spans="1:33">
      <c r="A1044" s="32" t="s">
        <v>3822</v>
      </c>
      <c r="B1044" s="32" t="s">
        <v>107</v>
      </c>
      <c r="C1044" s="32" t="s">
        <v>3823</v>
      </c>
      <c r="D1044" s="32" t="s">
        <v>3824</v>
      </c>
      <c r="E1044" s="32" t="s">
        <v>3772</v>
      </c>
      <c r="F1044" s="32" t="s">
        <v>3773</v>
      </c>
      <c r="G1044" s="32" t="s">
        <v>3684</v>
      </c>
      <c r="H1044" s="32" t="s">
        <v>3685</v>
      </c>
      <c r="I1044" s="32" t="s">
        <v>198</v>
      </c>
      <c r="J1044" s="32" t="s">
        <v>199</v>
      </c>
      <c r="K1044" s="32">
        <v>2.2345109999999999</v>
      </c>
      <c r="L1044" s="33">
        <v>1438</v>
      </c>
      <c r="M1044" s="32">
        <v>219</v>
      </c>
      <c r="N1044" s="32">
        <v>280</v>
      </c>
      <c r="O1044" s="32">
        <v>324</v>
      </c>
      <c r="P1044" s="32">
        <v>331</v>
      </c>
      <c r="Q1044" s="32">
        <v>284</v>
      </c>
      <c r="R1044" s="32">
        <v>4</v>
      </c>
      <c r="S1044" s="32">
        <v>25.126300000000001</v>
      </c>
      <c r="T1044" s="32">
        <v>12.7182</v>
      </c>
      <c r="U1044" s="32">
        <v>0.95448009099999997</v>
      </c>
      <c r="V1044" s="32">
        <v>5</v>
      </c>
      <c r="W1044" s="32">
        <v>0.90733699999999995</v>
      </c>
      <c r="X1044" s="32">
        <v>0.10743800000000001</v>
      </c>
      <c r="Y1044" s="32">
        <v>0.8</v>
      </c>
      <c r="Z1044" s="32">
        <v>0.42280200000000001</v>
      </c>
      <c r="AA1044" s="32">
        <v>32.4</v>
      </c>
      <c r="AB1044" s="32">
        <v>374</v>
      </c>
      <c r="AC1044" s="32">
        <v>16</v>
      </c>
      <c r="AD1044" s="32">
        <v>18</v>
      </c>
      <c r="AE1044" s="32">
        <v>0</v>
      </c>
      <c r="AF1044" s="32">
        <v>0</v>
      </c>
      <c r="AG1044" s="32" t="s">
        <v>200</v>
      </c>
    </row>
    <row r="1045" spans="1:33">
      <c r="A1045" s="32" t="s">
        <v>3825</v>
      </c>
      <c r="B1045" s="32" t="s">
        <v>107</v>
      </c>
      <c r="C1045" s="32" t="s">
        <v>3826</v>
      </c>
      <c r="D1045" s="32" t="s">
        <v>3827</v>
      </c>
      <c r="E1045" s="32" t="s">
        <v>3772</v>
      </c>
      <c r="F1045" s="32" t="s">
        <v>3773</v>
      </c>
      <c r="G1045" s="32" t="s">
        <v>3684</v>
      </c>
      <c r="H1045" s="32" t="s">
        <v>3685</v>
      </c>
      <c r="I1045" s="32" t="s">
        <v>198</v>
      </c>
      <c r="J1045" s="32" t="s">
        <v>199</v>
      </c>
      <c r="K1045" s="32">
        <v>2.5173649999999999</v>
      </c>
      <c r="L1045" s="33">
        <v>1992</v>
      </c>
      <c r="M1045" s="32">
        <v>249</v>
      </c>
      <c r="N1045" s="32">
        <v>520</v>
      </c>
      <c r="O1045" s="32">
        <v>714</v>
      </c>
      <c r="P1045" s="32">
        <v>359</v>
      </c>
      <c r="Q1045" s="32">
        <v>150</v>
      </c>
      <c r="R1045" s="32">
        <v>5</v>
      </c>
      <c r="S1045" s="32">
        <v>29.417100000000001</v>
      </c>
      <c r="T1045" s="32">
        <v>15.6076</v>
      </c>
      <c r="U1045" s="32">
        <v>0.73343423100000005</v>
      </c>
      <c r="V1045" s="32">
        <v>6</v>
      </c>
      <c r="W1045" s="32">
        <v>0.90459100000000003</v>
      </c>
      <c r="X1045" s="32">
        <v>0.232596</v>
      </c>
      <c r="Y1045" s="32">
        <v>0.8</v>
      </c>
      <c r="Z1045" s="32">
        <v>0.55835000000000001</v>
      </c>
      <c r="AA1045" s="32">
        <v>26.2</v>
      </c>
      <c r="AB1045" s="32">
        <v>353</v>
      </c>
      <c r="AC1045" s="32">
        <v>23</v>
      </c>
      <c r="AD1045" s="32">
        <v>27</v>
      </c>
      <c r="AE1045" s="32">
        <v>80</v>
      </c>
      <c r="AF1045" s="32">
        <v>0</v>
      </c>
      <c r="AG1045" s="32">
        <v>6</v>
      </c>
    </row>
    <row r="1046" spans="1:33">
      <c r="A1046" s="32" t="s">
        <v>3828</v>
      </c>
      <c r="B1046" s="32" t="s">
        <v>107</v>
      </c>
      <c r="C1046" s="32" t="s">
        <v>3829</v>
      </c>
      <c r="D1046" s="32" t="s">
        <v>3830</v>
      </c>
      <c r="E1046" s="32" t="s">
        <v>3817</v>
      </c>
      <c r="F1046" s="32" t="s">
        <v>3818</v>
      </c>
      <c r="G1046" s="32" t="s">
        <v>3684</v>
      </c>
      <c r="H1046" s="32" t="s">
        <v>3685</v>
      </c>
      <c r="I1046" s="32" t="s">
        <v>198</v>
      </c>
      <c r="J1046" s="32" t="s">
        <v>199</v>
      </c>
      <c r="K1046" s="32">
        <v>2.322133</v>
      </c>
      <c r="L1046" s="33">
        <v>1657</v>
      </c>
      <c r="M1046" s="32">
        <v>302</v>
      </c>
      <c r="N1046" s="32">
        <v>300</v>
      </c>
      <c r="O1046" s="32">
        <v>491</v>
      </c>
      <c r="P1046" s="32">
        <v>362</v>
      </c>
      <c r="Q1046" s="32">
        <v>202</v>
      </c>
      <c r="R1046" s="32">
        <v>4</v>
      </c>
      <c r="S1046" s="32">
        <v>24.797799999999999</v>
      </c>
      <c r="T1046" s="32">
        <v>10.4171</v>
      </c>
      <c r="U1046" s="32">
        <v>0.82932577299999999</v>
      </c>
      <c r="V1046" s="32">
        <v>5</v>
      </c>
      <c r="W1046" s="32">
        <v>0.90586699999999998</v>
      </c>
      <c r="X1046" s="32">
        <v>0.124737</v>
      </c>
      <c r="Y1046" s="32">
        <v>0.8</v>
      </c>
      <c r="Z1046" s="32">
        <v>0.48364600000000002</v>
      </c>
      <c r="AA1046" s="32">
        <v>28.5</v>
      </c>
      <c r="AB1046" s="32">
        <v>453</v>
      </c>
      <c r="AC1046" s="32">
        <v>29</v>
      </c>
      <c r="AD1046" s="32">
        <v>12</v>
      </c>
      <c r="AE1046" s="32">
        <v>0</v>
      </c>
      <c r="AF1046" s="32">
        <v>0</v>
      </c>
      <c r="AG1046" s="32">
        <v>6</v>
      </c>
    </row>
    <row r="1047" spans="1:33">
      <c r="A1047" s="32" t="s">
        <v>3831</v>
      </c>
      <c r="B1047" s="32" t="s">
        <v>107</v>
      </c>
      <c r="C1047" s="32" t="s">
        <v>3832</v>
      </c>
      <c r="D1047" s="32" t="s">
        <v>3833</v>
      </c>
      <c r="E1047" s="32" t="s">
        <v>3817</v>
      </c>
      <c r="F1047" s="32" t="s">
        <v>3818</v>
      </c>
      <c r="G1047" s="32" t="s">
        <v>3684</v>
      </c>
      <c r="H1047" s="32" t="s">
        <v>3685</v>
      </c>
      <c r="I1047" s="32" t="s">
        <v>198</v>
      </c>
      <c r="J1047" s="32" t="s">
        <v>199</v>
      </c>
      <c r="K1047" s="32">
        <v>2.1240380000000001</v>
      </c>
      <c r="L1047" s="33">
        <v>1925</v>
      </c>
      <c r="M1047" s="32">
        <v>375</v>
      </c>
      <c r="N1047" s="32">
        <v>335</v>
      </c>
      <c r="O1047" s="32">
        <v>565</v>
      </c>
      <c r="P1047" s="32">
        <v>480</v>
      </c>
      <c r="Q1047" s="32">
        <v>170</v>
      </c>
      <c r="R1047" s="32">
        <v>2</v>
      </c>
      <c r="S1047" s="32">
        <v>20.046800000000001</v>
      </c>
      <c r="T1047" s="32">
        <v>0</v>
      </c>
      <c r="U1047" s="32">
        <v>0.85189861899999997</v>
      </c>
      <c r="V1047" s="32">
        <v>7</v>
      </c>
      <c r="W1047" s="32">
        <v>0.902756</v>
      </c>
      <c r="X1047" s="32">
        <v>3.3610000000000001E-2</v>
      </c>
      <c r="Y1047" s="32">
        <v>0.8</v>
      </c>
      <c r="Z1047" s="32">
        <v>0.38630799999999998</v>
      </c>
      <c r="AA1047" s="32">
        <v>20.100000000000001</v>
      </c>
      <c r="AB1047" s="32">
        <v>580</v>
      </c>
      <c r="AC1047" s="32">
        <v>40</v>
      </c>
      <c r="AD1047" s="32">
        <v>26</v>
      </c>
      <c r="AE1047" s="32">
        <v>0</v>
      </c>
      <c r="AF1047" s="32">
        <v>5</v>
      </c>
      <c r="AG1047" s="32" t="s">
        <v>200</v>
      </c>
    </row>
    <row r="1048" spans="1:33">
      <c r="A1048" s="32" t="s">
        <v>3834</v>
      </c>
      <c r="B1048" s="32" t="s">
        <v>107</v>
      </c>
      <c r="C1048" s="32" t="s">
        <v>3835</v>
      </c>
      <c r="D1048" s="32" t="s">
        <v>3836</v>
      </c>
      <c r="E1048" s="32" t="s">
        <v>3837</v>
      </c>
      <c r="F1048" s="32" t="s">
        <v>3838</v>
      </c>
      <c r="G1048" s="32" t="s">
        <v>3684</v>
      </c>
      <c r="H1048" s="32" t="s">
        <v>3685</v>
      </c>
      <c r="I1048" s="32" t="s">
        <v>198</v>
      </c>
      <c r="J1048" s="32" t="s">
        <v>199</v>
      </c>
      <c r="K1048" s="32">
        <v>2.5816460000000001</v>
      </c>
      <c r="L1048" s="33">
        <v>1721</v>
      </c>
      <c r="M1048" s="32">
        <v>408</v>
      </c>
      <c r="N1048" s="32">
        <v>268</v>
      </c>
      <c r="O1048" s="32">
        <v>525</v>
      </c>
      <c r="P1048" s="32">
        <v>374</v>
      </c>
      <c r="Q1048" s="32">
        <v>146</v>
      </c>
      <c r="R1048" s="32">
        <v>4</v>
      </c>
      <c r="S1048" s="32">
        <v>27.702400000000001</v>
      </c>
      <c r="T1048" s="32">
        <v>10.8688</v>
      </c>
      <c r="U1048" s="32">
        <v>0.56743755399999996</v>
      </c>
      <c r="V1048" s="32">
        <v>8</v>
      </c>
      <c r="W1048" s="32">
        <v>0.91392399999999996</v>
      </c>
      <c r="X1048" s="32">
        <v>0.18044199999999999</v>
      </c>
      <c r="Y1048" s="32">
        <v>0.8</v>
      </c>
      <c r="Z1048" s="32">
        <v>0.696855</v>
      </c>
      <c r="AA1048" s="32">
        <v>14.3</v>
      </c>
      <c r="AB1048" s="32">
        <v>450</v>
      </c>
      <c r="AC1048" s="32">
        <v>34</v>
      </c>
      <c r="AD1048" s="32">
        <v>15</v>
      </c>
      <c r="AE1048" s="32">
        <v>0</v>
      </c>
      <c r="AF1048" s="32">
        <v>0</v>
      </c>
      <c r="AG1048" s="32" t="s">
        <v>200</v>
      </c>
    </row>
    <row r="1049" spans="1:33">
      <c r="A1049" s="32" t="s">
        <v>3839</v>
      </c>
      <c r="B1049" s="32" t="s">
        <v>107</v>
      </c>
      <c r="C1049" s="32" t="s">
        <v>3840</v>
      </c>
      <c r="D1049" s="32" t="s">
        <v>3841</v>
      </c>
      <c r="E1049" s="32" t="s">
        <v>3842</v>
      </c>
      <c r="F1049" s="32" t="s">
        <v>3843</v>
      </c>
      <c r="G1049" s="32" t="s">
        <v>3684</v>
      </c>
      <c r="H1049" s="32" t="s">
        <v>3685</v>
      </c>
      <c r="I1049" s="32" t="s">
        <v>198</v>
      </c>
      <c r="J1049" s="32" t="s">
        <v>199</v>
      </c>
      <c r="K1049" s="32">
        <v>2.2215259999999999</v>
      </c>
      <c r="L1049" s="33">
        <v>1500</v>
      </c>
      <c r="M1049" s="32">
        <v>285</v>
      </c>
      <c r="N1049" s="32">
        <v>378</v>
      </c>
      <c r="O1049" s="32">
        <v>387</v>
      </c>
      <c r="P1049" s="32">
        <v>263</v>
      </c>
      <c r="Q1049" s="32">
        <v>187</v>
      </c>
      <c r="R1049" s="32">
        <v>4</v>
      </c>
      <c r="S1049" s="32">
        <v>20.8215</v>
      </c>
      <c r="T1049" s="32">
        <v>10.324199999999999</v>
      </c>
      <c r="U1049" s="32">
        <v>0.80391559300000004</v>
      </c>
      <c r="V1049" s="32">
        <v>7</v>
      </c>
      <c r="W1049" s="32">
        <v>0.9</v>
      </c>
      <c r="X1049" s="32">
        <v>1.7486000000000002E-2</v>
      </c>
      <c r="Y1049" s="32">
        <v>0.8</v>
      </c>
      <c r="Z1049" s="32">
        <v>0.49945899999999999</v>
      </c>
      <c r="AA1049" s="32">
        <v>41.7</v>
      </c>
      <c r="AB1049" s="32">
        <v>426</v>
      </c>
      <c r="AC1049" s="32">
        <v>15</v>
      </c>
      <c r="AD1049" s="32">
        <v>14</v>
      </c>
      <c r="AE1049" s="32">
        <v>0</v>
      </c>
      <c r="AF1049" s="32">
        <v>0</v>
      </c>
      <c r="AG1049" s="32" t="s">
        <v>200</v>
      </c>
    </row>
    <row r="1050" spans="1:33">
      <c r="A1050" s="32" t="s">
        <v>3844</v>
      </c>
      <c r="B1050" s="32" t="s">
        <v>107</v>
      </c>
      <c r="C1050" s="32" t="s">
        <v>3845</v>
      </c>
      <c r="D1050" s="32" t="s">
        <v>3846</v>
      </c>
      <c r="E1050" s="32" t="s">
        <v>3847</v>
      </c>
      <c r="F1050" s="32" t="s">
        <v>3848</v>
      </c>
      <c r="G1050" s="32" t="s">
        <v>3684</v>
      </c>
      <c r="H1050" s="32" t="s">
        <v>3685</v>
      </c>
      <c r="I1050" s="32" t="s">
        <v>198</v>
      </c>
      <c r="J1050" s="32" t="s">
        <v>199</v>
      </c>
      <c r="K1050" s="32">
        <v>2.3889710000000002</v>
      </c>
      <c r="L1050" s="33">
        <v>1458</v>
      </c>
      <c r="M1050" s="32">
        <v>337</v>
      </c>
      <c r="N1050" s="32">
        <v>293</v>
      </c>
      <c r="O1050" s="32">
        <v>291</v>
      </c>
      <c r="P1050" s="32">
        <v>427</v>
      </c>
      <c r="Q1050" s="32">
        <v>110</v>
      </c>
      <c r="R1050" s="32">
        <v>2</v>
      </c>
      <c r="S1050" s="32">
        <v>16.029599999999999</v>
      </c>
      <c r="T1050" s="32">
        <v>0</v>
      </c>
      <c r="U1050" s="32">
        <v>0.70284996099999997</v>
      </c>
      <c r="V1050" s="32">
        <v>7</v>
      </c>
      <c r="W1050" s="32">
        <v>0.90434499999999995</v>
      </c>
      <c r="X1050" s="32">
        <v>0.258768</v>
      </c>
      <c r="Y1050" s="32">
        <v>0.8</v>
      </c>
      <c r="Z1050" s="32">
        <v>0.41861199999999998</v>
      </c>
      <c r="AA1050" s="32">
        <v>10.3</v>
      </c>
      <c r="AB1050" s="32">
        <v>618</v>
      </c>
      <c r="AC1050" s="32">
        <v>27</v>
      </c>
      <c r="AD1050" s="32">
        <v>24</v>
      </c>
      <c r="AE1050" s="32">
        <v>0</v>
      </c>
      <c r="AF1050" s="32">
        <v>0</v>
      </c>
      <c r="AG1050" s="32" t="s">
        <v>200</v>
      </c>
    </row>
    <row r="1051" spans="1:33">
      <c r="A1051" s="32" t="s">
        <v>3849</v>
      </c>
      <c r="B1051" s="32" t="s">
        <v>107</v>
      </c>
      <c r="C1051" s="32" t="s">
        <v>3850</v>
      </c>
      <c r="D1051" s="32" t="s">
        <v>3851</v>
      </c>
      <c r="E1051" s="32" t="s">
        <v>3837</v>
      </c>
      <c r="F1051" s="32" t="s">
        <v>3838</v>
      </c>
      <c r="G1051" s="32" t="s">
        <v>3684</v>
      </c>
      <c r="H1051" s="32" t="s">
        <v>3685</v>
      </c>
      <c r="I1051" s="32" t="s">
        <v>198</v>
      </c>
      <c r="J1051" s="32" t="s">
        <v>199</v>
      </c>
      <c r="K1051" s="32">
        <v>2.6582940000000002</v>
      </c>
      <c r="L1051" s="33">
        <v>1687</v>
      </c>
      <c r="M1051" s="32">
        <v>327</v>
      </c>
      <c r="N1051" s="32">
        <v>326</v>
      </c>
      <c r="O1051" s="32">
        <v>487</v>
      </c>
      <c r="P1051" s="32">
        <v>390</v>
      </c>
      <c r="Q1051" s="32">
        <v>157</v>
      </c>
      <c r="R1051" s="32">
        <v>3</v>
      </c>
      <c r="S1051" s="32">
        <v>58.139000000000003</v>
      </c>
      <c r="T1051" s="32">
        <v>0</v>
      </c>
      <c r="U1051" s="32">
        <v>0.61678602299999996</v>
      </c>
      <c r="V1051" s="32">
        <v>6</v>
      </c>
      <c r="W1051" s="32">
        <v>0.91169</v>
      </c>
      <c r="X1051" s="32">
        <v>0.32613199999999998</v>
      </c>
      <c r="Y1051" s="32">
        <v>0.8</v>
      </c>
      <c r="Z1051" s="32">
        <v>0.62370700000000001</v>
      </c>
      <c r="AA1051" s="32">
        <v>16.7</v>
      </c>
      <c r="AB1051" s="32">
        <v>602</v>
      </c>
      <c r="AC1051" s="32">
        <v>45</v>
      </c>
      <c r="AD1051" s="32">
        <v>37</v>
      </c>
      <c r="AE1051" s="32">
        <v>0</v>
      </c>
      <c r="AF1051" s="32" t="s">
        <v>200</v>
      </c>
      <c r="AG1051" s="32">
        <v>5</v>
      </c>
    </row>
    <row r="1052" spans="1:33">
      <c r="A1052" s="32" t="s">
        <v>3852</v>
      </c>
      <c r="B1052" s="32" t="s">
        <v>107</v>
      </c>
      <c r="C1052" s="32" t="s">
        <v>3853</v>
      </c>
      <c r="D1052" s="32" t="s">
        <v>3854</v>
      </c>
      <c r="E1052" s="32" t="s">
        <v>3855</v>
      </c>
      <c r="F1052" s="32" t="s">
        <v>3856</v>
      </c>
      <c r="G1052" s="32" t="s">
        <v>3684</v>
      </c>
      <c r="H1052" s="32" t="s">
        <v>3685</v>
      </c>
      <c r="I1052" s="32" t="s">
        <v>198</v>
      </c>
      <c r="J1052" s="32" t="s">
        <v>199</v>
      </c>
      <c r="K1052" s="32">
        <v>2.4857619999999998</v>
      </c>
      <c r="L1052" s="33">
        <v>2163</v>
      </c>
      <c r="M1052" s="32">
        <v>220</v>
      </c>
      <c r="N1052" s="32">
        <v>483</v>
      </c>
      <c r="O1052" s="32">
        <v>834</v>
      </c>
      <c r="P1052" s="32">
        <v>480</v>
      </c>
      <c r="Q1052" s="32">
        <v>146</v>
      </c>
      <c r="R1052" s="32" t="s">
        <v>225</v>
      </c>
      <c r="S1052" s="32">
        <v>4.6304499999999997</v>
      </c>
      <c r="T1052" s="32">
        <v>0</v>
      </c>
      <c r="U1052" s="32">
        <v>0.77888225799999999</v>
      </c>
      <c r="V1052" s="32">
        <v>5</v>
      </c>
      <c r="W1052" s="32">
        <v>0.90737000000000001</v>
      </c>
      <c r="X1052" s="32">
        <v>0.240201</v>
      </c>
      <c r="Y1052" s="32">
        <v>0.8</v>
      </c>
      <c r="Z1052" s="32">
        <v>0.54500000000000004</v>
      </c>
      <c r="AA1052" s="32">
        <v>31.7</v>
      </c>
      <c r="AB1052" s="32">
        <v>316</v>
      </c>
      <c r="AC1052" s="32">
        <v>24</v>
      </c>
      <c r="AD1052" s="32">
        <v>24</v>
      </c>
      <c r="AE1052" s="32">
        <v>0</v>
      </c>
      <c r="AF1052" s="32">
        <v>0</v>
      </c>
      <c r="AG1052" s="32" t="s">
        <v>200</v>
      </c>
    </row>
    <row r="1053" spans="1:33">
      <c r="A1053" s="32" t="s">
        <v>3857</v>
      </c>
      <c r="B1053" s="32" t="s">
        <v>107</v>
      </c>
      <c r="C1053" s="32" t="s">
        <v>3858</v>
      </c>
      <c r="D1053" s="32" t="s">
        <v>3859</v>
      </c>
      <c r="E1053" s="32" t="s">
        <v>3817</v>
      </c>
      <c r="F1053" s="32" t="s">
        <v>3818</v>
      </c>
      <c r="G1053" s="32" t="s">
        <v>3684</v>
      </c>
      <c r="H1053" s="32" t="s">
        <v>3685</v>
      </c>
      <c r="I1053" s="32" t="s">
        <v>198</v>
      </c>
      <c r="J1053" s="32" t="s">
        <v>199</v>
      </c>
      <c r="K1053" s="32">
        <v>2.1414939999999998</v>
      </c>
      <c r="L1053" s="33">
        <v>1422</v>
      </c>
      <c r="M1053" s="32">
        <v>352</v>
      </c>
      <c r="N1053" s="32">
        <v>174</v>
      </c>
      <c r="O1053" s="32">
        <v>239</v>
      </c>
      <c r="P1053" s="32">
        <v>419</v>
      </c>
      <c r="Q1053" s="32">
        <v>238</v>
      </c>
      <c r="R1053" s="32" t="s">
        <v>225</v>
      </c>
      <c r="S1053" s="32">
        <v>15.3529</v>
      </c>
      <c r="T1053" s="32">
        <v>1.90984</v>
      </c>
      <c r="U1053" s="32">
        <v>0.74104969499999995</v>
      </c>
      <c r="V1053" s="32">
        <v>9</v>
      </c>
      <c r="W1053" s="32">
        <v>0.90331899999999998</v>
      </c>
      <c r="X1053" s="32">
        <v>8.9693999999999996E-2</v>
      </c>
      <c r="Y1053" s="32">
        <v>0.8</v>
      </c>
      <c r="Z1053" s="32">
        <v>0.35048800000000002</v>
      </c>
      <c r="AA1053" s="32">
        <v>6.6</v>
      </c>
      <c r="AB1053" s="32">
        <v>630</v>
      </c>
      <c r="AC1053" s="32">
        <v>41</v>
      </c>
      <c r="AD1053" s="32">
        <v>18</v>
      </c>
      <c r="AE1053" s="32">
        <v>0</v>
      </c>
      <c r="AF1053" s="32">
        <v>0</v>
      </c>
      <c r="AG1053" s="32">
        <v>7</v>
      </c>
    </row>
    <row r="1054" spans="1:33">
      <c r="A1054" s="32" t="s">
        <v>3660</v>
      </c>
      <c r="B1054" s="32" t="s">
        <v>108</v>
      </c>
      <c r="C1054" s="32" t="s">
        <v>3661</v>
      </c>
      <c r="D1054" s="32" t="s">
        <v>3662</v>
      </c>
      <c r="E1054" s="32" t="s">
        <v>3663</v>
      </c>
      <c r="F1054" s="32" t="s">
        <v>3664</v>
      </c>
      <c r="G1054" s="32" t="s">
        <v>1232</v>
      </c>
      <c r="H1054" s="32" t="s">
        <v>1233</v>
      </c>
      <c r="I1054" s="32" t="s">
        <v>198</v>
      </c>
      <c r="J1054" s="32" t="s">
        <v>199</v>
      </c>
      <c r="K1054" s="32">
        <v>2.5460229999999999</v>
      </c>
      <c r="L1054" s="33">
        <v>1747</v>
      </c>
      <c r="M1054" s="32">
        <v>237</v>
      </c>
      <c r="N1054" s="32">
        <v>485</v>
      </c>
      <c r="O1054" s="32">
        <v>451</v>
      </c>
      <c r="P1054" s="32">
        <v>354</v>
      </c>
      <c r="Q1054" s="32">
        <v>220</v>
      </c>
      <c r="R1054" s="32" t="s">
        <v>302</v>
      </c>
      <c r="S1054" s="32">
        <v>41.878300000000003</v>
      </c>
      <c r="T1054" s="32">
        <v>19.754200000000001</v>
      </c>
      <c r="U1054" s="32">
        <v>0.96388614500000003</v>
      </c>
      <c r="V1054" s="32">
        <v>3</v>
      </c>
      <c r="W1054" s="32">
        <v>0.92234799999999995</v>
      </c>
      <c r="X1054" s="32">
        <v>0.279026</v>
      </c>
      <c r="Y1054" s="32">
        <v>0.72732399999999997</v>
      </c>
      <c r="Z1054" s="32">
        <v>0.64037699999999997</v>
      </c>
      <c r="AA1054" s="32">
        <v>39.200000000000003</v>
      </c>
      <c r="AB1054" s="32">
        <v>366</v>
      </c>
      <c r="AC1054" s="32">
        <v>16</v>
      </c>
      <c r="AD1054" s="32">
        <v>26</v>
      </c>
      <c r="AE1054" s="32">
        <v>0</v>
      </c>
      <c r="AF1054" s="32" t="s">
        <v>200</v>
      </c>
      <c r="AG1054" s="32" t="s">
        <v>200</v>
      </c>
    </row>
    <row r="1055" spans="1:33">
      <c r="A1055" s="32" t="s">
        <v>3860</v>
      </c>
      <c r="B1055" s="32" t="s">
        <v>108</v>
      </c>
      <c r="C1055" s="32" t="s">
        <v>3861</v>
      </c>
      <c r="D1055" s="32" t="s">
        <v>3862</v>
      </c>
      <c r="E1055" s="32" t="s">
        <v>3671</v>
      </c>
      <c r="F1055" s="32" t="s">
        <v>3672</v>
      </c>
      <c r="G1055" s="32" t="s">
        <v>1232</v>
      </c>
      <c r="H1055" s="32" t="s">
        <v>1233</v>
      </c>
      <c r="I1055" s="32" t="s">
        <v>198</v>
      </c>
      <c r="J1055" s="32" t="s">
        <v>199</v>
      </c>
      <c r="K1055" s="32">
        <v>2.4571130000000001</v>
      </c>
      <c r="L1055" s="33">
        <v>1291</v>
      </c>
      <c r="M1055" s="32">
        <v>195</v>
      </c>
      <c r="N1055" s="32">
        <v>292</v>
      </c>
      <c r="O1055" s="32">
        <v>409</v>
      </c>
      <c r="P1055" s="32">
        <v>261</v>
      </c>
      <c r="Q1055" s="32">
        <v>134</v>
      </c>
      <c r="R1055" s="32">
        <v>5</v>
      </c>
      <c r="S1055" s="32">
        <v>28.613900000000001</v>
      </c>
      <c r="T1055" s="32">
        <v>12.8126</v>
      </c>
      <c r="U1055" s="32">
        <v>0.77961463900000005</v>
      </c>
      <c r="V1055" s="32">
        <v>5</v>
      </c>
      <c r="W1055" s="32">
        <v>0.91528699999999996</v>
      </c>
      <c r="X1055" s="32">
        <v>0.12853999999999999</v>
      </c>
      <c r="Y1055" s="32">
        <v>0.78749999999999998</v>
      </c>
      <c r="Z1055" s="32">
        <v>0.60851500000000003</v>
      </c>
      <c r="AA1055" s="32">
        <v>25.8</v>
      </c>
      <c r="AB1055" s="32">
        <v>330</v>
      </c>
      <c r="AC1055" s="32">
        <v>20</v>
      </c>
      <c r="AD1055" s="32">
        <v>8</v>
      </c>
      <c r="AE1055" s="32">
        <v>0</v>
      </c>
      <c r="AF1055" s="32" t="s">
        <v>200</v>
      </c>
      <c r="AG1055" s="32" t="s">
        <v>200</v>
      </c>
    </row>
    <row r="1056" spans="1:33">
      <c r="A1056" s="32" t="s">
        <v>3863</v>
      </c>
      <c r="B1056" s="32" t="s">
        <v>108</v>
      </c>
      <c r="C1056" s="32" t="s">
        <v>3864</v>
      </c>
      <c r="D1056" s="32" t="s">
        <v>3865</v>
      </c>
      <c r="E1056" s="32" t="s">
        <v>3671</v>
      </c>
      <c r="F1056" s="32" t="s">
        <v>3672</v>
      </c>
      <c r="G1056" s="32" t="s">
        <v>1232</v>
      </c>
      <c r="H1056" s="32" t="s">
        <v>1233</v>
      </c>
      <c r="I1056" s="32" t="s">
        <v>198</v>
      </c>
      <c r="J1056" s="32" t="s">
        <v>199</v>
      </c>
      <c r="K1056" s="32">
        <v>2.513684</v>
      </c>
      <c r="L1056" s="33">
        <v>1117</v>
      </c>
      <c r="M1056" s="32">
        <v>139</v>
      </c>
      <c r="N1056" s="32">
        <v>327</v>
      </c>
      <c r="O1056" s="32">
        <v>325</v>
      </c>
      <c r="P1056" s="32">
        <v>228</v>
      </c>
      <c r="Q1056" s="32">
        <v>98</v>
      </c>
      <c r="R1056" s="32">
        <v>4</v>
      </c>
      <c r="S1056" s="32">
        <v>25.693999999999999</v>
      </c>
      <c r="T1056" s="32">
        <v>13.7836</v>
      </c>
      <c r="U1056" s="32">
        <v>0.93239368099999997</v>
      </c>
      <c r="V1056" s="32">
        <v>4</v>
      </c>
      <c r="W1056" s="32">
        <v>0.91333299999999995</v>
      </c>
      <c r="X1056" s="32">
        <v>0.28028199999999998</v>
      </c>
      <c r="Y1056" s="32">
        <v>0.79257999999999995</v>
      </c>
      <c r="Z1056" s="32">
        <v>0.51792099999999996</v>
      </c>
      <c r="AA1056" s="32">
        <v>27.8</v>
      </c>
      <c r="AB1056" s="32">
        <v>164</v>
      </c>
      <c r="AC1056" s="32">
        <v>21</v>
      </c>
      <c r="AD1056" s="32">
        <v>6</v>
      </c>
      <c r="AE1056" s="32">
        <v>0</v>
      </c>
      <c r="AF1056" s="32">
        <v>0</v>
      </c>
      <c r="AG1056" s="32" t="s">
        <v>200</v>
      </c>
    </row>
    <row r="1057" spans="1:33">
      <c r="A1057" s="32" t="s">
        <v>3866</v>
      </c>
      <c r="B1057" s="32" t="s">
        <v>108</v>
      </c>
      <c r="C1057" s="32" t="s">
        <v>3867</v>
      </c>
      <c r="D1057" s="32" t="s">
        <v>3868</v>
      </c>
      <c r="E1057" s="32" t="s">
        <v>3869</v>
      </c>
      <c r="F1057" s="32" t="s">
        <v>3870</v>
      </c>
      <c r="G1057" s="32" t="s">
        <v>3684</v>
      </c>
      <c r="H1057" s="32" t="s">
        <v>3685</v>
      </c>
      <c r="I1057" s="32" t="s">
        <v>198</v>
      </c>
      <c r="J1057" s="32" t="s">
        <v>199</v>
      </c>
      <c r="K1057" s="32">
        <v>2.5596079999999999</v>
      </c>
      <c r="L1057" s="33">
        <v>2053</v>
      </c>
      <c r="M1057" s="32">
        <v>251</v>
      </c>
      <c r="N1057" s="32">
        <v>592</v>
      </c>
      <c r="O1057" s="32">
        <v>815</v>
      </c>
      <c r="P1057" s="32">
        <v>306</v>
      </c>
      <c r="Q1057" s="32">
        <v>89</v>
      </c>
      <c r="R1057" s="32" t="s">
        <v>668</v>
      </c>
      <c r="S1057" s="32">
        <v>72.185000000000002</v>
      </c>
      <c r="T1057" s="32">
        <v>53.004800000000003</v>
      </c>
      <c r="U1057" s="32">
        <v>0.59712697599999998</v>
      </c>
      <c r="V1057" s="32">
        <v>8</v>
      </c>
      <c r="W1057" s="32">
        <v>0.91411799999999999</v>
      </c>
      <c r="X1057" s="32">
        <v>0.21615400000000001</v>
      </c>
      <c r="Y1057" s="32">
        <v>0.8</v>
      </c>
      <c r="Z1057" s="32">
        <v>0.626054</v>
      </c>
      <c r="AA1057" s="32">
        <v>14.6</v>
      </c>
      <c r="AB1057" s="32">
        <v>377</v>
      </c>
      <c r="AC1057" s="32">
        <v>24</v>
      </c>
      <c r="AD1057" s="32">
        <v>10</v>
      </c>
      <c r="AE1057" s="32">
        <v>0</v>
      </c>
      <c r="AF1057" s="32">
        <v>0</v>
      </c>
      <c r="AG1057" s="32" t="s">
        <v>200</v>
      </c>
    </row>
    <row r="1058" spans="1:33">
      <c r="A1058" s="32" t="s">
        <v>3871</v>
      </c>
      <c r="B1058" s="32" t="s">
        <v>108</v>
      </c>
      <c r="C1058" s="32" t="s">
        <v>3872</v>
      </c>
      <c r="D1058" s="32" t="s">
        <v>3873</v>
      </c>
      <c r="E1058" s="32" t="s">
        <v>3869</v>
      </c>
      <c r="F1058" s="32" t="s">
        <v>3870</v>
      </c>
      <c r="G1058" s="32" t="s">
        <v>3684</v>
      </c>
      <c r="H1058" s="32" t="s">
        <v>3685</v>
      </c>
      <c r="I1058" s="32" t="s">
        <v>198</v>
      </c>
      <c r="J1058" s="32" t="s">
        <v>199</v>
      </c>
      <c r="K1058" s="32">
        <v>2.2627389999999998</v>
      </c>
      <c r="L1058" s="33">
        <v>2004</v>
      </c>
      <c r="M1058" s="32">
        <v>370</v>
      </c>
      <c r="N1058" s="32">
        <v>453</v>
      </c>
      <c r="O1058" s="32">
        <v>676</v>
      </c>
      <c r="P1058" s="32">
        <v>373</v>
      </c>
      <c r="Q1058" s="32">
        <v>132</v>
      </c>
      <c r="R1058" s="32">
        <v>3</v>
      </c>
      <c r="S1058" s="32">
        <v>14.658300000000001</v>
      </c>
      <c r="T1058" s="32">
        <v>7.9081200000000003</v>
      </c>
      <c r="U1058" s="32">
        <v>0.71127246300000002</v>
      </c>
      <c r="V1058" s="32">
        <v>9</v>
      </c>
      <c r="W1058" s="32">
        <v>0.90286599999999995</v>
      </c>
      <c r="X1058" s="32">
        <v>0.114103</v>
      </c>
      <c r="Y1058" s="32">
        <v>0.8</v>
      </c>
      <c r="Z1058" s="32">
        <v>0.44145600000000002</v>
      </c>
      <c r="AA1058" s="32">
        <v>15.4</v>
      </c>
      <c r="AB1058" s="32">
        <v>466</v>
      </c>
      <c r="AC1058" s="32">
        <v>40</v>
      </c>
      <c r="AD1058" s="32">
        <v>12</v>
      </c>
      <c r="AE1058" s="32">
        <v>0</v>
      </c>
      <c r="AF1058" s="32">
        <v>0</v>
      </c>
      <c r="AG1058" s="32" t="s">
        <v>200</v>
      </c>
    </row>
    <row r="1059" spans="1:33">
      <c r="A1059" s="32" t="s">
        <v>3874</v>
      </c>
      <c r="B1059" s="32" t="s">
        <v>108</v>
      </c>
      <c r="C1059" s="32" t="s">
        <v>3875</v>
      </c>
      <c r="D1059" s="32" t="s">
        <v>3876</v>
      </c>
      <c r="E1059" s="32" t="s">
        <v>3869</v>
      </c>
      <c r="F1059" s="32" t="s">
        <v>3870</v>
      </c>
      <c r="G1059" s="32" t="s">
        <v>3684</v>
      </c>
      <c r="H1059" s="32" t="s">
        <v>3685</v>
      </c>
      <c r="I1059" s="32" t="s">
        <v>198</v>
      </c>
      <c r="J1059" s="32" t="s">
        <v>199</v>
      </c>
      <c r="K1059" s="32">
        <v>2.387629</v>
      </c>
      <c r="L1059" s="33">
        <v>1918</v>
      </c>
      <c r="M1059" s="32">
        <v>300</v>
      </c>
      <c r="N1059" s="32">
        <v>486</v>
      </c>
      <c r="O1059" s="32">
        <v>701</v>
      </c>
      <c r="P1059" s="32">
        <v>314</v>
      </c>
      <c r="Q1059" s="32">
        <v>117</v>
      </c>
      <c r="R1059" s="32">
        <v>5</v>
      </c>
      <c r="S1059" s="32">
        <v>57.458100000000002</v>
      </c>
      <c r="T1059" s="32">
        <v>9.4562600000000003</v>
      </c>
      <c r="U1059" s="32">
        <v>0.66083908300000005</v>
      </c>
      <c r="V1059" s="32">
        <v>9</v>
      </c>
      <c r="W1059" s="32">
        <v>0.90927800000000003</v>
      </c>
      <c r="X1059" s="32">
        <v>0.177703</v>
      </c>
      <c r="Y1059" s="32">
        <v>0.8</v>
      </c>
      <c r="Z1059" s="32">
        <v>0.50652900000000001</v>
      </c>
      <c r="AA1059" s="32">
        <v>10.8</v>
      </c>
      <c r="AB1059" s="32">
        <v>396</v>
      </c>
      <c r="AC1059" s="32">
        <v>53</v>
      </c>
      <c r="AD1059" s="32">
        <v>13</v>
      </c>
      <c r="AE1059" s="32">
        <v>0</v>
      </c>
      <c r="AF1059" s="32">
        <v>0</v>
      </c>
      <c r="AG1059" s="32" t="s">
        <v>200</v>
      </c>
    </row>
    <row r="1060" spans="1:33">
      <c r="A1060" s="32" t="s">
        <v>3877</v>
      </c>
      <c r="B1060" s="32" t="s">
        <v>108</v>
      </c>
      <c r="C1060" s="32" t="s">
        <v>3878</v>
      </c>
      <c r="D1060" s="32" t="s">
        <v>3879</v>
      </c>
      <c r="E1060" s="32" t="s">
        <v>3880</v>
      </c>
      <c r="F1060" s="32" t="s">
        <v>3881</v>
      </c>
      <c r="G1060" s="32" t="s">
        <v>3684</v>
      </c>
      <c r="H1060" s="32" t="s">
        <v>3685</v>
      </c>
      <c r="I1060" s="32" t="s">
        <v>198</v>
      </c>
      <c r="J1060" s="32" t="s">
        <v>199</v>
      </c>
      <c r="K1060" s="32">
        <v>2.5525859999999998</v>
      </c>
      <c r="L1060" s="33">
        <v>2338</v>
      </c>
      <c r="M1060" s="32">
        <v>237</v>
      </c>
      <c r="N1060" s="32">
        <v>801</v>
      </c>
      <c r="O1060" s="32">
        <v>954</v>
      </c>
      <c r="P1060" s="32">
        <v>240</v>
      </c>
      <c r="Q1060" s="32">
        <v>106</v>
      </c>
      <c r="R1060" s="32" t="s">
        <v>668</v>
      </c>
      <c r="S1060" s="32">
        <v>78.627899999999997</v>
      </c>
      <c r="T1060" s="32">
        <v>57.495899999999999</v>
      </c>
      <c r="U1060" s="32">
        <v>0.59440446599999996</v>
      </c>
      <c r="V1060" s="32">
        <v>8</v>
      </c>
      <c r="W1060" s="32">
        <v>0.91522999999999999</v>
      </c>
      <c r="X1060" s="32">
        <v>0.140571</v>
      </c>
      <c r="Y1060" s="32">
        <v>0.8</v>
      </c>
      <c r="Z1060" s="32">
        <v>0.70429799999999998</v>
      </c>
      <c r="AA1060" s="32">
        <v>14.2</v>
      </c>
      <c r="AB1060" s="32">
        <v>312</v>
      </c>
      <c r="AC1060" s="32">
        <v>27</v>
      </c>
      <c r="AD1060" s="32">
        <v>31</v>
      </c>
      <c r="AE1060" s="32">
        <v>0</v>
      </c>
      <c r="AF1060" s="32">
        <v>0</v>
      </c>
      <c r="AG1060" s="32" t="s">
        <v>200</v>
      </c>
    </row>
    <row r="1061" spans="1:33">
      <c r="A1061" s="32" t="s">
        <v>3882</v>
      </c>
      <c r="B1061" s="32" t="s">
        <v>108</v>
      </c>
      <c r="C1061" s="32" t="s">
        <v>3883</v>
      </c>
      <c r="D1061" s="32" t="s">
        <v>3884</v>
      </c>
      <c r="E1061" s="32" t="s">
        <v>3847</v>
      </c>
      <c r="F1061" s="32" t="s">
        <v>3848</v>
      </c>
      <c r="G1061" s="32" t="s">
        <v>3684</v>
      </c>
      <c r="H1061" s="32" t="s">
        <v>3685</v>
      </c>
      <c r="I1061" s="32" t="s">
        <v>198</v>
      </c>
      <c r="J1061" s="32" t="s">
        <v>199</v>
      </c>
      <c r="K1061" s="32">
        <v>2.512391</v>
      </c>
      <c r="L1061" s="33">
        <v>1896</v>
      </c>
      <c r="M1061" s="32">
        <v>318</v>
      </c>
      <c r="N1061" s="32">
        <v>377</v>
      </c>
      <c r="O1061" s="32">
        <v>703</v>
      </c>
      <c r="P1061" s="32">
        <v>374</v>
      </c>
      <c r="Q1061" s="32">
        <v>124</v>
      </c>
      <c r="R1061" s="32" t="s">
        <v>668</v>
      </c>
      <c r="S1061" s="32">
        <v>72.874399999999994</v>
      </c>
      <c r="T1061" s="32">
        <v>2.0834800000000002</v>
      </c>
      <c r="U1061" s="32">
        <v>0.63575651</v>
      </c>
      <c r="V1061" s="32">
        <v>8</v>
      </c>
      <c r="W1061" s="32">
        <v>0.90698100000000004</v>
      </c>
      <c r="X1061" s="32">
        <v>0.19300700000000001</v>
      </c>
      <c r="Y1061" s="32">
        <v>0.8</v>
      </c>
      <c r="Z1061" s="32">
        <v>0.62705100000000003</v>
      </c>
      <c r="AA1061" s="32">
        <v>14.7</v>
      </c>
      <c r="AB1061" s="32">
        <v>386</v>
      </c>
      <c r="AC1061" s="32">
        <v>27</v>
      </c>
      <c r="AD1061" s="32">
        <v>18</v>
      </c>
      <c r="AE1061" s="32" t="s">
        <v>200</v>
      </c>
      <c r="AF1061" s="32" t="s">
        <v>200</v>
      </c>
      <c r="AG1061" s="32" t="s">
        <v>200</v>
      </c>
    </row>
    <row r="1062" spans="1:33">
      <c r="A1062" s="32" t="s">
        <v>3885</v>
      </c>
      <c r="B1062" s="32" t="s">
        <v>108</v>
      </c>
      <c r="C1062" s="32" t="s">
        <v>3886</v>
      </c>
      <c r="D1062" s="32" t="s">
        <v>3887</v>
      </c>
      <c r="E1062" s="32" t="s">
        <v>3869</v>
      </c>
      <c r="F1062" s="32" t="s">
        <v>3870</v>
      </c>
      <c r="G1062" s="32" t="s">
        <v>3684</v>
      </c>
      <c r="H1062" s="32" t="s">
        <v>3685</v>
      </c>
      <c r="I1062" s="32" t="s">
        <v>198</v>
      </c>
      <c r="J1062" s="32" t="s">
        <v>199</v>
      </c>
      <c r="K1062" s="32">
        <v>2.5339770000000001</v>
      </c>
      <c r="L1062" s="33">
        <v>1813</v>
      </c>
      <c r="M1062" s="32">
        <v>391</v>
      </c>
      <c r="N1062" s="32">
        <v>315</v>
      </c>
      <c r="O1062" s="32">
        <v>623</v>
      </c>
      <c r="P1062" s="32">
        <v>355</v>
      </c>
      <c r="Q1062" s="32">
        <v>129</v>
      </c>
      <c r="R1062" s="32">
        <v>4</v>
      </c>
      <c r="S1062" s="32">
        <v>60.457799999999999</v>
      </c>
      <c r="T1062" s="32">
        <v>0</v>
      </c>
      <c r="U1062" s="32">
        <v>0.54568514199999996</v>
      </c>
      <c r="V1062" s="32">
        <v>9</v>
      </c>
      <c r="W1062" s="32">
        <v>0.91176500000000005</v>
      </c>
      <c r="X1062" s="32">
        <v>0.36604799999999998</v>
      </c>
      <c r="Y1062" s="32">
        <v>0.8</v>
      </c>
      <c r="Z1062" s="32">
        <v>0.46403899999999998</v>
      </c>
      <c r="AA1062" s="32">
        <v>12.9</v>
      </c>
      <c r="AB1062" s="32">
        <v>438</v>
      </c>
      <c r="AC1062" s="32">
        <v>29</v>
      </c>
      <c r="AD1062" s="32">
        <v>13</v>
      </c>
      <c r="AE1062" s="32">
        <v>0</v>
      </c>
      <c r="AF1062" s="32" t="s">
        <v>200</v>
      </c>
      <c r="AG1062" s="32">
        <v>7</v>
      </c>
    </row>
    <row r="1063" spans="1:33">
      <c r="A1063" s="32" t="s">
        <v>3888</v>
      </c>
      <c r="B1063" s="32" t="s">
        <v>108</v>
      </c>
      <c r="C1063" s="32" t="s">
        <v>3889</v>
      </c>
      <c r="D1063" s="32" t="s">
        <v>3890</v>
      </c>
      <c r="E1063" s="32" t="s">
        <v>3891</v>
      </c>
      <c r="F1063" s="32" t="s">
        <v>3892</v>
      </c>
      <c r="G1063" s="32" t="s">
        <v>3684</v>
      </c>
      <c r="H1063" s="32" t="s">
        <v>3685</v>
      </c>
      <c r="I1063" s="32" t="s">
        <v>198</v>
      </c>
      <c r="J1063" s="32" t="s">
        <v>199</v>
      </c>
      <c r="K1063" s="32">
        <v>2.9383840000000001</v>
      </c>
      <c r="L1063" s="33">
        <v>1773</v>
      </c>
      <c r="M1063" s="32">
        <v>276</v>
      </c>
      <c r="N1063" s="32">
        <v>352</v>
      </c>
      <c r="O1063" s="32">
        <v>675</v>
      </c>
      <c r="P1063" s="32">
        <v>329</v>
      </c>
      <c r="Q1063" s="32">
        <v>141</v>
      </c>
      <c r="R1063" s="32">
        <v>5</v>
      </c>
      <c r="S1063" s="32">
        <v>30.166699999999999</v>
      </c>
      <c r="T1063" s="32">
        <v>13.902699999999999</v>
      </c>
      <c r="U1063" s="32">
        <v>0.375018254</v>
      </c>
      <c r="V1063" s="32">
        <v>8</v>
      </c>
      <c r="W1063" s="32">
        <v>0.91858600000000001</v>
      </c>
      <c r="X1063" s="32">
        <v>0.27704899999999999</v>
      </c>
      <c r="Y1063" s="32">
        <v>0.8</v>
      </c>
      <c r="Z1063" s="32">
        <v>0.94898000000000005</v>
      </c>
      <c r="AA1063" s="32">
        <v>14.5</v>
      </c>
      <c r="AB1063" s="32">
        <v>549</v>
      </c>
      <c r="AC1063" s="32">
        <v>36</v>
      </c>
      <c r="AD1063" s="32">
        <v>26</v>
      </c>
      <c r="AE1063" s="32">
        <v>0</v>
      </c>
      <c r="AF1063" s="32" t="s">
        <v>200</v>
      </c>
      <c r="AG1063" s="32" t="s">
        <v>200</v>
      </c>
    </row>
    <row r="1064" spans="1:33">
      <c r="A1064" s="32" t="s">
        <v>3893</v>
      </c>
      <c r="B1064" s="32" t="s">
        <v>108</v>
      </c>
      <c r="C1064" s="32" t="s">
        <v>3894</v>
      </c>
      <c r="D1064" s="32" t="s">
        <v>3895</v>
      </c>
      <c r="E1064" s="32" t="s">
        <v>3891</v>
      </c>
      <c r="F1064" s="32" t="s">
        <v>3892</v>
      </c>
      <c r="G1064" s="32" t="s">
        <v>3684</v>
      </c>
      <c r="H1064" s="32" t="s">
        <v>3685</v>
      </c>
      <c r="I1064" s="32" t="s">
        <v>198</v>
      </c>
      <c r="J1064" s="32" t="s">
        <v>199</v>
      </c>
      <c r="K1064" s="32">
        <v>2.780929</v>
      </c>
      <c r="L1064" s="33">
        <v>2449</v>
      </c>
      <c r="M1064" s="32">
        <v>240</v>
      </c>
      <c r="N1064" s="32">
        <v>702</v>
      </c>
      <c r="O1064" s="32">
        <v>945</v>
      </c>
      <c r="P1064" s="32">
        <v>373</v>
      </c>
      <c r="Q1064" s="32">
        <v>189</v>
      </c>
      <c r="R1064" s="32" t="s">
        <v>668</v>
      </c>
      <c r="S1064" s="32">
        <v>76.810699999999997</v>
      </c>
      <c r="T1064" s="32">
        <v>56.821199999999997</v>
      </c>
      <c r="U1064" s="32">
        <v>0.47628219900000002</v>
      </c>
      <c r="V1064" s="32">
        <v>8</v>
      </c>
      <c r="W1064" s="32">
        <v>0.91222499999999995</v>
      </c>
      <c r="X1064" s="32">
        <v>0.20535300000000001</v>
      </c>
      <c r="Y1064" s="32">
        <v>0.8</v>
      </c>
      <c r="Z1064" s="32">
        <v>0.85955899999999996</v>
      </c>
      <c r="AA1064" s="32">
        <v>18.899999999999999</v>
      </c>
      <c r="AB1064" s="32">
        <v>464</v>
      </c>
      <c r="AC1064" s="32">
        <v>36</v>
      </c>
      <c r="AD1064" s="32">
        <v>22</v>
      </c>
      <c r="AE1064" s="32">
        <v>0</v>
      </c>
      <c r="AF1064" s="32">
        <v>0</v>
      </c>
      <c r="AG1064" s="32" t="s">
        <v>200</v>
      </c>
    </row>
    <row r="1065" spans="1:33">
      <c r="A1065" s="32" t="s">
        <v>3896</v>
      </c>
      <c r="B1065" s="32" t="s">
        <v>108</v>
      </c>
      <c r="C1065" s="32" t="s">
        <v>3897</v>
      </c>
      <c r="D1065" s="32" t="s">
        <v>3898</v>
      </c>
      <c r="E1065" s="32" t="s">
        <v>3891</v>
      </c>
      <c r="F1065" s="32" t="s">
        <v>3892</v>
      </c>
      <c r="G1065" s="32" t="s">
        <v>3684</v>
      </c>
      <c r="H1065" s="32" t="s">
        <v>3685</v>
      </c>
      <c r="I1065" s="32" t="s">
        <v>198</v>
      </c>
      <c r="J1065" s="32" t="s">
        <v>199</v>
      </c>
      <c r="K1065" s="32">
        <v>2.97193</v>
      </c>
      <c r="L1065" s="33">
        <v>2231</v>
      </c>
      <c r="M1065" s="32">
        <v>289</v>
      </c>
      <c r="N1065" s="32">
        <v>550</v>
      </c>
      <c r="O1065" s="32">
        <v>838</v>
      </c>
      <c r="P1065" s="32">
        <v>383</v>
      </c>
      <c r="Q1065" s="32">
        <v>171</v>
      </c>
      <c r="R1065" s="32" t="s">
        <v>302</v>
      </c>
      <c r="S1065" s="32">
        <v>61.245800000000003</v>
      </c>
      <c r="T1065" s="32">
        <v>9.2352299999999996</v>
      </c>
      <c r="U1065" s="32">
        <v>0.36382644600000003</v>
      </c>
      <c r="V1065" s="32">
        <v>8</v>
      </c>
      <c r="W1065" s="32">
        <v>0.92261199999999999</v>
      </c>
      <c r="X1065" s="32">
        <v>0.41183399999999998</v>
      </c>
      <c r="Y1065" s="32">
        <v>0.8</v>
      </c>
      <c r="Z1065" s="32">
        <v>0.83091999999999999</v>
      </c>
      <c r="AA1065" s="32">
        <v>21.5</v>
      </c>
      <c r="AB1065" s="32">
        <v>473</v>
      </c>
      <c r="AC1065" s="32">
        <v>33</v>
      </c>
      <c r="AD1065" s="32">
        <v>30</v>
      </c>
      <c r="AE1065" s="32">
        <v>0</v>
      </c>
      <c r="AF1065" s="32">
        <v>0</v>
      </c>
      <c r="AG1065" s="32" t="s">
        <v>200</v>
      </c>
    </row>
    <row r="1066" spans="1:33">
      <c r="A1066" s="32" t="s">
        <v>3899</v>
      </c>
      <c r="B1066" s="32" t="s">
        <v>109</v>
      </c>
      <c r="C1066" s="32" t="s">
        <v>3900</v>
      </c>
      <c r="D1066" s="32" t="s">
        <v>3901</v>
      </c>
      <c r="E1066" s="32" t="s">
        <v>3715</v>
      </c>
      <c r="F1066" s="32" t="s">
        <v>3716</v>
      </c>
      <c r="G1066" s="32" t="s">
        <v>3684</v>
      </c>
      <c r="H1066" s="32" t="s">
        <v>3685</v>
      </c>
      <c r="I1066" s="32" t="s">
        <v>198</v>
      </c>
      <c r="J1066" s="32" t="s">
        <v>199</v>
      </c>
      <c r="K1066" s="32">
        <v>2.500292</v>
      </c>
      <c r="L1066" s="33">
        <v>2048</v>
      </c>
      <c r="M1066" s="32">
        <v>318</v>
      </c>
      <c r="N1066" s="32">
        <v>492</v>
      </c>
      <c r="O1066" s="32">
        <v>546</v>
      </c>
      <c r="P1066" s="32">
        <v>461</v>
      </c>
      <c r="Q1066" s="32">
        <v>231</v>
      </c>
      <c r="R1066" s="32">
        <v>3</v>
      </c>
      <c r="S1066" s="32">
        <v>15.2348</v>
      </c>
      <c r="T1066" s="32">
        <v>8.7587700000000002</v>
      </c>
      <c r="U1066" s="32">
        <v>0.69591568400000003</v>
      </c>
      <c r="V1066" s="32">
        <v>6</v>
      </c>
      <c r="W1066" s="32">
        <v>0.92361499999999996</v>
      </c>
      <c r="X1066" s="32">
        <v>0.25697700000000001</v>
      </c>
      <c r="Y1066" s="32">
        <v>0.73323499999999997</v>
      </c>
      <c r="Z1066" s="32">
        <v>0.57352899999999996</v>
      </c>
      <c r="AA1066" s="32">
        <v>18.899999999999999</v>
      </c>
      <c r="AB1066" s="32">
        <v>413</v>
      </c>
      <c r="AC1066" s="32">
        <v>49</v>
      </c>
      <c r="AD1066" s="32">
        <v>18</v>
      </c>
      <c r="AE1066" s="32" t="s">
        <v>200</v>
      </c>
      <c r="AF1066" s="32" t="s">
        <v>200</v>
      </c>
      <c r="AG1066" s="32" t="s">
        <v>200</v>
      </c>
    </row>
    <row r="1067" spans="1:33">
      <c r="A1067" s="32" t="s">
        <v>3902</v>
      </c>
      <c r="B1067" s="32" t="s">
        <v>109</v>
      </c>
      <c r="C1067" s="32" t="s">
        <v>3903</v>
      </c>
      <c r="D1067" s="32" t="s">
        <v>3904</v>
      </c>
      <c r="E1067" s="32" t="s">
        <v>3905</v>
      </c>
      <c r="F1067" s="32" t="s">
        <v>3906</v>
      </c>
      <c r="G1067" s="32" t="s">
        <v>3684</v>
      </c>
      <c r="H1067" s="32" t="s">
        <v>3685</v>
      </c>
      <c r="I1067" s="32" t="s">
        <v>198</v>
      </c>
      <c r="J1067" s="32" t="s">
        <v>199</v>
      </c>
      <c r="K1067" s="32">
        <v>2.4449860000000001</v>
      </c>
      <c r="L1067" s="33">
        <v>1740</v>
      </c>
      <c r="M1067" s="32">
        <v>280</v>
      </c>
      <c r="N1067" s="32">
        <v>321</v>
      </c>
      <c r="O1067" s="32">
        <v>470</v>
      </c>
      <c r="P1067" s="32">
        <v>460</v>
      </c>
      <c r="Q1067" s="32">
        <v>209</v>
      </c>
      <c r="R1067" s="32">
        <v>3</v>
      </c>
      <c r="S1067" s="32">
        <v>12.875</v>
      </c>
      <c r="T1067" s="32">
        <v>7.3413300000000001</v>
      </c>
      <c r="U1067" s="32">
        <v>0.76705678099999997</v>
      </c>
      <c r="V1067" s="32">
        <v>5</v>
      </c>
      <c r="W1067" s="32">
        <v>0.90401100000000001</v>
      </c>
      <c r="X1067" s="32">
        <v>9.0449000000000002E-2</v>
      </c>
      <c r="Y1067" s="32">
        <v>0.78728799999999999</v>
      </c>
      <c r="Z1067" s="32">
        <v>0.65814600000000001</v>
      </c>
      <c r="AA1067" s="32">
        <v>21.4</v>
      </c>
      <c r="AB1067" s="32">
        <v>487</v>
      </c>
      <c r="AC1067" s="32">
        <v>41</v>
      </c>
      <c r="AD1067" s="32">
        <v>25</v>
      </c>
      <c r="AE1067" s="32">
        <v>0</v>
      </c>
      <c r="AF1067" s="32" t="s">
        <v>200</v>
      </c>
      <c r="AG1067" s="32" t="s">
        <v>200</v>
      </c>
    </row>
    <row r="1068" spans="1:33">
      <c r="A1068" s="32" t="s">
        <v>3907</v>
      </c>
      <c r="B1068" s="32" t="s">
        <v>109</v>
      </c>
      <c r="C1068" s="32" t="s">
        <v>3908</v>
      </c>
      <c r="D1068" s="32" t="s">
        <v>3909</v>
      </c>
      <c r="E1068" s="32" t="s">
        <v>3695</v>
      </c>
      <c r="F1068" s="32" t="s">
        <v>3696</v>
      </c>
      <c r="G1068" s="32" t="s">
        <v>3684</v>
      </c>
      <c r="H1068" s="32" t="s">
        <v>3685</v>
      </c>
      <c r="I1068" s="32" t="s">
        <v>198</v>
      </c>
      <c r="J1068" s="32" t="s">
        <v>199</v>
      </c>
      <c r="K1068" s="32">
        <v>2.3190840000000001</v>
      </c>
      <c r="L1068" s="33">
        <v>2337</v>
      </c>
      <c r="M1068" s="32">
        <v>340</v>
      </c>
      <c r="N1068" s="32">
        <v>460</v>
      </c>
      <c r="O1068" s="32">
        <v>581</v>
      </c>
      <c r="P1068" s="32">
        <v>555</v>
      </c>
      <c r="Q1068" s="32">
        <v>401</v>
      </c>
      <c r="R1068" s="32">
        <v>2</v>
      </c>
      <c r="S1068" s="32">
        <v>12.071999999999999</v>
      </c>
      <c r="T1068" s="32">
        <v>7.2546999999999997</v>
      </c>
      <c r="U1068" s="32">
        <v>0.66692182099999997</v>
      </c>
      <c r="V1068" s="32">
        <v>8</v>
      </c>
      <c r="W1068" s="32">
        <v>0.90992399999999996</v>
      </c>
      <c r="X1068" s="32">
        <v>0.15431500000000001</v>
      </c>
      <c r="Y1068" s="32">
        <v>0.70152300000000001</v>
      </c>
      <c r="Z1068" s="32">
        <v>0.54390899999999998</v>
      </c>
      <c r="AA1068" s="32">
        <v>23.8</v>
      </c>
      <c r="AB1068" s="32">
        <v>601</v>
      </c>
      <c r="AC1068" s="32">
        <v>29</v>
      </c>
      <c r="AD1068" s="32">
        <v>20</v>
      </c>
      <c r="AE1068" s="32">
        <v>0</v>
      </c>
      <c r="AF1068" s="32">
        <v>0</v>
      </c>
      <c r="AG1068" s="32">
        <v>5</v>
      </c>
    </row>
    <row r="1069" spans="1:33">
      <c r="A1069" s="32" t="s">
        <v>3910</v>
      </c>
      <c r="B1069" s="32" t="s">
        <v>109</v>
      </c>
      <c r="C1069" s="32" t="s">
        <v>3911</v>
      </c>
      <c r="D1069" s="32" t="s">
        <v>3912</v>
      </c>
      <c r="E1069" s="32" t="s">
        <v>3695</v>
      </c>
      <c r="F1069" s="32" t="s">
        <v>3696</v>
      </c>
      <c r="G1069" s="32" t="s">
        <v>3684</v>
      </c>
      <c r="H1069" s="32" t="s">
        <v>3685</v>
      </c>
      <c r="I1069" s="32" t="s">
        <v>198</v>
      </c>
      <c r="J1069" s="32" t="s">
        <v>199</v>
      </c>
      <c r="K1069" s="32">
        <v>2.574398</v>
      </c>
      <c r="L1069" s="33">
        <v>1937</v>
      </c>
      <c r="M1069" s="32">
        <v>272</v>
      </c>
      <c r="N1069" s="32">
        <v>316</v>
      </c>
      <c r="O1069" s="32">
        <v>509</v>
      </c>
      <c r="P1069" s="32">
        <v>437</v>
      </c>
      <c r="Q1069" s="32">
        <v>403</v>
      </c>
      <c r="R1069" s="32">
        <v>3</v>
      </c>
      <c r="S1069" s="32">
        <v>14.591100000000001</v>
      </c>
      <c r="T1069" s="32">
        <v>8.0054099999999995</v>
      </c>
      <c r="U1069" s="32">
        <v>0.63135556500000001</v>
      </c>
      <c r="V1069" s="32">
        <v>7</v>
      </c>
      <c r="W1069" s="32">
        <v>0.92341399999999996</v>
      </c>
      <c r="X1069" s="32">
        <v>0.121875</v>
      </c>
      <c r="Y1069" s="32">
        <v>0.77734199999999998</v>
      </c>
      <c r="Z1069" s="32">
        <v>0.75601700000000005</v>
      </c>
      <c r="AA1069" s="32">
        <v>22.2</v>
      </c>
      <c r="AB1069" s="32">
        <v>503</v>
      </c>
      <c r="AC1069" s="32">
        <v>61</v>
      </c>
      <c r="AD1069" s="32">
        <v>22</v>
      </c>
      <c r="AE1069" s="32">
        <v>0</v>
      </c>
      <c r="AF1069" s="32">
        <v>0</v>
      </c>
      <c r="AG1069" s="32">
        <v>5</v>
      </c>
    </row>
    <row r="1070" spans="1:33">
      <c r="A1070" s="32" t="s">
        <v>3913</v>
      </c>
      <c r="B1070" s="32" t="s">
        <v>109</v>
      </c>
      <c r="C1070" s="32" t="s">
        <v>3914</v>
      </c>
      <c r="D1070" s="32" t="s">
        <v>3915</v>
      </c>
      <c r="E1070" s="32" t="s">
        <v>3715</v>
      </c>
      <c r="F1070" s="32" t="s">
        <v>3716</v>
      </c>
      <c r="G1070" s="32" t="s">
        <v>3684</v>
      </c>
      <c r="H1070" s="32" t="s">
        <v>3685</v>
      </c>
      <c r="I1070" s="32" t="s">
        <v>198</v>
      </c>
      <c r="J1070" s="32" t="s">
        <v>199</v>
      </c>
      <c r="K1070" s="32">
        <v>2.3794119999999999</v>
      </c>
      <c r="L1070" s="33">
        <v>1802</v>
      </c>
      <c r="M1070" s="32">
        <v>415</v>
      </c>
      <c r="N1070" s="32">
        <v>371</v>
      </c>
      <c r="O1070" s="32">
        <v>453</v>
      </c>
      <c r="P1070" s="32">
        <v>424</v>
      </c>
      <c r="Q1070" s="32">
        <v>139</v>
      </c>
      <c r="R1070" s="32">
        <v>2</v>
      </c>
      <c r="S1070" s="32">
        <v>12.0258</v>
      </c>
      <c r="T1070" s="32">
        <v>5.4942200000000003</v>
      </c>
      <c r="U1070" s="32">
        <v>1.1530909540000001</v>
      </c>
      <c r="V1070" s="32">
        <v>3</v>
      </c>
      <c r="W1070" s="32">
        <v>0.90470600000000001</v>
      </c>
      <c r="X1070" s="32">
        <v>2.5149999999999999E-2</v>
      </c>
      <c r="Y1070" s="32">
        <v>0.75389200000000001</v>
      </c>
      <c r="Z1070" s="32">
        <v>0.68698199999999998</v>
      </c>
      <c r="AA1070" s="32">
        <v>55.9</v>
      </c>
      <c r="AB1070" s="32">
        <v>292</v>
      </c>
      <c r="AC1070" s="32">
        <v>18</v>
      </c>
      <c r="AD1070" s="32">
        <v>11</v>
      </c>
      <c r="AE1070" s="32">
        <v>0</v>
      </c>
      <c r="AF1070" s="32">
        <v>0</v>
      </c>
      <c r="AG1070" s="32" t="s">
        <v>200</v>
      </c>
    </row>
    <row r="1071" spans="1:33">
      <c r="A1071" s="32" t="s">
        <v>3916</v>
      </c>
      <c r="B1071" s="32" t="s">
        <v>109</v>
      </c>
      <c r="C1071" s="32" t="s">
        <v>3917</v>
      </c>
      <c r="D1071" s="32" t="s">
        <v>3918</v>
      </c>
      <c r="E1071" s="32" t="s">
        <v>3880</v>
      </c>
      <c r="F1071" s="32" t="s">
        <v>3881</v>
      </c>
      <c r="G1071" s="32" t="s">
        <v>3684</v>
      </c>
      <c r="H1071" s="32" t="s">
        <v>3685</v>
      </c>
      <c r="I1071" s="32" t="s">
        <v>198</v>
      </c>
      <c r="J1071" s="32" t="s">
        <v>199</v>
      </c>
      <c r="K1071" s="32">
        <v>2.4837699999999998</v>
      </c>
      <c r="L1071" s="33">
        <v>2034</v>
      </c>
      <c r="M1071" s="32">
        <v>212</v>
      </c>
      <c r="N1071" s="32">
        <v>631</v>
      </c>
      <c r="O1071" s="32">
        <v>683</v>
      </c>
      <c r="P1071" s="32">
        <v>352</v>
      </c>
      <c r="Q1071" s="32">
        <v>156</v>
      </c>
      <c r="R1071" s="32" t="s">
        <v>668</v>
      </c>
      <c r="S1071" s="32">
        <v>74.831900000000005</v>
      </c>
      <c r="T1071" s="32">
        <v>7.0981899999999998</v>
      </c>
      <c r="U1071" s="32">
        <v>0.63727441600000001</v>
      </c>
      <c r="V1071" s="32">
        <v>8</v>
      </c>
      <c r="W1071" s="32">
        <v>0.91282700000000006</v>
      </c>
      <c r="X1071" s="32">
        <v>0.26911000000000002</v>
      </c>
      <c r="Y1071" s="32">
        <v>0.8</v>
      </c>
      <c r="Z1071" s="32">
        <v>0.51020900000000002</v>
      </c>
      <c r="AA1071" s="32">
        <v>16.8</v>
      </c>
      <c r="AB1071" s="32">
        <v>418</v>
      </c>
      <c r="AC1071" s="32">
        <v>23</v>
      </c>
      <c r="AD1071" s="32">
        <v>22</v>
      </c>
      <c r="AE1071" s="32">
        <v>7</v>
      </c>
      <c r="AF1071" s="32">
        <v>0</v>
      </c>
      <c r="AG1071" s="32" t="s">
        <v>200</v>
      </c>
    </row>
    <row r="1072" spans="1:33">
      <c r="A1072" s="32" t="s">
        <v>3866</v>
      </c>
      <c r="B1072" s="32" t="s">
        <v>109</v>
      </c>
      <c r="C1072" s="32" t="s">
        <v>3867</v>
      </c>
      <c r="D1072" s="32" t="s">
        <v>3868</v>
      </c>
      <c r="E1072" s="32" t="s">
        <v>3869</v>
      </c>
      <c r="F1072" s="32" t="s">
        <v>3870</v>
      </c>
      <c r="G1072" s="32" t="s">
        <v>3684</v>
      </c>
      <c r="H1072" s="32" t="s">
        <v>3685</v>
      </c>
      <c r="I1072" s="32" t="s">
        <v>198</v>
      </c>
      <c r="J1072" s="32" t="s">
        <v>199</v>
      </c>
      <c r="K1072" s="32">
        <v>2.5596079999999999</v>
      </c>
      <c r="L1072" s="33">
        <v>2053</v>
      </c>
      <c r="M1072" s="32">
        <v>251</v>
      </c>
      <c r="N1072" s="32">
        <v>592</v>
      </c>
      <c r="O1072" s="32">
        <v>815</v>
      </c>
      <c r="P1072" s="32">
        <v>306</v>
      </c>
      <c r="Q1072" s="32">
        <v>89</v>
      </c>
      <c r="R1072" s="32" t="s">
        <v>668</v>
      </c>
      <c r="S1072" s="32">
        <v>72.185000000000002</v>
      </c>
      <c r="T1072" s="32">
        <v>53.004800000000003</v>
      </c>
      <c r="U1072" s="32">
        <v>0.59712697599999998</v>
      </c>
      <c r="V1072" s="32">
        <v>8</v>
      </c>
      <c r="W1072" s="32">
        <v>0.91411799999999999</v>
      </c>
      <c r="X1072" s="32">
        <v>0.21615400000000001</v>
      </c>
      <c r="Y1072" s="32">
        <v>0.8</v>
      </c>
      <c r="Z1072" s="32">
        <v>0.626054</v>
      </c>
      <c r="AA1072" s="32">
        <v>14.6</v>
      </c>
      <c r="AB1072" s="32">
        <v>377</v>
      </c>
      <c r="AC1072" s="32">
        <v>24</v>
      </c>
      <c r="AD1072" s="32">
        <v>10</v>
      </c>
      <c r="AE1072" s="32">
        <v>0</v>
      </c>
      <c r="AF1072" s="32">
        <v>0</v>
      </c>
      <c r="AG1072" s="32" t="s">
        <v>200</v>
      </c>
    </row>
    <row r="1073" spans="1:33">
      <c r="A1073" s="32" t="s">
        <v>3919</v>
      </c>
      <c r="B1073" s="32" t="s">
        <v>109</v>
      </c>
      <c r="C1073" s="32" t="s">
        <v>3920</v>
      </c>
      <c r="D1073" s="32" t="s">
        <v>3921</v>
      </c>
      <c r="E1073" s="32" t="s">
        <v>3880</v>
      </c>
      <c r="F1073" s="32" t="s">
        <v>3881</v>
      </c>
      <c r="G1073" s="32" t="s">
        <v>3684</v>
      </c>
      <c r="H1073" s="32" t="s">
        <v>3685</v>
      </c>
      <c r="I1073" s="32" t="s">
        <v>198</v>
      </c>
      <c r="J1073" s="32" t="s">
        <v>199</v>
      </c>
      <c r="K1073" s="32">
        <v>2.6663199999999998</v>
      </c>
      <c r="L1073" s="33">
        <v>2021</v>
      </c>
      <c r="M1073" s="32">
        <v>259</v>
      </c>
      <c r="N1073" s="32">
        <v>593</v>
      </c>
      <c r="O1073" s="32">
        <v>743</v>
      </c>
      <c r="P1073" s="32">
        <v>304</v>
      </c>
      <c r="Q1073" s="32">
        <v>122</v>
      </c>
      <c r="R1073" s="32" t="s">
        <v>668</v>
      </c>
      <c r="S1073" s="32">
        <v>83.807900000000004</v>
      </c>
      <c r="T1073" s="32">
        <v>54.010800000000003</v>
      </c>
      <c r="U1073" s="32">
        <v>0.56620842500000002</v>
      </c>
      <c r="V1073" s="32">
        <v>7</v>
      </c>
      <c r="W1073" s="32">
        <v>0.90810800000000003</v>
      </c>
      <c r="X1073" s="32">
        <v>0.28536099999999998</v>
      </c>
      <c r="Y1073" s="32">
        <v>0.8</v>
      </c>
      <c r="Z1073" s="32">
        <v>0.67500000000000004</v>
      </c>
      <c r="AA1073" s="32">
        <v>15.3</v>
      </c>
      <c r="AB1073" s="32">
        <v>386</v>
      </c>
      <c r="AC1073" s="32">
        <v>26</v>
      </c>
      <c r="AD1073" s="32">
        <v>17</v>
      </c>
      <c r="AE1073" s="32">
        <v>0</v>
      </c>
      <c r="AF1073" s="32" t="s">
        <v>200</v>
      </c>
      <c r="AG1073" s="32" t="s">
        <v>200</v>
      </c>
    </row>
    <row r="1074" spans="1:33">
      <c r="A1074" s="32" t="s">
        <v>3922</v>
      </c>
      <c r="B1074" s="32" t="s">
        <v>109</v>
      </c>
      <c r="C1074" s="32" t="s">
        <v>3923</v>
      </c>
      <c r="D1074" s="32" t="s">
        <v>3924</v>
      </c>
      <c r="E1074" s="32" t="s">
        <v>3880</v>
      </c>
      <c r="F1074" s="32" t="s">
        <v>3881</v>
      </c>
      <c r="G1074" s="32" t="s">
        <v>3684</v>
      </c>
      <c r="H1074" s="32" t="s">
        <v>3685</v>
      </c>
      <c r="I1074" s="32" t="s">
        <v>198</v>
      </c>
      <c r="J1074" s="32" t="s">
        <v>199</v>
      </c>
      <c r="K1074" s="32">
        <v>2.702823</v>
      </c>
      <c r="L1074" s="33">
        <v>1883</v>
      </c>
      <c r="M1074" s="32">
        <v>303</v>
      </c>
      <c r="N1074" s="32">
        <v>555</v>
      </c>
      <c r="O1074" s="32">
        <v>572</v>
      </c>
      <c r="P1074" s="32">
        <v>301</v>
      </c>
      <c r="Q1074" s="32">
        <v>152</v>
      </c>
      <c r="R1074" s="32" t="s">
        <v>302</v>
      </c>
      <c r="S1074" s="32">
        <v>66.569299999999998</v>
      </c>
      <c r="T1074" s="32">
        <v>2.1332</v>
      </c>
      <c r="U1074" s="32">
        <v>0.57075707899999994</v>
      </c>
      <c r="V1074" s="32">
        <v>7</v>
      </c>
      <c r="W1074" s="32">
        <v>0.91182799999999997</v>
      </c>
      <c r="X1074" s="32">
        <v>0.40485199999999999</v>
      </c>
      <c r="Y1074" s="32">
        <v>0.8</v>
      </c>
      <c r="Z1074" s="32">
        <v>0.589113</v>
      </c>
      <c r="AA1074" s="32">
        <v>15.4</v>
      </c>
      <c r="AB1074" s="32">
        <v>499</v>
      </c>
      <c r="AC1074" s="32">
        <v>42</v>
      </c>
      <c r="AD1074" s="32">
        <v>60</v>
      </c>
      <c r="AE1074" s="32">
        <v>0</v>
      </c>
      <c r="AF1074" s="32">
        <v>0</v>
      </c>
      <c r="AG1074" s="32" t="s">
        <v>200</v>
      </c>
    </row>
    <row r="1075" spans="1:33">
      <c r="A1075" s="32" t="s">
        <v>3717</v>
      </c>
      <c r="B1075" s="32" t="s">
        <v>109</v>
      </c>
      <c r="C1075" s="32" t="s">
        <v>3718</v>
      </c>
      <c r="D1075" s="32" t="s">
        <v>3719</v>
      </c>
      <c r="E1075" s="32" t="s">
        <v>3715</v>
      </c>
      <c r="F1075" s="32" t="s">
        <v>3716</v>
      </c>
      <c r="G1075" s="32" t="s">
        <v>3684</v>
      </c>
      <c r="H1075" s="32" t="s">
        <v>3685</v>
      </c>
      <c r="I1075" s="32" t="s">
        <v>198</v>
      </c>
      <c r="J1075" s="32" t="s">
        <v>199</v>
      </c>
      <c r="K1075" s="32">
        <v>2.491546</v>
      </c>
      <c r="L1075" s="33">
        <v>2080</v>
      </c>
      <c r="M1075" s="32">
        <v>307</v>
      </c>
      <c r="N1075" s="32">
        <v>436</v>
      </c>
      <c r="O1075" s="32">
        <v>681</v>
      </c>
      <c r="P1075" s="32">
        <v>456</v>
      </c>
      <c r="Q1075" s="32">
        <v>200</v>
      </c>
      <c r="R1075" s="32">
        <v>2</v>
      </c>
      <c r="S1075" s="32">
        <v>13.706899999999999</v>
      </c>
      <c r="T1075" s="32">
        <v>0</v>
      </c>
      <c r="U1075" s="32">
        <v>0.90425399900000003</v>
      </c>
      <c r="V1075" s="32">
        <v>4</v>
      </c>
      <c r="W1075" s="32">
        <v>0.92391299999999998</v>
      </c>
      <c r="X1075" s="32">
        <v>0.25060199999999999</v>
      </c>
      <c r="Y1075" s="32">
        <v>0.79951799999999995</v>
      </c>
      <c r="Z1075" s="32">
        <v>0.51853700000000003</v>
      </c>
      <c r="AA1075" s="32">
        <v>30.1</v>
      </c>
      <c r="AB1075" s="32">
        <v>453</v>
      </c>
      <c r="AC1075" s="32">
        <v>51</v>
      </c>
      <c r="AD1075" s="32">
        <v>31</v>
      </c>
      <c r="AE1075" s="32">
        <v>5</v>
      </c>
      <c r="AF1075" s="32" t="s">
        <v>200</v>
      </c>
      <c r="AG1075" s="32">
        <v>5</v>
      </c>
    </row>
    <row r="1076" spans="1:33">
      <c r="A1076" s="32" t="s">
        <v>3925</v>
      </c>
      <c r="B1076" s="32" t="s">
        <v>110</v>
      </c>
      <c r="C1076" s="32" t="s">
        <v>3926</v>
      </c>
      <c r="D1076" s="32" t="s">
        <v>3927</v>
      </c>
      <c r="E1076" s="32" t="s">
        <v>3905</v>
      </c>
      <c r="F1076" s="32" t="s">
        <v>3906</v>
      </c>
      <c r="G1076" s="32" t="s">
        <v>3684</v>
      </c>
      <c r="H1076" s="32" t="s">
        <v>3685</v>
      </c>
      <c r="I1076" s="32" t="s">
        <v>198</v>
      </c>
      <c r="J1076" s="32" t="s">
        <v>199</v>
      </c>
      <c r="K1076" s="32">
        <v>2.9161290000000002</v>
      </c>
      <c r="L1076" s="33">
        <v>1562</v>
      </c>
      <c r="M1076" s="32">
        <v>210</v>
      </c>
      <c r="N1076" s="32">
        <v>428</v>
      </c>
      <c r="O1076" s="32">
        <v>563</v>
      </c>
      <c r="P1076" s="32">
        <v>265</v>
      </c>
      <c r="Q1076" s="32">
        <v>96</v>
      </c>
      <c r="R1076" s="32">
        <v>5</v>
      </c>
      <c r="S1076" s="32">
        <v>55.709200000000003</v>
      </c>
      <c r="T1076" s="32">
        <v>9.2171400000000006</v>
      </c>
      <c r="U1076" s="32">
        <v>0.62933678100000001</v>
      </c>
      <c r="V1076" s="32">
        <v>5</v>
      </c>
      <c r="W1076" s="32">
        <v>0.91231700000000004</v>
      </c>
      <c r="X1076" s="32">
        <v>0.34226200000000001</v>
      </c>
      <c r="Y1076" s="32">
        <v>0.8</v>
      </c>
      <c r="Z1076" s="32">
        <v>0.84505799999999998</v>
      </c>
      <c r="AA1076" s="32">
        <v>38.799999999999997</v>
      </c>
      <c r="AB1076" s="32">
        <v>323</v>
      </c>
      <c r="AC1076" s="32">
        <v>31</v>
      </c>
      <c r="AD1076" s="32">
        <v>27</v>
      </c>
      <c r="AE1076" s="32" t="s">
        <v>200</v>
      </c>
      <c r="AF1076" s="32">
        <v>0</v>
      </c>
      <c r="AG1076" s="32" t="s">
        <v>200</v>
      </c>
    </row>
    <row r="1077" spans="1:33">
      <c r="A1077" s="32" t="s">
        <v>3928</v>
      </c>
      <c r="B1077" s="32" t="s">
        <v>110</v>
      </c>
      <c r="C1077" s="32" t="s">
        <v>3929</v>
      </c>
      <c r="D1077" s="32" t="s">
        <v>3930</v>
      </c>
      <c r="E1077" s="32" t="s">
        <v>3905</v>
      </c>
      <c r="F1077" s="32" t="s">
        <v>3906</v>
      </c>
      <c r="G1077" s="32" t="s">
        <v>3684</v>
      </c>
      <c r="H1077" s="32" t="s">
        <v>3685</v>
      </c>
      <c r="I1077" s="32" t="s">
        <v>198</v>
      </c>
      <c r="J1077" s="32" t="s">
        <v>199</v>
      </c>
      <c r="K1077" s="32">
        <v>2.97356</v>
      </c>
      <c r="L1077" s="33">
        <v>2499</v>
      </c>
      <c r="M1077" s="32">
        <v>386</v>
      </c>
      <c r="N1077" s="32">
        <v>506</v>
      </c>
      <c r="O1077" s="32">
        <v>906</v>
      </c>
      <c r="P1077" s="32">
        <v>490</v>
      </c>
      <c r="Q1077" s="32">
        <v>211</v>
      </c>
      <c r="R1077" s="32">
        <v>3</v>
      </c>
      <c r="S1077" s="32">
        <v>17.036899999999999</v>
      </c>
      <c r="T1077" s="32">
        <v>7.4407500000000004</v>
      </c>
      <c r="U1077" s="32">
        <v>0.31250420000000001</v>
      </c>
      <c r="V1077" s="32">
        <v>9</v>
      </c>
      <c r="W1077" s="32">
        <v>0.91282700000000006</v>
      </c>
      <c r="X1077" s="32">
        <v>0.34845399999999999</v>
      </c>
      <c r="Y1077" s="32">
        <v>0.8</v>
      </c>
      <c r="Z1077" s="32">
        <v>0.906806</v>
      </c>
      <c r="AA1077" s="32">
        <v>26.6</v>
      </c>
      <c r="AB1077" s="32">
        <v>649</v>
      </c>
      <c r="AC1077" s="32">
        <v>49</v>
      </c>
      <c r="AD1077" s="32">
        <v>97</v>
      </c>
      <c r="AE1077" s="32">
        <v>0</v>
      </c>
      <c r="AF1077" s="32" t="s">
        <v>200</v>
      </c>
      <c r="AG1077" s="32">
        <v>5</v>
      </c>
    </row>
    <row r="1078" spans="1:33">
      <c r="A1078" s="32" t="s">
        <v>3931</v>
      </c>
      <c r="B1078" s="32" t="s">
        <v>110</v>
      </c>
      <c r="C1078" s="32" t="s">
        <v>3932</v>
      </c>
      <c r="D1078" s="32" t="s">
        <v>3933</v>
      </c>
      <c r="E1078" s="32" t="s">
        <v>3905</v>
      </c>
      <c r="F1078" s="32" t="s">
        <v>3906</v>
      </c>
      <c r="G1078" s="32" t="s">
        <v>3684</v>
      </c>
      <c r="H1078" s="32" t="s">
        <v>3685</v>
      </c>
      <c r="I1078" s="32" t="s">
        <v>198</v>
      </c>
      <c r="J1078" s="32" t="s">
        <v>199</v>
      </c>
      <c r="K1078" s="32">
        <v>2.7809759999999999</v>
      </c>
      <c r="L1078" s="33">
        <v>1483</v>
      </c>
      <c r="M1078" s="32">
        <v>217</v>
      </c>
      <c r="N1078" s="32">
        <v>295</v>
      </c>
      <c r="O1078" s="32">
        <v>594</v>
      </c>
      <c r="P1078" s="32">
        <v>273</v>
      </c>
      <c r="Q1078" s="32">
        <v>104</v>
      </c>
      <c r="R1078" s="32">
        <v>5</v>
      </c>
      <c r="S1078" s="32">
        <v>56.968000000000004</v>
      </c>
      <c r="T1078" s="32">
        <v>7.6090799999999996</v>
      </c>
      <c r="U1078" s="32">
        <v>0.48353885000000002</v>
      </c>
      <c r="V1078" s="32">
        <v>7</v>
      </c>
      <c r="W1078" s="32">
        <v>0.90975600000000001</v>
      </c>
      <c r="X1078" s="32">
        <v>0.18190500000000001</v>
      </c>
      <c r="Y1078" s="32">
        <v>0.8</v>
      </c>
      <c r="Z1078" s="32">
        <v>0.87343000000000004</v>
      </c>
      <c r="AA1078" s="32">
        <v>31</v>
      </c>
      <c r="AB1078" s="32">
        <v>263</v>
      </c>
      <c r="AC1078" s="32">
        <v>27</v>
      </c>
      <c r="AD1078" s="32">
        <v>11</v>
      </c>
      <c r="AE1078" s="32" t="s">
        <v>200</v>
      </c>
      <c r="AF1078" s="32">
        <v>0</v>
      </c>
      <c r="AG1078" s="32" t="s">
        <v>200</v>
      </c>
    </row>
    <row r="1079" spans="1:33">
      <c r="A1079" s="32" t="s">
        <v>3902</v>
      </c>
      <c r="B1079" s="32" t="s">
        <v>110</v>
      </c>
      <c r="C1079" s="32" t="s">
        <v>3903</v>
      </c>
      <c r="D1079" s="32" t="s">
        <v>3904</v>
      </c>
      <c r="E1079" s="32" t="s">
        <v>3905</v>
      </c>
      <c r="F1079" s="32" t="s">
        <v>3906</v>
      </c>
      <c r="G1079" s="32" t="s">
        <v>3684</v>
      </c>
      <c r="H1079" s="32" t="s">
        <v>3685</v>
      </c>
      <c r="I1079" s="32" t="s">
        <v>198</v>
      </c>
      <c r="J1079" s="32" t="s">
        <v>199</v>
      </c>
      <c r="K1079" s="32">
        <v>2.4449860000000001</v>
      </c>
      <c r="L1079" s="33">
        <v>1740</v>
      </c>
      <c r="M1079" s="32">
        <v>280</v>
      </c>
      <c r="N1079" s="32">
        <v>321</v>
      </c>
      <c r="O1079" s="32">
        <v>470</v>
      </c>
      <c r="P1079" s="32">
        <v>460</v>
      </c>
      <c r="Q1079" s="32">
        <v>209</v>
      </c>
      <c r="R1079" s="32">
        <v>3</v>
      </c>
      <c r="S1079" s="32">
        <v>12.875</v>
      </c>
      <c r="T1079" s="32">
        <v>7.3413300000000001</v>
      </c>
      <c r="U1079" s="32">
        <v>0.76705678099999997</v>
      </c>
      <c r="V1079" s="32">
        <v>5</v>
      </c>
      <c r="W1079" s="32">
        <v>0.90401100000000001</v>
      </c>
      <c r="X1079" s="32">
        <v>9.0449000000000002E-2</v>
      </c>
      <c r="Y1079" s="32">
        <v>0.78728799999999999</v>
      </c>
      <c r="Z1079" s="32">
        <v>0.65814600000000001</v>
      </c>
      <c r="AA1079" s="32">
        <v>21.4</v>
      </c>
      <c r="AB1079" s="32">
        <v>487</v>
      </c>
      <c r="AC1079" s="32">
        <v>41</v>
      </c>
      <c r="AD1079" s="32">
        <v>25</v>
      </c>
      <c r="AE1079" s="32">
        <v>0</v>
      </c>
      <c r="AF1079" s="32" t="s">
        <v>200</v>
      </c>
      <c r="AG1079" s="32" t="s">
        <v>200</v>
      </c>
    </row>
    <row r="1080" spans="1:33">
      <c r="A1080" s="32" t="s">
        <v>3934</v>
      </c>
      <c r="B1080" s="32" t="s">
        <v>110</v>
      </c>
      <c r="C1080" s="32" t="s">
        <v>3935</v>
      </c>
      <c r="D1080" s="32" t="s">
        <v>3936</v>
      </c>
      <c r="E1080" s="32" t="s">
        <v>3905</v>
      </c>
      <c r="F1080" s="32" t="s">
        <v>3906</v>
      </c>
      <c r="G1080" s="32" t="s">
        <v>3684</v>
      </c>
      <c r="H1080" s="32" t="s">
        <v>3685</v>
      </c>
      <c r="I1080" s="32" t="s">
        <v>198</v>
      </c>
      <c r="J1080" s="32" t="s">
        <v>199</v>
      </c>
      <c r="K1080" s="32">
        <v>2.666458</v>
      </c>
      <c r="L1080" s="33">
        <v>2161</v>
      </c>
      <c r="M1080" s="32">
        <v>331</v>
      </c>
      <c r="N1080" s="32">
        <v>637</v>
      </c>
      <c r="O1080" s="32">
        <v>644</v>
      </c>
      <c r="P1080" s="32">
        <v>370</v>
      </c>
      <c r="Q1080" s="32">
        <v>179</v>
      </c>
      <c r="R1080" s="32" t="s">
        <v>302</v>
      </c>
      <c r="S1080" s="32">
        <v>65.776600000000002</v>
      </c>
      <c r="T1080" s="32">
        <v>7.87439</v>
      </c>
      <c r="U1080" s="32">
        <v>0.72126526800000001</v>
      </c>
      <c r="V1080" s="32">
        <v>5</v>
      </c>
      <c r="W1080" s="32">
        <v>0.90564299999999998</v>
      </c>
      <c r="X1080" s="32">
        <v>0.21630099999999999</v>
      </c>
      <c r="Y1080" s="32">
        <v>0.8</v>
      </c>
      <c r="Z1080" s="32">
        <v>0.72955999999999999</v>
      </c>
      <c r="AA1080" s="32">
        <v>27.9</v>
      </c>
      <c r="AB1080" s="32">
        <v>363</v>
      </c>
      <c r="AC1080" s="32">
        <v>60</v>
      </c>
      <c r="AD1080" s="32">
        <v>43</v>
      </c>
      <c r="AE1080" s="32" t="s">
        <v>200</v>
      </c>
      <c r="AF1080" s="32" t="s">
        <v>200</v>
      </c>
      <c r="AG1080" s="32">
        <v>7</v>
      </c>
    </row>
    <row r="1081" spans="1:33">
      <c r="A1081" s="32" t="s">
        <v>3922</v>
      </c>
      <c r="B1081" s="32" t="s">
        <v>110</v>
      </c>
      <c r="C1081" s="32" t="s">
        <v>3923</v>
      </c>
      <c r="D1081" s="32" t="s">
        <v>3924</v>
      </c>
      <c r="E1081" s="32" t="s">
        <v>3880</v>
      </c>
      <c r="F1081" s="32" t="s">
        <v>3881</v>
      </c>
      <c r="G1081" s="32" t="s">
        <v>3684</v>
      </c>
      <c r="H1081" s="32" t="s">
        <v>3685</v>
      </c>
      <c r="I1081" s="32" t="s">
        <v>198</v>
      </c>
      <c r="J1081" s="32" t="s">
        <v>199</v>
      </c>
      <c r="K1081" s="32">
        <v>2.702823</v>
      </c>
      <c r="L1081" s="33">
        <v>1883</v>
      </c>
      <c r="M1081" s="32">
        <v>303</v>
      </c>
      <c r="N1081" s="32">
        <v>555</v>
      </c>
      <c r="O1081" s="32">
        <v>572</v>
      </c>
      <c r="P1081" s="32">
        <v>301</v>
      </c>
      <c r="Q1081" s="32">
        <v>152</v>
      </c>
      <c r="R1081" s="32" t="s">
        <v>302</v>
      </c>
      <c r="S1081" s="32">
        <v>66.569299999999998</v>
      </c>
      <c r="T1081" s="32">
        <v>2.1332</v>
      </c>
      <c r="U1081" s="32">
        <v>0.57075707899999994</v>
      </c>
      <c r="V1081" s="32">
        <v>7</v>
      </c>
      <c r="W1081" s="32">
        <v>0.91182799999999997</v>
      </c>
      <c r="X1081" s="32">
        <v>0.40485199999999999</v>
      </c>
      <c r="Y1081" s="32">
        <v>0.8</v>
      </c>
      <c r="Z1081" s="32">
        <v>0.589113</v>
      </c>
      <c r="AA1081" s="32">
        <v>15.4</v>
      </c>
      <c r="AB1081" s="32">
        <v>499</v>
      </c>
      <c r="AC1081" s="32">
        <v>42</v>
      </c>
      <c r="AD1081" s="32">
        <v>60</v>
      </c>
      <c r="AE1081" s="32">
        <v>0</v>
      </c>
      <c r="AF1081" s="32">
        <v>0</v>
      </c>
      <c r="AG1081" s="32" t="s">
        <v>200</v>
      </c>
    </row>
    <row r="1082" spans="1:33">
      <c r="A1082" s="32" t="s">
        <v>3937</v>
      </c>
      <c r="B1082" s="32" t="s">
        <v>110</v>
      </c>
      <c r="C1082" s="32" t="s">
        <v>3938</v>
      </c>
      <c r="D1082" s="32" t="s">
        <v>3939</v>
      </c>
      <c r="E1082" s="32" t="s">
        <v>3940</v>
      </c>
      <c r="F1082" s="32" t="s">
        <v>3941</v>
      </c>
      <c r="G1082" s="32" t="s">
        <v>3684</v>
      </c>
      <c r="H1082" s="32" t="s">
        <v>3685</v>
      </c>
      <c r="I1082" s="32" t="s">
        <v>198</v>
      </c>
      <c r="J1082" s="32" t="s">
        <v>199</v>
      </c>
      <c r="K1082" s="32">
        <v>2.8078189999999998</v>
      </c>
      <c r="L1082" s="33">
        <v>1781</v>
      </c>
      <c r="M1082" s="32">
        <v>558</v>
      </c>
      <c r="N1082" s="32">
        <v>336</v>
      </c>
      <c r="O1082" s="32">
        <v>452</v>
      </c>
      <c r="P1082" s="32">
        <v>331</v>
      </c>
      <c r="Q1082" s="32">
        <v>104</v>
      </c>
      <c r="R1082" s="32" t="s">
        <v>668</v>
      </c>
      <c r="S1082" s="32">
        <v>64.858199999999997</v>
      </c>
      <c r="T1082" s="32">
        <v>58.158799999999999</v>
      </c>
      <c r="U1082" s="32">
        <v>0.93079596499999995</v>
      </c>
      <c r="V1082" s="32">
        <v>2</v>
      </c>
      <c r="W1082" s="32">
        <v>0.91069999999999995</v>
      </c>
      <c r="X1082" s="32">
        <v>0.13500000000000001</v>
      </c>
      <c r="Y1082" s="32">
        <v>0.8</v>
      </c>
      <c r="Z1082" s="32">
        <v>0.97941199999999995</v>
      </c>
      <c r="AA1082" s="32">
        <v>67.5</v>
      </c>
      <c r="AB1082" s="32">
        <v>296</v>
      </c>
      <c r="AC1082" s="32">
        <v>14</v>
      </c>
      <c r="AD1082" s="32">
        <v>10</v>
      </c>
      <c r="AE1082" s="32">
        <v>0</v>
      </c>
      <c r="AF1082" s="32">
        <v>0</v>
      </c>
      <c r="AG1082" s="32" t="s">
        <v>200</v>
      </c>
    </row>
    <row r="1083" spans="1:33">
      <c r="A1083" s="32" t="s">
        <v>3942</v>
      </c>
      <c r="B1083" s="32" t="s">
        <v>110</v>
      </c>
      <c r="C1083" s="32" t="s">
        <v>3943</v>
      </c>
      <c r="D1083" s="32" t="s">
        <v>3944</v>
      </c>
      <c r="E1083" s="32" t="s">
        <v>3940</v>
      </c>
      <c r="F1083" s="32" t="s">
        <v>3941</v>
      </c>
      <c r="G1083" s="32" t="s">
        <v>3684</v>
      </c>
      <c r="H1083" s="32" t="s">
        <v>3685</v>
      </c>
      <c r="I1083" s="32" t="s">
        <v>198</v>
      </c>
      <c r="J1083" s="32" t="s">
        <v>199</v>
      </c>
      <c r="K1083" s="32">
        <v>2.9407220000000001</v>
      </c>
      <c r="L1083" s="33">
        <v>1905</v>
      </c>
      <c r="M1083" s="32">
        <v>352</v>
      </c>
      <c r="N1083" s="32">
        <v>460</v>
      </c>
      <c r="O1083" s="32">
        <v>513</v>
      </c>
      <c r="P1083" s="32">
        <v>411</v>
      </c>
      <c r="Q1083" s="32">
        <v>169</v>
      </c>
      <c r="R1083" s="32" t="s">
        <v>668</v>
      </c>
      <c r="S1083" s="32">
        <v>87.410399999999996</v>
      </c>
      <c r="T1083" s="32">
        <v>6.4502300000000004</v>
      </c>
      <c r="U1083" s="32">
        <v>0.77637521899999995</v>
      </c>
      <c r="V1083" s="32">
        <v>2</v>
      </c>
      <c r="W1083" s="32">
        <v>0.91056700000000002</v>
      </c>
      <c r="X1083" s="32">
        <v>0.25670100000000001</v>
      </c>
      <c r="Y1083" s="32">
        <v>0.8</v>
      </c>
      <c r="Z1083" s="32">
        <v>0.96105300000000005</v>
      </c>
      <c r="AA1083" s="32">
        <v>51.4</v>
      </c>
      <c r="AB1083" s="32">
        <v>283</v>
      </c>
      <c r="AC1083" s="32">
        <v>23</v>
      </c>
      <c r="AD1083" s="32">
        <v>41</v>
      </c>
      <c r="AE1083" s="32">
        <v>0</v>
      </c>
      <c r="AF1083" s="32">
        <v>0</v>
      </c>
      <c r="AG1083" s="32" t="s">
        <v>200</v>
      </c>
    </row>
    <row r="1084" spans="1:33">
      <c r="A1084" s="32" t="s">
        <v>3945</v>
      </c>
      <c r="B1084" s="32" t="s">
        <v>110</v>
      </c>
      <c r="C1084" s="32" t="s">
        <v>3946</v>
      </c>
      <c r="D1084" s="32" t="s">
        <v>3947</v>
      </c>
      <c r="E1084" s="32" t="s">
        <v>3940</v>
      </c>
      <c r="F1084" s="32" t="s">
        <v>3941</v>
      </c>
      <c r="G1084" s="32" t="s">
        <v>3684</v>
      </c>
      <c r="H1084" s="32" t="s">
        <v>3685</v>
      </c>
      <c r="I1084" s="32" t="s">
        <v>198</v>
      </c>
      <c r="J1084" s="32" t="s">
        <v>199</v>
      </c>
      <c r="K1084" s="32">
        <v>2.9954290000000001</v>
      </c>
      <c r="L1084" s="33">
        <v>2223</v>
      </c>
      <c r="M1084" s="32">
        <v>418</v>
      </c>
      <c r="N1084" s="32">
        <v>477</v>
      </c>
      <c r="O1084" s="32">
        <v>711</v>
      </c>
      <c r="P1084" s="32">
        <v>410</v>
      </c>
      <c r="Q1084" s="32">
        <v>207</v>
      </c>
      <c r="R1084" s="32">
        <v>4</v>
      </c>
      <c r="S1084" s="32">
        <v>56.460900000000002</v>
      </c>
      <c r="T1084" s="32">
        <v>7.4967100000000002</v>
      </c>
      <c r="U1084" s="32">
        <v>0.59597701599999997</v>
      </c>
      <c r="V1084" s="32">
        <v>4</v>
      </c>
      <c r="W1084" s="32">
        <v>0.92657100000000003</v>
      </c>
      <c r="X1084" s="32">
        <v>0.294767</v>
      </c>
      <c r="Y1084" s="32">
        <v>0.8</v>
      </c>
      <c r="Z1084" s="32">
        <v>0.98150300000000001</v>
      </c>
      <c r="AA1084" s="32">
        <v>44.8</v>
      </c>
      <c r="AB1084" s="32">
        <v>405</v>
      </c>
      <c r="AC1084" s="32">
        <v>36</v>
      </c>
      <c r="AD1084" s="32">
        <v>14</v>
      </c>
      <c r="AE1084" s="32">
        <v>0</v>
      </c>
      <c r="AF1084" s="32">
        <v>0</v>
      </c>
      <c r="AG1084" s="32">
        <v>6</v>
      </c>
    </row>
    <row r="1085" spans="1:33">
      <c r="A1085" s="32" t="s">
        <v>3948</v>
      </c>
      <c r="B1085" s="32" t="s">
        <v>110</v>
      </c>
      <c r="C1085" s="32" t="s">
        <v>3949</v>
      </c>
      <c r="D1085" s="32" t="s">
        <v>3950</v>
      </c>
      <c r="E1085" s="32" t="s">
        <v>3940</v>
      </c>
      <c r="F1085" s="32" t="s">
        <v>3941</v>
      </c>
      <c r="G1085" s="32" t="s">
        <v>3684</v>
      </c>
      <c r="H1085" s="32" t="s">
        <v>3685</v>
      </c>
      <c r="I1085" s="32" t="s">
        <v>198</v>
      </c>
      <c r="J1085" s="32" t="s">
        <v>199</v>
      </c>
      <c r="K1085" s="32">
        <v>2.8400699999999999</v>
      </c>
      <c r="L1085" s="33">
        <v>1599</v>
      </c>
      <c r="M1085" s="32">
        <v>248</v>
      </c>
      <c r="N1085" s="32">
        <v>341</v>
      </c>
      <c r="O1085" s="32">
        <v>413</v>
      </c>
      <c r="P1085" s="32">
        <v>323</v>
      </c>
      <c r="Q1085" s="32">
        <v>274</v>
      </c>
      <c r="R1085" s="32" t="s">
        <v>668</v>
      </c>
      <c r="S1085" s="32">
        <v>74.306899999999999</v>
      </c>
      <c r="T1085" s="32">
        <v>8.5765899999999995</v>
      </c>
      <c r="U1085" s="32">
        <v>0.97590449800000001</v>
      </c>
      <c r="V1085" s="32">
        <v>2</v>
      </c>
      <c r="W1085" s="32">
        <v>0.92613199999999996</v>
      </c>
      <c r="X1085" s="32">
        <v>0.279443</v>
      </c>
      <c r="Y1085" s="32">
        <v>0.8</v>
      </c>
      <c r="Z1085" s="32">
        <v>0.86192199999999997</v>
      </c>
      <c r="AA1085" s="32">
        <v>53.9</v>
      </c>
      <c r="AB1085" s="32">
        <v>261</v>
      </c>
      <c r="AC1085" s="32">
        <v>14</v>
      </c>
      <c r="AD1085" s="32">
        <v>11</v>
      </c>
      <c r="AE1085" s="32">
        <v>0</v>
      </c>
      <c r="AF1085" s="32">
        <v>0</v>
      </c>
      <c r="AG1085" s="32" t="s">
        <v>200</v>
      </c>
    </row>
    <row r="1086" spans="1:33">
      <c r="A1086" s="32" t="s">
        <v>3888</v>
      </c>
      <c r="B1086" s="32" t="s">
        <v>110</v>
      </c>
      <c r="C1086" s="32" t="s">
        <v>3889</v>
      </c>
      <c r="D1086" s="32" t="s">
        <v>3890</v>
      </c>
      <c r="E1086" s="32" t="s">
        <v>3891</v>
      </c>
      <c r="F1086" s="32" t="s">
        <v>3892</v>
      </c>
      <c r="G1086" s="32" t="s">
        <v>3684</v>
      </c>
      <c r="H1086" s="32" t="s">
        <v>3685</v>
      </c>
      <c r="I1086" s="32" t="s">
        <v>198</v>
      </c>
      <c r="J1086" s="32" t="s">
        <v>199</v>
      </c>
      <c r="K1086" s="32">
        <v>2.9383840000000001</v>
      </c>
      <c r="L1086" s="33">
        <v>1773</v>
      </c>
      <c r="M1086" s="32">
        <v>276</v>
      </c>
      <c r="N1086" s="32">
        <v>352</v>
      </c>
      <c r="O1086" s="32">
        <v>675</v>
      </c>
      <c r="P1086" s="32">
        <v>329</v>
      </c>
      <c r="Q1086" s="32">
        <v>141</v>
      </c>
      <c r="R1086" s="32">
        <v>5</v>
      </c>
      <c r="S1086" s="32">
        <v>30.166699999999999</v>
      </c>
      <c r="T1086" s="32">
        <v>13.902699999999999</v>
      </c>
      <c r="U1086" s="32">
        <v>0.375018254</v>
      </c>
      <c r="V1086" s="32">
        <v>8</v>
      </c>
      <c r="W1086" s="32">
        <v>0.91858600000000001</v>
      </c>
      <c r="X1086" s="32">
        <v>0.27704899999999999</v>
      </c>
      <c r="Y1086" s="32">
        <v>0.8</v>
      </c>
      <c r="Z1086" s="32">
        <v>0.94898000000000005</v>
      </c>
      <c r="AA1086" s="32">
        <v>14.5</v>
      </c>
      <c r="AB1086" s="32">
        <v>549</v>
      </c>
      <c r="AC1086" s="32">
        <v>36</v>
      </c>
      <c r="AD1086" s="32">
        <v>26</v>
      </c>
      <c r="AE1086" s="32">
        <v>0</v>
      </c>
      <c r="AF1086" s="32" t="s">
        <v>200</v>
      </c>
      <c r="AG1086" s="32" t="s">
        <v>200</v>
      </c>
    </row>
    <row r="1087" spans="1:33">
      <c r="A1087" s="32" t="s">
        <v>3951</v>
      </c>
      <c r="B1087" s="32" t="s">
        <v>110</v>
      </c>
      <c r="C1087" s="32" t="s">
        <v>3952</v>
      </c>
      <c r="D1087" s="32" t="s">
        <v>3953</v>
      </c>
      <c r="E1087" s="32" t="s">
        <v>3954</v>
      </c>
      <c r="F1087" s="32" t="s">
        <v>3955</v>
      </c>
      <c r="G1087" s="32" t="s">
        <v>3684</v>
      </c>
      <c r="H1087" s="32" t="s">
        <v>3685</v>
      </c>
      <c r="I1087" s="32" t="s">
        <v>198</v>
      </c>
      <c r="J1087" s="32" t="s">
        <v>199</v>
      </c>
      <c r="K1087" s="32">
        <v>2.9978120000000001</v>
      </c>
      <c r="L1087" s="33">
        <v>2549</v>
      </c>
      <c r="M1087" s="32">
        <v>291</v>
      </c>
      <c r="N1087" s="32">
        <v>684</v>
      </c>
      <c r="O1087" s="33">
        <v>1044</v>
      </c>
      <c r="P1087" s="32">
        <v>370</v>
      </c>
      <c r="Q1087" s="32">
        <v>160</v>
      </c>
      <c r="R1087" s="32">
        <v>5</v>
      </c>
      <c r="S1087" s="32">
        <v>28.5562</v>
      </c>
      <c r="T1087" s="32">
        <v>11.606999999999999</v>
      </c>
      <c r="U1087" s="32">
        <v>0.44392597</v>
      </c>
      <c r="V1087" s="32">
        <v>6</v>
      </c>
      <c r="W1087" s="32">
        <v>0.92096599999999995</v>
      </c>
      <c r="X1087" s="32">
        <v>0.40364299999999997</v>
      </c>
      <c r="Y1087" s="32">
        <v>0.79753399999999997</v>
      </c>
      <c r="Z1087" s="32">
        <v>0.87207999999999997</v>
      </c>
      <c r="AA1087" s="32">
        <v>22.7</v>
      </c>
      <c r="AB1087" s="32">
        <v>491</v>
      </c>
      <c r="AC1087" s="32">
        <v>40</v>
      </c>
      <c r="AD1087" s="32">
        <v>57</v>
      </c>
      <c r="AE1087" s="32" t="s">
        <v>200</v>
      </c>
      <c r="AF1087" s="32">
        <v>23</v>
      </c>
      <c r="AG1087" s="32">
        <v>5</v>
      </c>
    </row>
    <row r="1088" spans="1:33">
      <c r="A1088" s="32" t="s">
        <v>3956</v>
      </c>
      <c r="B1088" s="32" t="s">
        <v>110</v>
      </c>
      <c r="C1088" s="32" t="s">
        <v>3957</v>
      </c>
      <c r="D1088" s="32" t="s">
        <v>3958</v>
      </c>
      <c r="E1088" s="32" t="s">
        <v>3954</v>
      </c>
      <c r="F1088" s="32" t="s">
        <v>3955</v>
      </c>
      <c r="G1088" s="32" t="s">
        <v>3684</v>
      </c>
      <c r="H1088" s="32" t="s">
        <v>3685</v>
      </c>
      <c r="I1088" s="32" t="s">
        <v>198</v>
      </c>
      <c r="J1088" s="32" t="s">
        <v>199</v>
      </c>
      <c r="K1088" s="32">
        <v>2.6867220000000001</v>
      </c>
      <c r="L1088" s="33">
        <v>1517</v>
      </c>
      <c r="M1088" s="32">
        <v>229</v>
      </c>
      <c r="N1088" s="32">
        <v>357</v>
      </c>
      <c r="O1088" s="32">
        <v>544</v>
      </c>
      <c r="P1088" s="32">
        <v>285</v>
      </c>
      <c r="Q1088" s="32">
        <v>102</v>
      </c>
      <c r="R1088" s="32">
        <v>4</v>
      </c>
      <c r="S1088" s="32">
        <v>22.912800000000001</v>
      </c>
      <c r="T1088" s="32">
        <v>9.1468600000000002</v>
      </c>
      <c r="U1088" s="32">
        <v>0.47568243300000002</v>
      </c>
      <c r="V1088" s="32">
        <v>9</v>
      </c>
      <c r="W1088" s="32">
        <v>0.90456400000000003</v>
      </c>
      <c r="X1088" s="32">
        <v>0.22791700000000001</v>
      </c>
      <c r="Y1088" s="32">
        <v>0.74604199999999998</v>
      </c>
      <c r="Z1088" s="32">
        <v>0.81226600000000004</v>
      </c>
      <c r="AA1088" s="32">
        <v>13.9</v>
      </c>
      <c r="AB1088" s="32">
        <v>438</v>
      </c>
      <c r="AC1088" s="32">
        <v>26</v>
      </c>
      <c r="AD1088" s="32">
        <v>35</v>
      </c>
      <c r="AE1088" s="32">
        <v>17</v>
      </c>
      <c r="AF1088" s="32">
        <v>13</v>
      </c>
      <c r="AG1088" s="32">
        <v>8</v>
      </c>
    </row>
    <row r="1089" spans="1:33">
      <c r="A1089" s="32" t="s">
        <v>3728</v>
      </c>
      <c r="B1089" s="32" t="s">
        <v>111</v>
      </c>
      <c r="C1089" s="32" t="s">
        <v>3729</v>
      </c>
      <c r="D1089" s="32" t="s">
        <v>3730</v>
      </c>
      <c r="E1089" s="32" t="s">
        <v>3726</v>
      </c>
      <c r="F1089" s="32" t="s">
        <v>3727</v>
      </c>
      <c r="G1089" s="32" t="s">
        <v>1232</v>
      </c>
      <c r="H1089" s="32" t="s">
        <v>1233</v>
      </c>
      <c r="I1089" s="32" t="s">
        <v>198</v>
      </c>
      <c r="J1089" s="32" t="s">
        <v>199</v>
      </c>
      <c r="K1089" s="32">
        <v>2.5474999999999999</v>
      </c>
      <c r="L1089" s="33">
        <v>2032</v>
      </c>
      <c r="M1089" s="32">
        <v>279</v>
      </c>
      <c r="N1089" s="32">
        <v>632</v>
      </c>
      <c r="O1089" s="32">
        <v>744</v>
      </c>
      <c r="P1089" s="32">
        <v>263</v>
      </c>
      <c r="Q1089" s="32">
        <v>114</v>
      </c>
      <c r="R1089" s="32">
        <v>4</v>
      </c>
      <c r="S1089" s="32">
        <v>26.7164</v>
      </c>
      <c r="T1089" s="32">
        <v>15.256500000000001</v>
      </c>
      <c r="U1089" s="32">
        <v>0.65292214500000001</v>
      </c>
      <c r="V1089" s="32">
        <v>6</v>
      </c>
      <c r="W1089" s="32">
        <v>0.91625000000000001</v>
      </c>
      <c r="X1089" s="32">
        <v>0.29431600000000002</v>
      </c>
      <c r="Y1089" s="32">
        <v>0.8</v>
      </c>
      <c r="Z1089" s="32">
        <v>0.53592399999999996</v>
      </c>
      <c r="AA1089" s="32">
        <v>16.7</v>
      </c>
      <c r="AB1089" s="32">
        <v>329</v>
      </c>
      <c r="AC1089" s="32">
        <v>28</v>
      </c>
      <c r="AD1089" s="32">
        <v>7</v>
      </c>
      <c r="AE1089" s="32">
        <v>0</v>
      </c>
      <c r="AF1089" s="32">
        <v>0</v>
      </c>
      <c r="AG1089" s="32" t="s">
        <v>200</v>
      </c>
    </row>
    <row r="1090" spans="1:33">
      <c r="A1090" s="32" t="s">
        <v>3660</v>
      </c>
      <c r="B1090" s="32" t="s">
        <v>111</v>
      </c>
      <c r="C1090" s="32" t="s">
        <v>3661</v>
      </c>
      <c r="D1090" s="32" t="s">
        <v>3662</v>
      </c>
      <c r="E1090" s="32" t="s">
        <v>3663</v>
      </c>
      <c r="F1090" s="32" t="s">
        <v>3664</v>
      </c>
      <c r="G1090" s="32" t="s">
        <v>1232</v>
      </c>
      <c r="H1090" s="32" t="s">
        <v>1233</v>
      </c>
      <c r="I1090" s="32" t="s">
        <v>198</v>
      </c>
      <c r="J1090" s="32" t="s">
        <v>199</v>
      </c>
      <c r="K1090" s="32">
        <v>2.5460229999999999</v>
      </c>
      <c r="L1090" s="33">
        <v>1747</v>
      </c>
      <c r="M1090" s="32">
        <v>237</v>
      </c>
      <c r="N1090" s="32">
        <v>485</v>
      </c>
      <c r="O1090" s="32">
        <v>451</v>
      </c>
      <c r="P1090" s="32">
        <v>354</v>
      </c>
      <c r="Q1090" s="32">
        <v>220</v>
      </c>
      <c r="R1090" s="32" t="s">
        <v>302</v>
      </c>
      <c r="S1090" s="32">
        <v>41.878300000000003</v>
      </c>
      <c r="T1090" s="32">
        <v>19.754200000000001</v>
      </c>
      <c r="U1090" s="32">
        <v>0.96388614500000003</v>
      </c>
      <c r="V1090" s="32">
        <v>3</v>
      </c>
      <c r="W1090" s="32">
        <v>0.92234799999999995</v>
      </c>
      <c r="X1090" s="32">
        <v>0.279026</v>
      </c>
      <c r="Y1090" s="32">
        <v>0.72732399999999997</v>
      </c>
      <c r="Z1090" s="32">
        <v>0.64037699999999997</v>
      </c>
      <c r="AA1090" s="32">
        <v>39.200000000000003</v>
      </c>
      <c r="AB1090" s="32">
        <v>366</v>
      </c>
      <c r="AC1090" s="32">
        <v>16</v>
      </c>
      <c r="AD1090" s="32">
        <v>26</v>
      </c>
      <c r="AE1090" s="32">
        <v>0</v>
      </c>
      <c r="AF1090" s="32" t="s">
        <v>200</v>
      </c>
      <c r="AG1090" s="32" t="s">
        <v>200</v>
      </c>
    </row>
    <row r="1091" spans="1:33">
      <c r="A1091" s="32" t="s">
        <v>3959</v>
      </c>
      <c r="B1091" s="32" t="s">
        <v>111</v>
      </c>
      <c r="C1091" s="32" t="s">
        <v>3960</v>
      </c>
      <c r="D1091" s="32" t="s">
        <v>3961</v>
      </c>
      <c r="E1091" s="32" t="s">
        <v>3726</v>
      </c>
      <c r="F1091" s="32" t="s">
        <v>3727</v>
      </c>
      <c r="G1091" s="32" t="s">
        <v>1232</v>
      </c>
      <c r="H1091" s="32" t="s">
        <v>1233</v>
      </c>
      <c r="I1091" s="32" t="s">
        <v>198</v>
      </c>
      <c r="J1091" s="32" t="s">
        <v>199</v>
      </c>
      <c r="K1091" s="32">
        <v>2.2393329999999998</v>
      </c>
      <c r="L1091" s="33">
        <v>1604</v>
      </c>
      <c r="M1091" s="32">
        <v>345</v>
      </c>
      <c r="N1091" s="32">
        <v>344</v>
      </c>
      <c r="O1091" s="32">
        <v>419</v>
      </c>
      <c r="P1091" s="32">
        <v>363</v>
      </c>
      <c r="Q1091" s="32">
        <v>133</v>
      </c>
      <c r="R1091" s="32">
        <v>3</v>
      </c>
      <c r="S1091" s="32">
        <v>23.96</v>
      </c>
      <c r="T1091" s="32">
        <v>0</v>
      </c>
      <c r="U1091" s="32">
        <v>0.80186103200000003</v>
      </c>
      <c r="V1091" s="32">
        <v>6</v>
      </c>
      <c r="W1091" s="32">
        <v>0.90200000000000002</v>
      </c>
      <c r="X1091" s="32">
        <v>1.3216E-2</v>
      </c>
      <c r="Y1091" s="32">
        <v>0.72617399999999999</v>
      </c>
      <c r="Z1091" s="32">
        <v>0.6</v>
      </c>
      <c r="AA1091" s="32">
        <v>24.5</v>
      </c>
      <c r="AB1091" s="32">
        <v>424</v>
      </c>
      <c r="AC1091" s="32">
        <v>29</v>
      </c>
      <c r="AD1091" s="32">
        <v>13</v>
      </c>
      <c r="AE1091" s="32" t="s">
        <v>200</v>
      </c>
      <c r="AF1091" s="32" t="s">
        <v>200</v>
      </c>
      <c r="AG1091" s="32" t="s">
        <v>200</v>
      </c>
    </row>
    <row r="1092" spans="1:33">
      <c r="A1092" s="32" t="s">
        <v>3962</v>
      </c>
      <c r="B1092" s="32" t="s">
        <v>111</v>
      </c>
      <c r="C1092" s="32" t="s">
        <v>3963</v>
      </c>
      <c r="D1092" s="32" t="s">
        <v>3964</v>
      </c>
      <c r="E1092" s="32" t="s">
        <v>3726</v>
      </c>
      <c r="F1092" s="32" t="s">
        <v>3727</v>
      </c>
      <c r="G1092" s="32" t="s">
        <v>1232</v>
      </c>
      <c r="H1092" s="32" t="s">
        <v>1233</v>
      </c>
      <c r="I1092" s="32" t="s">
        <v>198</v>
      </c>
      <c r="J1092" s="32" t="s">
        <v>199</v>
      </c>
      <c r="K1092" s="32">
        <v>2.471079</v>
      </c>
      <c r="L1092" s="33">
        <v>1572</v>
      </c>
      <c r="M1092" s="32">
        <v>205</v>
      </c>
      <c r="N1092" s="32">
        <v>434</v>
      </c>
      <c r="O1092" s="32">
        <v>562</v>
      </c>
      <c r="P1092" s="32">
        <v>262</v>
      </c>
      <c r="Q1092" s="32">
        <v>109</v>
      </c>
      <c r="R1092" s="32">
        <v>4</v>
      </c>
      <c r="S1092" s="32">
        <v>26.675799999999999</v>
      </c>
      <c r="T1092" s="32">
        <v>8.49573</v>
      </c>
      <c r="U1092" s="32">
        <v>0.71288078600000004</v>
      </c>
      <c r="V1092" s="32">
        <v>6</v>
      </c>
      <c r="W1092" s="32">
        <v>0.90804499999999999</v>
      </c>
      <c r="X1092" s="32">
        <v>0.24252799999999999</v>
      </c>
      <c r="Y1092" s="32">
        <v>0.79287099999999999</v>
      </c>
      <c r="Z1092" s="32">
        <v>0.54140699999999997</v>
      </c>
      <c r="AA1092" s="32">
        <v>16.600000000000001</v>
      </c>
      <c r="AB1092" s="32">
        <v>309</v>
      </c>
      <c r="AC1092" s="32">
        <v>24</v>
      </c>
      <c r="AD1092" s="32">
        <v>18</v>
      </c>
      <c r="AE1092" s="32" t="s">
        <v>200</v>
      </c>
      <c r="AF1092" s="32">
        <v>0</v>
      </c>
      <c r="AG1092" s="32" t="s">
        <v>200</v>
      </c>
    </row>
    <row r="1093" spans="1:33">
      <c r="A1093" s="32" t="s">
        <v>3965</v>
      </c>
      <c r="B1093" s="32" t="s">
        <v>111</v>
      </c>
      <c r="C1093" s="32" t="s">
        <v>3966</v>
      </c>
      <c r="D1093" s="32" t="s">
        <v>3967</v>
      </c>
      <c r="E1093" s="32" t="s">
        <v>3817</v>
      </c>
      <c r="F1093" s="32" t="s">
        <v>3818</v>
      </c>
      <c r="G1093" s="32" t="s">
        <v>3684</v>
      </c>
      <c r="H1093" s="32" t="s">
        <v>3685</v>
      </c>
      <c r="I1093" s="32" t="s">
        <v>198</v>
      </c>
      <c r="J1093" s="32" t="s">
        <v>199</v>
      </c>
      <c r="K1093" s="32">
        <v>2.5970520000000001</v>
      </c>
      <c r="L1093" s="33">
        <v>1731</v>
      </c>
      <c r="M1093" s="32">
        <v>161</v>
      </c>
      <c r="N1093" s="32">
        <v>514</v>
      </c>
      <c r="O1093" s="32">
        <v>673</v>
      </c>
      <c r="P1093" s="32">
        <v>245</v>
      </c>
      <c r="Q1093" s="32">
        <v>138</v>
      </c>
      <c r="R1093" s="32" t="s">
        <v>302</v>
      </c>
      <c r="S1093" s="32">
        <v>38.532899999999998</v>
      </c>
      <c r="T1093" s="32">
        <v>16.622800000000002</v>
      </c>
      <c r="U1093" s="32">
        <v>0.59257544799999995</v>
      </c>
      <c r="V1093" s="32">
        <v>8</v>
      </c>
      <c r="W1093" s="32">
        <v>0.90498900000000004</v>
      </c>
      <c r="X1093" s="32">
        <v>0.29797800000000002</v>
      </c>
      <c r="Y1093" s="32">
        <v>0.8</v>
      </c>
      <c r="Z1093" s="32">
        <v>0.59009</v>
      </c>
      <c r="AA1093" s="32">
        <v>16.399999999999999</v>
      </c>
      <c r="AB1093" s="32">
        <v>263</v>
      </c>
      <c r="AC1093" s="32">
        <v>16</v>
      </c>
      <c r="AD1093" s="32">
        <v>17</v>
      </c>
      <c r="AE1093" s="32">
        <v>0</v>
      </c>
      <c r="AF1093" s="32">
        <v>0</v>
      </c>
      <c r="AG1093" s="32" t="s">
        <v>200</v>
      </c>
    </row>
    <row r="1094" spans="1:33">
      <c r="A1094" s="32" t="s">
        <v>3825</v>
      </c>
      <c r="B1094" s="32" t="s">
        <v>111</v>
      </c>
      <c r="C1094" s="32" t="s">
        <v>3826</v>
      </c>
      <c r="D1094" s="32" t="s">
        <v>3827</v>
      </c>
      <c r="E1094" s="32" t="s">
        <v>3772</v>
      </c>
      <c r="F1094" s="32" t="s">
        <v>3773</v>
      </c>
      <c r="G1094" s="32" t="s">
        <v>3684</v>
      </c>
      <c r="H1094" s="32" t="s">
        <v>3685</v>
      </c>
      <c r="I1094" s="32" t="s">
        <v>198</v>
      </c>
      <c r="J1094" s="32" t="s">
        <v>199</v>
      </c>
      <c r="K1094" s="32">
        <v>2.5173649999999999</v>
      </c>
      <c r="L1094" s="33">
        <v>1992</v>
      </c>
      <c r="M1094" s="32">
        <v>249</v>
      </c>
      <c r="N1094" s="32">
        <v>520</v>
      </c>
      <c r="O1094" s="32">
        <v>714</v>
      </c>
      <c r="P1094" s="32">
        <v>359</v>
      </c>
      <c r="Q1094" s="32">
        <v>150</v>
      </c>
      <c r="R1094" s="32">
        <v>5</v>
      </c>
      <c r="S1094" s="32">
        <v>29.417100000000001</v>
      </c>
      <c r="T1094" s="32">
        <v>15.6076</v>
      </c>
      <c r="U1094" s="32">
        <v>0.73343423100000005</v>
      </c>
      <c r="V1094" s="32">
        <v>6</v>
      </c>
      <c r="W1094" s="32">
        <v>0.90459100000000003</v>
      </c>
      <c r="X1094" s="32">
        <v>0.232596</v>
      </c>
      <c r="Y1094" s="32">
        <v>0.8</v>
      </c>
      <c r="Z1094" s="32">
        <v>0.55835000000000001</v>
      </c>
      <c r="AA1094" s="32">
        <v>26.2</v>
      </c>
      <c r="AB1094" s="32">
        <v>353</v>
      </c>
      <c r="AC1094" s="32">
        <v>23</v>
      </c>
      <c r="AD1094" s="32">
        <v>27</v>
      </c>
      <c r="AE1094" s="32">
        <v>80</v>
      </c>
      <c r="AF1094" s="32">
        <v>0</v>
      </c>
      <c r="AG1094" s="32">
        <v>6</v>
      </c>
    </row>
    <row r="1095" spans="1:33">
      <c r="A1095" s="32" t="s">
        <v>3751</v>
      </c>
      <c r="B1095" s="32" t="s">
        <v>111</v>
      </c>
      <c r="C1095" s="32" t="s">
        <v>3752</v>
      </c>
      <c r="D1095" s="32" t="s">
        <v>3753</v>
      </c>
      <c r="E1095" s="32" t="s">
        <v>3754</v>
      </c>
      <c r="F1095" s="32" t="s">
        <v>3755</v>
      </c>
      <c r="G1095" s="32" t="s">
        <v>3684</v>
      </c>
      <c r="H1095" s="32" t="s">
        <v>3685</v>
      </c>
      <c r="I1095" s="32" t="s">
        <v>198</v>
      </c>
      <c r="J1095" s="32" t="s">
        <v>199</v>
      </c>
      <c r="K1095" s="32">
        <v>2.3656899999999998</v>
      </c>
      <c r="L1095" s="33">
        <v>1819</v>
      </c>
      <c r="M1095" s="32">
        <v>261</v>
      </c>
      <c r="N1095" s="32">
        <v>609</v>
      </c>
      <c r="O1095" s="32">
        <v>626</v>
      </c>
      <c r="P1095" s="32">
        <v>191</v>
      </c>
      <c r="Q1095" s="32">
        <v>132</v>
      </c>
      <c r="R1095" s="32">
        <v>4</v>
      </c>
      <c r="S1095" s="32">
        <v>28.601800000000001</v>
      </c>
      <c r="T1095" s="32">
        <v>13.776</v>
      </c>
      <c r="U1095" s="32">
        <v>0.63265961800000003</v>
      </c>
      <c r="V1095" s="32">
        <v>9</v>
      </c>
      <c r="W1095" s="32">
        <v>0.90460200000000002</v>
      </c>
      <c r="X1095" s="32">
        <v>5.2941000000000002E-2</v>
      </c>
      <c r="Y1095" s="32">
        <v>0.8</v>
      </c>
      <c r="Z1095" s="32">
        <v>0.61548099999999994</v>
      </c>
      <c r="AA1095" s="32">
        <v>23.5</v>
      </c>
      <c r="AB1095" s="32">
        <v>342</v>
      </c>
      <c r="AC1095" s="32">
        <v>12</v>
      </c>
      <c r="AD1095" s="32">
        <v>13</v>
      </c>
      <c r="AE1095" s="32">
        <v>0</v>
      </c>
      <c r="AF1095" s="32">
        <v>24</v>
      </c>
      <c r="AG1095" s="32" t="s">
        <v>200</v>
      </c>
    </row>
    <row r="1096" spans="1:33">
      <c r="A1096" s="32" t="s">
        <v>3769</v>
      </c>
      <c r="B1096" s="32" t="s">
        <v>111</v>
      </c>
      <c r="C1096" s="32" t="s">
        <v>3770</v>
      </c>
      <c r="D1096" s="32" t="s">
        <v>3771</v>
      </c>
      <c r="E1096" s="32" t="s">
        <v>3772</v>
      </c>
      <c r="F1096" s="32" t="s">
        <v>3773</v>
      </c>
      <c r="G1096" s="32" t="s">
        <v>3684</v>
      </c>
      <c r="H1096" s="32" t="s">
        <v>3685</v>
      </c>
      <c r="I1096" s="32" t="s">
        <v>198</v>
      </c>
      <c r="J1096" s="32" t="s">
        <v>199</v>
      </c>
      <c r="K1096" s="32">
        <v>2.3839229999999998</v>
      </c>
      <c r="L1096" s="33">
        <v>1557</v>
      </c>
      <c r="M1096" s="32">
        <v>200</v>
      </c>
      <c r="N1096" s="32">
        <v>463</v>
      </c>
      <c r="O1096" s="32">
        <v>561</v>
      </c>
      <c r="P1096" s="32">
        <v>229</v>
      </c>
      <c r="Q1096" s="32">
        <v>104</v>
      </c>
      <c r="R1096" s="32">
        <v>5</v>
      </c>
      <c r="S1096" s="32">
        <v>31.2087</v>
      </c>
      <c r="T1096" s="32">
        <v>17.764399999999998</v>
      </c>
      <c r="U1096" s="32">
        <v>0.75950752399999999</v>
      </c>
      <c r="V1096" s="32">
        <v>6</v>
      </c>
      <c r="W1096" s="32">
        <v>0.909968</v>
      </c>
      <c r="X1096" s="32">
        <v>0.18274799999999999</v>
      </c>
      <c r="Y1096" s="32">
        <v>0.79967600000000005</v>
      </c>
      <c r="Z1096" s="32">
        <v>0.52443700000000004</v>
      </c>
      <c r="AA1096" s="32">
        <v>31.4</v>
      </c>
      <c r="AB1096" s="32">
        <v>306</v>
      </c>
      <c r="AC1096" s="32">
        <v>31</v>
      </c>
      <c r="AD1096" s="32">
        <v>16</v>
      </c>
      <c r="AE1096" s="32">
        <v>0</v>
      </c>
      <c r="AF1096" s="32">
        <v>0</v>
      </c>
      <c r="AG1096" s="32" t="s">
        <v>200</v>
      </c>
    </row>
    <row r="1097" spans="1:33">
      <c r="A1097" s="32" t="s">
        <v>3968</v>
      </c>
      <c r="B1097" s="32" t="s">
        <v>111</v>
      </c>
      <c r="C1097" s="32" t="s">
        <v>3969</v>
      </c>
      <c r="D1097" s="32" t="s">
        <v>3970</v>
      </c>
      <c r="E1097" s="32" t="s">
        <v>3777</v>
      </c>
      <c r="F1097" s="32" t="s">
        <v>3778</v>
      </c>
      <c r="G1097" s="32" t="s">
        <v>3684</v>
      </c>
      <c r="H1097" s="32" t="s">
        <v>3685</v>
      </c>
      <c r="I1097" s="32" t="s">
        <v>198</v>
      </c>
      <c r="J1097" s="32" t="s">
        <v>199</v>
      </c>
      <c r="K1097" s="32">
        <v>2.3446189999999998</v>
      </c>
      <c r="L1097" s="33">
        <v>1597</v>
      </c>
      <c r="M1097" s="32">
        <v>246</v>
      </c>
      <c r="N1097" s="32">
        <v>422</v>
      </c>
      <c r="O1097" s="32">
        <v>425</v>
      </c>
      <c r="P1097" s="32">
        <v>316</v>
      </c>
      <c r="Q1097" s="32">
        <v>188</v>
      </c>
      <c r="R1097" s="32">
        <v>5</v>
      </c>
      <c r="S1097" s="32">
        <v>29.762799999999999</v>
      </c>
      <c r="T1097" s="32">
        <v>20.513400000000001</v>
      </c>
      <c r="U1097" s="32">
        <v>0.776423007</v>
      </c>
      <c r="V1097" s="32">
        <v>6</v>
      </c>
      <c r="W1097" s="32">
        <v>0.90583000000000002</v>
      </c>
      <c r="X1097" s="32">
        <v>0.10609499999999999</v>
      </c>
      <c r="Y1097" s="32">
        <v>0.77937199999999995</v>
      </c>
      <c r="Z1097" s="32">
        <v>0.58306999999999998</v>
      </c>
      <c r="AA1097" s="32">
        <v>26.2</v>
      </c>
      <c r="AB1097" s="32">
        <v>402</v>
      </c>
      <c r="AC1097" s="32">
        <v>28</v>
      </c>
      <c r="AD1097" s="32">
        <v>17</v>
      </c>
      <c r="AE1097" s="32">
        <v>0</v>
      </c>
      <c r="AF1097" s="32" t="s">
        <v>200</v>
      </c>
      <c r="AG1097" s="32">
        <v>0</v>
      </c>
    </row>
    <row r="1098" spans="1:33">
      <c r="A1098" s="32" t="s">
        <v>3971</v>
      </c>
      <c r="B1098" s="32" t="s">
        <v>111</v>
      </c>
      <c r="C1098" s="32" t="s">
        <v>3972</v>
      </c>
      <c r="D1098" s="32" t="s">
        <v>3973</v>
      </c>
      <c r="E1098" s="32" t="s">
        <v>3772</v>
      </c>
      <c r="F1098" s="32" t="s">
        <v>3773</v>
      </c>
      <c r="G1098" s="32" t="s">
        <v>3684</v>
      </c>
      <c r="H1098" s="32" t="s">
        <v>3685</v>
      </c>
      <c r="I1098" s="32" t="s">
        <v>198</v>
      </c>
      <c r="J1098" s="32" t="s">
        <v>199</v>
      </c>
      <c r="K1098" s="32">
        <v>2.1649389999999999</v>
      </c>
      <c r="L1098" s="33">
        <v>1409</v>
      </c>
      <c r="M1098" s="32">
        <v>299</v>
      </c>
      <c r="N1098" s="32">
        <v>309</v>
      </c>
      <c r="O1098" s="32">
        <v>333</v>
      </c>
      <c r="P1098" s="32">
        <v>361</v>
      </c>
      <c r="Q1098" s="32">
        <v>107</v>
      </c>
      <c r="R1098" s="32">
        <v>4</v>
      </c>
      <c r="S1098" s="32">
        <v>27.915900000000001</v>
      </c>
      <c r="T1098" s="32">
        <v>10.292299999999999</v>
      </c>
      <c r="U1098" s="32">
        <v>0.91445102599999994</v>
      </c>
      <c r="V1098" s="32">
        <v>6</v>
      </c>
      <c r="W1098" s="32">
        <v>0.90304899999999999</v>
      </c>
      <c r="X1098" s="32">
        <v>5.1076999999999997E-2</v>
      </c>
      <c r="Y1098" s="32">
        <v>0.72830799999999996</v>
      </c>
      <c r="Z1098" s="32">
        <v>0.493313</v>
      </c>
      <c r="AA1098" s="32">
        <v>25</v>
      </c>
      <c r="AB1098" s="32">
        <v>417</v>
      </c>
      <c r="AC1098" s="32">
        <v>26</v>
      </c>
      <c r="AD1098" s="32">
        <v>15</v>
      </c>
      <c r="AE1098" s="32">
        <v>0</v>
      </c>
      <c r="AF1098" s="32">
        <v>0</v>
      </c>
      <c r="AG1098" s="32">
        <v>0</v>
      </c>
    </row>
    <row r="1099" spans="1:33">
      <c r="A1099" s="32" t="s">
        <v>3974</v>
      </c>
      <c r="B1099" s="32" t="s">
        <v>111</v>
      </c>
      <c r="C1099" s="32" t="s">
        <v>3975</v>
      </c>
      <c r="D1099" s="32" t="s">
        <v>3976</v>
      </c>
      <c r="E1099" s="32" t="s">
        <v>3977</v>
      </c>
      <c r="F1099" s="32" t="s">
        <v>3978</v>
      </c>
      <c r="G1099" s="32" t="s">
        <v>3684</v>
      </c>
      <c r="H1099" s="32" t="s">
        <v>3685</v>
      </c>
      <c r="I1099" s="32" t="s">
        <v>198</v>
      </c>
      <c r="J1099" s="32" t="s">
        <v>199</v>
      </c>
      <c r="K1099" s="32">
        <v>2.277094</v>
      </c>
      <c r="L1099" s="33">
        <v>1852</v>
      </c>
      <c r="M1099" s="32">
        <v>278</v>
      </c>
      <c r="N1099" s="32">
        <v>445</v>
      </c>
      <c r="O1099" s="32">
        <v>618</v>
      </c>
      <c r="P1099" s="32">
        <v>352</v>
      </c>
      <c r="Q1099" s="32">
        <v>159</v>
      </c>
      <c r="R1099" s="32">
        <v>5</v>
      </c>
      <c r="S1099" s="32">
        <v>25.357399999999998</v>
      </c>
      <c r="T1099" s="32">
        <v>12.399100000000001</v>
      </c>
      <c r="U1099" s="32">
        <v>0.70324114000000004</v>
      </c>
      <c r="V1099" s="32">
        <v>8</v>
      </c>
      <c r="W1099" s="32">
        <v>0.90073899999999996</v>
      </c>
      <c r="X1099" s="32">
        <v>2.6499999999999999E-2</v>
      </c>
      <c r="Y1099" s="32">
        <v>0.8</v>
      </c>
      <c r="Z1099" s="32">
        <v>0.53777799999999998</v>
      </c>
      <c r="AA1099" s="32">
        <v>18.100000000000001</v>
      </c>
      <c r="AB1099" s="32">
        <v>453</v>
      </c>
      <c r="AC1099" s="32">
        <v>21</v>
      </c>
      <c r="AD1099" s="32">
        <v>33</v>
      </c>
      <c r="AE1099" s="32">
        <v>0</v>
      </c>
      <c r="AF1099" s="32">
        <v>0</v>
      </c>
      <c r="AG1099" s="32" t="s">
        <v>200</v>
      </c>
    </row>
    <row r="1100" spans="1:33">
      <c r="A1100" s="32" t="s">
        <v>3979</v>
      </c>
      <c r="B1100" s="32" t="s">
        <v>111</v>
      </c>
      <c r="C1100" s="32" t="s">
        <v>3980</v>
      </c>
      <c r="D1100" s="32" t="s">
        <v>3981</v>
      </c>
      <c r="E1100" s="32" t="s">
        <v>3754</v>
      </c>
      <c r="F1100" s="32" t="s">
        <v>3755</v>
      </c>
      <c r="G1100" s="32" t="s">
        <v>3684</v>
      </c>
      <c r="H1100" s="32" t="s">
        <v>3685</v>
      </c>
      <c r="I1100" s="32" t="s">
        <v>198</v>
      </c>
      <c r="J1100" s="32" t="s">
        <v>199</v>
      </c>
      <c r="K1100" s="32">
        <v>2.3975230000000001</v>
      </c>
      <c r="L1100" s="33">
        <v>1815</v>
      </c>
      <c r="M1100" s="32">
        <v>284</v>
      </c>
      <c r="N1100" s="32">
        <v>439</v>
      </c>
      <c r="O1100" s="32">
        <v>651</v>
      </c>
      <c r="P1100" s="32">
        <v>272</v>
      </c>
      <c r="Q1100" s="32">
        <v>169</v>
      </c>
      <c r="R1100" s="32">
        <v>5</v>
      </c>
      <c r="S1100" s="32">
        <v>27.584299999999999</v>
      </c>
      <c r="T1100" s="32">
        <v>21.803699999999999</v>
      </c>
      <c r="U1100" s="32">
        <v>0.698117392</v>
      </c>
      <c r="V1100" s="32">
        <v>7</v>
      </c>
      <c r="W1100" s="32">
        <v>0.90247699999999997</v>
      </c>
      <c r="X1100" s="32">
        <v>4.2900000000000001E-2</v>
      </c>
      <c r="Y1100" s="32">
        <v>0.8</v>
      </c>
      <c r="Z1100" s="32">
        <v>0.67492300000000005</v>
      </c>
      <c r="AA1100" s="32">
        <v>20.9</v>
      </c>
      <c r="AB1100" s="32">
        <v>391</v>
      </c>
      <c r="AC1100" s="32">
        <v>21</v>
      </c>
      <c r="AD1100" s="32">
        <v>13</v>
      </c>
      <c r="AE1100" s="32">
        <v>0</v>
      </c>
      <c r="AF1100" s="32" t="s">
        <v>200</v>
      </c>
      <c r="AG1100" s="32" t="s">
        <v>200</v>
      </c>
    </row>
    <row r="1101" spans="1:33">
      <c r="A1101" s="32" t="s">
        <v>3982</v>
      </c>
      <c r="B1101" s="32" t="s">
        <v>111</v>
      </c>
      <c r="C1101" s="32" t="s">
        <v>3983</v>
      </c>
      <c r="D1101" s="32" t="s">
        <v>3984</v>
      </c>
      <c r="E1101" s="32" t="s">
        <v>3977</v>
      </c>
      <c r="F1101" s="32" t="s">
        <v>3978</v>
      </c>
      <c r="G1101" s="32" t="s">
        <v>3684</v>
      </c>
      <c r="H1101" s="32" t="s">
        <v>3685</v>
      </c>
      <c r="I1101" s="32" t="s">
        <v>198</v>
      </c>
      <c r="J1101" s="32" t="s">
        <v>199</v>
      </c>
      <c r="K1101" s="32">
        <v>2.6181030000000001</v>
      </c>
      <c r="L1101" s="33">
        <v>1947</v>
      </c>
      <c r="M1101" s="32">
        <v>257</v>
      </c>
      <c r="N1101" s="32">
        <v>597</v>
      </c>
      <c r="O1101" s="32">
        <v>775</v>
      </c>
      <c r="P1101" s="32">
        <v>228</v>
      </c>
      <c r="Q1101" s="32">
        <v>90</v>
      </c>
      <c r="R1101" s="32" t="s">
        <v>302</v>
      </c>
      <c r="S1101" s="32">
        <v>35.394599999999997</v>
      </c>
      <c r="T1101" s="32">
        <v>25.338699999999999</v>
      </c>
      <c r="U1101" s="32">
        <v>0.63325199899999995</v>
      </c>
      <c r="V1101" s="32">
        <v>6</v>
      </c>
      <c r="W1101" s="32">
        <v>0.91077600000000003</v>
      </c>
      <c r="X1101" s="32">
        <v>0.24061099999999999</v>
      </c>
      <c r="Y1101" s="32">
        <v>0.8</v>
      </c>
      <c r="Z1101" s="32">
        <v>0.67084200000000005</v>
      </c>
      <c r="AA1101" s="32">
        <v>25.3</v>
      </c>
      <c r="AB1101" s="32">
        <v>324</v>
      </c>
      <c r="AC1101" s="32">
        <v>24</v>
      </c>
      <c r="AD1101" s="32">
        <v>42</v>
      </c>
      <c r="AE1101" s="32" t="s">
        <v>200</v>
      </c>
      <c r="AF1101" s="32" t="s">
        <v>200</v>
      </c>
      <c r="AG1101" s="32" t="s">
        <v>200</v>
      </c>
    </row>
    <row r="1102" spans="1:33">
      <c r="A1102" s="32" t="s">
        <v>3985</v>
      </c>
      <c r="B1102" s="32" t="s">
        <v>111</v>
      </c>
      <c r="C1102" s="32" t="s">
        <v>3986</v>
      </c>
      <c r="D1102" s="32" t="s">
        <v>3987</v>
      </c>
      <c r="E1102" s="32" t="s">
        <v>3977</v>
      </c>
      <c r="F1102" s="32" t="s">
        <v>3978</v>
      </c>
      <c r="G1102" s="32" t="s">
        <v>3684</v>
      </c>
      <c r="H1102" s="32" t="s">
        <v>3685</v>
      </c>
      <c r="I1102" s="32" t="s">
        <v>198</v>
      </c>
      <c r="J1102" s="32" t="s">
        <v>199</v>
      </c>
      <c r="K1102" s="32">
        <v>2.5187940000000002</v>
      </c>
      <c r="L1102" s="33">
        <v>1978</v>
      </c>
      <c r="M1102" s="32">
        <v>203</v>
      </c>
      <c r="N1102" s="32">
        <v>635</v>
      </c>
      <c r="O1102" s="32">
        <v>702</v>
      </c>
      <c r="P1102" s="32">
        <v>297</v>
      </c>
      <c r="Q1102" s="32">
        <v>141</v>
      </c>
      <c r="R1102" s="32">
        <v>4</v>
      </c>
      <c r="S1102" s="32">
        <v>28.587</v>
      </c>
      <c r="T1102" s="32">
        <v>13.7925</v>
      </c>
      <c r="U1102" s="32">
        <v>0.664966061</v>
      </c>
      <c r="V1102" s="32">
        <v>7</v>
      </c>
      <c r="W1102" s="32">
        <v>0.91028399999999998</v>
      </c>
      <c r="X1102" s="32">
        <v>0.26783200000000001</v>
      </c>
      <c r="Y1102" s="32">
        <v>0.8</v>
      </c>
      <c r="Z1102" s="32">
        <v>0.535273</v>
      </c>
      <c r="AA1102" s="32">
        <v>24.8</v>
      </c>
      <c r="AB1102" s="32">
        <v>317</v>
      </c>
      <c r="AC1102" s="32">
        <v>18</v>
      </c>
      <c r="AD1102" s="32">
        <v>12</v>
      </c>
      <c r="AE1102" s="32">
        <v>0</v>
      </c>
      <c r="AF1102" s="32" t="s">
        <v>200</v>
      </c>
      <c r="AG1102" s="32" t="s">
        <v>200</v>
      </c>
    </row>
    <row r="1103" spans="1:33">
      <c r="A1103" s="32" t="s">
        <v>3988</v>
      </c>
      <c r="B1103" s="32" t="s">
        <v>112</v>
      </c>
      <c r="C1103" s="32" t="s">
        <v>3989</v>
      </c>
      <c r="D1103" s="32" t="s">
        <v>3990</v>
      </c>
      <c r="E1103" s="32" t="s">
        <v>3991</v>
      </c>
      <c r="F1103" s="32" t="s">
        <v>3992</v>
      </c>
      <c r="G1103" s="32" t="s">
        <v>3993</v>
      </c>
      <c r="H1103" s="32" t="s">
        <v>3994</v>
      </c>
      <c r="I1103" s="32" t="s">
        <v>198</v>
      </c>
      <c r="J1103" s="32" t="s">
        <v>199</v>
      </c>
      <c r="K1103" s="32">
        <v>2.3788</v>
      </c>
      <c r="L1103" s="33">
        <v>1942</v>
      </c>
      <c r="M1103" s="32">
        <v>276</v>
      </c>
      <c r="N1103" s="32">
        <v>459</v>
      </c>
      <c r="O1103" s="32">
        <v>730</v>
      </c>
      <c r="P1103" s="32">
        <v>326</v>
      </c>
      <c r="Q1103" s="32">
        <v>151</v>
      </c>
      <c r="R1103" s="32">
        <v>4</v>
      </c>
      <c r="S1103" s="32">
        <v>27.530999999999999</v>
      </c>
      <c r="T1103" s="32">
        <v>12.837899999999999</v>
      </c>
      <c r="U1103" s="32">
        <v>0.69914547699999996</v>
      </c>
      <c r="V1103" s="32">
        <v>7</v>
      </c>
      <c r="W1103" s="32">
        <v>0.90539999999999998</v>
      </c>
      <c r="X1103" s="32">
        <v>0.17915800000000001</v>
      </c>
      <c r="Y1103" s="32">
        <v>0.8</v>
      </c>
      <c r="Z1103" s="32">
        <v>0.493788</v>
      </c>
      <c r="AA1103" s="32">
        <v>36.299999999999997</v>
      </c>
      <c r="AB1103" s="32">
        <v>405</v>
      </c>
      <c r="AC1103" s="32">
        <v>38</v>
      </c>
      <c r="AD1103" s="32">
        <v>32</v>
      </c>
      <c r="AE1103" s="32" t="s">
        <v>200</v>
      </c>
      <c r="AF1103" s="32" t="s">
        <v>200</v>
      </c>
      <c r="AG1103" s="32" t="s">
        <v>200</v>
      </c>
    </row>
    <row r="1104" spans="1:33">
      <c r="A1104" s="32" t="s">
        <v>3995</v>
      </c>
      <c r="B1104" s="32" t="s">
        <v>112</v>
      </c>
      <c r="C1104" s="32" t="s">
        <v>3996</v>
      </c>
      <c r="D1104" s="32" t="s">
        <v>3997</v>
      </c>
      <c r="E1104" s="32" t="s">
        <v>3991</v>
      </c>
      <c r="F1104" s="32" t="s">
        <v>3992</v>
      </c>
      <c r="G1104" s="32" t="s">
        <v>3993</v>
      </c>
      <c r="H1104" s="32" t="s">
        <v>3994</v>
      </c>
      <c r="I1104" s="32" t="s">
        <v>198</v>
      </c>
      <c r="J1104" s="32" t="s">
        <v>199</v>
      </c>
      <c r="K1104" s="32">
        <v>2.1859039999999998</v>
      </c>
      <c r="L1104" s="33">
        <v>1515</v>
      </c>
      <c r="M1104" s="32">
        <v>213</v>
      </c>
      <c r="N1104" s="32">
        <v>302</v>
      </c>
      <c r="O1104" s="32">
        <v>485</v>
      </c>
      <c r="P1104" s="32">
        <v>313</v>
      </c>
      <c r="Q1104" s="32">
        <v>202</v>
      </c>
      <c r="R1104" s="32">
        <v>3</v>
      </c>
      <c r="S1104" s="32">
        <v>22.009</v>
      </c>
      <c r="T1104" s="32">
        <v>7.6868600000000002</v>
      </c>
      <c r="U1104" s="32">
        <v>0.78452112799999996</v>
      </c>
      <c r="V1104" s="32">
        <v>7</v>
      </c>
      <c r="W1104" s="32">
        <v>0.90079799999999999</v>
      </c>
      <c r="X1104" s="32">
        <v>5.3049999999999998E-3</v>
      </c>
      <c r="Y1104" s="32">
        <v>0.8</v>
      </c>
      <c r="Z1104" s="32">
        <v>0.48499999999999999</v>
      </c>
      <c r="AA1104" s="32">
        <v>33.9</v>
      </c>
      <c r="AB1104" s="32">
        <v>390</v>
      </c>
      <c r="AC1104" s="32">
        <v>24</v>
      </c>
      <c r="AD1104" s="32">
        <v>13</v>
      </c>
      <c r="AE1104" s="32" t="s">
        <v>200</v>
      </c>
      <c r="AF1104" s="32" t="s">
        <v>200</v>
      </c>
      <c r="AG1104" s="32">
        <v>5</v>
      </c>
    </row>
    <row r="1105" spans="1:33">
      <c r="A1105" s="32" t="s">
        <v>3998</v>
      </c>
      <c r="B1105" s="32" t="s">
        <v>112</v>
      </c>
      <c r="C1105" s="32" t="s">
        <v>3999</v>
      </c>
      <c r="D1105" s="32" t="s">
        <v>4000</v>
      </c>
      <c r="E1105" s="32" t="s">
        <v>4001</v>
      </c>
      <c r="F1105" s="32" t="s">
        <v>4002</v>
      </c>
      <c r="G1105" s="32" t="s">
        <v>3993</v>
      </c>
      <c r="H1105" s="32" t="s">
        <v>3994</v>
      </c>
      <c r="I1105" s="32" t="s">
        <v>198</v>
      </c>
      <c r="J1105" s="32" t="s">
        <v>199</v>
      </c>
      <c r="K1105" s="32">
        <v>2.3307570000000002</v>
      </c>
      <c r="L1105" s="33">
        <v>1859</v>
      </c>
      <c r="M1105" s="32">
        <v>380</v>
      </c>
      <c r="N1105" s="32">
        <v>333</v>
      </c>
      <c r="O1105" s="32">
        <v>508</v>
      </c>
      <c r="P1105" s="32">
        <v>433</v>
      </c>
      <c r="Q1105" s="32">
        <v>205</v>
      </c>
      <c r="R1105" s="32">
        <v>3</v>
      </c>
      <c r="S1105" s="32">
        <v>41.267499999999998</v>
      </c>
      <c r="T1105" s="32">
        <v>2.0101499999999999</v>
      </c>
      <c r="U1105" s="32">
        <v>0.62860429799999995</v>
      </c>
      <c r="V1105" s="32">
        <v>9</v>
      </c>
      <c r="W1105" s="32">
        <v>0.90318699999999996</v>
      </c>
      <c r="X1105" s="32">
        <v>0.114444</v>
      </c>
      <c r="Y1105" s="32">
        <v>0.8</v>
      </c>
      <c r="Z1105" s="32">
        <v>0.51897899999999997</v>
      </c>
      <c r="AA1105" s="32">
        <v>23.8</v>
      </c>
      <c r="AB1105" s="32">
        <v>629</v>
      </c>
      <c r="AC1105" s="32">
        <v>17</v>
      </c>
      <c r="AD1105" s="32">
        <v>109</v>
      </c>
      <c r="AE1105" s="32" t="s">
        <v>200</v>
      </c>
      <c r="AF1105" s="32" t="s">
        <v>200</v>
      </c>
      <c r="AG1105" s="32">
        <v>0</v>
      </c>
    </row>
    <row r="1106" spans="1:33">
      <c r="A1106" s="32" t="s">
        <v>4003</v>
      </c>
      <c r="B1106" s="32" t="s">
        <v>112</v>
      </c>
      <c r="C1106" s="32" t="s">
        <v>4004</v>
      </c>
      <c r="D1106" s="32" t="s">
        <v>4005</v>
      </c>
      <c r="E1106" s="32" t="s">
        <v>4006</v>
      </c>
      <c r="F1106" s="32" t="s">
        <v>4007</v>
      </c>
      <c r="G1106" s="32" t="s">
        <v>3993</v>
      </c>
      <c r="H1106" s="32" t="s">
        <v>3994</v>
      </c>
      <c r="I1106" s="32" t="s">
        <v>198</v>
      </c>
      <c r="J1106" s="32" t="s">
        <v>199</v>
      </c>
      <c r="K1106" s="32">
        <v>2.4994519999999998</v>
      </c>
      <c r="L1106" s="33">
        <v>1794</v>
      </c>
      <c r="M1106" s="32">
        <v>415</v>
      </c>
      <c r="N1106" s="32">
        <v>360</v>
      </c>
      <c r="O1106" s="32">
        <v>442</v>
      </c>
      <c r="P1106" s="32">
        <v>396</v>
      </c>
      <c r="Q1106" s="32">
        <v>181</v>
      </c>
      <c r="R1106" s="32">
        <v>4</v>
      </c>
      <c r="S1106" s="32">
        <v>27.648900000000001</v>
      </c>
      <c r="T1106" s="32">
        <v>4.2085900000000001</v>
      </c>
      <c r="U1106" s="32">
        <v>0.84168906300000002</v>
      </c>
      <c r="V1106" s="32">
        <v>3</v>
      </c>
      <c r="W1106" s="32">
        <v>0.90690800000000005</v>
      </c>
      <c r="X1106" s="32">
        <v>0.204009</v>
      </c>
      <c r="Y1106" s="32">
        <v>0.8</v>
      </c>
      <c r="Z1106" s="32">
        <v>0.60230499999999998</v>
      </c>
      <c r="AA1106" s="32">
        <v>40.4</v>
      </c>
      <c r="AB1106" s="32">
        <v>510</v>
      </c>
      <c r="AC1106" s="32">
        <v>33</v>
      </c>
      <c r="AD1106" s="32">
        <v>211</v>
      </c>
      <c r="AE1106" s="32">
        <v>17</v>
      </c>
      <c r="AF1106" s="32" t="s">
        <v>200</v>
      </c>
      <c r="AG1106" s="32">
        <v>5</v>
      </c>
    </row>
    <row r="1107" spans="1:33">
      <c r="A1107" s="32" t="s">
        <v>4008</v>
      </c>
      <c r="B1107" s="32" t="s">
        <v>112</v>
      </c>
      <c r="C1107" s="32" t="s">
        <v>4009</v>
      </c>
      <c r="D1107" s="32" t="s">
        <v>4010</v>
      </c>
      <c r="E1107" s="32" t="s">
        <v>4011</v>
      </c>
      <c r="F1107" s="32" t="s">
        <v>4012</v>
      </c>
      <c r="G1107" s="32" t="s">
        <v>3993</v>
      </c>
      <c r="H1107" s="32" t="s">
        <v>3994</v>
      </c>
      <c r="I1107" s="32" t="s">
        <v>198</v>
      </c>
      <c r="J1107" s="32" t="s">
        <v>199</v>
      </c>
      <c r="K1107" s="32">
        <v>2.3823780000000001</v>
      </c>
      <c r="L1107" s="33">
        <v>1841</v>
      </c>
      <c r="M1107" s="32">
        <v>297</v>
      </c>
      <c r="N1107" s="32">
        <v>357</v>
      </c>
      <c r="O1107" s="32">
        <v>574</v>
      </c>
      <c r="P1107" s="32">
        <v>400</v>
      </c>
      <c r="Q1107" s="32">
        <v>213</v>
      </c>
      <c r="R1107" s="32">
        <v>3</v>
      </c>
      <c r="S1107" s="32">
        <v>20.995799999999999</v>
      </c>
      <c r="T1107" s="32">
        <v>12.2918</v>
      </c>
      <c r="U1107" s="32">
        <v>0.80860908799999998</v>
      </c>
      <c r="V1107" s="32">
        <v>6</v>
      </c>
      <c r="W1107" s="32">
        <v>0.904034</v>
      </c>
      <c r="X1107" s="32">
        <v>0.120588</v>
      </c>
      <c r="Y1107" s="32">
        <v>0.8</v>
      </c>
      <c r="Z1107" s="32">
        <v>0.55137999999999998</v>
      </c>
      <c r="AA1107" s="32">
        <v>28.3</v>
      </c>
      <c r="AB1107" s="32">
        <v>437</v>
      </c>
      <c r="AC1107" s="32">
        <v>59</v>
      </c>
      <c r="AD1107" s="32">
        <v>41</v>
      </c>
      <c r="AE1107" s="32" t="s">
        <v>200</v>
      </c>
      <c r="AF1107" s="32">
        <v>2392</v>
      </c>
      <c r="AG1107" s="32" t="s">
        <v>200</v>
      </c>
    </row>
    <row r="1108" spans="1:33">
      <c r="A1108" s="32" t="s">
        <v>4013</v>
      </c>
      <c r="B1108" s="32" t="s">
        <v>112</v>
      </c>
      <c r="C1108" s="32" t="s">
        <v>4014</v>
      </c>
      <c r="D1108" s="32" t="s">
        <v>4015</v>
      </c>
      <c r="E1108" s="32" t="s">
        <v>3991</v>
      </c>
      <c r="F1108" s="32" t="s">
        <v>3992</v>
      </c>
      <c r="G1108" s="32" t="s">
        <v>3993</v>
      </c>
      <c r="H1108" s="32" t="s">
        <v>3994</v>
      </c>
      <c r="I1108" s="32" t="s">
        <v>198</v>
      </c>
      <c r="J1108" s="32" t="s">
        <v>199</v>
      </c>
      <c r="K1108" s="32">
        <v>2.3864779999999999</v>
      </c>
      <c r="L1108" s="33">
        <v>2718</v>
      </c>
      <c r="M1108" s="32">
        <v>433</v>
      </c>
      <c r="N1108" s="32">
        <v>611</v>
      </c>
      <c r="O1108" s="32">
        <v>986</v>
      </c>
      <c r="P1108" s="32">
        <v>430</v>
      </c>
      <c r="Q1108" s="32">
        <v>258</v>
      </c>
      <c r="R1108" s="32">
        <v>4</v>
      </c>
      <c r="S1108" s="32">
        <v>24.393999999999998</v>
      </c>
      <c r="T1108" s="32">
        <v>0</v>
      </c>
      <c r="U1108" s="32">
        <v>0.72712992799999998</v>
      </c>
      <c r="V1108" s="32">
        <v>6</v>
      </c>
      <c r="W1108" s="32">
        <v>0.90496600000000005</v>
      </c>
      <c r="X1108" s="32">
        <v>0.17249800000000001</v>
      </c>
      <c r="Y1108" s="32">
        <v>0.8</v>
      </c>
      <c r="Z1108" s="32">
        <v>0.51411099999999998</v>
      </c>
      <c r="AA1108" s="32">
        <v>40.6</v>
      </c>
      <c r="AB1108" s="32">
        <v>570</v>
      </c>
      <c r="AC1108" s="32">
        <v>38</v>
      </c>
      <c r="AD1108" s="32">
        <v>65</v>
      </c>
      <c r="AE1108" s="32" t="s">
        <v>200</v>
      </c>
      <c r="AF1108" s="32">
        <v>0</v>
      </c>
      <c r="AG1108" s="32" t="s">
        <v>200</v>
      </c>
    </row>
    <row r="1109" spans="1:33">
      <c r="A1109" s="32" t="s">
        <v>4016</v>
      </c>
      <c r="B1109" s="32" t="s">
        <v>112</v>
      </c>
      <c r="C1109" s="32" t="s">
        <v>4017</v>
      </c>
      <c r="D1109" s="32" t="s">
        <v>4018</v>
      </c>
      <c r="E1109" s="32" t="s">
        <v>3991</v>
      </c>
      <c r="F1109" s="32" t="s">
        <v>3992</v>
      </c>
      <c r="G1109" s="32" t="s">
        <v>3993</v>
      </c>
      <c r="H1109" s="32" t="s">
        <v>3994</v>
      </c>
      <c r="I1109" s="32" t="s">
        <v>198</v>
      </c>
      <c r="J1109" s="32" t="s">
        <v>199</v>
      </c>
      <c r="K1109" s="32">
        <v>2.294845</v>
      </c>
      <c r="L1109" s="33">
        <v>1675</v>
      </c>
      <c r="M1109" s="32">
        <v>219</v>
      </c>
      <c r="N1109" s="32">
        <v>350</v>
      </c>
      <c r="O1109" s="32">
        <v>635</v>
      </c>
      <c r="P1109" s="32">
        <v>325</v>
      </c>
      <c r="Q1109" s="32">
        <v>146</v>
      </c>
      <c r="R1109" s="32">
        <v>4</v>
      </c>
      <c r="S1109" s="32">
        <v>23.089600000000001</v>
      </c>
      <c r="T1109" s="32">
        <v>15.238300000000001</v>
      </c>
      <c r="U1109" s="32">
        <v>0.75344814400000004</v>
      </c>
      <c r="V1109" s="32">
        <v>7</v>
      </c>
      <c r="W1109" s="32">
        <v>0.9</v>
      </c>
      <c r="X1109" s="32">
        <v>8.3447999999999994E-2</v>
      </c>
      <c r="Y1109" s="32">
        <v>0.8</v>
      </c>
      <c r="Z1109" s="32">
        <v>0.5</v>
      </c>
      <c r="AA1109" s="32">
        <v>34.4</v>
      </c>
      <c r="AB1109" s="32">
        <v>369</v>
      </c>
      <c r="AC1109" s="32">
        <v>22</v>
      </c>
      <c r="AD1109" s="32">
        <v>16</v>
      </c>
      <c r="AE1109" s="32">
        <v>0</v>
      </c>
      <c r="AF1109" s="32">
        <v>0</v>
      </c>
      <c r="AG1109" s="32">
        <v>0</v>
      </c>
    </row>
    <row r="1110" spans="1:33">
      <c r="A1110" s="32" t="s">
        <v>4019</v>
      </c>
      <c r="B1110" s="32" t="s">
        <v>112</v>
      </c>
      <c r="C1110" s="32" t="s">
        <v>4020</v>
      </c>
      <c r="D1110" s="32" t="s">
        <v>4021</v>
      </c>
      <c r="E1110" s="32" t="s">
        <v>4022</v>
      </c>
      <c r="F1110" s="32" t="s">
        <v>4023</v>
      </c>
      <c r="G1110" s="32" t="s">
        <v>3993</v>
      </c>
      <c r="H1110" s="32" t="s">
        <v>3994</v>
      </c>
      <c r="I1110" s="32" t="s">
        <v>198</v>
      </c>
      <c r="J1110" s="32" t="s">
        <v>199</v>
      </c>
      <c r="K1110" s="32">
        <v>2.3323019999999999</v>
      </c>
      <c r="L1110" s="33">
        <v>1736</v>
      </c>
      <c r="M1110" s="32">
        <v>316</v>
      </c>
      <c r="N1110" s="32">
        <v>292</v>
      </c>
      <c r="O1110" s="32">
        <v>436</v>
      </c>
      <c r="P1110" s="32">
        <v>395</v>
      </c>
      <c r="Q1110" s="32">
        <v>297</v>
      </c>
      <c r="R1110" s="32">
        <v>4</v>
      </c>
      <c r="S1110" s="32">
        <v>30.3432</v>
      </c>
      <c r="T1110" s="32">
        <v>5.1363599999999998</v>
      </c>
      <c r="U1110" s="32">
        <v>0.68800009399999995</v>
      </c>
      <c r="V1110" s="32">
        <v>8</v>
      </c>
      <c r="W1110" s="32">
        <v>0.90354900000000005</v>
      </c>
      <c r="X1110" s="32">
        <v>0.123862</v>
      </c>
      <c r="Y1110" s="32">
        <v>0.8</v>
      </c>
      <c r="Z1110" s="32">
        <v>0.50226199999999999</v>
      </c>
      <c r="AA1110" s="32">
        <v>43</v>
      </c>
      <c r="AB1110" s="32">
        <v>616</v>
      </c>
      <c r="AC1110" s="32">
        <v>38</v>
      </c>
      <c r="AD1110" s="32">
        <v>35</v>
      </c>
      <c r="AE1110" s="32" t="s">
        <v>200</v>
      </c>
      <c r="AF1110" s="32" t="s">
        <v>200</v>
      </c>
      <c r="AG1110" s="32" t="s">
        <v>200</v>
      </c>
    </row>
    <row r="1111" spans="1:33">
      <c r="A1111" s="32" t="s">
        <v>4024</v>
      </c>
      <c r="B1111" s="32" t="s">
        <v>112</v>
      </c>
      <c r="C1111" s="32" t="s">
        <v>4025</v>
      </c>
      <c r="D1111" s="32" t="s">
        <v>4026</v>
      </c>
      <c r="E1111" s="32" t="s">
        <v>4027</v>
      </c>
      <c r="F1111" s="32" t="s">
        <v>4028</v>
      </c>
      <c r="G1111" s="32" t="s">
        <v>3684</v>
      </c>
      <c r="H1111" s="32" t="s">
        <v>3685</v>
      </c>
      <c r="I1111" s="32" t="s">
        <v>198</v>
      </c>
      <c r="J1111" s="32" t="s">
        <v>199</v>
      </c>
      <c r="K1111" s="32">
        <v>2.2921320000000001</v>
      </c>
      <c r="L1111" s="33">
        <v>1867</v>
      </c>
      <c r="M1111" s="32">
        <v>295</v>
      </c>
      <c r="N1111" s="32">
        <v>383</v>
      </c>
      <c r="O1111" s="32">
        <v>593</v>
      </c>
      <c r="P1111" s="32">
        <v>399</v>
      </c>
      <c r="Q1111" s="32">
        <v>197</v>
      </c>
      <c r="R1111" s="32">
        <v>5</v>
      </c>
      <c r="S1111" s="32">
        <v>28.003799999999998</v>
      </c>
      <c r="T1111" s="32">
        <v>13.173999999999999</v>
      </c>
      <c r="U1111" s="32">
        <v>0.77440230799999998</v>
      </c>
      <c r="V1111" s="32">
        <v>6</v>
      </c>
      <c r="W1111" s="32">
        <v>0.90126899999999999</v>
      </c>
      <c r="X1111" s="32">
        <v>6.6165000000000002E-2</v>
      </c>
      <c r="Y1111" s="32">
        <v>0.8</v>
      </c>
      <c r="Z1111" s="32">
        <v>0.52722599999999997</v>
      </c>
      <c r="AA1111" s="32">
        <v>40.9</v>
      </c>
      <c r="AB1111" s="32">
        <v>425</v>
      </c>
      <c r="AC1111" s="32">
        <v>25</v>
      </c>
      <c r="AD1111" s="32">
        <v>28</v>
      </c>
      <c r="AE1111" s="32" t="s">
        <v>200</v>
      </c>
      <c r="AF1111" s="32">
        <v>0</v>
      </c>
      <c r="AG1111" s="32">
        <v>0</v>
      </c>
    </row>
    <row r="1112" spans="1:33">
      <c r="A1112" s="32" t="s">
        <v>4029</v>
      </c>
      <c r="B1112" s="32" t="s">
        <v>112</v>
      </c>
      <c r="C1112" s="32" t="s">
        <v>4030</v>
      </c>
      <c r="D1112" s="32" t="s">
        <v>4031</v>
      </c>
      <c r="E1112" s="32" t="s">
        <v>4027</v>
      </c>
      <c r="F1112" s="32" t="s">
        <v>4028</v>
      </c>
      <c r="G1112" s="32" t="s">
        <v>3684</v>
      </c>
      <c r="H1112" s="32" t="s">
        <v>3685</v>
      </c>
      <c r="I1112" s="32" t="s">
        <v>198</v>
      </c>
      <c r="J1112" s="32" t="s">
        <v>199</v>
      </c>
      <c r="K1112" s="32">
        <v>2.4433180000000001</v>
      </c>
      <c r="L1112" s="33">
        <v>1940</v>
      </c>
      <c r="M1112" s="32">
        <v>329</v>
      </c>
      <c r="N1112" s="32">
        <v>559</v>
      </c>
      <c r="O1112" s="32">
        <v>635</v>
      </c>
      <c r="P1112" s="32">
        <v>294</v>
      </c>
      <c r="Q1112" s="32">
        <v>123</v>
      </c>
      <c r="R1112" s="32" t="s">
        <v>302</v>
      </c>
      <c r="S1112" s="32">
        <v>45.901200000000003</v>
      </c>
      <c r="T1112" s="32">
        <v>28.272600000000001</v>
      </c>
      <c r="U1112" s="32">
        <v>0.85989348600000004</v>
      </c>
      <c r="V1112" s="32">
        <v>4</v>
      </c>
      <c r="W1112" s="32">
        <v>0.90829499999999996</v>
      </c>
      <c r="X1112" s="32">
        <v>0.168349</v>
      </c>
      <c r="Y1112" s="32">
        <v>0.8</v>
      </c>
      <c r="Z1112" s="32">
        <v>0.58104999999999996</v>
      </c>
      <c r="AA1112" s="32">
        <v>55.2</v>
      </c>
      <c r="AB1112" s="32">
        <v>307</v>
      </c>
      <c r="AC1112" s="32">
        <v>23</v>
      </c>
      <c r="AD1112" s="32">
        <v>33</v>
      </c>
      <c r="AE1112" s="32">
        <v>0</v>
      </c>
      <c r="AF1112" s="32" t="s">
        <v>200</v>
      </c>
      <c r="AG1112" s="32">
        <v>0</v>
      </c>
    </row>
    <row r="1113" spans="1:33">
      <c r="A1113" s="32" t="s">
        <v>4032</v>
      </c>
      <c r="B1113" s="32" t="s">
        <v>112</v>
      </c>
      <c r="C1113" s="32" t="s">
        <v>4033</v>
      </c>
      <c r="D1113" s="32" t="s">
        <v>4034</v>
      </c>
      <c r="E1113" s="32" t="s">
        <v>4027</v>
      </c>
      <c r="F1113" s="32" t="s">
        <v>4028</v>
      </c>
      <c r="G1113" s="32" t="s">
        <v>3684</v>
      </c>
      <c r="H1113" s="32" t="s">
        <v>3685</v>
      </c>
      <c r="I1113" s="32" t="s">
        <v>198</v>
      </c>
      <c r="J1113" s="32" t="s">
        <v>199</v>
      </c>
      <c r="K1113" s="32">
        <v>2.3818440000000001</v>
      </c>
      <c r="L1113" s="33">
        <v>1863</v>
      </c>
      <c r="M1113" s="32">
        <v>328</v>
      </c>
      <c r="N1113" s="32">
        <v>462</v>
      </c>
      <c r="O1113" s="32">
        <v>670</v>
      </c>
      <c r="P1113" s="32">
        <v>278</v>
      </c>
      <c r="Q1113" s="32">
        <v>125</v>
      </c>
      <c r="R1113" s="32" t="s">
        <v>302</v>
      </c>
      <c r="S1113" s="32">
        <v>36.793199999999999</v>
      </c>
      <c r="T1113" s="32">
        <v>24.610600000000002</v>
      </c>
      <c r="U1113" s="32">
        <v>0.90823150500000005</v>
      </c>
      <c r="V1113" s="32">
        <v>4</v>
      </c>
      <c r="W1113" s="32">
        <v>0.90720500000000004</v>
      </c>
      <c r="X1113" s="32">
        <v>0.108671</v>
      </c>
      <c r="Y1113" s="32">
        <v>0.8</v>
      </c>
      <c r="Z1113" s="32">
        <v>0.59367800000000004</v>
      </c>
      <c r="AA1113" s="32">
        <v>48</v>
      </c>
      <c r="AB1113" s="32">
        <v>385</v>
      </c>
      <c r="AC1113" s="32">
        <v>27</v>
      </c>
      <c r="AD1113" s="32">
        <v>86</v>
      </c>
      <c r="AE1113" s="32">
        <v>0</v>
      </c>
      <c r="AF1113" s="32" t="s">
        <v>200</v>
      </c>
      <c r="AG1113" s="32" t="s">
        <v>200</v>
      </c>
    </row>
    <row r="1114" spans="1:33">
      <c r="A1114" s="32" t="s">
        <v>3769</v>
      </c>
      <c r="B1114" s="32" t="s">
        <v>112</v>
      </c>
      <c r="C1114" s="32" t="s">
        <v>3770</v>
      </c>
      <c r="D1114" s="32" t="s">
        <v>3771</v>
      </c>
      <c r="E1114" s="32" t="s">
        <v>3772</v>
      </c>
      <c r="F1114" s="32" t="s">
        <v>3773</v>
      </c>
      <c r="G1114" s="32" t="s">
        <v>3684</v>
      </c>
      <c r="H1114" s="32" t="s">
        <v>3685</v>
      </c>
      <c r="I1114" s="32" t="s">
        <v>198</v>
      </c>
      <c r="J1114" s="32" t="s">
        <v>199</v>
      </c>
      <c r="K1114" s="32">
        <v>2.3839229999999998</v>
      </c>
      <c r="L1114" s="33">
        <v>1557</v>
      </c>
      <c r="M1114" s="32">
        <v>200</v>
      </c>
      <c r="N1114" s="32">
        <v>463</v>
      </c>
      <c r="O1114" s="32">
        <v>561</v>
      </c>
      <c r="P1114" s="32">
        <v>229</v>
      </c>
      <c r="Q1114" s="32">
        <v>104</v>
      </c>
      <c r="R1114" s="32">
        <v>5</v>
      </c>
      <c r="S1114" s="32">
        <v>31.2087</v>
      </c>
      <c r="T1114" s="32">
        <v>17.764399999999998</v>
      </c>
      <c r="U1114" s="32">
        <v>0.75950752399999999</v>
      </c>
      <c r="V1114" s="32">
        <v>6</v>
      </c>
      <c r="W1114" s="32">
        <v>0.909968</v>
      </c>
      <c r="X1114" s="32">
        <v>0.18274799999999999</v>
      </c>
      <c r="Y1114" s="32">
        <v>0.79967600000000005</v>
      </c>
      <c r="Z1114" s="32">
        <v>0.52443700000000004</v>
      </c>
      <c r="AA1114" s="32">
        <v>31.4</v>
      </c>
      <c r="AB1114" s="32">
        <v>306</v>
      </c>
      <c r="AC1114" s="32">
        <v>31</v>
      </c>
      <c r="AD1114" s="32">
        <v>16</v>
      </c>
      <c r="AE1114" s="32">
        <v>0</v>
      </c>
      <c r="AF1114" s="32">
        <v>0</v>
      </c>
      <c r="AG1114" s="32" t="s">
        <v>200</v>
      </c>
    </row>
    <row r="1115" spans="1:33">
      <c r="A1115" s="32" t="s">
        <v>4035</v>
      </c>
      <c r="B1115" s="32" t="s">
        <v>112</v>
      </c>
      <c r="C1115" s="32" t="s">
        <v>4036</v>
      </c>
      <c r="D1115" s="32" t="s">
        <v>4037</v>
      </c>
      <c r="E1115" s="32" t="s">
        <v>3842</v>
      </c>
      <c r="F1115" s="32" t="s">
        <v>3843</v>
      </c>
      <c r="G1115" s="32" t="s">
        <v>3684</v>
      </c>
      <c r="H1115" s="32" t="s">
        <v>3685</v>
      </c>
      <c r="I1115" s="32" t="s">
        <v>198</v>
      </c>
      <c r="J1115" s="32" t="s">
        <v>199</v>
      </c>
      <c r="K1115" s="32">
        <v>2.256948</v>
      </c>
      <c r="L1115" s="33">
        <v>1583</v>
      </c>
      <c r="M1115" s="32">
        <v>291</v>
      </c>
      <c r="N1115" s="32">
        <v>343</v>
      </c>
      <c r="O1115" s="32">
        <v>474</v>
      </c>
      <c r="P1115" s="32">
        <v>274</v>
      </c>
      <c r="Q1115" s="32">
        <v>201</v>
      </c>
      <c r="R1115" s="32">
        <v>3</v>
      </c>
      <c r="S1115" s="32">
        <v>19.248999999999999</v>
      </c>
      <c r="T1115" s="32">
        <v>4.0947100000000001</v>
      </c>
      <c r="U1115" s="32">
        <v>0.90245101999999999</v>
      </c>
      <c r="V1115" s="32">
        <v>6</v>
      </c>
      <c r="W1115" s="32">
        <v>0.90245200000000003</v>
      </c>
      <c r="X1115" s="32">
        <v>6.1622000000000003E-2</v>
      </c>
      <c r="Y1115" s="32">
        <v>0.8</v>
      </c>
      <c r="Z1115" s="32">
        <v>0.49811800000000001</v>
      </c>
      <c r="AA1115" s="32">
        <v>47.6</v>
      </c>
      <c r="AB1115" s="32">
        <v>370</v>
      </c>
      <c r="AC1115" s="32">
        <v>19</v>
      </c>
      <c r="AD1115" s="32">
        <v>22</v>
      </c>
      <c r="AE1115" s="32">
        <v>0</v>
      </c>
      <c r="AF1115" s="32">
        <v>0</v>
      </c>
      <c r="AG1115" s="32" t="s">
        <v>200</v>
      </c>
    </row>
    <row r="1116" spans="1:33">
      <c r="A1116" s="32" t="s">
        <v>4038</v>
      </c>
      <c r="B1116" s="32" t="s">
        <v>112</v>
      </c>
      <c r="C1116" s="32" t="s">
        <v>4039</v>
      </c>
      <c r="D1116" s="32" t="s">
        <v>4040</v>
      </c>
      <c r="E1116" s="32" t="s">
        <v>3842</v>
      </c>
      <c r="F1116" s="32" t="s">
        <v>3843</v>
      </c>
      <c r="G1116" s="32" t="s">
        <v>3684</v>
      </c>
      <c r="H1116" s="32" t="s">
        <v>3685</v>
      </c>
      <c r="I1116" s="32" t="s">
        <v>198</v>
      </c>
      <c r="J1116" s="32" t="s">
        <v>199</v>
      </c>
      <c r="K1116" s="32">
        <v>2.3324250000000002</v>
      </c>
      <c r="L1116" s="33">
        <v>1667</v>
      </c>
      <c r="M1116" s="32">
        <v>306</v>
      </c>
      <c r="N1116" s="32">
        <v>400</v>
      </c>
      <c r="O1116" s="32">
        <v>465</v>
      </c>
      <c r="P1116" s="32">
        <v>301</v>
      </c>
      <c r="Q1116" s="32">
        <v>195</v>
      </c>
      <c r="R1116" s="32">
        <v>4</v>
      </c>
      <c r="S1116" s="32">
        <v>27.2715</v>
      </c>
      <c r="T1116" s="32">
        <v>11.8134</v>
      </c>
      <c r="U1116" s="32">
        <v>0.86798074800000002</v>
      </c>
      <c r="V1116" s="32">
        <v>5</v>
      </c>
      <c r="W1116" s="32">
        <v>0.90299700000000005</v>
      </c>
      <c r="X1116" s="32">
        <v>0.102466</v>
      </c>
      <c r="Y1116" s="32">
        <v>0.8</v>
      </c>
      <c r="Z1116" s="32">
        <v>0.51178100000000004</v>
      </c>
      <c r="AA1116" s="32">
        <v>64.400000000000006</v>
      </c>
      <c r="AB1116" s="32">
        <v>383</v>
      </c>
      <c r="AC1116" s="32">
        <v>26</v>
      </c>
      <c r="AD1116" s="32">
        <v>19</v>
      </c>
      <c r="AE1116" s="32" t="s">
        <v>200</v>
      </c>
      <c r="AF1116" s="32">
        <v>0</v>
      </c>
      <c r="AG1116" s="32" t="s">
        <v>200</v>
      </c>
    </row>
    <row r="1117" spans="1:33">
      <c r="A1117" s="32" t="s">
        <v>4041</v>
      </c>
      <c r="B1117" s="32" t="s">
        <v>112</v>
      </c>
      <c r="C1117" s="32" t="s">
        <v>4042</v>
      </c>
      <c r="D1117" s="32" t="s">
        <v>4043</v>
      </c>
      <c r="E1117" s="32" t="s">
        <v>4044</v>
      </c>
      <c r="F1117" s="32" t="s">
        <v>4045</v>
      </c>
      <c r="G1117" s="32" t="s">
        <v>3684</v>
      </c>
      <c r="H1117" s="32" t="s">
        <v>3685</v>
      </c>
      <c r="I1117" s="32" t="s">
        <v>198</v>
      </c>
      <c r="J1117" s="32" t="s">
        <v>199</v>
      </c>
      <c r="K1117" s="32">
        <v>2.3908260000000001</v>
      </c>
      <c r="L1117" s="33">
        <v>1522</v>
      </c>
      <c r="M1117" s="32">
        <v>281</v>
      </c>
      <c r="N1117" s="32">
        <v>367</v>
      </c>
      <c r="O1117" s="32">
        <v>408</v>
      </c>
      <c r="P1117" s="32">
        <v>290</v>
      </c>
      <c r="Q1117" s="32">
        <v>176</v>
      </c>
      <c r="R1117" s="32" t="s">
        <v>302</v>
      </c>
      <c r="S1117" s="32">
        <v>33.848799999999997</v>
      </c>
      <c r="T1117" s="32">
        <v>12.373200000000001</v>
      </c>
      <c r="U1117" s="32">
        <v>1.111980051</v>
      </c>
      <c r="V1117" s="32">
        <v>3</v>
      </c>
      <c r="W1117" s="32">
        <v>0.905505</v>
      </c>
      <c r="X1117" s="32">
        <v>0.14321</v>
      </c>
      <c r="Y1117" s="32">
        <v>0.8</v>
      </c>
      <c r="Z1117" s="32">
        <v>0.54783999999999999</v>
      </c>
      <c r="AA1117" s="32">
        <v>55.6</v>
      </c>
      <c r="AB1117" s="32">
        <v>275</v>
      </c>
      <c r="AC1117" s="32">
        <v>15</v>
      </c>
      <c r="AD1117" s="32">
        <v>21</v>
      </c>
      <c r="AE1117" s="32">
        <v>0</v>
      </c>
      <c r="AF1117" s="32" t="s">
        <v>200</v>
      </c>
      <c r="AG1117" s="32" t="s">
        <v>200</v>
      </c>
    </row>
    <row r="1118" spans="1:33">
      <c r="A1118" s="32" t="s">
        <v>4046</v>
      </c>
      <c r="B1118" s="32" t="s">
        <v>112</v>
      </c>
      <c r="C1118" s="32" t="s">
        <v>4047</v>
      </c>
      <c r="D1118" s="32" t="s">
        <v>4048</v>
      </c>
      <c r="E1118" s="32" t="s">
        <v>4049</v>
      </c>
      <c r="F1118" s="32" t="s">
        <v>4050</v>
      </c>
      <c r="G1118" s="32" t="s">
        <v>3684</v>
      </c>
      <c r="H1118" s="32" t="s">
        <v>3685</v>
      </c>
      <c r="I1118" s="32" t="s">
        <v>198</v>
      </c>
      <c r="J1118" s="32" t="s">
        <v>199</v>
      </c>
      <c r="K1118" s="32">
        <v>2.4078369999999998</v>
      </c>
      <c r="L1118" s="33">
        <v>2258</v>
      </c>
      <c r="M1118" s="32">
        <v>307</v>
      </c>
      <c r="N1118" s="32">
        <v>807</v>
      </c>
      <c r="O1118" s="32">
        <v>712</v>
      </c>
      <c r="P1118" s="32">
        <v>288</v>
      </c>
      <c r="Q1118" s="32">
        <v>144</v>
      </c>
      <c r="R1118" s="32" t="s">
        <v>302</v>
      </c>
      <c r="S1118" s="32">
        <v>39.595799999999997</v>
      </c>
      <c r="T1118" s="32">
        <v>19.664999999999999</v>
      </c>
      <c r="U1118" s="32">
        <v>0.78758502399999997</v>
      </c>
      <c r="V1118" s="32">
        <v>6</v>
      </c>
      <c r="W1118" s="32">
        <v>0.90344800000000003</v>
      </c>
      <c r="X1118" s="32">
        <v>9.7516000000000005E-2</v>
      </c>
      <c r="Y1118" s="32">
        <v>0.8</v>
      </c>
      <c r="Z1118" s="32">
        <v>0.59371099999999999</v>
      </c>
      <c r="AA1118" s="32">
        <v>51.1</v>
      </c>
      <c r="AB1118" s="32">
        <v>316</v>
      </c>
      <c r="AC1118" s="32">
        <v>39</v>
      </c>
      <c r="AD1118" s="32">
        <v>18</v>
      </c>
      <c r="AE1118" s="32">
        <v>0</v>
      </c>
      <c r="AF1118" s="32">
        <v>0</v>
      </c>
      <c r="AG1118" s="32">
        <v>0</v>
      </c>
    </row>
    <row r="1119" spans="1:33">
      <c r="A1119" s="32" t="s">
        <v>4051</v>
      </c>
      <c r="B1119" s="32" t="s">
        <v>112</v>
      </c>
      <c r="C1119" s="32" t="s">
        <v>4052</v>
      </c>
      <c r="D1119" s="32" t="s">
        <v>4053</v>
      </c>
      <c r="E1119" s="32" t="s">
        <v>4049</v>
      </c>
      <c r="F1119" s="32" t="s">
        <v>4050</v>
      </c>
      <c r="G1119" s="32" t="s">
        <v>3684</v>
      </c>
      <c r="H1119" s="32" t="s">
        <v>3685</v>
      </c>
      <c r="I1119" s="32" t="s">
        <v>198</v>
      </c>
      <c r="J1119" s="32" t="s">
        <v>199</v>
      </c>
      <c r="K1119" s="32">
        <v>2.3418679999999998</v>
      </c>
      <c r="L1119" s="33">
        <v>1992</v>
      </c>
      <c r="M1119" s="32">
        <v>265</v>
      </c>
      <c r="N1119" s="32">
        <v>707</v>
      </c>
      <c r="O1119" s="32">
        <v>581</v>
      </c>
      <c r="P1119" s="32">
        <v>299</v>
      </c>
      <c r="Q1119" s="32">
        <v>140</v>
      </c>
      <c r="R1119" s="32">
        <v>3</v>
      </c>
      <c r="S1119" s="32">
        <v>36.405999999999999</v>
      </c>
      <c r="T1119" s="32">
        <v>0</v>
      </c>
      <c r="U1119" s="32">
        <v>0.93533906200000005</v>
      </c>
      <c r="V1119" s="32">
        <v>4</v>
      </c>
      <c r="W1119" s="32">
        <v>0.90175099999999997</v>
      </c>
      <c r="X1119" s="32">
        <v>8.0595E-2</v>
      </c>
      <c r="Y1119" s="32">
        <v>0.8</v>
      </c>
      <c r="Z1119" s="32">
        <v>0.55385899999999999</v>
      </c>
      <c r="AA1119" s="32">
        <v>54.1</v>
      </c>
      <c r="AB1119" s="32">
        <v>290</v>
      </c>
      <c r="AC1119" s="32">
        <v>37</v>
      </c>
      <c r="AD1119" s="32">
        <v>24</v>
      </c>
      <c r="AE1119" s="32">
        <v>0</v>
      </c>
      <c r="AF1119" s="32" t="s">
        <v>200</v>
      </c>
      <c r="AG1119" s="32">
        <v>0</v>
      </c>
    </row>
    <row r="1120" spans="1:33">
      <c r="A1120" s="32" t="s">
        <v>3839</v>
      </c>
      <c r="B1120" s="32" t="s">
        <v>112</v>
      </c>
      <c r="C1120" s="32" t="s">
        <v>3840</v>
      </c>
      <c r="D1120" s="32" t="s">
        <v>3841</v>
      </c>
      <c r="E1120" s="32" t="s">
        <v>3842</v>
      </c>
      <c r="F1120" s="32" t="s">
        <v>3843</v>
      </c>
      <c r="G1120" s="32" t="s">
        <v>3684</v>
      </c>
      <c r="H1120" s="32" t="s">
        <v>3685</v>
      </c>
      <c r="I1120" s="32" t="s">
        <v>198</v>
      </c>
      <c r="J1120" s="32" t="s">
        <v>199</v>
      </c>
      <c r="K1120" s="32">
        <v>2.2215259999999999</v>
      </c>
      <c r="L1120" s="33">
        <v>1500</v>
      </c>
      <c r="M1120" s="32">
        <v>285</v>
      </c>
      <c r="N1120" s="32">
        <v>378</v>
      </c>
      <c r="O1120" s="32">
        <v>387</v>
      </c>
      <c r="P1120" s="32">
        <v>263</v>
      </c>
      <c r="Q1120" s="32">
        <v>187</v>
      </c>
      <c r="R1120" s="32">
        <v>4</v>
      </c>
      <c r="S1120" s="32">
        <v>20.8215</v>
      </c>
      <c r="T1120" s="32">
        <v>10.324199999999999</v>
      </c>
      <c r="U1120" s="32">
        <v>0.80391559300000004</v>
      </c>
      <c r="V1120" s="32">
        <v>7</v>
      </c>
      <c r="W1120" s="32">
        <v>0.9</v>
      </c>
      <c r="X1120" s="32">
        <v>1.7486000000000002E-2</v>
      </c>
      <c r="Y1120" s="32">
        <v>0.8</v>
      </c>
      <c r="Z1120" s="32">
        <v>0.49945899999999999</v>
      </c>
      <c r="AA1120" s="32">
        <v>41.7</v>
      </c>
      <c r="AB1120" s="32">
        <v>426</v>
      </c>
      <c r="AC1120" s="32">
        <v>15</v>
      </c>
      <c r="AD1120" s="32">
        <v>14</v>
      </c>
      <c r="AE1120" s="32">
        <v>0</v>
      </c>
      <c r="AF1120" s="32">
        <v>0</v>
      </c>
      <c r="AG1120" s="32" t="s">
        <v>200</v>
      </c>
    </row>
    <row r="1121" spans="1:33">
      <c r="A1121" s="32" t="s">
        <v>4054</v>
      </c>
      <c r="B1121" s="32" t="s">
        <v>113</v>
      </c>
      <c r="C1121" s="32" t="s">
        <v>4055</v>
      </c>
      <c r="D1121" s="32" t="s">
        <v>4056</v>
      </c>
      <c r="E1121" s="32" t="s">
        <v>4057</v>
      </c>
      <c r="F1121" s="32" t="s">
        <v>4058</v>
      </c>
      <c r="G1121" s="32" t="s">
        <v>4059</v>
      </c>
      <c r="H1121" s="32" t="s">
        <v>4060</v>
      </c>
      <c r="I1121" s="32" t="s">
        <v>198</v>
      </c>
      <c r="J1121" s="32" t="s">
        <v>199</v>
      </c>
      <c r="K1121" s="32">
        <v>2.1431819999999999</v>
      </c>
      <c r="L1121" s="33">
        <v>1904</v>
      </c>
      <c r="M1121" s="32">
        <v>418</v>
      </c>
      <c r="N1121" s="32">
        <v>269</v>
      </c>
      <c r="O1121" s="32">
        <v>490</v>
      </c>
      <c r="P1121" s="32">
        <v>442</v>
      </c>
      <c r="Q1121" s="32">
        <v>285</v>
      </c>
      <c r="R1121" s="32">
        <v>2</v>
      </c>
      <c r="S1121" s="32">
        <v>12.013400000000001</v>
      </c>
      <c r="T1121" s="32">
        <v>5.88225</v>
      </c>
      <c r="U1121" s="32">
        <v>0.72533489900000003</v>
      </c>
      <c r="V1121" s="32">
        <v>9</v>
      </c>
      <c r="W1121" s="32">
        <v>0.85269899999999998</v>
      </c>
      <c r="X1121" s="32">
        <v>0.15720400000000001</v>
      </c>
      <c r="Y1121" s="32">
        <v>0.8</v>
      </c>
      <c r="Z1121" s="32">
        <v>0.32244299999999998</v>
      </c>
      <c r="AA1121" s="32">
        <v>19</v>
      </c>
      <c r="AB1121" s="32">
        <v>746</v>
      </c>
      <c r="AC1121" s="32">
        <v>36</v>
      </c>
      <c r="AD1121" s="32">
        <v>93</v>
      </c>
      <c r="AE1121" s="32" t="s">
        <v>200</v>
      </c>
      <c r="AF1121" s="32">
        <v>19</v>
      </c>
      <c r="AG1121" s="32" t="s">
        <v>200</v>
      </c>
    </row>
    <row r="1122" spans="1:33">
      <c r="A1122" s="32" t="s">
        <v>4061</v>
      </c>
      <c r="B1122" s="32" t="s">
        <v>113</v>
      </c>
      <c r="C1122" s="32" t="s">
        <v>4062</v>
      </c>
      <c r="D1122" s="32" t="s">
        <v>4063</v>
      </c>
      <c r="E1122" s="32" t="s">
        <v>4057</v>
      </c>
      <c r="F1122" s="32" t="s">
        <v>4058</v>
      </c>
      <c r="G1122" s="32" t="s">
        <v>4059</v>
      </c>
      <c r="H1122" s="32" t="s">
        <v>4060</v>
      </c>
      <c r="I1122" s="32" t="s">
        <v>198</v>
      </c>
      <c r="J1122" s="32" t="s">
        <v>199</v>
      </c>
      <c r="K1122" s="32">
        <v>1.9665570000000001</v>
      </c>
      <c r="L1122" s="33">
        <v>1620</v>
      </c>
      <c r="M1122" s="32">
        <v>355</v>
      </c>
      <c r="N1122" s="32">
        <v>222</v>
      </c>
      <c r="O1122" s="32">
        <v>401</v>
      </c>
      <c r="P1122" s="32">
        <v>392</v>
      </c>
      <c r="Q1122" s="32">
        <v>250</v>
      </c>
      <c r="R1122" s="32" t="s">
        <v>225</v>
      </c>
      <c r="S1122" s="32">
        <v>7.96814</v>
      </c>
      <c r="T1122" s="32">
        <v>1.54301</v>
      </c>
      <c r="U1122" s="32">
        <v>0.86687431699999995</v>
      </c>
      <c r="V1122" s="32">
        <v>8</v>
      </c>
      <c r="W1122" s="32">
        <v>0.81114799999999998</v>
      </c>
      <c r="X1122" s="32">
        <v>4.7775999999999999E-2</v>
      </c>
      <c r="Y1122" s="32">
        <v>0.80081999999999998</v>
      </c>
      <c r="Z1122" s="32">
        <v>0.30149300000000001</v>
      </c>
      <c r="AA1122" s="32">
        <v>15.1</v>
      </c>
      <c r="AB1122" s="32">
        <v>676</v>
      </c>
      <c r="AC1122" s="32">
        <v>28</v>
      </c>
      <c r="AD1122" s="32">
        <v>60</v>
      </c>
      <c r="AE1122" s="32" t="s">
        <v>200</v>
      </c>
      <c r="AF1122" s="32">
        <v>0</v>
      </c>
      <c r="AG1122" s="32" t="s">
        <v>200</v>
      </c>
    </row>
    <row r="1123" spans="1:33">
      <c r="A1123" s="32" t="s">
        <v>4064</v>
      </c>
      <c r="B1123" s="32" t="s">
        <v>113</v>
      </c>
      <c r="C1123" s="32" t="s">
        <v>4065</v>
      </c>
      <c r="D1123" s="32" t="s">
        <v>4066</v>
      </c>
      <c r="E1123" s="32" t="s">
        <v>4067</v>
      </c>
      <c r="F1123" s="32" t="s">
        <v>4068</v>
      </c>
      <c r="G1123" s="32" t="s">
        <v>4059</v>
      </c>
      <c r="H1123" s="32" t="s">
        <v>4060</v>
      </c>
      <c r="I1123" s="32" t="s">
        <v>198</v>
      </c>
      <c r="J1123" s="32" t="s">
        <v>199</v>
      </c>
      <c r="K1123" s="32">
        <v>2.178855</v>
      </c>
      <c r="L1123" s="33">
        <v>1834</v>
      </c>
      <c r="M1123" s="32">
        <v>412</v>
      </c>
      <c r="N1123" s="32">
        <v>308</v>
      </c>
      <c r="O1123" s="32">
        <v>398</v>
      </c>
      <c r="P1123" s="32">
        <v>477</v>
      </c>
      <c r="Q1123" s="32">
        <v>239</v>
      </c>
      <c r="R1123" s="32">
        <v>2</v>
      </c>
      <c r="S1123" s="32">
        <v>7.6849400000000001</v>
      </c>
      <c r="T1123" s="32">
        <v>2.8815200000000001</v>
      </c>
      <c r="U1123" s="32">
        <v>0.73841375799999998</v>
      </c>
      <c r="V1123" s="32">
        <v>8</v>
      </c>
      <c r="W1123" s="32">
        <v>0.90381599999999995</v>
      </c>
      <c r="X1123" s="32">
        <v>7.6433000000000001E-2</v>
      </c>
      <c r="Y1123" s="32">
        <v>0.8</v>
      </c>
      <c r="Z1123" s="32">
        <v>0.41544599999999998</v>
      </c>
      <c r="AA1123" s="32">
        <v>20.100000000000001</v>
      </c>
      <c r="AB1123" s="32">
        <v>783</v>
      </c>
      <c r="AC1123" s="32">
        <v>45</v>
      </c>
      <c r="AD1123" s="32">
        <v>97</v>
      </c>
      <c r="AE1123" s="32">
        <v>0</v>
      </c>
      <c r="AF1123" s="32" t="s">
        <v>200</v>
      </c>
      <c r="AG1123" s="32">
        <v>7</v>
      </c>
    </row>
    <row r="1124" spans="1:33">
      <c r="A1124" s="32" t="s">
        <v>4069</v>
      </c>
      <c r="B1124" s="32" t="s">
        <v>113</v>
      </c>
      <c r="C1124" s="32" t="s">
        <v>4070</v>
      </c>
      <c r="D1124" s="32" t="s">
        <v>4071</v>
      </c>
      <c r="E1124" s="32" t="s">
        <v>4072</v>
      </c>
      <c r="F1124" s="32" t="s">
        <v>4073</v>
      </c>
      <c r="G1124" s="32" t="s">
        <v>4059</v>
      </c>
      <c r="H1124" s="32" t="s">
        <v>4060</v>
      </c>
      <c r="I1124" s="32" t="s">
        <v>198</v>
      </c>
      <c r="J1124" s="32" t="s">
        <v>199</v>
      </c>
      <c r="K1124" s="32">
        <v>2.092292</v>
      </c>
      <c r="L1124" s="33">
        <v>1510</v>
      </c>
      <c r="M1124" s="32">
        <v>332</v>
      </c>
      <c r="N1124" s="32">
        <v>234</v>
      </c>
      <c r="O1124" s="32">
        <v>290</v>
      </c>
      <c r="P1124" s="32">
        <v>448</v>
      </c>
      <c r="Q1124" s="32">
        <v>206</v>
      </c>
      <c r="R1124" s="32" t="s">
        <v>225</v>
      </c>
      <c r="S1124" s="32">
        <v>8.1032700000000002</v>
      </c>
      <c r="T1124" s="32">
        <v>1.93709</v>
      </c>
      <c r="U1124" s="32">
        <v>0.73185874200000001</v>
      </c>
      <c r="V1124" s="32">
        <v>9</v>
      </c>
      <c r="W1124" s="32">
        <v>0.87964399999999998</v>
      </c>
      <c r="X1124" s="32">
        <v>1.6174000000000001E-2</v>
      </c>
      <c r="Y1124" s="32">
        <v>0.8</v>
      </c>
      <c r="Z1124" s="32">
        <v>0.39960200000000001</v>
      </c>
      <c r="AA1124" s="32">
        <v>15.8</v>
      </c>
      <c r="AB1124" s="32">
        <v>710</v>
      </c>
      <c r="AC1124" s="32">
        <v>23</v>
      </c>
      <c r="AD1124" s="32">
        <v>72</v>
      </c>
      <c r="AE1124" s="32" t="s">
        <v>200</v>
      </c>
      <c r="AF1124" s="32">
        <v>0</v>
      </c>
      <c r="AG1124" s="32" t="s">
        <v>200</v>
      </c>
    </row>
    <row r="1125" spans="1:33">
      <c r="A1125" s="32" t="s">
        <v>4074</v>
      </c>
      <c r="B1125" s="32" t="s">
        <v>113</v>
      </c>
      <c r="C1125" s="32" t="s">
        <v>4075</v>
      </c>
      <c r="D1125" s="32" t="s">
        <v>4076</v>
      </c>
      <c r="E1125" s="32" t="s">
        <v>4067</v>
      </c>
      <c r="F1125" s="32" t="s">
        <v>4068</v>
      </c>
      <c r="G1125" s="32" t="s">
        <v>4059</v>
      </c>
      <c r="H1125" s="32" t="s">
        <v>4060</v>
      </c>
      <c r="I1125" s="32" t="s">
        <v>198</v>
      </c>
      <c r="J1125" s="32" t="s">
        <v>199</v>
      </c>
      <c r="K1125" s="32">
        <v>2.1743860000000002</v>
      </c>
      <c r="L1125" s="33">
        <v>1538</v>
      </c>
      <c r="M1125" s="32">
        <v>311</v>
      </c>
      <c r="N1125" s="32">
        <v>227</v>
      </c>
      <c r="O1125" s="32">
        <v>355</v>
      </c>
      <c r="P1125" s="32">
        <v>410</v>
      </c>
      <c r="Q1125" s="32">
        <v>235</v>
      </c>
      <c r="R1125" s="32">
        <v>2</v>
      </c>
      <c r="S1125" s="32">
        <v>8.9933599999999991</v>
      </c>
      <c r="T1125" s="32">
        <v>5.2355</v>
      </c>
      <c r="U1125" s="32">
        <v>0.81389238900000005</v>
      </c>
      <c r="V1125" s="32">
        <v>7</v>
      </c>
      <c r="W1125" s="32">
        <v>0.90444800000000003</v>
      </c>
      <c r="X1125" s="32">
        <v>0.17984700000000001</v>
      </c>
      <c r="Y1125" s="32">
        <v>0.80724200000000002</v>
      </c>
      <c r="Z1125" s="32">
        <v>0.29583999999999999</v>
      </c>
      <c r="AA1125" s="32">
        <v>26.4</v>
      </c>
      <c r="AB1125" s="32">
        <v>691</v>
      </c>
      <c r="AC1125" s="32">
        <v>31</v>
      </c>
      <c r="AD1125" s="32">
        <v>80</v>
      </c>
      <c r="AE1125" s="32" t="s">
        <v>200</v>
      </c>
      <c r="AF1125" s="32">
        <v>0</v>
      </c>
      <c r="AG1125" s="32">
        <v>6</v>
      </c>
    </row>
    <row r="1126" spans="1:33">
      <c r="A1126" s="32" t="s">
        <v>4077</v>
      </c>
      <c r="B1126" s="32" t="s">
        <v>113</v>
      </c>
      <c r="C1126" s="32" t="s">
        <v>4078</v>
      </c>
      <c r="D1126" s="32" t="s">
        <v>4079</v>
      </c>
      <c r="E1126" s="32" t="s">
        <v>4057</v>
      </c>
      <c r="F1126" s="32" t="s">
        <v>4058</v>
      </c>
      <c r="G1126" s="32" t="s">
        <v>4059</v>
      </c>
      <c r="H1126" s="32" t="s">
        <v>4060</v>
      </c>
      <c r="I1126" s="32" t="s">
        <v>198</v>
      </c>
      <c r="J1126" s="32" t="s">
        <v>199</v>
      </c>
      <c r="K1126" s="32">
        <v>1.9825809999999999</v>
      </c>
      <c r="L1126" s="33">
        <v>1651</v>
      </c>
      <c r="M1126" s="32">
        <v>256</v>
      </c>
      <c r="N1126" s="32">
        <v>206</v>
      </c>
      <c r="O1126" s="32">
        <v>260</v>
      </c>
      <c r="P1126" s="32">
        <v>439</v>
      </c>
      <c r="Q1126" s="32">
        <v>490</v>
      </c>
      <c r="R1126" s="32" t="s">
        <v>225</v>
      </c>
      <c r="S1126" s="32">
        <v>8.1021000000000001</v>
      </c>
      <c r="T1126" s="32">
        <v>0</v>
      </c>
      <c r="U1126" s="32">
        <v>0.79615459200000005</v>
      </c>
      <c r="V1126" s="32">
        <v>9</v>
      </c>
      <c r="W1126" s="32">
        <v>0.80871000000000004</v>
      </c>
      <c r="X1126" s="32">
        <v>6.5166000000000002E-2</v>
      </c>
      <c r="Y1126" s="32">
        <v>0.86631000000000002</v>
      </c>
      <c r="Z1126" s="32">
        <v>0.236961</v>
      </c>
      <c r="AA1126" s="32">
        <v>13.4</v>
      </c>
      <c r="AB1126" s="32">
        <v>802</v>
      </c>
      <c r="AC1126" s="32">
        <v>21</v>
      </c>
      <c r="AD1126" s="32">
        <v>130</v>
      </c>
      <c r="AE1126" s="32">
        <v>5</v>
      </c>
      <c r="AF1126" s="32">
        <v>0</v>
      </c>
      <c r="AG1126" s="32">
        <v>6</v>
      </c>
    </row>
    <row r="1127" spans="1:33">
      <c r="A1127" s="32" t="s">
        <v>4080</v>
      </c>
      <c r="B1127" s="32" t="s">
        <v>113</v>
      </c>
      <c r="C1127" s="32" t="s">
        <v>4081</v>
      </c>
      <c r="D1127" s="32" t="s">
        <v>4082</v>
      </c>
      <c r="E1127" s="32" t="s">
        <v>4072</v>
      </c>
      <c r="F1127" s="32" t="s">
        <v>4073</v>
      </c>
      <c r="G1127" s="32" t="s">
        <v>4059</v>
      </c>
      <c r="H1127" s="32" t="s">
        <v>4060</v>
      </c>
      <c r="I1127" s="32" t="s">
        <v>198</v>
      </c>
      <c r="J1127" s="32" t="s">
        <v>199</v>
      </c>
      <c r="K1127" s="32">
        <v>2.0973679999999999</v>
      </c>
      <c r="L1127" s="33">
        <v>1899</v>
      </c>
      <c r="M1127" s="32">
        <v>365</v>
      </c>
      <c r="N1127" s="32">
        <v>350</v>
      </c>
      <c r="O1127" s="32">
        <v>389</v>
      </c>
      <c r="P1127" s="32">
        <v>491</v>
      </c>
      <c r="Q1127" s="32">
        <v>304</v>
      </c>
      <c r="R1127" s="32">
        <v>2</v>
      </c>
      <c r="S1127" s="32">
        <v>11.9697</v>
      </c>
      <c r="T1127" s="32">
        <v>3.7704200000000001</v>
      </c>
      <c r="U1127" s="32">
        <v>0.76836948400000005</v>
      </c>
      <c r="V1127" s="32">
        <v>8</v>
      </c>
      <c r="W1127" s="32">
        <v>0.83909800000000001</v>
      </c>
      <c r="X1127" s="32">
        <v>0.15662899999999999</v>
      </c>
      <c r="Y1127" s="32">
        <v>0.8</v>
      </c>
      <c r="Z1127" s="32">
        <v>0.31364199999999998</v>
      </c>
      <c r="AA1127" s="32">
        <v>20.5</v>
      </c>
      <c r="AB1127" s="32">
        <v>763</v>
      </c>
      <c r="AC1127" s="32">
        <v>24</v>
      </c>
      <c r="AD1127" s="32">
        <v>104</v>
      </c>
      <c r="AE1127" s="32" t="s">
        <v>200</v>
      </c>
      <c r="AF1127" s="32" t="s">
        <v>200</v>
      </c>
      <c r="AG1127" s="32">
        <v>5</v>
      </c>
    </row>
    <row r="1128" spans="1:33">
      <c r="A1128" s="32" t="s">
        <v>4083</v>
      </c>
      <c r="B1128" s="32" t="s">
        <v>113</v>
      </c>
      <c r="C1128" s="32" t="s">
        <v>4084</v>
      </c>
      <c r="D1128" s="32" t="s">
        <v>4085</v>
      </c>
      <c r="E1128" s="32" t="s">
        <v>4072</v>
      </c>
      <c r="F1128" s="32" t="s">
        <v>4073</v>
      </c>
      <c r="G1128" s="32" t="s">
        <v>4059</v>
      </c>
      <c r="H1128" s="32" t="s">
        <v>4060</v>
      </c>
      <c r="I1128" s="32" t="s">
        <v>198</v>
      </c>
      <c r="J1128" s="32" t="s">
        <v>199</v>
      </c>
      <c r="K1128" s="32">
        <v>2.074697</v>
      </c>
      <c r="L1128" s="33">
        <v>1408</v>
      </c>
      <c r="M1128" s="32">
        <v>304</v>
      </c>
      <c r="N1128" s="32">
        <v>199</v>
      </c>
      <c r="O1128" s="32">
        <v>275</v>
      </c>
      <c r="P1128" s="32">
        <v>418</v>
      </c>
      <c r="Q1128" s="32">
        <v>212</v>
      </c>
      <c r="R1128" s="32">
        <v>2</v>
      </c>
      <c r="S1128" s="32">
        <v>11.0183</v>
      </c>
      <c r="T1128" s="32">
        <v>1.74387</v>
      </c>
      <c r="U1128" s="32">
        <v>0.79502852599999996</v>
      </c>
      <c r="V1128" s="32">
        <v>8</v>
      </c>
      <c r="W1128" s="32">
        <v>0.84508700000000003</v>
      </c>
      <c r="X1128" s="32">
        <v>6.1022E-2</v>
      </c>
      <c r="Y1128" s="32">
        <v>0.8</v>
      </c>
      <c r="Z1128" s="32">
        <v>0.38013400000000003</v>
      </c>
      <c r="AA1128" s="32">
        <v>12.5</v>
      </c>
      <c r="AB1128" s="32">
        <v>719</v>
      </c>
      <c r="AC1128" s="32">
        <v>25</v>
      </c>
      <c r="AD1128" s="32">
        <v>141</v>
      </c>
      <c r="AE1128" s="32" t="s">
        <v>200</v>
      </c>
      <c r="AF1128" s="32">
        <v>0</v>
      </c>
      <c r="AG1128" s="32" t="s">
        <v>200</v>
      </c>
    </row>
    <row r="1129" spans="1:33">
      <c r="A1129" s="32" t="s">
        <v>4086</v>
      </c>
      <c r="B1129" s="32" t="s">
        <v>113</v>
      </c>
      <c r="C1129" s="32" t="s">
        <v>4087</v>
      </c>
      <c r="D1129" s="32" t="s">
        <v>4088</v>
      </c>
      <c r="E1129" s="32" t="s">
        <v>4089</v>
      </c>
      <c r="F1129" s="32" t="s">
        <v>4090</v>
      </c>
      <c r="G1129" s="32" t="s">
        <v>4059</v>
      </c>
      <c r="H1129" s="32" t="s">
        <v>4060</v>
      </c>
      <c r="I1129" s="32" t="s">
        <v>198</v>
      </c>
      <c r="J1129" s="32" t="s">
        <v>199</v>
      </c>
      <c r="K1129" s="32">
        <v>1.950472</v>
      </c>
      <c r="L1129" s="33">
        <v>1544</v>
      </c>
      <c r="M1129" s="32">
        <v>284</v>
      </c>
      <c r="N1129" s="32">
        <v>205</v>
      </c>
      <c r="O1129" s="32">
        <v>239</v>
      </c>
      <c r="P1129" s="32">
        <v>498</v>
      </c>
      <c r="Q1129" s="32">
        <v>318</v>
      </c>
      <c r="R1129" s="32">
        <v>2</v>
      </c>
      <c r="S1129" s="32">
        <v>7.6818400000000002</v>
      </c>
      <c r="T1129" s="32">
        <v>1.68594</v>
      </c>
      <c r="U1129" s="32">
        <v>0.78861001600000002</v>
      </c>
      <c r="V1129" s="32">
        <v>10</v>
      </c>
      <c r="W1129" s="32">
        <v>0.80955200000000005</v>
      </c>
      <c r="X1129" s="32">
        <v>6.2810000000000005E-2</v>
      </c>
      <c r="Y1129" s="32">
        <v>0.82066099999999997</v>
      </c>
      <c r="Z1129" s="32">
        <v>0.26198300000000002</v>
      </c>
      <c r="AA1129" s="32">
        <v>12.1</v>
      </c>
      <c r="AB1129" s="32">
        <v>790</v>
      </c>
      <c r="AC1129" s="32">
        <v>30</v>
      </c>
      <c r="AD1129" s="32">
        <v>72</v>
      </c>
      <c r="AE1129" s="32" t="s">
        <v>200</v>
      </c>
      <c r="AF1129" s="32" t="s">
        <v>200</v>
      </c>
      <c r="AG1129" s="32" t="s">
        <v>200</v>
      </c>
    </row>
    <row r="1130" spans="1:33">
      <c r="A1130" s="32" t="s">
        <v>4091</v>
      </c>
      <c r="B1130" s="32" t="s">
        <v>113</v>
      </c>
      <c r="C1130" s="32" t="s">
        <v>4092</v>
      </c>
      <c r="D1130" s="32" t="s">
        <v>4093</v>
      </c>
      <c r="E1130" s="32" t="s">
        <v>4094</v>
      </c>
      <c r="F1130" s="32" t="s">
        <v>4095</v>
      </c>
      <c r="G1130" s="32" t="s">
        <v>3993</v>
      </c>
      <c r="H1130" s="32" t="s">
        <v>3994</v>
      </c>
      <c r="I1130" s="32" t="s">
        <v>198</v>
      </c>
      <c r="J1130" s="32" t="s">
        <v>199</v>
      </c>
      <c r="K1130" s="32">
        <v>2.3491599999999999</v>
      </c>
      <c r="L1130" s="33">
        <v>1380</v>
      </c>
      <c r="M1130" s="32">
        <v>247</v>
      </c>
      <c r="N1130" s="32">
        <v>195</v>
      </c>
      <c r="O1130" s="32">
        <v>264</v>
      </c>
      <c r="P1130" s="32">
        <v>390</v>
      </c>
      <c r="Q1130" s="32">
        <v>284</v>
      </c>
      <c r="R1130" s="32">
        <v>3</v>
      </c>
      <c r="S1130" s="32">
        <v>20.603200000000001</v>
      </c>
      <c r="T1130" s="32">
        <v>6.2177899999999999</v>
      </c>
      <c r="U1130" s="32">
        <v>0.60636369599999995</v>
      </c>
      <c r="V1130" s="32">
        <v>9</v>
      </c>
      <c r="W1130" s="32">
        <v>0.88340300000000005</v>
      </c>
      <c r="X1130" s="32">
        <v>0.113361</v>
      </c>
      <c r="Y1130" s="32">
        <v>0.9</v>
      </c>
      <c r="Z1130" s="32">
        <v>0.44550299999999998</v>
      </c>
      <c r="AA1130" s="32">
        <v>28.9</v>
      </c>
      <c r="AB1130" s="32">
        <v>606</v>
      </c>
      <c r="AC1130" s="32">
        <v>23</v>
      </c>
      <c r="AD1130" s="32">
        <v>39</v>
      </c>
      <c r="AE1130" s="32" t="s">
        <v>200</v>
      </c>
      <c r="AF1130" s="32">
        <v>0</v>
      </c>
      <c r="AG1130" s="32" t="s">
        <v>200</v>
      </c>
    </row>
    <row r="1131" spans="1:33">
      <c r="A1131" s="32" t="s">
        <v>4096</v>
      </c>
      <c r="B1131" s="32" t="s">
        <v>113</v>
      </c>
      <c r="C1131" s="32" t="s">
        <v>4097</v>
      </c>
      <c r="D1131" s="32" t="s">
        <v>4098</v>
      </c>
      <c r="E1131" s="32" t="s">
        <v>4099</v>
      </c>
      <c r="F1131" s="32" t="s">
        <v>4100</v>
      </c>
      <c r="G1131" s="32" t="s">
        <v>3993</v>
      </c>
      <c r="H1131" s="32" t="s">
        <v>3994</v>
      </c>
      <c r="I1131" s="32" t="s">
        <v>198</v>
      </c>
      <c r="J1131" s="32" t="s">
        <v>199</v>
      </c>
      <c r="K1131" s="32">
        <v>2.1452059999999999</v>
      </c>
      <c r="L1131" s="33">
        <v>1642</v>
      </c>
      <c r="M1131" s="32">
        <v>289</v>
      </c>
      <c r="N1131" s="32">
        <v>227</v>
      </c>
      <c r="O1131" s="32">
        <v>303</v>
      </c>
      <c r="P1131" s="32">
        <v>485</v>
      </c>
      <c r="Q1131" s="32">
        <v>338</v>
      </c>
      <c r="R1131" s="32">
        <v>2</v>
      </c>
      <c r="S1131" s="32">
        <v>12.1509</v>
      </c>
      <c r="T1131" s="32">
        <v>0</v>
      </c>
      <c r="U1131" s="32">
        <v>0.80936484099999995</v>
      </c>
      <c r="V1131" s="32">
        <v>7</v>
      </c>
      <c r="W1131" s="32">
        <v>0.832762</v>
      </c>
      <c r="X1131" s="32">
        <v>0.116067</v>
      </c>
      <c r="Y1131" s="32">
        <v>0.88879600000000003</v>
      </c>
      <c r="Z1131" s="32">
        <v>0.30659399999999998</v>
      </c>
      <c r="AA1131" s="32">
        <v>25.8</v>
      </c>
      <c r="AB1131" s="32">
        <v>707</v>
      </c>
      <c r="AC1131" s="32">
        <v>39</v>
      </c>
      <c r="AD1131" s="32">
        <v>58</v>
      </c>
      <c r="AE1131" s="32">
        <v>0</v>
      </c>
      <c r="AF1131" s="32">
        <v>0</v>
      </c>
      <c r="AG1131" s="32">
        <v>5</v>
      </c>
    </row>
    <row r="1132" spans="1:33">
      <c r="A1132" s="32" t="s">
        <v>4101</v>
      </c>
      <c r="B1132" s="32" t="s">
        <v>113</v>
      </c>
      <c r="C1132" s="32" t="s">
        <v>4102</v>
      </c>
      <c r="D1132" s="32" t="s">
        <v>4103</v>
      </c>
      <c r="E1132" s="32" t="s">
        <v>4099</v>
      </c>
      <c r="F1132" s="32" t="s">
        <v>4100</v>
      </c>
      <c r="G1132" s="32" t="s">
        <v>3993</v>
      </c>
      <c r="H1132" s="32" t="s">
        <v>3994</v>
      </c>
      <c r="I1132" s="32" t="s">
        <v>198</v>
      </c>
      <c r="J1132" s="32" t="s">
        <v>199</v>
      </c>
      <c r="K1132" s="32">
        <v>2.212237</v>
      </c>
      <c r="L1132" s="33">
        <v>2019</v>
      </c>
      <c r="M1132" s="32">
        <v>449</v>
      </c>
      <c r="N1132" s="32">
        <v>341</v>
      </c>
      <c r="O1132" s="32">
        <v>440</v>
      </c>
      <c r="P1132" s="32">
        <v>541</v>
      </c>
      <c r="Q1132" s="32">
        <v>248</v>
      </c>
      <c r="R1132" s="32">
        <v>2</v>
      </c>
      <c r="S1132" s="32">
        <v>12.2691</v>
      </c>
      <c r="T1132" s="32">
        <v>3.6670699999999998</v>
      </c>
      <c r="U1132" s="32">
        <v>0.99375011899999999</v>
      </c>
      <c r="V1132" s="32">
        <v>3</v>
      </c>
      <c r="W1132" s="32">
        <v>0.84704100000000004</v>
      </c>
      <c r="X1132" s="32">
        <v>0.12250999999999999</v>
      </c>
      <c r="Y1132" s="32">
        <v>0.84661399999999998</v>
      </c>
      <c r="Z1132" s="32">
        <v>0.40669300000000003</v>
      </c>
      <c r="AA1132" s="32">
        <v>31.8</v>
      </c>
      <c r="AB1132" s="32">
        <v>646</v>
      </c>
      <c r="AC1132" s="32">
        <v>67</v>
      </c>
      <c r="AD1132" s="32">
        <v>54</v>
      </c>
      <c r="AE1132" s="32" t="s">
        <v>200</v>
      </c>
      <c r="AF1132" s="32">
        <v>0</v>
      </c>
      <c r="AG1132" s="32">
        <v>12</v>
      </c>
    </row>
    <row r="1133" spans="1:33">
      <c r="A1133" s="32" t="s">
        <v>4104</v>
      </c>
      <c r="B1133" s="32" t="s">
        <v>113</v>
      </c>
      <c r="C1133" s="32" t="s">
        <v>4105</v>
      </c>
      <c r="D1133" s="32" t="s">
        <v>4106</v>
      </c>
      <c r="E1133" s="32" t="s">
        <v>4099</v>
      </c>
      <c r="F1133" s="32" t="s">
        <v>4100</v>
      </c>
      <c r="G1133" s="32" t="s">
        <v>3993</v>
      </c>
      <c r="H1133" s="32" t="s">
        <v>3994</v>
      </c>
      <c r="I1133" s="32" t="s">
        <v>198</v>
      </c>
      <c r="J1133" s="32" t="s">
        <v>199</v>
      </c>
      <c r="K1133" s="32">
        <v>2.4827819999999998</v>
      </c>
      <c r="L1133" s="33">
        <v>1776</v>
      </c>
      <c r="M1133" s="32">
        <v>372</v>
      </c>
      <c r="N1133" s="32">
        <v>328</v>
      </c>
      <c r="O1133" s="32">
        <v>425</v>
      </c>
      <c r="P1133" s="32">
        <v>413</v>
      </c>
      <c r="Q1133" s="32">
        <v>238</v>
      </c>
      <c r="R1133" s="32">
        <v>2</v>
      </c>
      <c r="S1133" s="32">
        <v>13.9955</v>
      </c>
      <c r="T1133" s="32">
        <v>1.38876</v>
      </c>
      <c r="U1133" s="32">
        <v>0.685173315</v>
      </c>
      <c r="V1133" s="32">
        <v>5</v>
      </c>
      <c r="W1133" s="32">
        <v>0.86499400000000004</v>
      </c>
      <c r="X1133" s="32">
        <v>0.14357200000000001</v>
      </c>
      <c r="Y1133" s="32">
        <v>0.818388</v>
      </c>
      <c r="Z1133" s="32">
        <v>0.663636</v>
      </c>
      <c r="AA1133" s="32">
        <v>45</v>
      </c>
      <c r="AB1133" s="32">
        <v>607</v>
      </c>
      <c r="AC1133" s="32">
        <v>37</v>
      </c>
      <c r="AD1133" s="32">
        <v>35</v>
      </c>
      <c r="AE1133" s="32">
        <v>0</v>
      </c>
      <c r="AF1133" s="32">
        <v>5</v>
      </c>
      <c r="AG1133" s="32">
        <v>6</v>
      </c>
    </row>
    <row r="1134" spans="1:33">
      <c r="A1134" s="32" t="s">
        <v>4107</v>
      </c>
      <c r="B1134" s="32" t="s">
        <v>113</v>
      </c>
      <c r="C1134" s="32" t="s">
        <v>4108</v>
      </c>
      <c r="D1134" s="32" t="s">
        <v>4109</v>
      </c>
      <c r="E1134" s="32" t="s">
        <v>4110</v>
      </c>
      <c r="F1134" s="32" t="s">
        <v>4111</v>
      </c>
      <c r="G1134" s="32" t="s">
        <v>3993</v>
      </c>
      <c r="H1134" s="32" t="s">
        <v>3994</v>
      </c>
      <c r="I1134" s="32" t="s">
        <v>198</v>
      </c>
      <c r="J1134" s="32" t="s">
        <v>199</v>
      </c>
      <c r="K1134" s="32">
        <v>1.9172130000000001</v>
      </c>
      <c r="L1134" s="33">
        <v>1372</v>
      </c>
      <c r="M1134" s="32">
        <v>232</v>
      </c>
      <c r="N1134" s="32">
        <v>214</v>
      </c>
      <c r="O1134" s="32">
        <v>223</v>
      </c>
      <c r="P1134" s="32">
        <v>418</v>
      </c>
      <c r="Q1134" s="32">
        <v>285</v>
      </c>
      <c r="R1134" s="32" t="s">
        <v>225</v>
      </c>
      <c r="S1134" s="32">
        <v>5.8902000000000001</v>
      </c>
      <c r="T1134" s="32">
        <v>0</v>
      </c>
      <c r="U1134" s="32">
        <v>0.84037864799999995</v>
      </c>
      <c r="V1134" s="32">
        <v>9</v>
      </c>
      <c r="W1134" s="32">
        <v>0.83053299999999997</v>
      </c>
      <c r="X1134" s="32">
        <v>5.3499999999999997E-3</v>
      </c>
      <c r="Y1134" s="32">
        <v>0.833951</v>
      </c>
      <c r="Z1134" s="32">
        <v>0.24273900000000001</v>
      </c>
      <c r="AA1134" s="32">
        <v>19.3</v>
      </c>
      <c r="AB1134" s="32">
        <v>722</v>
      </c>
      <c r="AC1134" s="32">
        <v>38</v>
      </c>
      <c r="AD1134" s="32">
        <v>50</v>
      </c>
      <c r="AE1134" s="32" t="s">
        <v>200</v>
      </c>
      <c r="AF1134" s="32" t="s">
        <v>200</v>
      </c>
      <c r="AG1134" s="32">
        <v>5</v>
      </c>
    </row>
    <row r="1135" spans="1:33">
      <c r="A1135" s="32" t="s">
        <v>4112</v>
      </c>
      <c r="B1135" s="32" t="s">
        <v>113</v>
      </c>
      <c r="C1135" s="32" t="s">
        <v>4113</v>
      </c>
      <c r="D1135" s="32" t="s">
        <v>4114</v>
      </c>
      <c r="E1135" s="32" t="s">
        <v>4110</v>
      </c>
      <c r="F1135" s="32" t="s">
        <v>4111</v>
      </c>
      <c r="G1135" s="32" t="s">
        <v>3993</v>
      </c>
      <c r="H1135" s="32" t="s">
        <v>3994</v>
      </c>
      <c r="I1135" s="32" t="s">
        <v>198</v>
      </c>
      <c r="J1135" s="32" t="s">
        <v>199</v>
      </c>
      <c r="K1135" s="32">
        <v>2.0080789999999999</v>
      </c>
      <c r="L1135" s="33">
        <v>1330</v>
      </c>
      <c r="M1135" s="32">
        <v>315</v>
      </c>
      <c r="N1135" s="32">
        <v>173</v>
      </c>
      <c r="O1135" s="32">
        <v>286</v>
      </c>
      <c r="P1135" s="32">
        <v>367</v>
      </c>
      <c r="Q1135" s="32">
        <v>189</v>
      </c>
      <c r="R1135" s="32" t="s">
        <v>225</v>
      </c>
      <c r="S1135" s="32">
        <v>8.9431799999999999</v>
      </c>
      <c r="T1135" s="32">
        <v>0</v>
      </c>
      <c r="U1135" s="32">
        <v>0.84918603800000003</v>
      </c>
      <c r="V1135" s="32">
        <v>8</v>
      </c>
      <c r="W1135" s="32">
        <v>0.83105899999999999</v>
      </c>
      <c r="X1135" s="32">
        <v>6.2342000000000002E-2</v>
      </c>
      <c r="Y1135" s="32">
        <v>0.8</v>
      </c>
      <c r="Z1135" s="32">
        <v>0.30194700000000002</v>
      </c>
      <c r="AA1135" s="32">
        <v>22.5</v>
      </c>
      <c r="AB1135" s="32">
        <v>641</v>
      </c>
      <c r="AC1135" s="32">
        <v>33</v>
      </c>
      <c r="AD1135" s="32">
        <v>75</v>
      </c>
      <c r="AE1135" s="32">
        <v>10</v>
      </c>
      <c r="AF1135" s="32">
        <v>0</v>
      </c>
      <c r="AG1135" s="32">
        <v>6</v>
      </c>
    </row>
    <row r="1136" spans="1:33">
      <c r="A1136" s="32" t="s">
        <v>4115</v>
      </c>
      <c r="B1136" s="32" t="s">
        <v>113</v>
      </c>
      <c r="C1136" s="32" t="s">
        <v>4116</v>
      </c>
      <c r="D1136" s="32" t="s">
        <v>4117</v>
      </c>
      <c r="E1136" s="32" t="s">
        <v>4118</v>
      </c>
      <c r="F1136" s="32" t="s">
        <v>4119</v>
      </c>
      <c r="G1136" s="32" t="s">
        <v>3993</v>
      </c>
      <c r="H1136" s="32" t="s">
        <v>3994</v>
      </c>
      <c r="I1136" s="32" t="s">
        <v>198</v>
      </c>
      <c r="J1136" s="32" t="s">
        <v>199</v>
      </c>
      <c r="K1136" s="32">
        <v>2.6123249999999998</v>
      </c>
      <c r="L1136" s="33">
        <v>1911</v>
      </c>
      <c r="M1136" s="32">
        <v>374</v>
      </c>
      <c r="N1136" s="32">
        <v>291</v>
      </c>
      <c r="O1136" s="32">
        <v>573</v>
      </c>
      <c r="P1136" s="32">
        <v>443</v>
      </c>
      <c r="Q1136" s="32">
        <v>230</v>
      </c>
      <c r="R1136" s="32">
        <v>5</v>
      </c>
      <c r="S1136" s="32">
        <v>38.947000000000003</v>
      </c>
      <c r="T1136" s="32">
        <v>5.99979</v>
      </c>
      <c r="U1136" s="32">
        <v>0.59534712300000003</v>
      </c>
      <c r="V1136" s="32">
        <v>7</v>
      </c>
      <c r="W1136" s="32">
        <v>0.90410800000000002</v>
      </c>
      <c r="X1136" s="32">
        <v>0.19112899999999999</v>
      </c>
      <c r="Y1136" s="32">
        <v>0.83785100000000001</v>
      </c>
      <c r="Z1136" s="32">
        <v>0.67517400000000005</v>
      </c>
      <c r="AA1136" s="32">
        <v>49</v>
      </c>
      <c r="AB1136" s="32">
        <v>599</v>
      </c>
      <c r="AC1136" s="32">
        <v>26</v>
      </c>
      <c r="AD1136" s="32">
        <v>70</v>
      </c>
      <c r="AE1136" s="32" t="s">
        <v>200</v>
      </c>
      <c r="AF1136" s="32">
        <v>38</v>
      </c>
      <c r="AG1136" s="32">
        <v>1621</v>
      </c>
    </row>
    <row r="1137" spans="1:33">
      <c r="A1137" s="32" t="s">
        <v>4120</v>
      </c>
      <c r="B1137" s="32" t="s">
        <v>113</v>
      </c>
      <c r="C1137" s="32" t="s">
        <v>4121</v>
      </c>
      <c r="D1137" s="32" t="s">
        <v>4122</v>
      </c>
      <c r="E1137" s="32" t="s">
        <v>4110</v>
      </c>
      <c r="F1137" s="32" t="s">
        <v>4111</v>
      </c>
      <c r="G1137" s="32" t="s">
        <v>3993</v>
      </c>
      <c r="H1137" s="32" t="s">
        <v>3994</v>
      </c>
      <c r="I1137" s="32" t="s">
        <v>198</v>
      </c>
      <c r="J1137" s="32" t="s">
        <v>199</v>
      </c>
      <c r="K1137" s="32">
        <v>2.0756299999999999</v>
      </c>
      <c r="L1137" s="33">
        <v>1531</v>
      </c>
      <c r="M1137" s="32">
        <v>338</v>
      </c>
      <c r="N1137" s="32">
        <v>181</v>
      </c>
      <c r="O1137" s="32">
        <v>337</v>
      </c>
      <c r="P1137" s="32">
        <v>394</v>
      </c>
      <c r="Q1137" s="32">
        <v>281</v>
      </c>
      <c r="R1137" s="32">
        <v>2</v>
      </c>
      <c r="S1137" s="32">
        <v>11.9436</v>
      </c>
      <c r="T1137" s="32">
        <v>0</v>
      </c>
      <c r="U1137" s="32">
        <v>0.79303765400000004</v>
      </c>
      <c r="V1137" s="32">
        <v>8</v>
      </c>
      <c r="W1137" s="32">
        <v>0.86494599999999999</v>
      </c>
      <c r="X1137" s="32">
        <v>0.107986</v>
      </c>
      <c r="Y1137" s="32">
        <v>0.85119</v>
      </c>
      <c r="Z1137" s="32">
        <v>0.239952</v>
      </c>
      <c r="AA1137" s="32">
        <v>16.600000000000001</v>
      </c>
      <c r="AB1137" s="32">
        <v>709</v>
      </c>
      <c r="AC1137" s="32">
        <v>46</v>
      </c>
      <c r="AD1137" s="32">
        <v>72</v>
      </c>
      <c r="AE1137" s="32">
        <v>0</v>
      </c>
      <c r="AF1137" s="32">
        <v>0</v>
      </c>
      <c r="AG1137" s="32" t="s">
        <v>200</v>
      </c>
    </row>
    <row r="1138" spans="1:33">
      <c r="A1138" s="32" t="s">
        <v>4123</v>
      </c>
      <c r="B1138" s="32" t="s">
        <v>113</v>
      </c>
      <c r="C1138" s="32" t="s">
        <v>4124</v>
      </c>
      <c r="D1138" s="32" t="s">
        <v>4125</v>
      </c>
      <c r="E1138" s="32" t="s">
        <v>4057</v>
      </c>
      <c r="F1138" s="32" t="s">
        <v>4058</v>
      </c>
      <c r="G1138" s="32" t="s">
        <v>4059</v>
      </c>
      <c r="H1138" s="32" t="s">
        <v>4060</v>
      </c>
      <c r="I1138" s="32" t="s">
        <v>198</v>
      </c>
      <c r="J1138" s="32" t="s">
        <v>199</v>
      </c>
      <c r="K1138" s="32">
        <v>2.0190410000000001</v>
      </c>
      <c r="L1138" s="33">
        <v>1584</v>
      </c>
      <c r="M1138" s="32">
        <v>284</v>
      </c>
      <c r="N1138" s="32">
        <v>218</v>
      </c>
      <c r="O1138" s="32">
        <v>349</v>
      </c>
      <c r="P1138" s="32">
        <v>391</v>
      </c>
      <c r="Q1138" s="32">
        <v>342</v>
      </c>
      <c r="R1138" s="32">
        <v>2</v>
      </c>
      <c r="S1138" s="32">
        <v>9.2282299999999999</v>
      </c>
      <c r="T1138" s="32">
        <v>0</v>
      </c>
      <c r="U1138" s="32">
        <v>0.76699227699999994</v>
      </c>
      <c r="V1138" s="32">
        <v>10</v>
      </c>
      <c r="W1138" s="32">
        <v>0.82747099999999996</v>
      </c>
      <c r="X1138" s="32">
        <v>6.1046999999999997E-2</v>
      </c>
      <c r="Y1138" s="32">
        <v>0.8</v>
      </c>
      <c r="Z1138" s="32">
        <v>0.32230300000000001</v>
      </c>
      <c r="AA1138" s="32">
        <v>22</v>
      </c>
      <c r="AB1138" s="32">
        <v>772</v>
      </c>
      <c r="AC1138" s="32">
        <v>30</v>
      </c>
      <c r="AD1138" s="32">
        <v>56</v>
      </c>
      <c r="AE1138" s="32">
        <v>0</v>
      </c>
      <c r="AF1138" s="32" t="s">
        <v>200</v>
      </c>
      <c r="AG1138" s="32">
        <v>5</v>
      </c>
    </row>
    <row r="1139" spans="1:33">
      <c r="A1139" s="32" t="s">
        <v>4126</v>
      </c>
      <c r="B1139" s="32" t="s">
        <v>114</v>
      </c>
      <c r="C1139" s="32" t="s">
        <v>4127</v>
      </c>
      <c r="D1139" s="32" t="s">
        <v>4128</v>
      </c>
      <c r="E1139" s="32" t="s">
        <v>4129</v>
      </c>
      <c r="F1139" s="32" t="s">
        <v>4130</v>
      </c>
      <c r="G1139" s="32" t="s">
        <v>4059</v>
      </c>
      <c r="H1139" s="32" t="s">
        <v>4060</v>
      </c>
      <c r="I1139" s="32" t="s">
        <v>198</v>
      </c>
      <c r="J1139" s="32" t="s">
        <v>199</v>
      </c>
      <c r="K1139" s="32">
        <v>2.1896200000000001</v>
      </c>
      <c r="L1139" s="33">
        <v>1837</v>
      </c>
      <c r="M1139" s="32">
        <v>517</v>
      </c>
      <c r="N1139" s="32">
        <v>249</v>
      </c>
      <c r="O1139" s="32">
        <v>399</v>
      </c>
      <c r="P1139" s="32">
        <v>424</v>
      </c>
      <c r="Q1139" s="32">
        <v>248</v>
      </c>
      <c r="R1139" s="32">
        <v>2</v>
      </c>
      <c r="S1139" s="32">
        <v>20.198</v>
      </c>
      <c r="T1139" s="32">
        <v>4.5897600000000001</v>
      </c>
      <c r="U1139" s="32">
        <v>0.94115232000000004</v>
      </c>
      <c r="V1139" s="32">
        <v>4</v>
      </c>
      <c r="W1139" s="32">
        <v>0.83040899999999995</v>
      </c>
      <c r="X1139" s="32">
        <v>6.9005999999999998E-2</v>
      </c>
      <c r="Y1139" s="32">
        <v>0.81114399999999998</v>
      </c>
      <c r="Z1139" s="32">
        <v>0.48452600000000001</v>
      </c>
      <c r="AA1139" s="32">
        <v>25.9</v>
      </c>
      <c r="AB1139" s="32">
        <v>617</v>
      </c>
      <c r="AC1139" s="32">
        <v>29</v>
      </c>
      <c r="AD1139" s="32">
        <v>68</v>
      </c>
      <c r="AE1139" s="32">
        <v>0</v>
      </c>
      <c r="AF1139" s="32" t="s">
        <v>200</v>
      </c>
      <c r="AG1139" s="32" t="s">
        <v>200</v>
      </c>
    </row>
    <row r="1140" spans="1:33">
      <c r="A1140" s="32" t="s">
        <v>4131</v>
      </c>
      <c r="B1140" s="32" t="s">
        <v>114</v>
      </c>
      <c r="C1140" s="32" t="s">
        <v>4132</v>
      </c>
      <c r="D1140" s="32" t="s">
        <v>4133</v>
      </c>
      <c r="E1140" s="32" t="s">
        <v>4129</v>
      </c>
      <c r="F1140" s="32" t="s">
        <v>4130</v>
      </c>
      <c r="G1140" s="32" t="s">
        <v>4059</v>
      </c>
      <c r="H1140" s="32" t="s">
        <v>4060</v>
      </c>
      <c r="I1140" s="32" t="s">
        <v>198</v>
      </c>
      <c r="J1140" s="32" t="s">
        <v>199</v>
      </c>
      <c r="K1140" s="32">
        <v>2.1938029999999999</v>
      </c>
      <c r="L1140" s="33">
        <v>1606</v>
      </c>
      <c r="M1140" s="32">
        <v>338</v>
      </c>
      <c r="N1140" s="32">
        <v>207</v>
      </c>
      <c r="O1140" s="32">
        <v>403</v>
      </c>
      <c r="P1140" s="32">
        <v>384</v>
      </c>
      <c r="Q1140" s="32">
        <v>274</v>
      </c>
      <c r="R1140" s="32">
        <v>2</v>
      </c>
      <c r="S1140" s="32">
        <v>16.206399999999999</v>
      </c>
      <c r="T1140" s="32">
        <v>4.6688700000000001</v>
      </c>
      <c r="U1140" s="32">
        <v>0.80952585200000005</v>
      </c>
      <c r="V1140" s="32">
        <v>7</v>
      </c>
      <c r="W1140" s="32">
        <v>0.84086099999999997</v>
      </c>
      <c r="X1140" s="32">
        <v>8.1723000000000004E-2</v>
      </c>
      <c r="Y1140" s="32">
        <v>0.87382199999999999</v>
      </c>
      <c r="Z1140" s="32">
        <v>0.41307500000000003</v>
      </c>
      <c r="AA1140" s="32">
        <v>18.8</v>
      </c>
      <c r="AB1140" s="32">
        <v>708</v>
      </c>
      <c r="AC1140" s="32">
        <v>44</v>
      </c>
      <c r="AD1140" s="32">
        <v>75</v>
      </c>
      <c r="AE1140" s="32" t="s">
        <v>200</v>
      </c>
      <c r="AF1140" s="32">
        <v>0</v>
      </c>
      <c r="AG1140" s="32">
        <v>5</v>
      </c>
    </row>
    <row r="1141" spans="1:33">
      <c r="A1141" s="32" t="s">
        <v>4134</v>
      </c>
      <c r="B1141" s="32" t="s">
        <v>114</v>
      </c>
      <c r="C1141" s="32" t="s">
        <v>4135</v>
      </c>
      <c r="D1141" s="32" t="s">
        <v>4136</v>
      </c>
      <c r="E1141" s="32" t="s">
        <v>4129</v>
      </c>
      <c r="F1141" s="32" t="s">
        <v>4130</v>
      </c>
      <c r="G1141" s="32" t="s">
        <v>4059</v>
      </c>
      <c r="H1141" s="32" t="s">
        <v>4060</v>
      </c>
      <c r="I1141" s="32" t="s">
        <v>198</v>
      </c>
      <c r="J1141" s="32" t="s">
        <v>199</v>
      </c>
      <c r="K1141" s="32">
        <v>2.1389849999999999</v>
      </c>
      <c r="L1141" s="33">
        <v>1554</v>
      </c>
      <c r="M1141" s="32">
        <v>322</v>
      </c>
      <c r="N1141" s="32">
        <v>239</v>
      </c>
      <c r="O1141" s="32">
        <v>399</v>
      </c>
      <c r="P1141" s="32">
        <v>376</v>
      </c>
      <c r="Q1141" s="32">
        <v>218</v>
      </c>
      <c r="R1141" s="32">
        <v>2</v>
      </c>
      <c r="S1141" s="32">
        <v>10.9063</v>
      </c>
      <c r="T1141" s="32">
        <v>0</v>
      </c>
      <c r="U1141" s="32">
        <v>0.74240633899999997</v>
      </c>
      <c r="V1141" s="32">
        <v>9</v>
      </c>
      <c r="W1141" s="32">
        <v>0.82418999999999998</v>
      </c>
      <c r="X1141" s="32">
        <v>0.131435</v>
      </c>
      <c r="Y1141" s="32">
        <v>0.89748399999999995</v>
      </c>
      <c r="Z1141" s="32">
        <v>0.30163200000000001</v>
      </c>
      <c r="AA1141" s="32">
        <v>17.2</v>
      </c>
      <c r="AB1141" s="32">
        <v>692</v>
      </c>
      <c r="AC1141" s="32">
        <v>9</v>
      </c>
      <c r="AD1141" s="32">
        <v>44</v>
      </c>
      <c r="AE1141" s="32" t="s">
        <v>200</v>
      </c>
      <c r="AF1141" s="32" t="s">
        <v>200</v>
      </c>
      <c r="AG1141" s="32">
        <v>11</v>
      </c>
    </row>
    <row r="1142" spans="1:33">
      <c r="A1142" s="32" t="s">
        <v>4137</v>
      </c>
      <c r="B1142" s="32" t="s">
        <v>114</v>
      </c>
      <c r="C1142" s="32" t="s">
        <v>4138</v>
      </c>
      <c r="D1142" s="32" t="s">
        <v>4139</v>
      </c>
      <c r="E1142" s="32" t="s">
        <v>4140</v>
      </c>
      <c r="F1142" s="32" t="s">
        <v>4141</v>
      </c>
      <c r="G1142" s="32" t="s">
        <v>4059</v>
      </c>
      <c r="H1142" s="32" t="s">
        <v>4060</v>
      </c>
      <c r="I1142" s="32" t="s">
        <v>198</v>
      </c>
      <c r="J1142" s="32" t="s">
        <v>199</v>
      </c>
      <c r="K1142" s="32">
        <v>2.140612</v>
      </c>
      <c r="L1142" s="33">
        <v>2312</v>
      </c>
      <c r="M1142" s="32">
        <v>545</v>
      </c>
      <c r="N1142" s="32">
        <v>310</v>
      </c>
      <c r="O1142" s="32">
        <v>524</v>
      </c>
      <c r="P1142" s="32">
        <v>628</v>
      </c>
      <c r="Q1142" s="32">
        <v>305</v>
      </c>
      <c r="R1142" s="32">
        <v>2</v>
      </c>
      <c r="S1142" s="32">
        <v>13.9733</v>
      </c>
      <c r="T1142" s="32">
        <v>0</v>
      </c>
      <c r="U1142" s="32">
        <v>0.84296595799999996</v>
      </c>
      <c r="V1142" s="32">
        <v>7</v>
      </c>
      <c r="W1142" s="32">
        <v>0.87236100000000005</v>
      </c>
      <c r="X1142" s="32">
        <v>0.174011</v>
      </c>
      <c r="Y1142" s="32">
        <v>0.8</v>
      </c>
      <c r="Z1142" s="32">
        <v>0.31292399999999998</v>
      </c>
      <c r="AA1142" s="32">
        <v>23.2</v>
      </c>
      <c r="AB1142" s="32">
        <v>961</v>
      </c>
      <c r="AC1142" s="32">
        <v>30</v>
      </c>
      <c r="AD1142" s="32">
        <v>87</v>
      </c>
      <c r="AE1142" s="32" t="s">
        <v>200</v>
      </c>
      <c r="AF1142" s="32">
        <v>0</v>
      </c>
      <c r="AG1142" s="32" t="s">
        <v>200</v>
      </c>
    </row>
    <row r="1143" spans="1:33">
      <c r="A1143" s="32" t="s">
        <v>4142</v>
      </c>
      <c r="B1143" s="32" t="s">
        <v>114</v>
      </c>
      <c r="C1143" s="32" t="s">
        <v>4143</v>
      </c>
      <c r="D1143" s="32" t="s">
        <v>4144</v>
      </c>
      <c r="E1143" s="32" t="s">
        <v>4140</v>
      </c>
      <c r="F1143" s="32" t="s">
        <v>4141</v>
      </c>
      <c r="G1143" s="32" t="s">
        <v>4059</v>
      </c>
      <c r="H1143" s="32" t="s">
        <v>4060</v>
      </c>
      <c r="I1143" s="32" t="s">
        <v>198</v>
      </c>
      <c r="J1143" s="32" t="s">
        <v>199</v>
      </c>
      <c r="K1143" s="32">
        <v>2.0525980000000001</v>
      </c>
      <c r="L1143" s="33">
        <v>1920</v>
      </c>
      <c r="M1143" s="32">
        <v>462</v>
      </c>
      <c r="N1143" s="32">
        <v>243</v>
      </c>
      <c r="O1143" s="32">
        <v>458</v>
      </c>
      <c r="P1143" s="32">
        <v>476</v>
      </c>
      <c r="Q1143" s="32">
        <v>281</v>
      </c>
      <c r="R1143" s="32">
        <v>4</v>
      </c>
      <c r="S1143" s="32">
        <v>24.464400000000001</v>
      </c>
      <c r="T1143" s="32">
        <v>5.7540800000000001</v>
      </c>
      <c r="U1143" s="32">
        <v>0.89156045299999997</v>
      </c>
      <c r="V1143" s="32">
        <v>7</v>
      </c>
      <c r="W1143" s="32">
        <v>0.82220499999999996</v>
      </c>
      <c r="X1143" s="32">
        <v>5.1713000000000002E-2</v>
      </c>
      <c r="Y1143" s="32">
        <v>0.8</v>
      </c>
      <c r="Z1143" s="32">
        <v>0.384434</v>
      </c>
      <c r="AA1143" s="32">
        <v>21.9</v>
      </c>
      <c r="AB1143" s="32">
        <v>696</v>
      </c>
      <c r="AC1143" s="32">
        <v>46</v>
      </c>
      <c r="AD1143" s="32">
        <v>55</v>
      </c>
      <c r="AE1143" s="32" t="s">
        <v>200</v>
      </c>
      <c r="AF1143" s="32">
        <v>0</v>
      </c>
      <c r="AG1143" s="32" t="s">
        <v>200</v>
      </c>
    </row>
    <row r="1144" spans="1:33">
      <c r="A1144" s="32" t="s">
        <v>4145</v>
      </c>
      <c r="B1144" s="32" t="s">
        <v>114</v>
      </c>
      <c r="C1144" s="32" t="s">
        <v>4146</v>
      </c>
      <c r="D1144" s="32" t="s">
        <v>4147</v>
      </c>
      <c r="E1144" s="32" t="s">
        <v>4072</v>
      </c>
      <c r="F1144" s="32" t="s">
        <v>4073</v>
      </c>
      <c r="G1144" s="32" t="s">
        <v>4059</v>
      </c>
      <c r="H1144" s="32" t="s">
        <v>4060</v>
      </c>
      <c r="I1144" s="32" t="s">
        <v>198</v>
      </c>
      <c r="J1144" s="32" t="s">
        <v>199</v>
      </c>
      <c r="K1144" s="32">
        <v>2.159707</v>
      </c>
      <c r="L1144" s="33">
        <v>1805</v>
      </c>
      <c r="M1144" s="32">
        <v>395</v>
      </c>
      <c r="N1144" s="32">
        <v>266</v>
      </c>
      <c r="O1144" s="32">
        <v>351</v>
      </c>
      <c r="P1144" s="32">
        <v>512</v>
      </c>
      <c r="Q1144" s="32">
        <v>281</v>
      </c>
      <c r="R1144" s="32" t="s">
        <v>225</v>
      </c>
      <c r="S1144" s="32">
        <v>6.9186300000000003</v>
      </c>
      <c r="T1144" s="32">
        <v>0</v>
      </c>
      <c r="U1144" s="32">
        <v>0.71898820500000005</v>
      </c>
      <c r="V1144" s="32">
        <v>9</v>
      </c>
      <c r="W1144" s="32">
        <v>0.83297900000000002</v>
      </c>
      <c r="X1144" s="32">
        <v>0.151194</v>
      </c>
      <c r="Y1144" s="32">
        <v>0.82529600000000003</v>
      </c>
      <c r="Z1144" s="32">
        <v>0.33601599999999998</v>
      </c>
      <c r="AA1144" s="32">
        <v>20.7</v>
      </c>
      <c r="AB1144" s="32">
        <v>816</v>
      </c>
      <c r="AC1144" s="32">
        <v>54</v>
      </c>
      <c r="AD1144" s="32">
        <v>82</v>
      </c>
      <c r="AE1144" s="32">
        <v>0</v>
      </c>
      <c r="AF1144" s="32" t="s">
        <v>200</v>
      </c>
      <c r="AG1144" s="32">
        <v>11</v>
      </c>
    </row>
    <row r="1145" spans="1:33">
      <c r="A1145" s="32" t="s">
        <v>4148</v>
      </c>
      <c r="B1145" s="32" t="s">
        <v>114</v>
      </c>
      <c r="C1145" s="32" t="s">
        <v>4149</v>
      </c>
      <c r="D1145" s="32" t="s">
        <v>4150</v>
      </c>
      <c r="E1145" s="32" t="s">
        <v>4151</v>
      </c>
      <c r="F1145" s="32" t="s">
        <v>4152</v>
      </c>
      <c r="G1145" s="32" t="s">
        <v>4059</v>
      </c>
      <c r="H1145" s="32" t="s">
        <v>4060</v>
      </c>
      <c r="I1145" s="32" t="s">
        <v>198</v>
      </c>
      <c r="J1145" s="32" t="s">
        <v>199</v>
      </c>
      <c r="K1145" s="32">
        <v>2.0220880000000001</v>
      </c>
      <c r="L1145" s="33">
        <v>2307</v>
      </c>
      <c r="M1145" s="32">
        <v>561</v>
      </c>
      <c r="N1145" s="32">
        <v>430</v>
      </c>
      <c r="O1145" s="32">
        <v>592</v>
      </c>
      <c r="P1145" s="32">
        <v>546</v>
      </c>
      <c r="Q1145" s="32">
        <v>178</v>
      </c>
      <c r="R1145" s="32">
        <v>2</v>
      </c>
      <c r="S1145" s="32">
        <v>12.348699999999999</v>
      </c>
      <c r="T1145" s="32">
        <v>1.30494</v>
      </c>
      <c r="U1145" s="32">
        <v>1.179757328</v>
      </c>
      <c r="V1145" s="32">
        <v>3</v>
      </c>
      <c r="W1145" s="32">
        <v>0.85892999999999997</v>
      </c>
      <c r="X1145" s="32">
        <v>4.5811999999999999E-2</v>
      </c>
      <c r="Y1145" s="32">
        <v>0.8</v>
      </c>
      <c r="Z1145" s="32">
        <v>0.32188</v>
      </c>
      <c r="AA1145" s="32">
        <v>34</v>
      </c>
      <c r="AB1145" s="32">
        <v>721</v>
      </c>
      <c r="AC1145" s="32">
        <v>37</v>
      </c>
      <c r="AD1145" s="32">
        <v>83</v>
      </c>
      <c r="AE1145" s="32" t="s">
        <v>200</v>
      </c>
      <c r="AF1145" s="32" t="s">
        <v>200</v>
      </c>
      <c r="AG1145" s="32" t="s">
        <v>200</v>
      </c>
    </row>
    <row r="1146" spans="1:33">
      <c r="A1146" s="32" t="s">
        <v>4153</v>
      </c>
      <c r="B1146" s="32" t="s">
        <v>114</v>
      </c>
      <c r="C1146" s="32" t="s">
        <v>4154</v>
      </c>
      <c r="D1146" s="32" t="s">
        <v>4155</v>
      </c>
      <c r="E1146" s="32" t="s">
        <v>4151</v>
      </c>
      <c r="F1146" s="32" t="s">
        <v>4152</v>
      </c>
      <c r="G1146" s="32" t="s">
        <v>4059</v>
      </c>
      <c r="H1146" s="32" t="s">
        <v>4060</v>
      </c>
      <c r="I1146" s="32" t="s">
        <v>198</v>
      </c>
      <c r="J1146" s="32" t="s">
        <v>199</v>
      </c>
      <c r="K1146" s="32">
        <v>2.0718930000000002</v>
      </c>
      <c r="L1146" s="33">
        <v>1998</v>
      </c>
      <c r="M1146" s="32">
        <v>495</v>
      </c>
      <c r="N1146" s="32">
        <v>283</v>
      </c>
      <c r="O1146" s="32">
        <v>516</v>
      </c>
      <c r="P1146" s="32">
        <v>470</v>
      </c>
      <c r="Q1146" s="32">
        <v>234</v>
      </c>
      <c r="R1146" s="32" t="s">
        <v>225</v>
      </c>
      <c r="S1146" s="32">
        <v>9.1814400000000003</v>
      </c>
      <c r="T1146" s="32">
        <v>1.26044</v>
      </c>
      <c r="U1146" s="32">
        <v>1.0145259129999999</v>
      </c>
      <c r="V1146" s="32">
        <v>4</v>
      </c>
      <c r="W1146" s="32">
        <v>0.833843</v>
      </c>
      <c r="X1146" s="32">
        <v>0.129412</v>
      </c>
      <c r="Y1146" s="32">
        <v>0.8</v>
      </c>
      <c r="Z1146" s="32">
        <v>0.3</v>
      </c>
      <c r="AA1146" s="32">
        <v>23.9</v>
      </c>
      <c r="AB1146" s="32">
        <v>712</v>
      </c>
      <c r="AC1146" s="32">
        <v>52</v>
      </c>
      <c r="AD1146" s="32">
        <v>74</v>
      </c>
      <c r="AE1146" s="32">
        <v>0</v>
      </c>
      <c r="AF1146" s="32">
        <v>0</v>
      </c>
      <c r="AG1146" s="32" t="s">
        <v>200</v>
      </c>
    </row>
    <row r="1147" spans="1:33">
      <c r="A1147" s="32" t="s">
        <v>4156</v>
      </c>
      <c r="B1147" s="32" t="s">
        <v>114</v>
      </c>
      <c r="C1147" s="32" t="s">
        <v>4157</v>
      </c>
      <c r="D1147" s="32" t="s">
        <v>4158</v>
      </c>
      <c r="E1147" s="32" t="s">
        <v>4151</v>
      </c>
      <c r="F1147" s="32" t="s">
        <v>4152</v>
      </c>
      <c r="G1147" s="32" t="s">
        <v>4059</v>
      </c>
      <c r="H1147" s="32" t="s">
        <v>4060</v>
      </c>
      <c r="I1147" s="32" t="s">
        <v>198</v>
      </c>
      <c r="J1147" s="32" t="s">
        <v>199</v>
      </c>
      <c r="K1147" s="32">
        <v>2.160841</v>
      </c>
      <c r="L1147" s="33">
        <v>1974</v>
      </c>
      <c r="M1147" s="32">
        <v>440</v>
      </c>
      <c r="N1147" s="32">
        <v>326</v>
      </c>
      <c r="O1147" s="32">
        <v>435</v>
      </c>
      <c r="P1147" s="32">
        <v>505</v>
      </c>
      <c r="Q1147" s="32">
        <v>268</v>
      </c>
      <c r="R1147" s="32">
        <v>2</v>
      </c>
      <c r="S1147" s="32">
        <v>15.335800000000001</v>
      </c>
      <c r="T1147" s="32">
        <v>3.42862</v>
      </c>
      <c r="U1147" s="32">
        <v>1.1655722850000001</v>
      </c>
      <c r="V1147" s="32">
        <v>2</v>
      </c>
      <c r="W1147" s="32">
        <v>0.88488800000000001</v>
      </c>
      <c r="X1147" s="32">
        <v>0.17067399999999999</v>
      </c>
      <c r="Y1147" s="32">
        <v>0.8</v>
      </c>
      <c r="Z1147" s="32">
        <v>0.31140600000000002</v>
      </c>
      <c r="AA1147" s="32">
        <v>28.5</v>
      </c>
      <c r="AB1147" s="32">
        <v>560</v>
      </c>
      <c r="AC1147" s="32">
        <v>25</v>
      </c>
      <c r="AD1147" s="32">
        <v>63</v>
      </c>
      <c r="AE1147" s="32">
        <v>0</v>
      </c>
      <c r="AF1147" s="32">
        <v>0</v>
      </c>
      <c r="AG1147" s="32" t="s">
        <v>200</v>
      </c>
    </row>
    <row r="1148" spans="1:33">
      <c r="A1148" s="32" t="s">
        <v>4159</v>
      </c>
      <c r="B1148" s="32" t="s">
        <v>114</v>
      </c>
      <c r="C1148" s="32" t="s">
        <v>4160</v>
      </c>
      <c r="D1148" s="32" t="s">
        <v>4161</v>
      </c>
      <c r="E1148" s="32" t="s">
        <v>4067</v>
      </c>
      <c r="F1148" s="32" t="s">
        <v>4068</v>
      </c>
      <c r="G1148" s="32" t="s">
        <v>4059</v>
      </c>
      <c r="H1148" s="32" t="s">
        <v>4060</v>
      </c>
      <c r="I1148" s="32" t="s">
        <v>198</v>
      </c>
      <c r="J1148" s="32" t="s">
        <v>199</v>
      </c>
      <c r="K1148" s="32">
        <v>2.2059169999999999</v>
      </c>
      <c r="L1148" s="33">
        <v>1607</v>
      </c>
      <c r="M1148" s="32">
        <v>289</v>
      </c>
      <c r="N1148" s="32">
        <v>235</v>
      </c>
      <c r="O1148" s="32">
        <v>333</v>
      </c>
      <c r="P1148" s="32">
        <v>445</v>
      </c>
      <c r="Q1148" s="32">
        <v>305</v>
      </c>
      <c r="R1148" s="32" t="s">
        <v>225</v>
      </c>
      <c r="S1148" s="32">
        <v>8.7946299999999997</v>
      </c>
      <c r="T1148" s="32">
        <v>0</v>
      </c>
      <c r="U1148" s="32">
        <v>0.77171443200000001</v>
      </c>
      <c r="V1148" s="32">
        <v>8</v>
      </c>
      <c r="W1148" s="32">
        <v>0.86992400000000003</v>
      </c>
      <c r="X1148" s="32">
        <v>0.12656200000000001</v>
      </c>
      <c r="Y1148" s="32">
        <v>0.8</v>
      </c>
      <c r="Z1148" s="32">
        <v>0.39697500000000002</v>
      </c>
      <c r="AA1148" s="32">
        <v>22.2</v>
      </c>
      <c r="AB1148" s="32">
        <v>881</v>
      </c>
      <c r="AC1148" s="32">
        <v>53</v>
      </c>
      <c r="AD1148" s="32">
        <v>223</v>
      </c>
      <c r="AE1148" s="32">
        <v>27</v>
      </c>
      <c r="AF1148" s="32" t="s">
        <v>200</v>
      </c>
      <c r="AG1148" s="32">
        <v>14</v>
      </c>
    </row>
    <row r="1149" spans="1:33">
      <c r="A1149" s="32" t="s">
        <v>3998</v>
      </c>
      <c r="B1149" s="32" t="s">
        <v>114</v>
      </c>
      <c r="C1149" s="32" t="s">
        <v>3999</v>
      </c>
      <c r="D1149" s="32" t="s">
        <v>4000</v>
      </c>
      <c r="E1149" s="32" t="s">
        <v>4001</v>
      </c>
      <c r="F1149" s="32" t="s">
        <v>4002</v>
      </c>
      <c r="G1149" s="32" t="s">
        <v>3993</v>
      </c>
      <c r="H1149" s="32" t="s">
        <v>3994</v>
      </c>
      <c r="I1149" s="32" t="s">
        <v>198</v>
      </c>
      <c r="J1149" s="32" t="s">
        <v>199</v>
      </c>
      <c r="K1149" s="32">
        <v>2.3307570000000002</v>
      </c>
      <c r="L1149" s="33">
        <v>1859</v>
      </c>
      <c r="M1149" s="32">
        <v>380</v>
      </c>
      <c r="N1149" s="32">
        <v>333</v>
      </c>
      <c r="O1149" s="32">
        <v>508</v>
      </c>
      <c r="P1149" s="32">
        <v>433</v>
      </c>
      <c r="Q1149" s="32">
        <v>205</v>
      </c>
      <c r="R1149" s="32">
        <v>3</v>
      </c>
      <c r="S1149" s="32">
        <v>41.267499999999998</v>
      </c>
      <c r="T1149" s="32">
        <v>2.0101499999999999</v>
      </c>
      <c r="U1149" s="32">
        <v>0.62860429799999995</v>
      </c>
      <c r="V1149" s="32">
        <v>9</v>
      </c>
      <c r="W1149" s="32">
        <v>0.90318699999999996</v>
      </c>
      <c r="X1149" s="32">
        <v>0.114444</v>
      </c>
      <c r="Y1149" s="32">
        <v>0.8</v>
      </c>
      <c r="Z1149" s="32">
        <v>0.51897899999999997</v>
      </c>
      <c r="AA1149" s="32">
        <v>23.8</v>
      </c>
      <c r="AB1149" s="32">
        <v>629</v>
      </c>
      <c r="AC1149" s="32">
        <v>17</v>
      </c>
      <c r="AD1149" s="32">
        <v>109</v>
      </c>
      <c r="AE1149" s="32" t="s">
        <v>200</v>
      </c>
      <c r="AF1149" s="32" t="s">
        <v>200</v>
      </c>
      <c r="AG1149" s="32">
        <v>0</v>
      </c>
    </row>
    <row r="1150" spans="1:33">
      <c r="A1150" s="32" t="s">
        <v>4162</v>
      </c>
      <c r="B1150" s="32" t="s">
        <v>114</v>
      </c>
      <c r="C1150" s="32" t="s">
        <v>4163</v>
      </c>
      <c r="D1150" s="32" t="s">
        <v>4164</v>
      </c>
      <c r="E1150" s="32" t="s">
        <v>4099</v>
      </c>
      <c r="F1150" s="32" t="s">
        <v>4100</v>
      </c>
      <c r="G1150" s="32" t="s">
        <v>3993</v>
      </c>
      <c r="H1150" s="32" t="s">
        <v>3994</v>
      </c>
      <c r="I1150" s="32" t="s">
        <v>198</v>
      </c>
      <c r="J1150" s="32" t="s">
        <v>199</v>
      </c>
      <c r="K1150" s="32">
        <v>2.0940279999999998</v>
      </c>
      <c r="L1150" s="33">
        <v>1613</v>
      </c>
      <c r="M1150" s="32">
        <v>445</v>
      </c>
      <c r="N1150" s="32">
        <v>236</v>
      </c>
      <c r="O1150" s="32">
        <v>354</v>
      </c>
      <c r="P1150" s="32">
        <v>392</v>
      </c>
      <c r="Q1150" s="32">
        <v>186</v>
      </c>
      <c r="R1150" s="32">
        <v>2</v>
      </c>
      <c r="S1150" s="32">
        <v>12.605700000000001</v>
      </c>
      <c r="T1150" s="32">
        <v>6.6253700000000002</v>
      </c>
      <c r="U1150" s="32">
        <v>1.0501243520000001</v>
      </c>
      <c r="V1150" s="32">
        <v>3</v>
      </c>
      <c r="W1150" s="32">
        <v>0.85712100000000002</v>
      </c>
      <c r="X1150" s="32">
        <v>6.3678999999999999E-2</v>
      </c>
      <c r="Y1150" s="32">
        <v>0.8</v>
      </c>
      <c r="Z1150" s="32">
        <v>0.36156199999999999</v>
      </c>
      <c r="AA1150" s="32">
        <v>31.6</v>
      </c>
      <c r="AB1150" s="32">
        <v>586</v>
      </c>
      <c r="AC1150" s="32">
        <v>33</v>
      </c>
      <c r="AD1150" s="32">
        <v>62</v>
      </c>
      <c r="AE1150" s="32" t="s">
        <v>200</v>
      </c>
      <c r="AF1150" s="32">
        <v>5</v>
      </c>
      <c r="AG1150" s="32">
        <v>5</v>
      </c>
    </row>
    <row r="1151" spans="1:33">
      <c r="A1151" s="32" t="s">
        <v>4165</v>
      </c>
      <c r="B1151" s="32" t="s">
        <v>114</v>
      </c>
      <c r="C1151" s="32" t="s">
        <v>4166</v>
      </c>
      <c r="D1151" s="32" t="s">
        <v>4167</v>
      </c>
      <c r="E1151" s="32" t="s">
        <v>4118</v>
      </c>
      <c r="F1151" s="32" t="s">
        <v>4119</v>
      </c>
      <c r="G1151" s="32" t="s">
        <v>3993</v>
      </c>
      <c r="H1151" s="32" t="s">
        <v>3994</v>
      </c>
      <c r="I1151" s="32" t="s">
        <v>198</v>
      </c>
      <c r="J1151" s="32" t="s">
        <v>199</v>
      </c>
      <c r="K1151" s="32">
        <v>2.4414910000000001</v>
      </c>
      <c r="L1151" s="33">
        <v>1763</v>
      </c>
      <c r="M1151" s="32">
        <v>407</v>
      </c>
      <c r="N1151" s="32">
        <v>279</v>
      </c>
      <c r="O1151" s="32">
        <v>471</v>
      </c>
      <c r="P1151" s="32">
        <v>424</v>
      </c>
      <c r="Q1151" s="32">
        <v>182</v>
      </c>
      <c r="R1151" s="32">
        <v>3</v>
      </c>
      <c r="S1151" s="32">
        <v>30.891999999999999</v>
      </c>
      <c r="T1151" s="32">
        <v>1.4137299999999999</v>
      </c>
      <c r="U1151" s="32">
        <v>0.84450779300000001</v>
      </c>
      <c r="V1151" s="32">
        <v>4</v>
      </c>
      <c r="W1151" s="32">
        <v>0.89254500000000003</v>
      </c>
      <c r="X1151" s="32">
        <v>0.111147</v>
      </c>
      <c r="Y1151" s="32">
        <v>0.8</v>
      </c>
      <c r="Z1151" s="32">
        <v>0.63161299999999998</v>
      </c>
      <c r="AA1151" s="32">
        <v>38.6</v>
      </c>
      <c r="AB1151" s="32">
        <v>581</v>
      </c>
      <c r="AC1151" s="32">
        <v>39</v>
      </c>
      <c r="AD1151" s="32">
        <v>52</v>
      </c>
      <c r="AE1151" s="32">
        <v>0</v>
      </c>
      <c r="AF1151" s="32">
        <v>8</v>
      </c>
      <c r="AG1151" s="32" t="s">
        <v>200</v>
      </c>
    </row>
    <row r="1152" spans="1:33">
      <c r="A1152" s="32" t="s">
        <v>4168</v>
      </c>
      <c r="B1152" s="32" t="s">
        <v>114</v>
      </c>
      <c r="C1152" s="32" t="s">
        <v>4169</v>
      </c>
      <c r="D1152" s="32" t="s">
        <v>4170</v>
      </c>
      <c r="E1152" s="32" t="s">
        <v>4118</v>
      </c>
      <c r="F1152" s="32" t="s">
        <v>4119</v>
      </c>
      <c r="G1152" s="32" t="s">
        <v>3993</v>
      </c>
      <c r="H1152" s="32" t="s">
        <v>3994</v>
      </c>
      <c r="I1152" s="32" t="s">
        <v>198</v>
      </c>
      <c r="J1152" s="32" t="s">
        <v>199</v>
      </c>
      <c r="K1152" s="32">
        <v>2.0525370000000001</v>
      </c>
      <c r="L1152" s="33">
        <v>1537</v>
      </c>
      <c r="M1152" s="32">
        <v>321</v>
      </c>
      <c r="N1152" s="32">
        <v>240</v>
      </c>
      <c r="O1152" s="32">
        <v>374</v>
      </c>
      <c r="P1152" s="32">
        <v>414</v>
      </c>
      <c r="Q1152" s="32">
        <v>188</v>
      </c>
      <c r="R1152" s="32">
        <v>2</v>
      </c>
      <c r="S1152" s="32">
        <v>12.5747</v>
      </c>
      <c r="T1152" s="32">
        <v>0</v>
      </c>
      <c r="U1152" s="32">
        <v>1.0490414619999999</v>
      </c>
      <c r="V1152" s="32">
        <v>4</v>
      </c>
      <c r="W1152" s="32">
        <v>0.89459900000000003</v>
      </c>
      <c r="X1152" s="32">
        <v>7.2875999999999996E-2</v>
      </c>
      <c r="Y1152" s="32">
        <v>0.8</v>
      </c>
      <c r="Z1152" s="32">
        <v>0.3</v>
      </c>
      <c r="AA1152" s="32">
        <v>33.9</v>
      </c>
      <c r="AB1152" s="32">
        <v>542</v>
      </c>
      <c r="AC1152" s="32">
        <v>31</v>
      </c>
      <c r="AD1152" s="32">
        <v>61</v>
      </c>
      <c r="AE1152" s="32">
        <v>0</v>
      </c>
      <c r="AF1152" s="32">
        <v>5</v>
      </c>
      <c r="AG1152" s="32" t="s">
        <v>200</v>
      </c>
    </row>
    <row r="1153" spans="1:33">
      <c r="A1153" s="32" t="s">
        <v>4171</v>
      </c>
      <c r="B1153" s="32" t="s">
        <v>114</v>
      </c>
      <c r="C1153" s="32" t="s">
        <v>4172</v>
      </c>
      <c r="D1153" s="32" t="s">
        <v>4173</v>
      </c>
      <c r="E1153" s="32" t="s">
        <v>4174</v>
      </c>
      <c r="F1153" s="32" t="s">
        <v>4175</v>
      </c>
      <c r="G1153" s="32" t="s">
        <v>3993</v>
      </c>
      <c r="H1153" s="32" t="s">
        <v>3994</v>
      </c>
      <c r="I1153" s="32" t="s">
        <v>198</v>
      </c>
      <c r="J1153" s="32" t="s">
        <v>199</v>
      </c>
      <c r="K1153" s="32">
        <v>2.0614560000000002</v>
      </c>
      <c r="L1153" s="33">
        <v>1896</v>
      </c>
      <c r="M1153" s="32">
        <v>342</v>
      </c>
      <c r="N1153" s="32">
        <v>317</v>
      </c>
      <c r="O1153" s="32">
        <v>394</v>
      </c>
      <c r="P1153" s="32">
        <v>485</v>
      </c>
      <c r="Q1153" s="32">
        <v>358</v>
      </c>
      <c r="R1153" s="32">
        <v>2</v>
      </c>
      <c r="S1153" s="32">
        <v>10.222799999999999</v>
      </c>
      <c r="T1153" s="32">
        <v>2.9230900000000002</v>
      </c>
      <c r="U1153" s="32">
        <v>0.90902385900000005</v>
      </c>
      <c r="V1153" s="32">
        <v>6</v>
      </c>
      <c r="W1153" s="32">
        <v>0.85669399999999996</v>
      </c>
      <c r="X1153" s="32">
        <v>0.10514900000000001</v>
      </c>
      <c r="Y1153" s="32">
        <v>0.8</v>
      </c>
      <c r="Z1153" s="32">
        <v>0.29882900000000001</v>
      </c>
      <c r="AA1153" s="32">
        <v>38.9</v>
      </c>
      <c r="AB1153" s="32">
        <v>782</v>
      </c>
      <c r="AC1153" s="32">
        <v>40</v>
      </c>
      <c r="AD1153" s="32">
        <v>58</v>
      </c>
      <c r="AE1153" s="32">
        <v>9</v>
      </c>
      <c r="AF1153" s="32" t="s">
        <v>200</v>
      </c>
      <c r="AG1153" s="32" t="s">
        <v>200</v>
      </c>
    </row>
    <row r="1154" spans="1:33">
      <c r="A1154" s="32" t="s">
        <v>4176</v>
      </c>
      <c r="B1154" s="32" t="s">
        <v>114</v>
      </c>
      <c r="C1154" s="32" t="s">
        <v>4177</v>
      </c>
      <c r="D1154" s="32" t="s">
        <v>4178</v>
      </c>
      <c r="E1154" s="32" t="s">
        <v>4099</v>
      </c>
      <c r="F1154" s="32" t="s">
        <v>4100</v>
      </c>
      <c r="G1154" s="32" t="s">
        <v>3993</v>
      </c>
      <c r="H1154" s="32" t="s">
        <v>3994</v>
      </c>
      <c r="I1154" s="32" t="s">
        <v>198</v>
      </c>
      <c r="J1154" s="32" t="s">
        <v>199</v>
      </c>
      <c r="K1154" s="32">
        <v>2.1953740000000002</v>
      </c>
      <c r="L1154" s="33">
        <v>1720</v>
      </c>
      <c r="M1154" s="32">
        <v>410</v>
      </c>
      <c r="N1154" s="32">
        <v>271</v>
      </c>
      <c r="O1154" s="32">
        <v>372</v>
      </c>
      <c r="P1154" s="32">
        <v>490</v>
      </c>
      <c r="Q1154" s="32">
        <v>177</v>
      </c>
      <c r="R1154" s="32">
        <v>2</v>
      </c>
      <c r="S1154" s="32">
        <v>12.9651</v>
      </c>
      <c r="T1154" s="32">
        <v>5.2089699999999999</v>
      </c>
      <c r="U1154" s="32">
        <v>1.045992421</v>
      </c>
      <c r="V1154" s="32">
        <v>3</v>
      </c>
      <c r="W1154" s="32">
        <v>0.90249100000000004</v>
      </c>
      <c r="X1154" s="32">
        <v>0.19040899999999999</v>
      </c>
      <c r="Y1154" s="32">
        <v>0.8</v>
      </c>
      <c r="Z1154" s="32">
        <v>0.29234900000000003</v>
      </c>
      <c r="AA1154" s="32">
        <v>32.9</v>
      </c>
      <c r="AB1154" s="32">
        <v>600</v>
      </c>
      <c r="AC1154" s="32">
        <v>27</v>
      </c>
      <c r="AD1154" s="32">
        <v>56</v>
      </c>
      <c r="AE1154" s="32">
        <v>0</v>
      </c>
      <c r="AF1154" s="32" t="s">
        <v>200</v>
      </c>
      <c r="AG1154" s="32">
        <v>10</v>
      </c>
    </row>
    <row r="1155" spans="1:33">
      <c r="A1155" s="32" t="s">
        <v>4179</v>
      </c>
      <c r="B1155" s="32" t="s">
        <v>114</v>
      </c>
      <c r="C1155" s="32" t="s">
        <v>4180</v>
      </c>
      <c r="D1155" s="32" t="s">
        <v>4181</v>
      </c>
      <c r="E1155" s="32" t="s">
        <v>4118</v>
      </c>
      <c r="F1155" s="32" t="s">
        <v>4119</v>
      </c>
      <c r="G1155" s="32" t="s">
        <v>3993</v>
      </c>
      <c r="H1155" s="32" t="s">
        <v>3994</v>
      </c>
      <c r="I1155" s="32" t="s">
        <v>198</v>
      </c>
      <c r="J1155" s="32" t="s">
        <v>199</v>
      </c>
      <c r="K1155" s="32">
        <v>2.2767050000000002</v>
      </c>
      <c r="L1155" s="33">
        <v>1540</v>
      </c>
      <c r="M1155" s="32">
        <v>361</v>
      </c>
      <c r="N1155" s="32">
        <v>228</v>
      </c>
      <c r="O1155" s="32">
        <v>431</v>
      </c>
      <c r="P1155" s="32">
        <v>378</v>
      </c>
      <c r="Q1155" s="32">
        <v>142</v>
      </c>
      <c r="R1155" s="32">
        <v>4</v>
      </c>
      <c r="S1155" s="32">
        <v>35.227699999999999</v>
      </c>
      <c r="T1155" s="32">
        <v>5.3932099999999998</v>
      </c>
      <c r="U1155" s="32">
        <v>0.99749108099999995</v>
      </c>
      <c r="V1155" s="32">
        <v>3</v>
      </c>
      <c r="W1155" s="32">
        <v>0.90738600000000003</v>
      </c>
      <c r="X1155" s="32">
        <v>0.21731700000000001</v>
      </c>
      <c r="Y1155" s="32">
        <v>0.8</v>
      </c>
      <c r="Z1155" s="32">
        <v>0.35736000000000001</v>
      </c>
      <c r="AA1155" s="32">
        <v>42.5</v>
      </c>
      <c r="AB1155" s="32">
        <v>446</v>
      </c>
      <c r="AC1155" s="32">
        <v>21</v>
      </c>
      <c r="AD1155" s="32">
        <v>46</v>
      </c>
      <c r="AE1155" s="32" t="s">
        <v>200</v>
      </c>
      <c r="AF1155" s="32" t="s">
        <v>200</v>
      </c>
      <c r="AG1155" s="32" t="s">
        <v>200</v>
      </c>
    </row>
    <row r="1156" spans="1:33">
      <c r="A1156" s="32" t="s">
        <v>4182</v>
      </c>
      <c r="B1156" s="32" t="s">
        <v>114</v>
      </c>
      <c r="C1156" s="32" t="s">
        <v>4183</v>
      </c>
      <c r="D1156" s="32" t="s">
        <v>4184</v>
      </c>
      <c r="E1156" s="32" t="s">
        <v>4118</v>
      </c>
      <c r="F1156" s="32" t="s">
        <v>4119</v>
      </c>
      <c r="G1156" s="32" t="s">
        <v>3993</v>
      </c>
      <c r="H1156" s="32" t="s">
        <v>3994</v>
      </c>
      <c r="I1156" s="32" t="s">
        <v>198</v>
      </c>
      <c r="J1156" s="32" t="s">
        <v>199</v>
      </c>
      <c r="K1156" s="32">
        <v>2.1886399999999999</v>
      </c>
      <c r="L1156" s="33">
        <v>2106</v>
      </c>
      <c r="M1156" s="32">
        <v>480</v>
      </c>
      <c r="N1156" s="32">
        <v>375</v>
      </c>
      <c r="O1156" s="32">
        <v>581</v>
      </c>
      <c r="P1156" s="32">
        <v>483</v>
      </c>
      <c r="Q1156" s="32">
        <v>187</v>
      </c>
      <c r="R1156" s="32">
        <v>2</v>
      </c>
      <c r="S1156" s="32">
        <v>12.290900000000001</v>
      </c>
      <c r="T1156" s="32">
        <v>4.7129700000000003</v>
      </c>
      <c r="U1156" s="32">
        <v>1.0000088</v>
      </c>
      <c r="V1156" s="32">
        <v>4</v>
      </c>
      <c r="W1156" s="32">
        <v>0.87297800000000003</v>
      </c>
      <c r="X1156" s="32">
        <v>0.161775</v>
      </c>
      <c r="Y1156" s="32">
        <v>0.8</v>
      </c>
      <c r="Z1156" s="32">
        <v>0.34475</v>
      </c>
      <c r="AA1156" s="32">
        <v>36.700000000000003</v>
      </c>
      <c r="AB1156" s="32">
        <v>687</v>
      </c>
      <c r="AC1156" s="32">
        <v>25</v>
      </c>
      <c r="AD1156" s="32">
        <v>44</v>
      </c>
      <c r="AE1156" s="32">
        <v>0</v>
      </c>
      <c r="AF1156" s="32">
        <v>0</v>
      </c>
      <c r="AG1156" s="32" t="s">
        <v>200</v>
      </c>
    </row>
    <row r="1157" spans="1:33">
      <c r="A1157" s="32" t="s">
        <v>4019</v>
      </c>
      <c r="B1157" s="32" t="s">
        <v>114</v>
      </c>
      <c r="C1157" s="32" t="s">
        <v>4020</v>
      </c>
      <c r="D1157" s="32" t="s">
        <v>4021</v>
      </c>
      <c r="E1157" s="32" t="s">
        <v>4022</v>
      </c>
      <c r="F1157" s="32" t="s">
        <v>4023</v>
      </c>
      <c r="G1157" s="32" t="s">
        <v>3993</v>
      </c>
      <c r="H1157" s="32" t="s">
        <v>3994</v>
      </c>
      <c r="I1157" s="32" t="s">
        <v>198</v>
      </c>
      <c r="J1157" s="32" t="s">
        <v>199</v>
      </c>
      <c r="K1157" s="32">
        <v>2.3323019999999999</v>
      </c>
      <c r="L1157" s="33">
        <v>1736</v>
      </c>
      <c r="M1157" s="32">
        <v>316</v>
      </c>
      <c r="N1157" s="32">
        <v>292</v>
      </c>
      <c r="O1157" s="32">
        <v>436</v>
      </c>
      <c r="P1157" s="32">
        <v>395</v>
      </c>
      <c r="Q1157" s="32">
        <v>297</v>
      </c>
      <c r="R1157" s="32">
        <v>4</v>
      </c>
      <c r="S1157" s="32">
        <v>30.3432</v>
      </c>
      <c r="T1157" s="32">
        <v>5.1363599999999998</v>
      </c>
      <c r="U1157" s="32">
        <v>0.68800009399999995</v>
      </c>
      <c r="V1157" s="32">
        <v>8</v>
      </c>
      <c r="W1157" s="32">
        <v>0.90354900000000005</v>
      </c>
      <c r="X1157" s="32">
        <v>0.123862</v>
      </c>
      <c r="Y1157" s="32">
        <v>0.8</v>
      </c>
      <c r="Z1157" s="32">
        <v>0.50226199999999999</v>
      </c>
      <c r="AA1157" s="32">
        <v>43</v>
      </c>
      <c r="AB1157" s="32">
        <v>616</v>
      </c>
      <c r="AC1157" s="32">
        <v>38</v>
      </c>
      <c r="AD1157" s="32">
        <v>35</v>
      </c>
      <c r="AE1157" s="32" t="s">
        <v>200</v>
      </c>
      <c r="AF1157" s="32" t="s">
        <v>200</v>
      </c>
      <c r="AG1157" s="32" t="s">
        <v>200</v>
      </c>
    </row>
    <row r="1158" spans="1:33">
      <c r="A1158" s="32" t="s">
        <v>2988</v>
      </c>
      <c r="B1158" s="32" t="s">
        <v>115</v>
      </c>
      <c r="C1158" s="32" t="s">
        <v>2989</v>
      </c>
      <c r="D1158" s="32" t="s">
        <v>2990</v>
      </c>
      <c r="E1158" s="32" t="s">
        <v>2807</v>
      </c>
      <c r="F1158" s="32" t="s">
        <v>2808</v>
      </c>
      <c r="G1158" s="32" t="s">
        <v>2759</v>
      </c>
      <c r="H1158" s="32" t="s">
        <v>2760</v>
      </c>
      <c r="I1158" s="32" t="s">
        <v>198</v>
      </c>
      <c r="J1158" s="32" t="s">
        <v>199</v>
      </c>
      <c r="K1158" s="32">
        <v>2.3784670000000001</v>
      </c>
      <c r="L1158" s="33">
        <v>2184</v>
      </c>
      <c r="M1158" s="32">
        <v>485</v>
      </c>
      <c r="N1158" s="32">
        <v>359</v>
      </c>
      <c r="O1158" s="32">
        <v>520</v>
      </c>
      <c r="P1158" s="32">
        <v>576</v>
      </c>
      <c r="Q1158" s="32">
        <v>244</v>
      </c>
      <c r="R1158" s="32">
        <v>3</v>
      </c>
      <c r="S1158" s="32">
        <v>17.1327</v>
      </c>
      <c r="T1158" s="32">
        <v>0</v>
      </c>
      <c r="U1158" s="32">
        <v>0.83863745300000003</v>
      </c>
      <c r="V1158" s="32">
        <v>4</v>
      </c>
      <c r="W1158" s="32">
        <v>0.85395799999999999</v>
      </c>
      <c r="X1158" s="32">
        <v>0.232847</v>
      </c>
      <c r="Y1158" s="32">
        <v>0.7</v>
      </c>
      <c r="Z1158" s="32">
        <v>0.59393200000000002</v>
      </c>
      <c r="AA1158" s="32">
        <v>48.6</v>
      </c>
      <c r="AB1158" s="32">
        <v>868</v>
      </c>
      <c r="AC1158" s="32">
        <v>28</v>
      </c>
      <c r="AD1158" s="32">
        <v>100</v>
      </c>
      <c r="AE1158" s="32">
        <v>8</v>
      </c>
      <c r="AF1158" s="32">
        <v>0</v>
      </c>
      <c r="AG1158" s="32">
        <v>6</v>
      </c>
    </row>
    <row r="1159" spans="1:33">
      <c r="A1159" s="32" t="s">
        <v>4185</v>
      </c>
      <c r="B1159" s="32" t="s">
        <v>115</v>
      </c>
      <c r="C1159" s="32" t="s">
        <v>4186</v>
      </c>
      <c r="D1159" s="32" t="s">
        <v>4187</v>
      </c>
      <c r="E1159" s="32" t="s">
        <v>4188</v>
      </c>
      <c r="F1159" s="32" t="s">
        <v>4189</v>
      </c>
      <c r="G1159" s="32" t="s">
        <v>4059</v>
      </c>
      <c r="H1159" s="32" t="s">
        <v>4060</v>
      </c>
      <c r="I1159" s="32" t="s">
        <v>198</v>
      </c>
      <c r="J1159" s="32" t="s">
        <v>199</v>
      </c>
      <c r="K1159" s="32">
        <v>1.966043</v>
      </c>
      <c r="L1159" s="33">
        <v>1572</v>
      </c>
      <c r="M1159" s="32">
        <v>338</v>
      </c>
      <c r="N1159" s="32">
        <v>198</v>
      </c>
      <c r="O1159" s="32">
        <v>297</v>
      </c>
      <c r="P1159" s="32">
        <v>433</v>
      </c>
      <c r="Q1159" s="32">
        <v>306</v>
      </c>
      <c r="R1159" s="32">
        <v>2</v>
      </c>
      <c r="S1159" s="32">
        <v>10.729900000000001</v>
      </c>
      <c r="T1159" s="32">
        <v>0</v>
      </c>
      <c r="U1159" s="32">
        <v>0.84433875899999999</v>
      </c>
      <c r="V1159" s="32">
        <v>9</v>
      </c>
      <c r="W1159" s="32">
        <v>0.82048600000000005</v>
      </c>
      <c r="X1159" s="32">
        <v>0.18251899999999999</v>
      </c>
      <c r="Y1159" s="32">
        <v>0.7</v>
      </c>
      <c r="Z1159" s="32">
        <v>0.25344499999999998</v>
      </c>
      <c r="AA1159" s="32">
        <v>24.3</v>
      </c>
      <c r="AB1159" s="32">
        <v>672</v>
      </c>
      <c r="AC1159" s="32">
        <v>36</v>
      </c>
      <c r="AD1159" s="32">
        <v>56</v>
      </c>
      <c r="AE1159" s="32">
        <v>7</v>
      </c>
      <c r="AF1159" s="32" t="s">
        <v>200</v>
      </c>
      <c r="AG1159" s="32" t="s">
        <v>200</v>
      </c>
    </row>
    <row r="1160" spans="1:33">
      <c r="A1160" s="32" t="s">
        <v>4190</v>
      </c>
      <c r="B1160" s="32" t="s">
        <v>115</v>
      </c>
      <c r="C1160" s="32" t="s">
        <v>4191</v>
      </c>
      <c r="D1160" s="32" t="s">
        <v>4192</v>
      </c>
      <c r="E1160" s="32" t="s">
        <v>4188</v>
      </c>
      <c r="F1160" s="32" t="s">
        <v>4189</v>
      </c>
      <c r="G1160" s="32" t="s">
        <v>4059</v>
      </c>
      <c r="H1160" s="32" t="s">
        <v>4060</v>
      </c>
      <c r="I1160" s="32" t="s">
        <v>198</v>
      </c>
      <c r="J1160" s="32" t="s">
        <v>199</v>
      </c>
      <c r="K1160" s="32">
        <v>1.983616</v>
      </c>
      <c r="L1160" s="33">
        <v>1752</v>
      </c>
      <c r="M1160" s="32">
        <v>377</v>
      </c>
      <c r="N1160" s="32">
        <v>272</v>
      </c>
      <c r="O1160" s="32">
        <v>443</v>
      </c>
      <c r="P1160" s="32">
        <v>444</v>
      </c>
      <c r="Q1160" s="32">
        <v>216</v>
      </c>
      <c r="R1160" s="32">
        <v>3</v>
      </c>
      <c r="S1160" s="32">
        <v>16.584</v>
      </c>
      <c r="T1160" s="32">
        <v>7.0428499999999996</v>
      </c>
      <c r="U1160" s="32">
        <v>1.052503862</v>
      </c>
      <c r="V1160" s="32">
        <v>5</v>
      </c>
      <c r="W1160" s="32">
        <v>0.82730700000000001</v>
      </c>
      <c r="X1160" s="32">
        <v>0.16068099999999999</v>
      </c>
      <c r="Y1160" s="32">
        <v>0.7</v>
      </c>
      <c r="Z1160" s="32">
        <v>0.31147200000000003</v>
      </c>
      <c r="AA1160" s="32">
        <v>24.7</v>
      </c>
      <c r="AB1160" s="32">
        <v>635</v>
      </c>
      <c r="AC1160" s="32">
        <v>45</v>
      </c>
      <c r="AD1160" s="32">
        <v>58</v>
      </c>
      <c r="AE1160" s="32">
        <v>6</v>
      </c>
      <c r="AF1160" s="32" t="s">
        <v>200</v>
      </c>
      <c r="AG1160" s="32" t="s">
        <v>200</v>
      </c>
    </row>
    <row r="1161" spans="1:33">
      <c r="A1161" s="32" t="s">
        <v>4193</v>
      </c>
      <c r="B1161" s="32" t="s">
        <v>115</v>
      </c>
      <c r="C1161" s="32" t="s">
        <v>4194</v>
      </c>
      <c r="D1161" s="32" t="s">
        <v>4195</v>
      </c>
      <c r="E1161" s="32" t="s">
        <v>4188</v>
      </c>
      <c r="F1161" s="32" t="s">
        <v>4189</v>
      </c>
      <c r="G1161" s="32" t="s">
        <v>4059</v>
      </c>
      <c r="H1161" s="32" t="s">
        <v>4060</v>
      </c>
      <c r="I1161" s="32" t="s">
        <v>198</v>
      </c>
      <c r="J1161" s="32" t="s">
        <v>199</v>
      </c>
      <c r="K1161" s="32">
        <v>1.8359049999999999</v>
      </c>
      <c r="L1161" s="33">
        <v>1356</v>
      </c>
      <c r="M1161" s="32">
        <v>233</v>
      </c>
      <c r="N1161" s="32">
        <v>178</v>
      </c>
      <c r="O1161" s="32">
        <v>280</v>
      </c>
      <c r="P1161" s="32">
        <v>376</v>
      </c>
      <c r="Q1161" s="32">
        <v>289</v>
      </c>
      <c r="R1161" s="32">
        <v>2</v>
      </c>
      <c r="S1161" s="32">
        <v>12.2682</v>
      </c>
      <c r="T1161" s="32">
        <v>0</v>
      </c>
      <c r="U1161" s="32">
        <v>1.0077670160000001</v>
      </c>
      <c r="V1161" s="32">
        <v>7</v>
      </c>
      <c r="W1161" s="32">
        <v>0.80661400000000005</v>
      </c>
      <c r="X1161" s="32">
        <v>2.75E-2</v>
      </c>
      <c r="Y1161" s="32">
        <v>0.7</v>
      </c>
      <c r="Z1161" s="32">
        <v>0.305363</v>
      </c>
      <c r="AA1161" s="32">
        <v>16.7</v>
      </c>
      <c r="AB1161" s="32">
        <v>657</v>
      </c>
      <c r="AC1161" s="32">
        <v>20</v>
      </c>
      <c r="AD1161" s="32">
        <v>47</v>
      </c>
      <c r="AE1161" s="32">
        <v>0</v>
      </c>
      <c r="AF1161" s="32">
        <v>0</v>
      </c>
      <c r="AG1161" s="32" t="s">
        <v>200</v>
      </c>
    </row>
    <row r="1162" spans="1:33">
      <c r="A1162" s="32" t="s">
        <v>4196</v>
      </c>
      <c r="B1162" s="32" t="s">
        <v>115</v>
      </c>
      <c r="C1162" s="32" t="s">
        <v>4197</v>
      </c>
      <c r="D1162" s="32" t="s">
        <v>4198</v>
      </c>
      <c r="E1162" s="32" t="s">
        <v>4188</v>
      </c>
      <c r="F1162" s="32" t="s">
        <v>4189</v>
      </c>
      <c r="G1162" s="32" t="s">
        <v>4059</v>
      </c>
      <c r="H1162" s="32" t="s">
        <v>4060</v>
      </c>
      <c r="I1162" s="32" t="s">
        <v>198</v>
      </c>
      <c r="J1162" s="32" t="s">
        <v>199</v>
      </c>
      <c r="K1162" s="32">
        <v>1.930485</v>
      </c>
      <c r="L1162" s="33">
        <v>1597</v>
      </c>
      <c r="M1162" s="32">
        <v>342</v>
      </c>
      <c r="N1162" s="32">
        <v>234</v>
      </c>
      <c r="O1162" s="32">
        <v>425</v>
      </c>
      <c r="P1162" s="32">
        <v>420</v>
      </c>
      <c r="Q1162" s="32">
        <v>176</v>
      </c>
      <c r="R1162" s="32">
        <v>2</v>
      </c>
      <c r="S1162" s="32">
        <v>17.330100000000002</v>
      </c>
      <c r="T1162" s="32">
        <v>2.3161100000000001</v>
      </c>
      <c r="U1162" s="32">
        <v>0.95965247099999995</v>
      </c>
      <c r="V1162" s="32">
        <v>7</v>
      </c>
      <c r="W1162" s="32">
        <v>0.81747599999999998</v>
      </c>
      <c r="X1162" s="32">
        <v>6.5625000000000003E-2</v>
      </c>
      <c r="Y1162" s="32">
        <v>0.7</v>
      </c>
      <c r="Z1162" s="32">
        <v>0.34368900000000002</v>
      </c>
      <c r="AA1162" s="32">
        <v>16</v>
      </c>
      <c r="AB1162" s="32">
        <v>568</v>
      </c>
      <c r="AC1162" s="32">
        <v>30</v>
      </c>
      <c r="AD1162" s="32">
        <v>39</v>
      </c>
      <c r="AE1162" s="32" t="s">
        <v>200</v>
      </c>
      <c r="AF1162" s="32" t="s">
        <v>200</v>
      </c>
      <c r="AG1162" s="32" t="s">
        <v>200</v>
      </c>
    </row>
    <row r="1163" spans="1:33">
      <c r="A1163" s="32" t="s">
        <v>4199</v>
      </c>
      <c r="B1163" s="32" t="s">
        <v>115</v>
      </c>
      <c r="C1163" s="32" t="s">
        <v>4200</v>
      </c>
      <c r="D1163" s="32" t="s">
        <v>4201</v>
      </c>
      <c r="E1163" s="32" t="s">
        <v>4202</v>
      </c>
      <c r="F1163" s="32" t="s">
        <v>4203</v>
      </c>
      <c r="G1163" s="32" t="s">
        <v>4059</v>
      </c>
      <c r="H1163" s="32" t="s">
        <v>4060</v>
      </c>
      <c r="I1163" s="32" t="s">
        <v>198</v>
      </c>
      <c r="J1163" s="32" t="s">
        <v>199</v>
      </c>
      <c r="K1163" s="32">
        <v>2.2081249999999999</v>
      </c>
      <c r="L1163" s="33">
        <v>1816</v>
      </c>
      <c r="M1163" s="32">
        <v>315</v>
      </c>
      <c r="N1163" s="32">
        <v>305</v>
      </c>
      <c r="O1163" s="32">
        <v>492</v>
      </c>
      <c r="P1163" s="32">
        <v>365</v>
      </c>
      <c r="Q1163" s="32">
        <v>339</v>
      </c>
      <c r="R1163" s="32">
        <v>5</v>
      </c>
      <c r="S1163" s="32">
        <v>29.773599999999998</v>
      </c>
      <c r="T1163" s="32">
        <v>3.5329799999999998</v>
      </c>
      <c r="U1163" s="32">
        <v>0.95486427799999996</v>
      </c>
      <c r="V1163" s="32">
        <v>4</v>
      </c>
      <c r="W1163" s="32">
        <v>0.80666700000000002</v>
      </c>
      <c r="X1163" s="32">
        <v>4.8319000000000001E-2</v>
      </c>
      <c r="Y1163" s="32">
        <v>0.78742299999999998</v>
      </c>
      <c r="Z1163" s="32">
        <v>0.57270799999999999</v>
      </c>
      <c r="AA1163" s="32">
        <v>24.9</v>
      </c>
      <c r="AB1163" s="32">
        <v>543</v>
      </c>
      <c r="AC1163" s="32">
        <v>32</v>
      </c>
      <c r="AD1163" s="32">
        <v>48</v>
      </c>
      <c r="AE1163" s="32">
        <v>0</v>
      </c>
      <c r="AF1163" s="32">
        <v>6</v>
      </c>
      <c r="AG1163" s="32" t="s">
        <v>200</v>
      </c>
    </row>
    <row r="1164" spans="1:33">
      <c r="A1164" s="32" t="s">
        <v>4204</v>
      </c>
      <c r="B1164" s="32" t="s">
        <v>115</v>
      </c>
      <c r="C1164" s="32" t="s">
        <v>4205</v>
      </c>
      <c r="D1164" s="32" t="s">
        <v>4206</v>
      </c>
      <c r="E1164" s="32" t="s">
        <v>4202</v>
      </c>
      <c r="F1164" s="32" t="s">
        <v>4203</v>
      </c>
      <c r="G1164" s="32" t="s">
        <v>4059</v>
      </c>
      <c r="H1164" s="32" t="s">
        <v>4060</v>
      </c>
      <c r="I1164" s="32" t="s">
        <v>198</v>
      </c>
      <c r="J1164" s="32" t="s">
        <v>199</v>
      </c>
      <c r="K1164" s="32">
        <v>1.9544010000000001</v>
      </c>
      <c r="L1164" s="33">
        <v>1934</v>
      </c>
      <c r="M1164" s="32">
        <v>316</v>
      </c>
      <c r="N1164" s="32">
        <v>319</v>
      </c>
      <c r="O1164" s="32">
        <v>610</v>
      </c>
      <c r="P1164" s="32">
        <v>423</v>
      </c>
      <c r="Q1164" s="32">
        <v>266</v>
      </c>
      <c r="R1164" s="32">
        <v>2</v>
      </c>
      <c r="S1164" s="32">
        <v>18.0944</v>
      </c>
      <c r="T1164" s="32">
        <v>0</v>
      </c>
      <c r="U1164" s="32">
        <v>0.95084302600000004</v>
      </c>
      <c r="V1164" s="32">
        <v>6</v>
      </c>
      <c r="W1164" s="32">
        <v>0.8</v>
      </c>
      <c r="X1164" s="32">
        <v>4.1843999999999999E-2</v>
      </c>
      <c r="Y1164" s="32">
        <v>0.71873900000000002</v>
      </c>
      <c r="Z1164" s="32">
        <v>0.39822400000000002</v>
      </c>
      <c r="AA1164" s="32">
        <v>22.4</v>
      </c>
      <c r="AB1164" s="32">
        <v>667</v>
      </c>
      <c r="AC1164" s="32">
        <v>32</v>
      </c>
      <c r="AD1164" s="32">
        <v>42</v>
      </c>
      <c r="AE1164" s="32">
        <v>0</v>
      </c>
      <c r="AF1164" s="32" t="s">
        <v>200</v>
      </c>
      <c r="AG1164" s="32" t="s">
        <v>200</v>
      </c>
    </row>
    <row r="1165" spans="1:33">
      <c r="A1165" s="32" t="s">
        <v>4207</v>
      </c>
      <c r="B1165" s="32" t="s">
        <v>115</v>
      </c>
      <c r="C1165" s="32" t="s">
        <v>4208</v>
      </c>
      <c r="D1165" s="32" t="s">
        <v>4209</v>
      </c>
      <c r="E1165" s="32" t="s">
        <v>4210</v>
      </c>
      <c r="F1165" s="32" t="s">
        <v>4211</v>
      </c>
      <c r="G1165" s="32" t="s">
        <v>4059</v>
      </c>
      <c r="H1165" s="32" t="s">
        <v>4060</v>
      </c>
      <c r="I1165" s="32" t="s">
        <v>198</v>
      </c>
      <c r="J1165" s="32" t="s">
        <v>199</v>
      </c>
      <c r="K1165" s="32">
        <v>2.355556</v>
      </c>
      <c r="L1165" s="33">
        <v>1882</v>
      </c>
      <c r="M1165" s="32">
        <v>362</v>
      </c>
      <c r="N1165" s="32">
        <v>213</v>
      </c>
      <c r="O1165" s="32">
        <v>619</v>
      </c>
      <c r="P1165" s="32">
        <v>423</v>
      </c>
      <c r="Q1165" s="32">
        <v>265</v>
      </c>
      <c r="R1165" s="32">
        <v>5</v>
      </c>
      <c r="S1165" s="32">
        <v>33.342399999999998</v>
      </c>
      <c r="T1165" s="32">
        <v>12.9711</v>
      </c>
      <c r="U1165" s="32">
        <v>0.68398464400000003</v>
      </c>
      <c r="V1165" s="32">
        <v>8</v>
      </c>
      <c r="W1165" s="32">
        <v>0.811581</v>
      </c>
      <c r="X1165" s="32">
        <v>0.15615100000000001</v>
      </c>
      <c r="Y1165" s="32">
        <v>0.8</v>
      </c>
      <c r="Z1165" s="32">
        <v>0.59591799999999995</v>
      </c>
      <c r="AA1165" s="32">
        <v>29.7</v>
      </c>
      <c r="AB1165" s="32">
        <v>607</v>
      </c>
      <c r="AC1165" s="32">
        <v>16</v>
      </c>
      <c r="AD1165" s="32">
        <v>35</v>
      </c>
      <c r="AE1165" s="32" t="s">
        <v>200</v>
      </c>
      <c r="AF1165" s="32" t="s">
        <v>200</v>
      </c>
      <c r="AG1165" s="32">
        <v>0</v>
      </c>
    </row>
    <row r="1166" spans="1:33">
      <c r="A1166" s="32" t="s">
        <v>4212</v>
      </c>
      <c r="B1166" s="32" t="s">
        <v>115</v>
      </c>
      <c r="C1166" s="32" t="s">
        <v>4213</v>
      </c>
      <c r="D1166" s="32" t="s">
        <v>4214</v>
      </c>
      <c r="E1166" s="32" t="s">
        <v>4089</v>
      </c>
      <c r="F1166" s="32" t="s">
        <v>4090</v>
      </c>
      <c r="G1166" s="32" t="s">
        <v>4059</v>
      </c>
      <c r="H1166" s="32" t="s">
        <v>4060</v>
      </c>
      <c r="I1166" s="32" t="s">
        <v>198</v>
      </c>
      <c r="J1166" s="32" t="s">
        <v>199</v>
      </c>
      <c r="K1166" s="32">
        <v>2.1276959999999998</v>
      </c>
      <c r="L1166" s="33">
        <v>1229</v>
      </c>
      <c r="M1166" s="32">
        <v>214</v>
      </c>
      <c r="N1166" s="32">
        <v>174</v>
      </c>
      <c r="O1166" s="32">
        <v>215</v>
      </c>
      <c r="P1166" s="32">
        <v>408</v>
      </c>
      <c r="Q1166" s="32">
        <v>218</v>
      </c>
      <c r="R1166" s="32">
        <v>3</v>
      </c>
      <c r="S1166" s="32">
        <v>13.199</v>
      </c>
      <c r="T1166" s="32">
        <v>5.4095899999999997</v>
      </c>
      <c r="U1166" s="32">
        <v>0.66572120800000001</v>
      </c>
      <c r="V1166" s="32">
        <v>10</v>
      </c>
      <c r="W1166" s="32">
        <v>0.82436799999999999</v>
      </c>
      <c r="X1166" s="32">
        <v>0.204794</v>
      </c>
      <c r="Y1166" s="32">
        <v>0.80725599999999997</v>
      </c>
      <c r="Z1166" s="32">
        <v>0.3</v>
      </c>
      <c r="AA1166" s="32">
        <v>19</v>
      </c>
      <c r="AB1166" s="32">
        <v>669</v>
      </c>
      <c r="AC1166" s="32">
        <v>18</v>
      </c>
      <c r="AD1166" s="32">
        <v>71</v>
      </c>
      <c r="AE1166" s="32" t="s">
        <v>200</v>
      </c>
      <c r="AF1166" s="32">
        <v>0</v>
      </c>
      <c r="AG1166" s="32" t="s">
        <v>200</v>
      </c>
    </row>
    <row r="1167" spans="1:33">
      <c r="A1167" s="32" t="s">
        <v>4215</v>
      </c>
      <c r="B1167" s="32" t="s">
        <v>115</v>
      </c>
      <c r="C1167" s="32" t="s">
        <v>4216</v>
      </c>
      <c r="D1167" s="32" t="s">
        <v>4217</v>
      </c>
      <c r="E1167" s="32" t="s">
        <v>4210</v>
      </c>
      <c r="F1167" s="32" t="s">
        <v>4211</v>
      </c>
      <c r="G1167" s="32" t="s">
        <v>4059</v>
      </c>
      <c r="H1167" s="32" t="s">
        <v>4060</v>
      </c>
      <c r="I1167" s="32" t="s">
        <v>198</v>
      </c>
      <c r="J1167" s="32" t="s">
        <v>199</v>
      </c>
      <c r="K1167" s="32">
        <v>2.0447829999999998</v>
      </c>
      <c r="L1167" s="33">
        <v>1615</v>
      </c>
      <c r="M1167" s="32">
        <v>283</v>
      </c>
      <c r="N1167" s="32">
        <v>229</v>
      </c>
      <c r="O1167" s="32">
        <v>399</v>
      </c>
      <c r="P1167" s="32">
        <v>400</v>
      </c>
      <c r="Q1167" s="32">
        <v>304</v>
      </c>
      <c r="R1167" s="32">
        <v>3</v>
      </c>
      <c r="S1167" s="32">
        <v>24.92</v>
      </c>
      <c r="T1167" s="32">
        <v>2.3251900000000001</v>
      </c>
      <c r="U1167" s="32">
        <v>0.804469989</v>
      </c>
      <c r="V1167" s="32">
        <v>9</v>
      </c>
      <c r="W1167" s="32">
        <v>0.810145</v>
      </c>
      <c r="X1167" s="32">
        <v>0.13100400000000001</v>
      </c>
      <c r="Y1167" s="32">
        <v>0.8</v>
      </c>
      <c r="Z1167" s="32">
        <v>0.31898599999999999</v>
      </c>
      <c r="AA1167" s="32">
        <v>22.7</v>
      </c>
      <c r="AB1167" s="32">
        <v>649</v>
      </c>
      <c r="AC1167" s="32">
        <v>26</v>
      </c>
      <c r="AD1167" s="32">
        <v>31</v>
      </c>
      <c r="AE1167" s="32">
        <v>0</v>
      </c>
      <c r="AF1167" s="32">
        <v>0</v>
      </c>
      <c r="AG1167" s="32">
        <v>0</v>
      </c>
    </row>
    <row r="1168" spans="1:33">
      <c r="A1168" s="32" t="s">
        <v>4218</v>
      </c>
      <c r="B1168" s="32" t="s">
        <v>115</v>
      </c>
      <c r="C1168" s="32" t="s">
        <v>4219</v>
      </c>
      <c r="D1168" s="32" t="s">
        <v>4220</v>
      </c>
      <c r="E1168" s="32" t="s">
        <v>4129</v>
      </c>
      <c r="F1168" s="32" t="s">
        <v>4130</v>
      </c>
      <c r="G1168" s="32" t="s">
        <v>4059</v>
      </c>
      <c r="H1168" s="32" t="s">
        <v>4060</v>
      </c>
      <c r="I1168" s="32" t="s">
        <v>198</v>
      </c>
      <c r="J1168" s="32" t="s">
        <v>199</v>
      </c>
      <c r="K1168" s="32">
        <v>2.1119379999999999</v>
      </c>
      <c r="L1168" s="33">
        <v>1627</v>
      </c>
      <c r="M1168" s="32">
        <v>354</v>
      </c>
      <c r="N1168" s="32">
        <v>246</v>
      </c>
      <c r="O1168" s="32">
        <v>416</v>
      </c>
      <c r="P1168" s="32">
        <v>422</v>
      </c>
      <c r="Q1168" s="32">
        <v>189</v>
      </c>
      <c r="R1168" s="32">
        <v>2</v>
      </c>
      <c r="S1168" s="32">
        <v>15.695399999999999</v>
      </c>
      <c r="T1168" s="32">
        <v>5.1498699999999999</v>
      </c>
      <c r="U1168" s="32">
        <v>0.77261200299999999</v>
      </c>
      <c r="V1168" s="32">
        <v>8</v>
      </c>
      <c r="W1168" s="32">
        <v>0.81007799999999996</v>
      </c>
      <c r="X1168" s="32">
        <v>7.4130000000000001E-2</v>
      </c>
      <c r="Y1168" s="32">
        <v>0.88619599999999998</v>
      </c>
      <c r="Z1168" s="32">
        <v>0.34126699999999999</v>
      </c>
      <c r="AA1168" s="32">
        <v>22.3</v>
      </c>
      <c r="AB1168" s="32">
        <v>670</v>
      </c>
      <c r="AC1168" s="32">
        <v>34</v>
      </c>
      <c r="AD1168" s="32">
        <v>45</v>
      </c>
      <c r="AE1168" s="32">
        <v>0</v>
      </c>
      <c r="AF1168" s="32" t="s">
        <v>200</v>
      </c>
      <c r="AG1168" s="32" t="s">
        <v>200</v>
      </c>
    </row>
    <row r="1169" spans="1:33">
      <c r="A1169" s="32" t="s">
        <v>4221</v>
      </c>
      <c r="B1169" s="32" t="s">
        <v>115</v>
      </c>
      <c r="C1169" s="32" t="s">
        <v>4222</v>
      </c>
      <c r="D1169" s="32" t="s">
        <v>4223</v>
      </c>
      <c r="E1169" s="32" t="s">
        <v>4210</v>
      </c>
      <c r="F1169" s="32" t="s">
        <v>4211</v>
      </c>
      <c r="G1169" s="32" t="s">
        <v>4059</v>
      </c>
      <c r="H1169" s="32" t="s">
        <v>4060</v>
      </c>
      <c r="I1169" s="32" t="s">
        <v>198</v>
      </c>
      <c r="J1169" s="32" t="s">
        <v>199</v>
      </c>
      <c r="K1169" s="32">
        <v>2.2714020000000001</v>
      </c>
      <c r="L1169" s="33">
        <v>1583</v>
      </c>
      <c r="M1169" s="32">
        <v>334</v>
      </c>
      <c r="N1169" s="32">
        <v>228</v>
      </c>
      <c r="O1169" s="32">
        <v>472</v>
      </c>
      <c r="P1169" s="32">
        <v>347</v>
      </c>
      <c r="Q1169" s="32">
        <v>202</v>
      </c>
      <c r="R1169" s="32">
        <v>5</v>
      </c>
      <c r="S1169" s="32">
        <v>28.946100000000001</v>
      </c>
      <c r="T1169" s="32">
        <v>10.1594</v>
      </c>
      <c r="U1169" s="32">
        <v>0.74354392899999999</v>
      </c>
      <c r="V1169" s="32">
        <v>7</v>
      </c>
      <c r="W1169" s="32">
        <v>0.81401900000000005</v>
      </c>
      <c r="X1169" s="32">
        <v>9.5880000000000007E-2</v>
      </c>
      <c r="Y1169" s="32">
        <v>0.82420300000000002</v>
      </c>
      <c r="Z1169" s="32">
        <v>0.53872200000000003</v>
      </c>
      <c r="AA1169" s="32">
        <v>29.2</v>
      </c>
      <c r="AB1169" s="32">
        <v>513</v>
      </c>
      <c r="AC1169" s="32">
        <v>35</v>
      </c>
      <c r="AD1169" s="32">
        <v>28</v>
      </c>
      <c r="AE1169" s="32">
        <v>0</v>
      </c>
      <c r="AF1169" s="32">
        <v>0</v>
      </c>
      <c r="AG1169" s="32" t="s">
        <v>200</v>
      </c>
    </row>
    <row r="1170" spans="1:33">
      <c r="A1170" s="32" t="s">
        <v>4224</v>
      </c>
      <c r="B1170" s="32" t="s">
        <v>115</v>
      </c>
      <c r="C1170" s="32" t="s">
        <v>4225</v>
      </c>
      <c r="D1170" s="32" t="s">
        <v>4226</v>
      </c>
      <c r="E1170" s="32" t="s">
        <v>4227</v>
      </c>
      <c r="F1170" s="32" t="s">
        <v>4228</v>
      </c>
      <c r="G1170" s="32" t="s">
        <v>4059</v>
      </c>
      <c r="H1170" s="32" t="s">
        <v>4060</v>
      </c>
      <c r="I1170" s="32" t="s">
        <v>198</v>
      </c>
      <c r="J1170" s="32" t="s">
        <v>199</v>
      </c>
      <c r="K1170" s="32">
        <v>2.3591039999999999</v>
      </c>
      <c r="L1170" s="33">
        <v>1877</v>
      </c>
      <c r="M1170" s="32">
        <v>393</v>
      </c>
      <c r="N1170" s="32">
        <v>274</v>
      </c>
      <c r="O1170" s="32">
        <v>626</v>
      </c>
      <c r="P1170" s="32">
        <v>409</v>
      </c>
      <c r="Q1170" s="32">
        <v>175</v>
      </c>
      <c r="R1170" s="32" t="s">
        <v>302</v>
      </c>
      <c r="S1170" s="32">
        <v>31.331199999999999</v>
      </c>
      <c r="T1170" s="32">
        <v>14.1218</v>
      </c>
      <c r="U1170" s="32">
        <v>0.80010496499999995</v>
      </c>
      <c r="V1170" s="32">
        <v>6</v>
      </c>
      <c r="W1170" s="32">
        <v>0.81546200000000002</v>
      </c>
      <c r="X1170" s="32">
        <v>0.127641</v>
      </c>
      <c r="Y1170" s="32">
        <v>0.79782299999999995</v>
      </c>
      <c r="Z1170" s="32">
        <v>0.61763000000000001</v>
      </c>
      <c r="AA1170" s="32">
        <v>22.1</v>
      </c>
      <c r="AB1170" s="32">
        <v>652</v>
      </c>
      <c r="AC1170" s="32">
        <v>44</v>
      </c>
      <c r="AD1170" s="32">
        <v>51</v>
      </c>
      <c r="AE1170" s="32">
        <v>0</v>
      </c>
      <c r="AF1170" s="32">
        <v>6</v>
      </c>
      <c r="AG1170" s="32" t="s">
        <v>200</v>
      </c>
    </row>
    <row r="1171" spans="1:33">
      <c r="A1171" s="32" t="s">
        <v>4229</v>
      </c>
      <c r="B1171" s="32" t="s">
        <v>115</v>
      </c>
      <c r="C1171" s="32" t="s">
        <v>4230</v>
      </c>
      <c r="D1171" s="32" t="s">
        <v>4231</v>
      </c>
      <c r="E1171" s="32" t="s">
        <v>4232</v>
      </c>
      <c r="F1171" s="32" t="s">
        <v>4233</v>
      </c>
      <c r="G1171" s="32" t="s">
        <v>4059</v>
      </c>
      <c r="H1171" s="32" t="s">
        <v>4060</v>
      </c>
      <c r="I1171" s="32" t="s">
        <v>198</v>
      </c>
      <c r="J1171" s="32" t="s">
        <v>199</v>
      </c>
      <c r="K1171" s="32">
        <v>2.0795149999999998</v>
      </c>
      <c r="L1171" s="33">
        <v>1462</v>
      </c>
      <c r="M1171" s="32">
        <v>313</v>
      </c>
      <c r="N1171" s="32">
        <v>183</v>
      </c>
      <c r="O1171" s="32">
        <v>401</v>
      </c>
      <c r="P1171" s="32">
        <v>388</v>
      </c>
      <c r="Q1171" s="32">
        <v>177</v>
      </c>
      <c r="R1171" s="32">
        <v>3</v>
      </c>
      <c r="S1171" s="32">
        <v>28.104600000000001</v>
      </c>
      <c r="T1171" s="32">
        <v>3.1433900000000001</v>
      </c>
      <c r="U1171" s="32">
        <v>0.83202589000000005</v>
      </c>
      <c r="V1171" s="32">
        <v>8</v>
      </c>
      <c r="W1171" s="32">
        <v>0.82643200000000006</v>
      </c>
      <c r="X1171" s="32">
        <v>0.122637</v>
      </c>
      <c r="Y1171" s="32">
        <v>0.71790399999999999</v>
      </c>
      <c r="Z1171" s="32">
        <v>0.41084599999999999</v>
      </c>
      <c r="AA1171" s="32">
        <v>20.7</v>
      </c>
      <c r="AB1171" s="32">
        <v>570</v>
      </c>
      <c r="AC1171" s="32">
        <v>14</v>
      </c>
      <c r="AD1171" s="32">
        <v>35</v>
      </c>
      <c r="AE1171" s="32" t="s">
        <v>200</v>
      </c>
      <c r="AF1171" s="32">
        <v>0</v>
      </c>
      <c r="AG1171" s="32">
        <v>0</v>
      </c>
    </row>
    <row r="1172" spans="1:33">
      <c r="A1172" s="32" t="s">
        <v>4234</v>
      </c>
      <c r="B1172" s="32" t="s">
        <v>115</v>
      </c>
      <c r="C1172" s="32" t="s">
        <v>4235</v>
      </c>
      <c r="D1172" s="32" t="s">
        <v>4236</v>
      </c>
      <c r="E1172" s="32" t="s">
        <v>4227</v>
      </c>
      <c r="F1172" s="32" t="s">
        <v>4228</v>
      </c>
      <c r="G1172" s="32" t="s">
        <v>4059</v>
      </c>
      <c r="H1172" s="32" t="s">
        <v>4060</v>
      </c>
      <c r="I1172" s="32" t="s">
        <v>198</v>
      </c>
      <c r="J1172" s="32" t="s">
        <v>199</v>
      </c>
      <c r="K1172" s="32">
        <v>2.3897270000000002</v>
      </c>
      <c r="L1172" s="33">
        <v>3133</v>
      </c>
      <c r="M1172" s="32">
        <v>699</v>
      </c>
      <c r="N1172" s="32">
        <v>592</v>
      </c>
      <c r="O1172" s="33">
        <v>1007</v>
      </c>
      <c r="P1172" s="32">
        <v>563</v>
      </c>
      <c r="Q1172" s="32">
        <v>272</v>
      </c>
      <c r="R1172" s="32" t="s">
        <v>302</v>
      </c>
      <c r="S1172" s="32">
        <v>33.250599999999999</v>
      </c>
      <c r="T1172" s="32">
        <v>15.213699999999999</v>
      </c>
      <c r="U1172" s="32">
        <v>0.90187955600000003</v>
      </c>
      <c r="V1172" s="32">
        <v>4</v>
      </c>
      <c r="W1172" s="32">
        <v>0.82645500000000005</v>
      </c>
      <c r="X1172" s="32">
        <v>0.121019</v>
      </c>
      <c r="Y1172" s="32">
        <v>0.80462</v>
      </c>
      <c r="Z1172" s="32">
        <v>0.63412199999999996</v>
      </c>
      <c r="AA1172" s="32">
        <v>26.2</v>
      </c>
      <c r="AB1172" s="32">
        <v>773</v>
      </c>
      <c r="AC1172" s="32">
        <v>33</v>
      </c>
      <c r="AD1172" s="32">
        <v>81</v>
      </c>
      <c r="AE1172" s="32" t="s">
        <v>200</v>
      </c>
      <c r="AF1172" s="32">
        <v>0</v>
      </c>
      <c r="AG1172" s="32">
        <v>17</v>
      </c>
    </row>
    <row r="1173" spans="1:33">
      <c r="A1173" s="32" t="s">
        <v>4237</v>
      </c>
      <c r="B1173" s="32" t="s">
        <v>115</v>
      </c>
      <c r="C1173" s="32" t="s">
        <v>4238</v>
      </c>
      <c r="D1173" s="32" t="s">
        <v>4239</v>
      </c>
      <c r="E1173" s="32" t="s">
        <v>4240</v>
      </c>
      <c r="F1173" s="32" t="s">
        <v>4241</v>
      </c>
      <c r="G1173" s="32" t="s">
        <v>4059</v>
      </c>
      <c r="H1173" s="32" t="s">
        <v>4060</v>
      </c>
      <c r="I1173" s="32" t="s">
        <v>198</v>
      </c>
      <c r="J1173" s="32" t="s">
        <v>199</v>
      </c>
      <c r="K1173" s="32">
        <v>1.8447659999999999</v>
      </c>
      <c r="L1173" s="33">
        <v>1283</v>
      </c>
      <c r="M1173" s="32">
        <v>245</v>
      </c>
      <c r="N1173" s="32">
        <v>175</v>
      </c>
      <c r="O1173" s="32">
        <v>260</v>
      </c>
      <c r="P1173" s="32">
        <v>386</v>
      </c>
      <c r="Q1173" s="32">
        <v>217</v>
      </c>
      <c r="R1173" s="32">
        <v>2</v>
      </c>
      <c r="S1173" s="32">
        <v>14.6068</v>
      </c>
      <c r="T1173" s="32">
        <v>6.4695</v>
      </c>
      <c r="U1173" s="32">
        <v>0.89448793800000004</v>
      </c>
      <c r="V1173" s="32">
        <v>9</v>
      </c>
      <c r="W1173" s="32">
        <v>0.81578099999999998</v>
      </c>
      <c r="X1173" s="32">
        <v>2.5641000000000001E-2</v>
      </c>
      <c r="Y1173" s="32">
        <v>0.7</v>
      </c>
      <c r="Z1173" s="32">
        <v>0.3</v>
      </c>
      <c r="AA1173" s="32">
        <v>12.9</v>
      </c>
      <c r="AB1173" s="32">
        <v>595</v>
      </c>
      <c r="AC1173" s="32">
        <v>19</v>
      </c>
      <c r="AD1173" s="32">
        <v>36</v>
      </c>
      <c r="AE1173" s="32">
        <v>0</v>
      </c>
      <c r="AF1173" s="32">
        <v>0</v>
      </c>
      <c r="AG1173" s="32" t="s">
        <v>200</v>
      </c>
    </row>
    <row r="1174" spans="1:33">
      <c r="A1174" s="32" t="s">
        <v>4242</v>
      </c>
      <c r="B1174" s="32" t="s">
        <v>115</v>
      </c>
      <c r="C1174" s="32" t="s">
        <v>4243</v>
      </c>
      <c r="D1174" s="32" t="s">
        <v>4244</v>
      </c>
      <c r="E1174" s="32" t="s">
        <v>4240</v>
      </c>
      <c r="F1174" s="32" t="s">
        <v>4241</v>
      </c>
      <c r="G1174" s="32" t="s">
        <v>4059</v>
      </c>
      <c r="H1174" s="32" t="s">
        <v>4060</v>
      </c>
      <c r="I1174" s="32" t="s">
        <v>198</v>
      </c>
      <c r="J1174" s="32" t="s">
        <v>199</v>
      </c>
      <c r="K1174" s="32">
        <v>2.0163739999999999</v>
      </c>
      <c r="L1174" s="33">
        <v>1566</v>
      </c>
      <c r="M1174" s="32">
        <v>296</v>
      </c>
      <c r="N1174" s="32">
        <v>193</v>
      </c>
      <c r="O1174" s="32">
        <v>482</v>
      </c>
      <c r="P1174" s="32">
        <v>359</v>
      </c>
      <c r="Q1174" s="32">
        <v>236</v>
      </c>
      <c r="R1174" s="32">
        <v>3</v>
      </c>
      <c r="S1174" s="32">
        <v>15.837899999999999</v>
      </c>
      <c r="T1174" s="32">
        <v>1.5515399999999999</v>
      </c>
      <c r="U1174" s="32">
        <v>1.0221999319999999</v>
      </c>
      <c r="V1174" s="32">
        <v>5</v>
      </c>
      <c r="W1174" s="32">
        <v>0.82081400000000004</v>
      </c>
      <c r="X1174" s="32">
        <v>0.11944200000000001</v>
      </c>
      <c r="Y1174" s="32">
        <v>0.7</v>
      </c>
      <c r="Z1174" s="32">
        <v>0.38209599999999999</v>
      </c>
      <c r="AA1174" s="32">
        <v>12.3</v>
      </c>
      <c r="AB1174" s="32">
        <v>602</v>
      </c>
      <c r="AC1174" s="32">
        <v>46</v>
      </c>
      <c r="AD1174" s="32">
        <v>60</v>
      </c>
      <c r="AE1174" s="32">
        <v>0</v>
      </c>
      <c r="AF1174" s="32">
        <v>0</v>
      </c>
      <c r="AG1174" s="32" t="s">
        <v>200</v>
      </c>
    </row>
    <row r="1175" spans="1:33">
      <c r="A1175" s="32" t="s">
        <v>4245</v>
      </c>
      <c r="B1175" s="32" t="s">
        <v>115</v>
      </c>
      <c r="C1175" s="32" t="s">
        <v>4246</v>
      </c>
      <c r="D1175" s="32" t="s">
        <v>4247</v>
      </c>
      <c r="E1175" s="32" t="s">
        <v>4240</v>
      </c>
      <c r="F1175" s="32" t="s">
        <v>4241</v>
      </c>
      <c r="G1175" s="32" t="s">
        <v>4059</v>
      </c>
      <c r="H1175" s="32" t="s">
        <v>4060</v>
      </c>
      <c r="I1175" s="32" t="s">
        <v>198</v>
      </c>
      <c r="J1175" s="32" t="s">
        <v>199</v>
      </c>
      <c r="K1175" s="32">
        <v>1.930294</v>
      </c>
      <c r="L1175" s="33">
        <v>1494</v>
      </c>
      <c r="M1175" s="32">
        <v>320</v>
      </c>
      <c r="N1175" s="32">
        <v>169</v>
      </c>
      <c r="O1175" s="32">
        <v>375</v>
      </c>
      <c r="P1175" s="32">
        <v>381</v>
      </c>
      <c r="Q1175" s="32">
        <v>249</v>
      </c>
      <c r="R1175" s="32">
        <v>2</v>
      </c>
      <c r="S1175" s="32">
        <v>14.328200000000001</v>
      </c>
      <c r="T1175" s="32">
        <v>3.7747000000000002</v>
      </c>
      <c r="U1175" s="32">
        <v>0.84147716900000002</v>
      </c>
      <c r="V1175" s="32">
        <v>9</v>
      </c>
      <c r="W1175" s="32">
        <v>0.81352899999999995</v>
      </c>
      <c r="X1175" s="32">
        <v>9.7147999999999998E-2</v>
      </c>
      <c r="Y1175" s="32">
        <v>0.71087199999999995</v>
      </c>
      <c r="Z1175" s="32">
        <v>0.302838</v>
      </c>
      <c r="AA1175" s="32">
        <v>13.1</v>
      </c>
      <c r="AB1175" s="32">
        <v>656</v>
      </c>
      <c r="AC1175" s="32">
        <v>41</v>
      </c>
      <c r="AD1175" s="32">
        <v>82</v>
      </c>
      <c r="AE1175" s="32" t="s">
        <v>200</v>
      </c>
      <c r="AF1175" s="32">
        <v>6</v>
      </c>
      <c r="AG1175" s="32">
        <v>6</v>
      </c>
    </row>
    <row r="1176" spans="1:33">
      <c r="A1176" s="32" t="s">
        <v>4248</v>
      </c>
      <c r="B1176" s="32" t="s">
        <v>115</v>
      </c>
      <c r="C1176" s="32" t="s">
        <v>4249</v>
      </c>
      <c r="D1176" s="32" t="s">
        <v>4250</v>
      </c>
      <c r="E1176" s="32" t="s">
        <v>4240</v>
      </c>
      <c r="F1176" s="32" t="s">
        <v>4241</v>
      </c>
      <c r="G1176" s="32" t="s">
        <v>4059</v>
      </c>
      <c r="H1176" s="32" t="s">
        <v>4060</v>
      </c>
      <c r="I1176" s="32" t="s">
        <v>198</v>
      </c>
      <c r="J1176" s="32" t="s">
        <v>199</v>
      </c>
      <c r="K1176" s="32">
        <v>1.905632</v>
      </c>
      <c r="L1176" s="33">
        <v>1532</v>
      </c>
      <c r="M1176" s="32">
        <v>303</v>
      </c>
      <c r="N1176" s="32">
        <v>172</v>
      </c>
      <c r="O1176" s="32">
        <v>370</v>
      </c>
      <c r="P1176" s="32">
        <v>452</v>
      </c>
      <c r="Q1176" s="32">
        <v>235</v>
      </c>
      <c r="R1176" s="32">
        <v>2</v>
      </c>
      <c r="S1176" s="32">
        <v>16.923100000000002</v>
      </c>
      <c r="T1176" s="32">
        <v>1.9101300000000001</v>
      </c>
      <c r="U1176" s="32">
        <v>0.91953472800000002</v>
      </c>
      <c r="V1176" s="32">
        <v>8</v>
      </c>
      <c r="W1176" s="32">
        <v>0.82991700000000002</v>
      </c>
      <c r="X1176" s="32">
        <v>7.8372999999999998E-2</v>
      </c>
      <c r="Y1176" s="32">
        <v>0.7</v>
      </c>
      <c r="Z1176" s="32">
        <v>0.30963299999999999</v>
      </c>
      <c r="AA1176" s="32">
        <v>10.3</v>
      </c>
      <c r="AB1176" s="32">
        <v>636</v>
      </c>
      <c r="AC1176" s="32">
        <v>30</v>
      </c>
      <c r="AD1176" s="32">
        <v>36</v>
      </c>
      <c r="AE1176" s="32" t="s">
        <v>200</v>
      </c>
      <c r="AF1176" s="32">
        <v>0</v>
      </c>
      <c r="AG1176" s="32" t="s">
        <v>200</v>
      </c>
    </row>
    <row r="1177" spans="1:33">
      <c r="A1177" s="32" t="s">
        <v>4251</v>
      </c>
      <c r="B1177" s="32" t="s">
        <v>115</v>
      </c>
      <c r="C1177" s="32" t="s">
        <v>4252</v>
      </c>
      <c r="D1177" s="32" t="s">
        <v>4253</v>
      </c>
      <c r="E1177" s="32" t="s">
        <v>4232</v>
      </c>
      <c r="F1177" s="32" t="s">
        <v>4233</v>
      </c>
      <c r="G1177" s="32" t="s">
        <v>4059</v>
      </c>
      <c r="H1177" s="32" t="s">
        <v>4060</v>
      </c>
      <c r="I1177" s="32" t="s">
        <v>198</v>
      </c>
      <c r="J1177" s="32" t="s">
        <v>199</v>
      </c>
      <c r="K1177" s="32">
        <v>1.9161900000000001</v>
      </c>
      <c r="L1177" s="33">
        <v>1765</v>
      </c>
      <c r="M1177" s="32">
        <v>377</v>
      </c>
      <c r="N1177" s="32">
        <v>266</v>
      </c>
      <c r="O1177" s="32">
        <v>475</v>
      </c>
      <c r="P1177" s="32">
        <v>458</v>
      </c>
      <c r="Q1177" s="32">
        <v>189</v>
      </c>
      <c r="R1177" s="32">
        <v>2</v>
      </c>
      <c r="S1177" s="32">
        <v>7.7797499999999999</v>
      </c>
      <c r="T1177" s="32">
        <v>4.1520599999999996</v>
      </c>
      <c r="U1177" s="32">
        <v>0.89498487299999996</v>
      </c>
      <c r="V1177" s="32">
        <v>9</v>
      </c>
      <c r="W1177" s="32">
        <v>0.81657100000000005</v>
      </c>
      <c r="X1177" s="32">
        <v>8.8511999999999993E-2</v>
      </c>
      <c r="Y1177" s="32">
        <v>0.7</v>
      </c>
      <c r="Z1177" s="32">
        <v>0.30306499999999997</v>
      </c>
      <c r="AA1177" s="32">
        <v>19.2</v>
      </c>
      <c r="AB1177" s="32">
        <v>674</v>
      </c>
      <c r="AC1177" s="32">
        <v>32</v>
      </c>
      <c r="AD1177" s="32">
        <v>69</v>
      </c>
      <c r="AE1177" s="32" t="s">
        <v>200</v>
      </c>
      <c r="AF1177" s="32">
        <v>0</v>
      </c>
      <c r="AG1177" s="32" t="s">
        <v>200</v>
      </c>
    </row>
    <row r="1178" spans="1:33">
      <c r="A1178" s="32" t="s">
        <v>4254</v>
      </c>
      <c r="B1178" s="32" t="s">
        <v>115</v>
      </c>
      <c r="C1178" s="32" t="s">
        <v>4255</v>
      </c>
      <c r="D1178" s="32" t="s">
        <v>4256</v>
      </c>
      <c r="E1178" s="32" t="s">
        <v>4240</v>
      </c>
      <c r="F1178" s="32" t="s">
        <v>4241</v>
      </c>
      <c r="G1178" s="32" t="s">
        <v>4059</v>
      </c>
      <c r="H1178" s="32" t="s">
        <v>4060</v>
      </c>
      <c r="I1178" s="32" t="s">
        <v>198</v>
      </c>
      <c r="J1178" s="32" t="s">
        <v>199</v>
      </c>
      <c r="K1178" s="32">
        <v>1.9789669999999999</v>
      </c>
      <c r="L1178" s="33">
        <v>1763</v>
      </c>
      <c r="M1178" s="32">
        <v>381</v>
      </c>
      <c r="N1178" s="32">
        <v>268</v>
      </c>
      <c r="O1178" s="32">
        <v>351</v>
      </c>
      <c r="P1178" s="32">
        <v>504</v>
      </c>
      <c r="Q1178" s="32">
        <v>259</v>
      </c>
      <c r="R1178" s="32">
        <v>2</v>
      </c>
      <c r="S1178" s="32">
        <v>24.285399999999999</v>
      </c>
      <c r="T1178" s="32">
        <v>3.1506500000000002</v>
      </c>
      <c r="U1178" s="32">
        <v>0.79653532999999999</v>
      </c>
      <c r="V1178" s="32">
        <v>10</v>
      </c>
      <c r="W1178" s="32">
        <v>0.80984</v>
      </c>
      <c r="X1178" s="32">
        <v>0.15679000000000001</v>
      </c>
      <c r="Y1178" s="32">
        <v>0.70283899999999999</v>
      </c>
      <c r="Z1178" s="32">
        <v>0.31372100000000003</v>
      </c>
      <c r="AA1178" s="32">
        <v>14.4</v>
      </c>
      <c r="AB1178" s="32">
        <v>743</v>
      </c>
      <c r="AC1178" s="32">
        <v>34</v>
      </c>
      <c r="AD1178" s="32">
        <v>58</v>
      </c>
      <c r="AE1178" s="32" t="s">
        <v>200</v>
      </c>
      <c r="AF1178" s="32">
        <v>0</v>
      </c>
      <c r="AG1178" s="32" t="s">
        <v>200</v>
      </c>
    </row>
    <row r="1179" spans="1:33">
      <c r="A1179" s="32" t="s">
        <v>4257</v>
      </c>
      <c r="B1179" s="32" t="s">
        <v>115</v>
      </c>
      <c r="C1179" s="32" t="s">
        <v>4258</v>
      </c>
      <c r="D1179" s="32" t="s">
        <v>4259</v>
      </c>
      <c r="E1179" s="32" t="s">
        <v>4260</v>
      </c>
      <c r="F1179" s="32" t="s">
        <v>4261</v>
      </c>
      <c r="G1179" s="32" t="s">
        <v>4059</v>
      </c>
      <c r="H1179" s="32" t="s">
        <v>4060</v>
      </c>
      <c r="I1179" s="32" t="s">
        <v>198</v>
      </c>
      <c r="J1179" s="32" t="s">
        <v>199</v>
      </c>
      <c r="K1179" s="32">
        <v>2.063612</v>
      </c>
      <c r="L1179" s="33">
        <v>1629</v>
      </c>
      <c r="M1179" s="32">
        <v>329</v>
      </c>
      <c r="N1179" s="32">
        <v>229</v>
      </c>
      <c r="O1179" s="32">
        <v>326</v>
      </c>
      <c r="P1179" s="32">
        <v>443</v>
      </c>
      <c r="Q1179" s="32">
        <v>302</v>
      </c>
      <c r="R1179" s="32">
        <v>2</v>
      </c>
      <c r="S1179" s="32">
        <v>12.153700000000001</v>
      </c>
      <c r="T1179" s="32">
        <v>2.3789400000000001</v>
      </c>
      <c r="U1179" s="32">
        <v>0.905931025</v>
      </c>
      <c r="V1179" s="32">
        <v>7</v>
      </c>
      <c r="W1179" s="32">
        <v>0.83519299999999996</v>
      </c>
      <c r="X1179" s="32">
        <v>0.122793</v>
      </c>
      <c r="Y1179" s="32">
        <v>0.7</v>
      </c>
      <c r="Z1179" s="32">
        <v>0.40422200000000003</v>
      </c>
      <c r="AA1179" s="32">
        <v>23.6</v>
      </c>
      <c r="AB1179" s="32">
        <v>717</v>
      </c>
      <c r="AC1179" s="32">
        <v>24</v>
      </c>
      <c r="AD1179" s="32">
        <v>60</v>
      </c>
      <c r="AE1179" s="32" t="s">
        <v>200</v>
      </c>
      <c r="AF1179" s="32" t="s">
        <v>200</v>
      </c>
      <c r="AG1179" s="32" t="s">
        <v>200</v>
      </c>
    </row>
    <row r="1180" spans="1:33">
      <c r="A1180" s="32" t="s">
        <v>4262</v>
      </c>
      <c r="B1180" s="32" t="s">
        <v>115</v>
      </c>
      <c r="C1180" s="32" t="s">
        <v>4263</v>
      </c>
      <c r="D1180" s="32" t="s">
        <v>4264</v>
      </c>
      <c r="E1180" s="32" t="s">
        <v>4260</v>
      </c>
      <c r="F1180" s="32" t="s">
        <v>4261</v>
      </c>
      <c r="G1180" s="32" t="s">
        <v>4059</v>
      </c>
      <c r="H1180" s="32" t="s">
        <v>4060</v>
      </c>
      <c r="I1180" s="32" t="s">
        <v>198</v>
      </c>
      <c r="J1180" s="32" t="s">
        <v>199</v>
      </c>
      <c r="K1180" s="32">
        <v>1.870517</v>
      </c>
      <c r="L1180" s="33">
        <v>1394</v>
      </c>
      <c r="M1180" s="32">
        <v>241</v>
      </c>
      <c r="N1180" s="32">
        <v>198</v>
      </c>
      <c r="O1180" s="32">
        <v>258</v>
      </c>
      <c r="P1180" s="32">
        <v>459</v>
      </c>
      <c r="Q1180" s="32">
        <v>238</v>
      </c>
      <c r="R1180" s="32" t="s">
        <v>225</v>
      </c>
      <c r="S1180" s="32">
        <v>7.8791399999999996</v>
      </c>
      <c r="T1180" s="32">
        <v>0</v>
      </c>
      <c r="U1180" s="32">
        <v>0.88870603599999998</v>
      </c>
      <c r="V1180" s="32">
        <v>9</v>
      </c>
      <c r="W1180" s="32">
        <v>0.80198000000000003</v>
      </c>
      <c r="X1180" s="32">
        <v>5.2116000000000003E-2</v>
      </c>
      <c r="Y1180" s="32">
        <v>0.7</v>
      </c>
      <c r="Z1180" s="32">
        <v>0.31149199999999999</v>
      </c>
      <c r="AA1180" s="32">
        <v>18.100000000000001</v>
      </c>
      <c r="AB1180" s="32">
        <v>707</v>
      </c>
      <c r="AC1180" s="32">
        <v>29</v>
      </c>
      <c r="AD1180" s="32">
        <v>35</v>
      </c>
      <c r="AE1180" s="32" t="s">
        <v>200</v>
      </c>
      <c r="AF1180" s="32" t="s">
        <v>200</v>
      </c>
      <c r="AG1180" s="32" t="s">
        <v>200</v>
      </c>
    </row>
    <row r="1181" spans="1:33">
      <c r="A1181" s="32" t="s">
        <v>4265</v>
      </c>
      <c r="B1181" s="32" t="s">
        <v>115</v>
      </c>
      <c r="C1181" s="32" t="s">
        <v>4266</v>
      </c>
      <c r="D1181" s="32" t="s">
        <v>4267</v>
      </c>
      <c r="E1181" s="32" t="s">
        <v>4260</v>
      </c>
      <c r="F1181" s="32" t="s">
        <v>4261</v>
      </c>
      <c r="G1181" s="32" t="s">
        <v>4059</v>
      </c>
      <c r="H1181" s="32" t="s">
        <v>4060</v>
      </c>
      <c r="I1181" s="32" t="s">
        <v>198</v>
      </c>
      <c r="J1181" s="32" t="s">
        <v>199</v>
      </c>
      <c r="K1181" s="32">
        <v>2.173162</v>
      </c>
      <c r="L1181" s="33">
        <v>1334</v>
      </c>
      <c r="M1181" s="32">
        <v>245</v>
      </c>
      <c r="N1181" s="32">
        <v>174</v>
      </c>
      <c r="O1181" s="32">
        <v>232</v>
      </c>
      <c r="P1181" s="32">
        <v>402</v>
      </c>
      <c r="Q1181" s="32">
        <v>281</v>
      </c>
      <c r="R1181" s="32">
        <v>2</v>
      </c>
      <c r="S1181" s="32">
        <v>12.7425</v>
      </c>
      <c r="T1181" s="32">
        <v>0</v>
      </c>
      <c r="U1181" s="32">
        <v>0.70860985099999996</v>
      </c>
      <c r="V1181" s="32">
        <v>8</v>
      </c>
      <c r="W1181" s="32">
        <v>0.81642199999999998</v>
      </c>
      <c r="X1181" s="32">
        <v>0.15215799999999999</v>
      </c>
      <c r="Y1181" s="32">
        <v>0.7</v>
      </c>
      <c r="Z1181" s="32">
        <v>0.50109999999999999</v>
      </c>
      <c r="AA1181" s="32">
        <v>26.9</v>
      </c>
      <c r="AB1181" s="32">
        <v>786</v>
      </c>
      <c r="AC1181" s="32">
        <v>24</v>
      </c>
      <c r="AD1181" s="32">
        <v>117</v>
      </c>
      <c r="AE1181" s="32" t="s">
        <v>200</v>
      </c>
      <c r="AF1181" s="32" t="s">
        <v>200</v>
      </c>
      <c r="AG1181" s="32">
        <v>8</v>
      </c>
    </row>
    <row r="1182" spans="1:33">
      <c r="A1182" s="32" t="s">
        <v>4212</v>
      </c>
      <c r="B1182" s="32" t="s">
        <v>116</v>
      </c>
      <c r="C1182" s="32" t="s">
        <v>4213</v>
      </c>
      <c r="D1182" s="32" t="s">
        <v>4214</v>
      </c>
      <c r="E1182" s="32" t="s">
        <v>4089</v>
      </c>
      <c r="F1182" s="32" t="s">
        <v>4090</v>
      </c>
      <c r="G1182" s="32" t="s">
        <v>4059</v>
      </c>
      <c r="H1182" s="32" t="s">
        <v>4060</v>
      </c>
      <c r="I1182" s="32" t="s">
        <v>198</v>
      </c>
      <c r="J1182" s="32" t="s">
        <v>199</v>
      </c>
      <c r="K1182" s="32">
        <v>2.1276959999999998</v>
      </c>
      <c r="L1182" s="33">
        <v>1229</v>
      </c>
      <c r="M1182" s="32">
        <v>214</v>
      </c>
      <c r="N1182" s="32">
        <v>174</v>
      </c>
      <c r="O1182" s="32">
        <v>215</v>
      </c>
      <c r="P1182" s="32">
        <v>408</v>
      </c>
      <c r="Q1182" s="32">
        <v>218</v>
      </c>
      <c r="R1182" s="32">
        <v>3</v>
      </c>
      <c r="S1182" s="32">
        <v>13.199</v>
      </c>
      <c r="T1182" s="32">
        <v>5.4095899999999997</v>
      </c>
      <c r="U1182" s="32">
        <v>0.66572120800000001</v>
      </c>
      <c r="V1182" s="32">
        <v>10</v>
      </c>
      <c r="W1182" s="32">
        <v>0.82436799999999999</v>
      </c>
      <c r="X1182" s="32">
        <v>0.204794</v>
      </c>
      <c r="Y1182" s="32">
        <v>0.80725599999999997</v>
      </c>
      <c r="Z1182" s="32">
        <v>0.3</v>
      </c>
      <c r="AA1182" s="32">
        <v>19</v>
      </c>
      <c r="AB1182" s="32">
        <v>669</v>
      </c>
      <c r="AC1182" s="32">
        <v>18</v>
      </c>
      <c r="AD1182" s="32">
        <v>71</v>
      </c>
      <c r="AE1182" s="32" t="s">
        <v>200</v>
      </c>
      <c r="AF1182" s="32">
        <v>0</v>
      </c>
      <c r="AG1182" s="32" t="s">
        <v>200</v>
      </c>
    </row>
    <row r="1183" spans="1:33">
      <c r="A1183" s="32" t="s">
        <v>4268</v>
      </c>
      <c r="B1183" s="32" t="s">
        <v>116</v>
      </c>
      <c r="C1183" s="32" t="s">
        <v>4269</v>
      </c>
      <c r="D1183" s="32" t="s">
        <v>4270</v>
      </c>
      <c r="E1183" s="32" t="s">
        <v>4089</v>
      </c>
      <c r="F1183" s="32" t="s">
        <v>4090</v>
      </c>
      <c r="G1183" s="32" t="s">
        <v>4059</v>
      </c>
      <c r="H1183" s="32" t="s">
        <v>4060</v>
      </c>
      <c r="I1183" s="32" t="s">
        <v>198</v>
      </c>
      <c r="J1183" s="32" t="s">
        <v>199</v>
      </c>
      <c r="K1183" s="32">
        <v>2.179262</v>
      </c>
      <c r="L1183" s="33">
        <v>2035</v>
      </c>
      <c r="M1183" s="32">
        <v>383</v>
      </c>
      <c r="N1183" s="32">
        <v>293</v>
      </c>
      <c r="O1183" s="32">
        <v>469</v>
      </c>
      <c r="P1183" s="32">
        <v>544</v>
      </c>
      <c r="Q1183" s="32">
        <v>346</v>
      </c>
      <c r="R1183" s="32">
        <v>2</v>
      </c>
      <c r="S1183" s="32">
        <v>12.2143</v>
      </c>
      <c r="T1183" s="32">
        <v>4.5429300000000001</v>
      </c>
      <c r="U1183" s="32">
        <v>0.76134117800000001</v>
      </c>
      <c r="V1183" s="32">
        <v>8</v>
      </c>
      <c r="W1183" s="32">
        <v>0.82703599999999999</v>
      </c>
      <c r="X1183" s="32">
        <v>0.239869</v>
      </c>
      <c r="Y1183" s="32">
        <v>0.803813</v>
      </c>
      <c r="Z1183" s="32">
        <v>0.29989100000000002</v>
      </c>
      <c r="AA1183" s="32">
        <v>20.9</v>
      </c>
      <c r="AB1183" s="32">
        <v>863</v>
      </c>
      <c r="AC1183" s="32">
        <v>21</v>
      </c>
      <c r="AD1183" s="32">
        <v>112</v>
      </c>
      <c r="AE1183" s="32" t="s">
        <v>200</v>
      </c>
      <c r="AF1183" s="32">
        <v>11</v>
      </c>
      <c r="AG1183" s="32">
        <v>11</v>
      </c>
    </row>
    <row r="1184" spans="1:33">
      <c r="A1184" s="32" t="s">
        <v>4271</v>
      </c>
      <c r="B1184" s="32" t="s">
        <v>116</v>
      </c>
      <c r="C1184" s="32" t="s">
        <v>4272</v>
      </c>
      <c r="D1184" s="32" t="s">
        <v>4273</v>
      </c>
      <c r="E1184" s="32" t="s">
        <v>4274</v>
      </c>
      <c r="F1184" s="32" t="s">
        <v>4275</v>
      </c>
      <c r="G1184" s="32" t="s">
        <v>4059</v>
      </c>
      <c r="H1184" s="32" t="s">
        <v>4060</v>
      </c>
      <c r="I1184" s="32" t="s">
        <v>198</v>
      </c>
      <c r="J1184" s="32" t="s">
        <v>199</v>
      </c>
      <c r="K1184" s="32">
        <v>2.0046469999999998</v>
      </c>
      <c r="L1184" s="33">
        <v>1652</v>
      </c>
      <c r="M1184" s="32">
        <v>398</v>
      </c>
      <c r="N1184" s="32">
        <v>194</v>
      </c>
      <c r="O1184" s="32">
        <v>350</v>
      </c>
      <c r="P1184" s="32">
        <v>397</v>
      </c>
      <c r="Q1184" s="32">
        <v>313</v>
      </c>
      <c r="R1184" s="32" t="s">
        <v>225</v>
      </c>
      <c r="S1184" s="32">
        <v>9.1562800000000006</v>
      </c>
      <c r="T1184" s="32">
        <v>0</v>
      </c>
      <c r="U1184" s="32">
        <v>0.77584406900000003</v>
      </c>
      <c r="V1184" s="32">
        <v>10</v>
      </c>
      <c r="W1184" s="32">
        <v>0.803396</v>
      </c>
      <c r="X1184" s="32">
        <v>5.1812999999999998E-2</v>
      </c>
      <c r="Y1184" s="32">
        <v>0.8</v>
      </c>
      <c r="Z1184" s="32">
        <v>0.35264099999999998</v>
      </c>
      <c r="AA1184" s="32">
        <v>26.2</v>
      </c>
      <c r="AB1184" s="32">
        <v>806</v>
      </c>
      <c r="AC1184" s="32">
        <v>16</v>
      </c>
      <c r="AD1184" s="32">
        <v>45</v>
      </c>
      <c r="AE1184" s="32">
        <v>0</v>
      </c>
      <c r="AF1184" s="32">
        <v>0</v>
      </c>
      <c r="AG1184" s="32" t="s">
        <v>200</v>
      </c>
    </row>
    <row r="1185" spans="1:33">
      <c r="A1185" s="32" t="s">
        <v>4276</v>
      </c>
      <c r="B1185" s="32" t="s">
        <v>116</v>
      </c>
      <c r="C1185" s="32" t="s">
        <v>4277</v>
      </c>
      <c r="D1185" s="32" t="s">
        <v>4278</v>
      </c>
      <c r="E1185" s="32" t="s">
        <v>4274</v>
      </c>
      <c r="F1185" s="32" t="s">
        <v>4275</v>
      </c>
      <c r="G1185" s="32" t="s">
        <v>4059</v>
      </c>
      <c r="H1185" s="32" t="s">
        <v>4060</v>
      </c>
      <c r="I1185" s="32" t="s">
        <v>198</v>
      </c>
      <c r="J1185" s="32" t="s">
        <v>199</v>
      </c>
      <c r="K1185" s="32">
        <v>2.0477780000000001</v>
      </c>
      <c r="L1185" s="33">
        <v>1807</v>
      </c>
      <c r="M1185" s="32">
        <v>391</v>
      </c>
      <c r="N1185" s="32">
        <v>240</v>
      </c>
      <c r="O1185" s="32">
        <v>453</v>
      </c>
      <c r="P1185" s="32">
        <v>469</v>
      </c>
      <c r="Q1185" s="32">
        <v>254</v>
      </c>
      <c r="R1185" s="32">
        <v>2</v>
      </c>
      <c r="S1185" s="32">
        <v>10.7242</v>
      </c>
      <c r="T1185" s="32">
        <v>1.66476</v>
      </c>
      <c r="U1185" s="32">
        <v>0.76459773799999997</v>
      </c>
      <c r="V1185" s="32">
        <v>10</v>
      </c>
      <c r="W1185" s="32">
        <v>0.80839499999999997</v>
      </c>
      <c r="X1185" s="32">
        <v>0.11031100000000001</v>
      </c>
      <c r="Y1185" s="32">
        <v>0.8</v>
      </c>
      <c r="Z1185" s="32">
        <v>0.33618300000000001</v>
      </c>
      <c r="AA1185" s="32">
        <v>16.8</v>
      </c>
      <c r="AB1185" s="32">
        <v>789</v>
      </c>
      <c r="AC1185" s="32">
        <v>31</v>
      </c>
      <c r="AD1185" s="32">
        <v>91</v>
      </c>
      <c r="AE1185" s="32">
        <v>17</v>
      </c>
      <c r="AF1185" s="32">
        <v>0</v>
      </c>
      <c r="AG1185" s="32">
        <v>8</v>
      </c>
    </row>
    <row r="1186" spans="1:33">
      <c r="A1186" s="32" t="s">
        <v>4279</v>
      </c>
      <c r="B1186" s="32" t="s">
        <v>116</v>
      </c>
      <c r="C1186" s="32" t="s">
        <v>4280</v>
      </c>
      <c r="D1186" s="32" t="s">
        <v>4281</v>
      </c>
      <c r="E1186" s="32" t="s">
        <v>4274</v>
      </c>
      <c r="F1186" s="32" t="s">
        <v>4275</v>
      </c>
      <c r="G1186" s="32" t="s">
        <v>4059</v>
      </c>
      <c r="H1186" s="32" t="s">
        <v>4060</v>
      </c>
      <c r="I1186" s="32" t="s">
        <v>198</v>
      </c>
      <c r="J1186" s="32" t="s">
        <v>199</v>
      </c>
      <c r="K1186" s="32">
        <v>2.0056470000000002</v>
      </c>
      <c r="L1186" s="33">
        <v>1524</v>
      </c>
      <c r="M1186" s="32">
        <v>271</v>
      </c>
      <c r="N1186" s="32">
        <v>182</v>
      </c>
      <c r="O1186" s="32">
        <v>333</v>
      </c>
      <c r="P1186" s="32">
        <v>417</v>
      </c>
      <c r="Q1186" s="32">
        <v>321</v>
      </c>
      <c r="R1186" s="32" t="s">
        <v>225</v>
      </c>
      <c r="S1186" s="32">
        <v>6.3146800000000001</v>
      </c>
      <c r="T1186" s="32">
        <v>2.1742900000000001</v>
      </c>
      <c r="U1186" s="32">
        <v>0.77943514999999997</v>
      </c>
      <c r="V1186" s="32">
        <v>10</v>
      </c>
      <c r="W1186" s="32">
        <v>0.808118</v>
      </c>
      <c r="X1186" s="32">
        <v>0.104492</v>
      </c>
      <c r="Y1186" s="32">
        <v>0.8</v>
      </c>
      <c r="Z1186" s="32">
        <v>0.30117500000000003</v>
      </c>
      <c r="AA1186" s="32">
        <v>20.8</v>
      </c>
      <c r="AB1186" s="32">
        <v>816</v>
      </c>
      <c r="AC1186" s="32">
        <v>17</v>
      </c>
      <c r="AD1186" s="32">
        <v>26</v>
      </c>
      <c r="AE1186" s="32">
        <v>0</v>
      </c>
      <c r="AF1186" s="32" t="s">
        <v>200</v>
      </c>
      <c r="AG1186" s="32" t="s">
        <v>200</v>
      </c>
    </row>
    <row r="1187" spans="1:33">
      <c r="A1187" s="32" t="s">
        <v>4282</v>
      </c>
      <c r="B1187" s="32" t="s">
        <v>116</v>
      </c>
      <c r="C1187" s="32" t="s">
        <v>4283</v>
      </c>
      <c r="D1187" s="32" t="s">
        <v>4284</v>
      </c>
      <c r="E1187" s="32" t="s">
        <v>4274</v>
      </c>
      <c r="F1187" s="32" t="s">
        <v>4275</v>
      </c>
      <c r="G1187" s="32" t="s">
        <v>4059</v>
      </c>
      <c r="H1187" s="32" t="s">
        <v>4060</v>
      </c>
      <c r="I1187" s="32" t="s">
        <v>198</v>
      </c>
      <c r="J1187" s="32" t="s">
        <v>199</v>
      </c>
      <c r="K1187" s="32">
        <v>1.907899</v>
      </c>
      <c r="L1187" s="33">
        <v>1799</v>
      </c>
      <c r="M1187" s="32">
        <v>290</v>
      </c>
      <c r="N1187" s="32">
        <v>232</v>
      </c>
      <c r="O1187" s="32">
        <v>163</v>
      </c>
      <c r="P1187" s="32">
        <v>539</v>
      </c>
      <c r="Q1187" s="32">
        <v>575</v>
      </c>
      <c r="R1187" s="32" t="s">
        <v>225</v>
      </c>
      <c r="S1187" s="32">
        <v>8.8208000000000002</v>
      </c>
      <c r="T1187" s="32">
        <v>0</v>
      </c>
      <c r="U1187" s="32">
        <v>0.79250817799999995</v>
      </c>
      <c r="V1187" s="32">
        <v>10</v>
      </c>
      <c r="W1187" s="32">
        <v>0.80450100000000002</v>
      </c>
      <c r="X1187" s="32">
        <v>7.3327000000000003E-2</v>
      </c>
      <c r="Y1187" s="32">
        <v>0.8</v>
      </c>
      <c r="Z1187" s="32">
        <v>0.22514400000000001</v>
      </c>
      <c r="AA1187" s="32">
        <v>28.4</v>
      </c>
      <c r="AB1187" s="32">
        <v>1151</v>
      </c>
      <c r="AC1187" s="32">
        <v>23</v>
      </c>
      <c r="AD1187" s="32">
        <v>59</v>
      </c>
      <c r="AE1187" s="32">
        <v>5</v>
      </c>
      <c r="AF1187" s="32" t="s">
        <v>200</v>
      </c>
      <c r="AG1187" s="32">
        <v>19</v>
      </c>
    </row>
    <row r="1188" spans="1:33">
      <c r="A1188" s="32" t="s">
        <v>317</v>
      </c>
      <c r="B1188" s="32" t="s">
        <v>80</v>
      </c>
      <c r="C1188" s="32" t="s">
        <v>318</v>
      </c>
      <c r="D1188" s="32" t="s">
        <v>319</v>
      </c>
      <c r="E1188" s="32" t="s">
        <v>320</v>
      </c>
      <c r="F1188" s="32" t="s">
        <v>321</v>
      </c>
      <c r="G1188" s="32" t="s">
        <v>300</v>
      </c>
      <c r="H1188" s="32" t="s">
        <v>301</v>
      </c>
      <c r="I1188" s="32" t="s">
        <v>198</v>
      </c>
      <c r="J1188" s="32" t="s">
        <v>199</v>
      </c>
      <c r="K1188" s="32">
        <v>2.6460530000000002</v>
      </c>
      <c r="L1188" s="33">
        <v>2653</v>
      </c>
      <c r="M1188" s="32">
        <v>738</v>
      </c>
      <c r="N1188" s="32">
        <v>567</v>
      </c>
      <c r="O1188" s="32">
        <v>714</v>
      </c>
      <c r="P1188" s="32">
        <v>448</v>
      </c>
      <c r="Q1188" s="32">
        <v>186</v>
      </c>
      <c r="R1188" s="32">
        <v>5</v>
      </c>
      <c r="S1188" s="32">
        <v>26.684000000000001</v>
      </c>
      <c r="T1188" s="32">
        <v>18.925799999999999</v>
      </c>
      <c r="U1188" s="32">
        <v>1.0080802310000001</v>
      </c>
      <c r="V1188" s="32">
        <v>3</v>
      </c>
      <c r="W1188" s="32">
        <v>0.91868399999999995</v>
      </c>
      <c r="X1188" s="32">
        <v>0.12052599999999999</v>
      </c>
      <c r="Y1188" s="32">
        <v>0.6</v>
      </c>
      <c r="Z1188" s="32">
        <v>1</v>
      </c>
      <c r="AA1188" s="32">
        <v>63.8</v>
      </c>
      <c r="AB1188" s="32">
        <v>365</v>
      </c>
      <c r="AC1188" s="32">
        <v>10</v>
      </c>
      <c r="AD1188" s="32">
        <v>6</v>
      </c>
      <c r="AE1188" s="32">
        <v>0</v>
      </c>
      <c r="AF1188" s="32" t="s">
        <v>200</v>
      </c>
      <c r="AG1188" s="32" t="s">
        <v>200</v>
      </c>
    </row>
    <row r="1189" spans="1:33">
      <c r="A1189" s="32" t="s">
        <v>2041</v>
      </c>
      <c r="B1189" s="32" t="s">
        <v>80</v>
      </c>
      <c r="C1189" s="32" t="s">
        <v>2042</v>
      </c>
      <c r="D1189" s="32" t="s">
        <v>2043</v>
      </c>
      <c r="E1189" s="32" t="s">
        <v>320</v>
      </c>
      <c r="F1189" s="32" t="s">
        <v>321</v>
      </c>
      <c r="G1189" s="32" t="s">
        <v>300</v>
      </c>
      <c r="H1189" s="32" t="s">
        <v>301</v>
      </c>
      <c r="I1189" s="32" t="s">
        <v>198</v>
      </c>
      <c r="J1189" s="32" t="s">
        <v>199</v>
      </c>
      <c r="K1189" s="32">
        <v>2.7711160000000001</v>
      </c>
      <c r="L1189" s="33">
        <v>3342</v>
      </c>
      <c r="M1189" s="32">
        <v>504</v>
      </c>
      <c r="N1189" s="32">
        <v>888</v>
      </c>
      <c r="O1189" s="33">
        <v>1333</v>
      </c>
      <c r="P1189" s="32">
        <v>499</v>
      </c>
      <c r="Q1189" s="32">
        <v>118</v>
      </c>
      <c r="R1189" s="32">
        <v>5</v>
      </c>
      <c r="S1189" s="32">
        <v>28.668900000000001</v>
      </c>
      <c r="T1189" s="32">
        <v>10.766500000000001</v>
      </c>
      <c r="U1189" s="32">
        <v>0.63681730000000003</v>
      </c>
      <c r="V1189" s="32">
        <v>5</v>
      </c>
      <c r="W1189" s="32">
        <v>0.96832700000000005</v>
      </c>
      <c r="X1189" s="32">
        <v>0.20315</v>
      </c>
      <c r="Y1189" s="32">
        <v>0.6</v>
      </c>
      <c r="Z1189" s="32">
        <v>1</v>
      </c>
      <c r="AA1189" s="32">
        <v>33.9</v>
      </c>
      <c r="AB1189" s="32">
        <v>439</v>
      </c>
      <c r="AC1189" s="32">
        <v>32</v>
      </c>
      <c r="AD1189" s="32">
        <v>14</v>
      </c>
      <c r="AE1189" s="32">
        <v>0</v>
      </c>
      <c r="AF1189" s="32">
        <v>13</v>
      </c>
      <c r="AG1189" s="32" t="s">
        <v>200</v>
      </c>
    </row>
    <row r="1190" spans="1:33">
      <c r="A1190" s="32" t="s">
        <v>4285</v>
      </c>
      <c r="B1190" s="32" t="s">
        <v>80</v>
      </c>
      <c r="C1190" s="32" t="s">
        <v>4286</v>
      </c>
      <c r="D1190" s="32" t="s">
        <v>4287</v>
      </c>
      <c r="E1190" s="32" t="s">
        <v>4288</v>
      </c>
      <c r="F1190" s="32" t="s">
        <v>4289</v>
      </c>
      <c r="G1190" s="32" t="s">
        <v>300</v>
      </c>
      <c r="H1190" s="32" t="s">
        <v>301</v>
      </c>
      <c r="I1190" s="32" t="s">
        <v>198</v>
      </c>
      <c r="J1190" s="32" t="s">
        <v>199</v>
      </c>
      <c r="K1190" s="32">
        <v>2.647084</v>
      </c>
      <c r="L1190" s="33">
        <v>2620</v>
      </c>
      <c r="M1190" s="32">
        <v>607</v>
      </c>
      <c r="N1190" s="32">
        <v>537</v>
      </c>
      <c r="O1190" s="32">
        <v>691</v>
      </c>
      <c r="P1190" s="32">
        <v>549</v>
      </c>
      <c r="Q1190" s="32">
        <v>236</v>
      </c>
      <c r="R1190" s="32" t="s">
        <v>302</v>
      </c>
      <c r="S1190" s="32">
        <v>32.674799999999998</v>
      </c>
      <c r="T1190" s="32">
        <v>19.957599999999999</v>
      </c>
      <c r="U1190" s="32">
        <v>1.0688802989999999</v>
      </c>
      <c r="V1190" s="32">
        <v>2</v>
      </c>
      <c r="W1190" s="32">
        <v>0.92829399999999995</v>
      </c>
      <c r="X1190" s="32">
        <v>0.114163</v>
      </c>
      <c r="Y1190" s="32">
        <v>0.6</v>
      </c>
      <c r="Z1190" s="32">
        <v>1</v>
      </c>
      <c r="AA1190" s="32">
        <v>64.5</v>
      </c>
      <c r="AB1190" s="32">
        <v>545</v>
      </c>
      <c r="AC1190" s="32">
        <v>24</v>
      </c>
      <c r="AD1190" s="32">
        <v>34</v>
      </c>
      <c r="AE1190" s="32" t="s">
        <v>200</v>
      </c>
      <c r="AF1190" s="32" t="s">
        <v>200</v>
      </c>
      <c r="AG1190" s="32">
        <v>51</v>
      </c>
    </row>
    <row r="1191" spans="1:33">
      <c r="A1191" s="32" t="s">
        <v>4290</v>
      </c>
      <c r="B1191" s="32" t="s">
        <v>80</v>
      </c>
      <c r="C1191" s="32" t="s">
        <v>4291</v>
      </c>
      <c r="D1191" s="32" t="s">
        <v>4292</v>
      </c>
      <c r="E1191" s="32" t="s">
        <v>3789</v>
      </c>
      <c r="F1191" s="32" t="s">
        <v>3790</v>
      </c>
      <c r="G1191" s="32" t="s">
        <v>300</v>
      </c>
      <c r="H1191" s="32" t="s">
        <v>301</v>
      </c>
      <c r="I1191" s="32" t="s">
        <v>198</v>
      </c>
      <c r="J1191" s="32" t="s">
        <v>199</v>
      </c>
      <c r="K1191" s="32">
        <v>2.6662699999999999</v>
      </c>
      <c r="L1191" s="33">
        <v>2426</v>
      </c>
      <c r="M1191" s="32">
        <v>581</v>
      </c>
      <c r="N1191" s="32">
        <v>471</v>
      </c>
      <c r="O1191" s="32">
        <v>674</v>
      </c>
      <c r="P1191" s="32">
        <v>427</v>
      </c>
      <c r="Q1191" s="32">
        <v>273</v>
      </c>
      <c r="R1191" s="32">
        <v>5</v>
      </c>
      <c r="S1191" s="32">
        <v>28.871099999999998</v>
      </c>
      <c r="T1191" s="32">
        <v>17.017099999999999</v>
      </c>
      <c r="U1191" s="32">
        <v>0.94984788099999995</v>
      </c>
      <c r="V1191" s="32">
        <v>3</v>
      </c>
      <c r="W1191" s="32">
        <v>0.91547599999999996</v>
      </c>
      <c r="X1191" s="32">
        <v>0.142292</v>
      </c>
      <c r="Y1191" s="32">
        <v>0.6</v>
      </c>
      <c r="Z1191" s="32">
        <v>1</v>
      </c>
      <c r="AA1191" s="32">
        <v>66</v>
      </c>
      <c r="AB1191" s="32">
        <v>344</v>
      </c>
      <c r="AC1191" s="32">
        <v>15</v>
      </c>
      <c r="AD1191" s="32">
        <v>14</v>
      </c>
      <c r="AE1191" s="32">
        <v>0</v>
      </c>
      <c r="AF1191" s="32">
        <v>0</v>
      </c>
      <c r="AG1191" s="32">
        <v>6</v>
      </c>
    </row>
    <row r="1192" spans="1:33">
      <c r="A1192" s="32" t="s">
        <v>4293</v>
      </c>
      <c r="B1192" s="32" t="s">
        <v>80</v>
      </c>
      <c r="C1192" s="32" t="s">
        <v>4294</v>
      </c>
      <c r="D1192" s="32" t="s">
        <v>4295</v>
      </c>
      <c r="E1192" s="32" t="s">
        <v>4288</v>
      </c>
      <c r="F1192" s="32" t="s">
        <v>4289</v>
      </c>
      <c r="G1192" s="32" t="s">
        <v>300</v>
      </c>
      <c r="H1192" s="32" t="s">
        <v>301</v>
      </c>
      <c r="I1192" s="32" t="s">
        <v>198</v>
      </c>
      <c r="J1192" s="32" t="s">
        <v>199</v>
      </c>
      <c r="K1192" s="32">
        <v>2.5970970000000002</v>
      </c>
      <c r="L1192" s="33">
        <v>1792</v>
      </c>
      <c r="M1192" s="32">
        <v>497</v>
      </c>
      <c r="N1192" s="32">
        <v>333</v>
      </c>
      <c r="O1192" s="32">
        <v>442</v>
      </c>
      <c r="P1192" s="32">
        <v>352</v>
      </c>
      <c r="Q1192" s="32">
        <v>168</v>
      </c>
      <c r="R1192" s="32">
        <v>5</v>
      </c>
      <c r="S1192" s="32">
        <v>27.970600000000001</v>
      </c>
      <c r="T1192" s="32">
        <v>17.703499999999998</v>
      </c>
      <c r="U1192" s="32">
        <v>1.162659195</v>
      </c>
      <c r="V1192" s="32">
        <v>2</v>
      </c>
      <c r="W1192" s="32">
        <v>0.91645200000000004</v>
      </c>
      <c r="X1192" s="32">
        <v>7.9871999999999999E-2</v>
      </c>
      <c r="Y1192" s="32">
        <v>0.6</v>
      </c>
      <c r="Z1192" s="32">
        <v>1</v>
      </c>
      <c r="AA1192" s="32">
        <v>69.900000000000006</v>
      </c>
      <c r="AB1192" s="32">
        <v>289</v>
      </c>
      <c r="AC1192" s="32">
        <v>14</v>
      </c>
      <c r="AD1192" s="32">
        <v>10</v>
      </c>
      <c r="AE1192" s="32">
        <v>0</v>
      </c>
      <c r="AF1192" s="32" t="s">
        <v>200</v>
      </c>
      <c r="AG1192" s="32">
        <v>6</v>
      </c>
    </row>
    <row r="1193" spans="1:33">
      <c r="A1193" s="32" t="s">
        <v>4296</v>
      </c>
      <c r="B1193" s="32" t="s">
        <v>80</v>
      </c>
      <c r="C1193" s="32" t="s">
        <v>4297</v>
      </c>
      <c r="D1193" s="32" t="s">
        <v>4298</v>
      </c>
      <c r="E1193" s="32" t="s">
        <v>3789</v>
      </c>
      <c r="F1193" s="32" t="s">
        <v>3790</v>
      </c>
      <c r="G1193" s="32" t="s">
        <v>300</v>
      </c>
      <c r="H1193" s="32" t="s">
        <v>301</v>
      </c>
      <c r="I1193" s="32" t="s">
        <v>198</v>
      </c>
      <c r="J1193" s="32" t="s">
        <v>199</v>
      </c>
      <c r="K1193" s="32">
        <v>2.6875779999999998</v>
      </c>
      <c r="L1193" s="33">
        <v>2165</v>
      </c>
      <c r="M1193" s="32">
        <v>395</v>
      </c>
      <c r="N1193" s="32">
        <v>664</v>
      </c>
      <c r="O1193" s="32">
        <v>472</v>
      </c>
      <c r="P1193" s="32">
        <v>426</v>
      </c>
      <c r="Q1193" s="32">
        <v>208</v>
      </c>
      <c r="R1193" s="32">
        <v>4</v>
      </c>
      <c r="S1193" s="32">
        <v>22.707799999999999</v>
      </c>
      <c r="T1193" s="32">
        <v>17.7041</v>
      </c>
      <c r="U1193" s="32">
        <v>0.96689862900000001</v>
      </c>
      <c r="V1193" s="32">
        <v>2</v>
      </c>
      <c r="W1193" s="32">
        <v>0.91055900000000001</v>
      </c>
      <c r="X1193" s="32">
        <v>0.16594400000000001</v>
      </c>
      <c r="Y1193" s="32">
        <v>0.6</v>
      </c>
      <c r="Z1193" s="32">
        <v>1</v>
      </c>
      <c r="AA1193" s="32">
        <v>60.6</v>
      </c>
      <c r="AB1193" s="32">
        <v>325</v>
      </c>
      <c r="AC1193" s="32">
        <v>21</v>
      </c>
      <c r="AD1193" s="32">
        <v>15</v>
      </c>
      <c r="AE1193" s="32">
        <v>0</v>
      </c>
      <c r="AF1193" s="32" t="s">
        <v>200</v>
      </c>
      <c r="AG1193" s="32" t="s">
        <v>200</v>
      </c>
    </row>
    <row r="1194" spans="1:33">
      <c r="A1194" s="32" t="s">
        <v>4299</v>
      </c>
      <c r="B1194" s="32" t="s">
        <v>80</v>
      </c>
      <c r="C1194" s="32" t="s">
        <v>4300</v>
      </c>
      <c r="D1194" s="32" t="s">
        <v>4301</v>
      </c>
      <c r="E1194" s="32" t="s">
        <v>4302</v>
      </c>
      <c r="F1194" s="32" t="s">
        <v>4303</v>
      </c>
      <c r="G1194" s="32" t="s">
        <v>300</v>
      </c>
      <c r="H1194" s="32" t="s">
        <v>301</v>
      </c>
      <c r="I1194" s="32" t="s">
        <v>198</v>
      </c>
      <c r="J1194" s="32" t="s">
        <v>199</v>
      </c>
      <c r="K1194" s="32">
        <v>2.6755469999999999</v>
      </c>
      <c r="L1194" s="33">
        <v>1730</v>
      </c>
      <c r="M1194" s="32">
        <v>401</v>
      </c>
      <c r="N1194" s="32">
        <v>361</v>
      </c>
      <c r="O1194" s="32">
        <v>461</v>
      </c>
      <c r="P1194" s="32">
        <v>349</v>
      </c>
      <c r="Q1194" s="32">
        <v>158</v>
      </c>
      <c r="R1194" s="32" t="s">
        <v>302</v>
      </c>
      <c r="S1194" s="32">
        <v>31.763999999999999</v>
      </c>
      <c r="T1194" s="32">
        <v>20.4909</v>
      </c>
      <c r="U1194" s="32">
        <v>1.1213574289999999</v>
      </c>
      <c r="V1194" s="32">
        <v>2</v>
      </c>
      <c r="W1194" s="32">
        <v>0.92445299999999997</v>
      </c>
      <c r="X1194" s="32">
        <v>0.16581799999999999</v>
      </c>
      <c r="Y1194" s="32">
        <v>0.6</v>
      </c>
      <c r="Z1194" s="32">
        <v>1</v>
      </c>
      <c r="AA1194" s="32">
        <v>70.400000000000006</v>
      </c>
      <c r="AB1194" s="32">
        <v>259</v>
      </c>
      <c r="AC1194" s="32">
        <v>13</v>
      </c>
      <c r="AD1194" s="32">
        <v>9</v>
      </c>
      <c r="AE1194" s="32">
        <v>0</v>
      </c>
      <c r="AF1194" s="32">
        <v>0</v>
      </c>
      <c r="AG1194" s="32">
        <v>0</v>
      </c>
    </row>
    <row r="1195" spans="1:33">
      <c r="A1195" s="32" t="s">
        <v>4304</v>
      </c>
      <c r="B1195" s="32" t="s">
        <v>80</v>
      </c>
      <c r="C1195" s="32" t="s">
        <v>4305</v>
      </c>
      <c r="D1195" s="32" t="s">
        <v>4306</v>
      </c>
      <c r="E1195" s="32" t="s">
        <v>2064</v>
      </c>
      <c r="F1195" s="32" t="s">
        <v>2065</v>
      </c>
      <c r="G1195" s="32" t="s">
        <v>300</v>
      </c>
      <c r="H1195" s="32" t="s">
        <v>301</v>
      </c>
      <c r="I1195" s="32" t="s">
        <v>198</v>
      </c>
      <c r="J1195" s="32" t="s">
        <v>199</v>
      </c>
      <c r="K1195" s="32">
        <v>2.9091719999999999</v>
      </c>
      <c r="L1195" s="33">
        <v>3239</v>
      </c>
      <c r="M1195" s="32">
        <v>706</v>
      </c>
      <c r="N1195" s="32">
        <v>816</v>
      </c>
      <c r="O1195" s="33">
        <v>1001</v>
      </c>
      <c r="P1195" s="32">
        <v>521</v>
      </c>
      <c r="Q1195" s="32">
        <v>195</v>
      </c>
      <c r="R1195" s="32">
        <v>5</v>
      </c>
      <c r="S1195" s="32">
        <v>27.0318</v>
      </c>
      <c r="T1195" s="32">
        <v>9.7125900000000005</v>
      </c>
      <c r="U1195" s="32">
        <v>0.71320222899999997</v>
      </c>
      <c r="V1195" s="32">
        <v>4</v>
      </c>
      <c r="W1195" s="32">
        <v>0.96183399999999997</v>
      </c>
      <c r="X1195" s="32">
        <v>0.318496</v>
      </c>
      <c r="Y1195" s="32">
        <v>0.62343300000000001</v>
      </c>
      <c r="Z1195" s="32">
        <v>1</v>
      </c>
      <c r="AA1195" s="32">
        <v>55.1</v>
      </c>
      <c r="AB1195" s="32">
        <v>419</v>
      </c>
      <c r="AC1195" s="32">
        <v>27</v>
      </c>
      <c r="AD1195" s="32">
        <v>31</v>
      </c>
      <c r="AE1195" s="32" t="s">
        <v>200</v>
      </c>
      <c r="AF1195" s="32">
        <v>0</v>
      </c>
      <c r="AG1195" s="32">
        <v>43</v>
      </c>
    </row>
    <row r="1196" spans="1:33">
      <c r="A1196" s="32" t="s">
        <v>4307</v>
      </c>
      <c r="B1196" s="32" t="s">
        <v>80</v>
      </c>
      <c r="C1196" s="32" t="s">
        <v>4308</v>
      </c>
      <c r="D1196" s="32" t="s">
        <v>4309</v>
      </c>
      <c r="E1196" s="32" t="s">
        <v>4302</v>
      </c>
      <c r="F1196" s="32" t="s">
        <v>4303</v>
      </c>
      <c r="G1196" s="32" t="s">
        <v>300</v>
      </c>
      <c r="H1196" s="32" t="s">
        <v>301</v>
      </c>
      <c r="I1196" s="32" t="s">
        <v>198</v>
      </c>
      <c r="J1196" s="32" t="s">
        <v>199</v>
      </c>
      <c r="K1196" s="32">
        <v>2.6609590000000001</v>
      </c>
      <c r="L1196" s="33">
        <v>2168</v>
      </c>
      <c r="M1196" s="32">
        <v>466</v>
      </c>
      <c r="N1196" s="32">
        <v>530</v>
      </c>
      <c r="O1196" s="32">
        <v>547</v>
      </c>
      <c r="P1196" s="32">
        <v>429</v>
      </c>
      <c r="Q1196" s="32">
        <v>196</v>
      </c>
      <c r="R1196" s="32" t="s">
        <v>302</v>
      </c>
      <c r="S1196" s="32">
        <v>33.657200000000003</v>
      </c>
      <c r="T1196" s="32">
        <v>21.5259</v>
      </c>
      <c r="U1196" s="32">
        <v>1.0990734090000001</v>
      </c>
      <c r="V1196" s="32">
        <v>2</v>
      </c>
      <c r="W1196" s="32">
        <v>0.97671200000000002</v>
      </c>
      <c r="X1196" s="32">
        <v>0.100671</v>
      </c>
      <c r="Y1196" s="32">
        <v>0.6</v>
      </c>
      <c r="Z1196" s="32">
        <v>1</v>
      </c>
      <c r="AA1196" s="32">
        <v>76.099999999999994</v>
      </c>
      <c r="AB1196" s="32">
        <v>230</v>
      </c>
      <c r="AC1196" s="32">
        <v>18</v>
      </c>
      <c r="AD1196" s="32">
        <v>6</v>
      </c>
      <c r="AE1196" s="32">
        <v>0</v>
      </c>
      <c r="AF1196" s="32" t="s">
        <v>200</v>
      </c>
      <c r="AG1196" s="32" t="s">
        <v>200</v>
      </c>
    </row>
    <row r="1197" spans="1:33">
      <c r="A1197" s="32" t="s">
        <v>4310</v>
      </c>
      <c r="B1197" s="32" t="s">
        <v>80</v>
      </c>
      <c r="C1197" s="32" t="s">
        <v>4311</v>
      </c>
      <c r="D1197" s="32" t="s">
        <v>4312</v>
      </c>
      <c r="E1197" s="32" t="s">
        <v>4302</v>
      </c>
      <c r="F1197" s="32" t="s">
        <v>4303</v>
      </c>
      <c r="G1197" s="32" t="s">
        <v>300</v>
      </c>
      <c r="H1197" s="32" t="s">
        <v>301</v>
      </c>
      <c r="I1197" s="32" t="s">
        <v>198</v>
      </c>
      <c r="J1197" s="32" t="s">
        <v>199</v>
      </c>
      <c r="K1197" s="32">
        <v>2.7162540000000002</v>
      </c>
      <c r="L1197" s="33">
        <v>2209</v>
      </c>
      <c r="M1197" s="32">
        <v>513</v>
      </c>
      <c r="N1197" s="32">
        <v>488</v>
      </c>
      <c r="O1197" s="32">
        <v>620</v>
      </c>
      <c r="P1197" s="32">
        <v>348</v>
      </c>
      <c r="Q1197" s="32">
        <v>240</v>
      </c>
      <c r="R1197" s="32">
        <v>5</v>
      </c>
      <c r="S1197" s="32">
        <v>28.720199999999998</v>
      </c>
      <c r="T1197" s="32">
        <v>15.584899999999999</v>
      </c>
      <c r="U1197" s="32">
        <v>0.971449012</v>
      </c>
      <c r="V1197" s="32">
        <v>3</v>
      </c>
      <c r="W1197" s="32">
        <v>0.92968200000000001</v>
      </c>
      <c r="X1197" s="32">
        <v>0.20714299999999999</v>
      </c>
      <c r="Y1197" s="32">
        <v>0.6</v>
      </c>
      <c r="Z1197" s="32">
        <v>1</v>
      </c>
      <c r="AA1197" s="32">
        <v>64.900000000000006</v>
      </c>
      <c r="AB1197" s="32">
        <v>287</v>
      </c>
      <c r="AC1197" s="32">
        <v>19</v>
      </c>
      <c r="AD1197" s="32">
        <v>11</v>
      </c>
      <c r="AE1197" s="32">
        <v>0</v>
      </c>
      <c r="AF1197" s="32" t="s">
        <v>200</v>
      </c>
      <c r="AG1197" s="32" t="s">
        <v>200</v>
      </c>
    </row>
    <row r="1198" spans="1:33">
      <c r="A1198" s="32" t="s">
        <v>4313</v>
      </c>
      <c r="B1198" s="32" t="s">
        <v>80</v>
      </c>
      <c r="C1198" s="32" t="s">
        <v>4314</v>
      </c>
      <c r="D1198" s="32" t="s">
        <v>4315</v>
      </c>
      <c r="E1198" s="32" t="s">
        <v>3397</v>
      </c>
      <c r="F1198" s="32" t="s">
        <v>3398</v>
      </c>
      <c r="G1198" s="32" t="s">
        <v>300</v>
      </c>
      <c r="H1198" s="32" t="s">
        <v>301</v>
      </c>
      <c r="I1198" s="32" t="s">
        <v>198</v>
      </c>
      <c r="J1198" s="32" t="s">
        <v>199</v>
      </c>
      <c r="K1198" s="32">
        <v>2.6850299999999998</v>
      </c>
      <c r="L1198" s="33">
        <v>2097</v>
      </c>
      <c r="M1198" s="32">
        <v>434</v>
      </c>
      <c r="N1198" s="32">
        <v>426</v>
      </c>
      <c r="O1198" s="32">
        <v>700</v>
      </c>
      <c r="P1198" s="32">
        <v>363</v>
      </c>
      <c r="Q1198" s="32">
        <v>174</v>
      </c>
      <c r="R1198" s="32" t="s">
        <v>302</v>
      </c>
      <c r="S1198" s="32">
        <v>35.858699999999999</v>
      </c>
      <c r="T1198" s="32">
        <v>28.355399999999999</v>
      </c>
      <c r="U1198" s="32">
        <v>0.99487186999999999</v>
      </c>
      <c r="V1198" s="32">
        <v>2</v>
      </c>
      <c r="W1198" s="32">
        <v>1</v>
      </c>
      <c r="X1198" s="32">
        <v>0.104478</v>
      </c>
      <c r="Y1198" s="32">
        <v>0.6</v>
      </c>
      <c r="Z1198" s="32">
        <v>1</v>
      </c>
      <c r="AA1198" s="32">
        <v>73.099999999999994</v>
      </c>
      <c r="AB1198" s="32">
        <v>254</v>
      </c>
      <c r="AC1198" s="32">
        <v>18</v>
      </c>
      <c r="AD1198" s="32">
        <v>23</v>
      </c>
      <c r="AE1198" s="32">
        <v>0</v>
      </c>
      <c r="AF1198" s="32">
        <v>0</v>
      </c>
      <c r="AG1198" s="32" t="s">
        <v>200</v>
      </c>
    </row>
    <row r="1199" spans="1:33">
      <c r="A1199" s="32" t="s">
        <v>3394</v>
      </c>
      <c r="B1199" s="32" t="s">
        <v>80</v>
      </c>
      <c r="C1199" s="32" t="s">
        <v>3395</v>
      </c>
      <c r="D1199" s="32" t="s">
        <v>3396</v>
      </c>
      <c r="E1199" s="32" t="s">
        <v>3397</v>
      </c>
      <c r="F1199" s="32" t="s">
        <v>3398</v>
      </c>
      <c r="G1199" s="32" t="s">
        <v>300</v>
      </c>
      <c r="H1199" s="32" t="s">
        <v>301</v>
      </c>
      <c r="I1199" s="32" t="s">
        <v>198</v>
      </c>
      <c r="J1199" s="32" t="s">
        <v>199</v>
      </c>
      <c r="K1199" s="32">
        <v>2.9446599999999998</v>
      </c>
      <c r="L1199" s="33">
        <v>3802</v>
      </c>
      <c r="M1199" s="32">
        <v>522</v>
      </c>
      <c r="N1199" s="33">
        <v>1643</v>
      </c>
      <c r="O1199" s="33">
        <v>1153</v>
      </c>
      <c r="P1199" s="32">
        <v>351</v>
      </c>
      <c r="Q1199" s="32">
        <v>133</v>
      </c>
      <c r="R1199" s="32" t="s">
        <v>668</v>
      </c>
      <c r="S1199" s="32">
        <v>87.209800000000001</v>
      </c>
      <c r="T1199" s="32">
        <v>23.972999999999999</v>
      </c>
      <c r="U1199" s="32">
        <v>0.66263938099999997</v>
      </c>
      <c r="V1199" s="32">
        <v>4</v>
      </c>
      <c r="W1199" s="32">
        <v>1</v>
      </c>
      <c r="X1199" s="32">
        <v>0.29752499999999998</v>
      </c>
      <c r="Y1199" s="32">
        <v>0.65732000000000002</v>
      </c>
      <c r="Z1199" s="32">
        <v>1</v>
      </c>
      <c r="AA1199" s="32">
        <v>48.6</v>
      </c>
      <c r="AB1199" s="32">
        <v>241</v>
      </c>
      <c r="AC1199" s="32">
        <v>81</v>
      </c>
      <c r="AD1199" s="32">
        <v>28</v>
      </c>
      <c r="AE1199" s="32">
        <v>0</v>
      </c>
      <c r="AF1199" s="32" t="s">
        <v>200</v>
      </c>
      <c r="AG1199" s="32">
        <v>7</v>
      </c>
    </row>
    <row r="1200" spans="1:33">
      <c r="A1200" s="32" t="s">
        <v>4316</v>
      </c>
      <c r="B1200" s="32" t="s">
        <v>80</v>
      </c>
      <c r="C1200" s="32" t="s">
        <v>4317</v>
      </c>
      <c r="D1200" s="32" t="s">
        <v>4318</v>
      </c>
      <c r="E1200" s="32" t="s">
        <v>3812</v>
      </c>
      <c r="F1200" s="32" t="s">
        <v>3813</v>
      </c>
      <c r="G1200" s="32" t="s">
        <v>300</v>
      </c>
      <c r="H1200" s="32" t="s">
        <v>301</v>
      </c>
      <c r="I1200" s="32" t="s">
        <v>198</v>
      </c>
      <c r="J1200" s="32" t="s">
        <v>199</v>
      </c>
      <c r="K1200" s="32">
        <v>2.7718250000000002</v>
      </c>
      <c r="L1200" s="33">
        <v>1999</v>
      </c>
      <c r="M1200" s="32">
        <v>425</v>
      </c>
      <c r="N1200" s="32">
        <v>514</v>
      </c>
      <c r="O1200" s="32">
        <v>640</v>
      </c>
      <c r="P1200" s="32">
        <v>298</v>
      </c>
      <c r="Q1200" s="32">
        <v>122</v>
      </c>
      <c r="R1200" s="32" t="s">
        <v>302</v>
      </c>
      <c r="S1200" s="32">
        <v>32.968000000000004</v>
      </c>
      <c r="T1200" s="32">
        <v>24.6736</v>
      </c>
      <c r="U1200" s="32">
        <v>0.86369986300000001</v>
      </c>
      <c r="V1200" s="32">
        <v>4</v>
      </c>
      <c r="W1200" s="32">
        <v>0.97103200000000001</v>
      </c>
      <c r="X1200" s="32">
        <v>0.190438</v>
      </c>
      <c r="Y1200" s="32">
        <v>0.6</v>
      </c>
      <c r="Z1200" s="32">
        <v>1</v>
      </c>
      <c r="AA1200" s="32">
        <v>58.3</v>
      </c>
      <c r="AB1200" s="32">
        <v>194</v>
      </c>
      <c r="AC1200" s="32">
        <v>9</v>
      </c>
      <c r="AD1200" s="32">
        <v>11</v>
      </c>
      <c r="AE1200" s="32">
        <v>0</v>
      </c>
      <c r="AF1200" s="32">
        <v>0</v>
      </c>
      <c r="AG1200" s="32" t="s">
        <v>200</v>
      </c>
    </row>
    <row r="1201" spans="1:33">
      <c r="A1201" s="32" t="s">
        <v>4319</v>
      </c>
      <c r="B1201" s="32" t="s">
        <v>80</v>
      </c>
      <c r="C1201" s="32" t="s">
        <v>4320</v>
      </c>
      <c r="D1201" s="32" t="s">
        <v>4321</v>
      </c>
      <c r="E1201" s="32" t="s">
        <v>3397</v>
      </c>
      <c r="F1201" s="32" t="s">
        <v>3398</v>
      </c>
      <c r="G1201" s="32" t="s">
        <v>300</v>
      </c>
      <c r="H1201" s="32" t="s">
        <v>301</v>
      </c>
      <c r="I1201" s="32" t="s">
        <v>198</v>
      </c>
      <c r="J1201" s="32" t="s">
        <v>199</v>
      </c>
      <c r="K1201" s="32">
        <v>2.83527</v>
      </c>
      <c r="L1201" s="33">
        <v>2674</v>
      </c>
      <c r="M1201" s="32">
        <v>488</v>
      </c>
      <c r="N1201" s="32">
        <v>935</v>
      </c>
      <c r="O1201" s="32">
        <v>822</v>
      </c>
      <c r="P1201" s="32">
        <v>364</v>
      </c>
      <c r="Q1201" s="32">
        <v>65</v>
      </c>
      <c r="R1201" s="32" t="s">
        <v>302</v>
      </c>
      <c r="S1201" s="32">
        <v>48.259599999999999</v>
      </c>
      <c r="T1201" s="32">
        <v>11.9352</v>
      </c>
      <c r="U1201" s="32">
        <v>0.67045479399999997</v>
      </c>
      <c r="V1201" s="32">
        <v>5</v>
      </c>
      <c r="W1201" s="32">
        <v>1</v>
      </c>
      <c r="X1201" s="32">
        <v>0.158996</v>
      </c>
      <c r="Y1201" s="32">
        <v>0.69535899999999995</v>
      </c>
      <c r="Z1201" s="32">
        <v>1</v>
      </c>
      <c r="AA1201" s="32">
        <v>53.6</v>
      </c>
      <c r="AB1201" s="32">
        <v>211</v>
      </c>
      <c r="AC1201" s="32">
        <v>14</v>
      </c>
      <c r="AD1201" s="32">
        <v>16</v>
      </c>
      <c r="AE1201" s="32">
        <v>0</v>
      </c>
      <c r="AF1201" s="32" t="s">
        <v>200</v>
      </c>
      <c r="AG1201" s="32" t="s">
        <v>200</v>
      </c>
    </row>
    <row r="1202" spans="1:33">
      <c r="A1202" s="32" t="s">
        <v>2061</v>
      </c>
      <c r="B1202" s="32" t="s">
        <v>80</v>
      </c>
      <c r="C1202" s="32" t="s">
        <v>2062</v>
      </c>
      <c r="D1202" s="32" t="s">
        <v>2063</v>
      </c>
      <c r="E1202" s="32" t="s">
        <v>2064</v>
      </c>
      <c r="F1202" s="32" t="s">
        <v>2065</v>
      </c>
      <c r="G1202" s="32" t="s">
        <v>300</v>
      </c>
      <c r="H1202" s="32" t="s">
        <v>301</v>
      </c>
      <c r="I1202" s="32" t="s">
        <v>198</v>
      </c>
      <c r="J1202" s="32" t="s">
        <v>199</v>
      </c>
      <c r="K1202" s="32">
        <v>2.6833330000000002</v>
      </c>
      <c r="L1202" s="33">
        <v>1869</v>
      </c>
      <c r="M1202" s="32">
        <v>228</v>
      </c>
      <c r="N1202" s="32">
        <v>447</v>
      </c>
      <c r="O1202" s="32">
        <v>768</v>
      </c>
      <c r="P1202" s="32">
        <v>363</v>
      </c>
      <c r="Q1202" s="32">
        <v>63</v>
      </c>
      <c r="R1202" s="32">
        <v>4</v>
      </c>
      <c r="S1202" s="32">
        <v>22.008900000000001</v>
      </c>
      <c r="T1202" s="32">
        <v>12.4971</v>
      </c>
      <c r="U1202" s="32">
        <v>0.58269889699999999</v>
      </c>
      <c r="V1202" s="32">
        <v>7</v>
      </c>
      <c r="W1202" s="32">
        <v>0.98796300000000004</v>
      </c>
      <c r="X1202" s="32">
        <v>0.114692</v>
      </c>
      <c r="Y1202" s="32">
        <v>0.6</v>
      </c>
      <c r="Z1202" s="32">
        <v>0.99906099999999998</v>
      </c>
      <c r="AA1202" s="32">
        <v>33.4</v>
      </c>
      <c r="AB1202" s="32">
        <v>216</v>
      </c>
      <c r="AC1202" s="32">
        <v>13</v>
      </c>
      <c r="AD1202" s="32">
        <v>9</v>
      </c>
      <c r="AE1202" s="32">
        <v>0</v>
      </c>
      <c r="AF1202" s="32">
        <v>0</v>
      </c>
      <c r="AG1202" s="32" t="s">
        <v>200</v>
      </c>
    </row>
    <row r="1203" spans="1:33">
      <c r="A1203" s="32" t="s">
        <v>2066</v>
      </c>
      <c r="B1203" s="32" t="s">
        <v>80</v>
      </c>
      <c r="C1203" s="32" t="s">
        <v>2067</v>
      </c>
      <c r="D1203" s="32" t="s">
        <v>2068</v>
      </c>
      <c r="E1203" s="32" t="s">
        <v>2064</v>
      </c>
      <c r="F1203" s="32" t="s">
        <v>2065</v>
      </c>
      <c r="G1203" s="32" t="s">
        <v>300</v>
      </c>
      <c r="H1203" s="32" t="s">
        <v>301</v>
      </c>
      <c r="I1203" s="32" t="s">
        <v>198</v>
      </c>
      <c r="J1203" s="32" t="s">
        <v>199</v>
      </c>
      <c r="K1203" s="32">
        <v>3.0197449999999999</v>
      </c>
      <c r="L1203" s="33">
        <v>1564</v>
      </c>
      <c r="M1203" s="32">
        <v>231</v>
      </c>
      <c r="N1203" s="32">
        <v>363</v>
      </c>
      <c r="O1203" s="32">
        <v>538</v>
      </c>
      <c r="P1203" s="32">
        <v>349</v>
      </c>
      <c r="Q1203" s="32">
        <v>83</v>
      </c>
      <c r="R1203" s="32">
        <v>5</v>
      </c>
      <c r="S1203" s="32">
        <v>28.9071</v>
      </c>
      <c r="T1203" s="32">
        <v>18.386299999999999</v>
      </c>
      <c r="U1203" s="32">
        <v>0.51614761099999995</v>
      </c>
      <c r="V1203" s="32">
        <v>5</v>
      </c>
      <c r="W1203" s="32">
        <v>0.99585999999999997</v>
      </c>
      <c r="X1203" s="32">
        <v>0.48580400000000001</v>
      </c>
      <c r="Y1203" s="32">
        <v>0.6</v>
      </c>
      <c r="Z1203" s="32">
        <v>0.98089199999999999</v>
      </c>
      <c r="AA1203" s="32">
        <v>46.8</v>
      </c>
      <c r="AB1203" s="32">
        <v>249</v>
      </c>
      <c r="AC1203" s="32">
        <v>42</v>
      </c>
      <c r="AD1203" s="32">
        <v>6</v>
      </c>
      <c r="AE1203" s="32">
        <v>0</v>
      </c>
      <c r="AF1203" s="32">
        <v>0</v>
      </c>
      <c r="AG1203" s="32" t="s">
        <v>200</v>
      </c>
    </row>
    <row r="1204" spans="1:33">
      <c r="A1204" s="32" t="s">
        <v>4322</v>
      </c>
      <c r="B1204" s="32" t="s">
        <v>118</v>
      </c>
      <c r="C1204" s="32" t="s">
        <v>4323</v>
      </c>
      <c r="D1204" s="32" t="s">
        <v>4324</v>
      </c>
      <c r="E1204" s="32" t="s">
        <v>4325</v>
      </c>
      <c r="F1204" s="32" t="s">
        <v>4326</v>
      </c>
      <c r="G1204" s="32" t="s">
        <v>3684</v>
      </c>
      <c r="H1204" s="32" t="s">
        <v>3685</v>
      </c>
      <c r="I1204" s="32" t="s">
        <v>198</v>
      </c>
      <c r="J1204" s="32" t="s">
        <v>199</v>
      </c>
      <c r="K1204" s="32">
        <v>2.3431489999999999</v>
      </c>
      <c r="L1204" s="33">
        <v>1966</v>
      </c>
      <c r="M1204" s="32">
        <v>382</v>
      </c>
      <c r="N1204" s="32">
        <v>515</v>
      </c>
      <c r="O1204" s="32">
        <v>453</v>
      </c>
      <c r="P1204" s="32">
        <v>377</v>
      </c>
      <c r="Q1204" s="32">
        <v>239</v>
      </c>
      <c r="R1204" s="32">
        <v>2</v>
      </c>
      <c r="S1204" s="32">
        <v>18.139800000000001</v>
      </c>
      <c r="T1204" s="32">
        <v>0</v>
      </c>
      <c r="U1204" s="32">
        <v>0.87954210099999997</v>
      </c>
      <c r="V1204" s="32">
        <v>4</v>
      </c>
      <c r="W1204" s="32">
        <v>0.90337800000000001</v>
      </c>
      <c r="X1204" s="32">
        <v>0.239313</v>
      </c>
      <c r="Y1204" s="32">
        <v>0.8</v>
      </c>
      <c r="Z1204" s="32">
        <v>0.38782699999999998</v>
      </c>
      <c r="AA1204" s="32">
        <v>28.3</v>
      </c>
      <c r="AB1204" s="32">
        <v>505</v>
      </c>
      <c r="AC1204" s="32">
        <v>41</v>
      </c>
      <c r="AD1204" s="32">
        <v>30</v>
      </c>
      <c r="AE1204" s="32">
        <v>0</v>
      </c>
      <c r="AF1204" s="32">
        <v>0</v>
      </c>
      <c r="AG1204" s="32" t="s">
        <v>200</v>
      </c>
    </row>
    <row r="1205" spans="1:33">
      <c r="A1205" s="32" t="s">
        <v>4327</v>
      </c>
      <c r="B1205" s="32" t="s">
        <v>118</v>
      </c>
      <c r="C1205" s="32" t="s">
        <v>4328</v>
      </c>
      <c r="D1205" s="32" t="s">
        <v>4329</v>
      </c>
      <c r="E1205" s="32" t="s">
        <v>4330</v>
      </c>
      <c r="F1205" s="32" t="s">
        <v>4331</v>
      </c>
      <c r="G1205" s="32" t="s">
        <v>3684</v>
      </c>
      <c r="H1205" s="32" t="s">
        <v>3685</v>
      </c>
      <c r="I1205" s="32" t="s">
        <v>198</v>
      </c>
      <c r="J1205" s="32" t="s">
        <v>199</v>
      </c>
      <c r="K1205" s="32">
        <v>2.4991089999999998</v>
      </c>
      <c r="L1205" s="33">
        <v>1581</v>
      </c>
      <c r="M1205" s="32">
        <v>244</v>
      </c>
      <c r="N1205" s="32">
        <v>374</v>
      </c>
      <c r="O1205" s="32">
        <v>536</v>
      </c>
      <c r="P1205" s="32">
        <v>282</v>
      </c>
      <c r="Q1205" s="32">
        <v>145</v>
      </c>
      <c r="R1205" s="32">
        <v>3</v>
      </c>
      <c r="S1205" s="32">
        <v>19.1265</v>
      </c>
      <c r="T1205" s="32">
        <v>7.4295099999999996</v>
      </c>
      <c r="U1205" s="32">
        <v>0.64410832200000001</v>
      </c>
      <c r="V1205" s="32">
        <v>7</v>
      </c>
      <c r="W1205" s="32">
        <v>0.91135900000000003</v>
      </c>
      <c r="X1205" s="32">
        <v>0.26116099999999998</v>
      </c>
      <c r="Y1205" s="32">
        <v>0.75619499999999995</v>
      </c>
      <c r="Z1205" s="32">
        <v>0.57130199999999998</v>
      </c>
      <c r="AA1205" s="32">
        <v>20.9</v>
      </c>
      <c r="AB1205" s="32">
        <v>417</v>
      </c>
      <c r="AC1205" s="32">
        <v>28</v>
      </c>
      <c r="AD1205" s="32">
        <v>13</v>
      </c>
      <c r="AE1205" s="32">
        <v>0</v>
      </c>
      <c r="AF1205" s="32" t="s">
        <v>200</v>
      </c>
      <c r="AG1205" s="32" t="s">
        <v>200</v>
      </c>
    </row>
    <row r="1206" spans="1:33">
      <c r="A1206" s="32" t="s">
        <v>4332</v>
      </c>
      <c r="B1206" s="32" t="s">
        <v>118</v>
      </c>
      <c r="C1206" s="32" t="s">
        <v>4333</v>
      </c>
      <c r="D1206" s="32" t="s">
        <v>4334</v>
      </c>
      <c r="E1206" s="32" t="s">
        <v>4335</v>
      </c>
      <c r="F1206" s="32" t="s">
        <v>4336</v>
      </c>
      <c r="G1206" s="32" t="s">
        <v>3684</v>
      </c>
      <c r="H1206" s="32" t="s">
        <v>3685</v>
      </c>
      <c r="I1206" s="32" t="s">
        <v>198</v>
      </c>
      <c r="J1206" s="32" t="s">
        <v>199</v>
      </c>
      <c r="K1206" s="32">
        <v>2.4433449999999999</v>
      </c>
      <c r="L1206" s="33">
        <v>1703</v>
      </c>
      <c r="M1206" s="32">
        <v>231</v>
      </c>
      <c r="N1206" s="32">
        <v>316</v>
      </c>
      <c r="O1206" s="32">
        <v>589</v>
      </c>
      <c r="P1206" s="32">
        <v>371</v>
      </c>
      <c r="Q1206" s="32">
        <v>196</v>
      </c>
      <c r="R1206" s="32">
        <v>2</v>
      </c>
      <c r="S1206" s="32">
        <v>16.572399999999998</v>
      </c>
      <c r="T1206" s="32">
        <v>2.5316700000000001</v>
      </c>
      <c r="U1206" s="32">
        <v>0.77953054700000002</v>
      </c>
      <c r="V1206" s="32">
        <v>5</v>
      </c>
      <c r="W1206" s="32">
        <v>0.90358400000000005</v>
      </c>
      <c r="X1206" s="32">
        <v>0.122867</v>
      </c>
      <c r="Y1206" s="32">
        <v>0.78942000000000001</v>
      </c>
      <c r="Z1206" s="32">
        <v>0.61629900000000004</v>
      </c>
      <c r="AA1206" s="32">
        <v>19.7</v>
      </c>
      <c r="AB1206" s="32">
        <v>430</v>
      </c>
      <c r="AC1206" s="32">
        <v>22</v>
      </c>
      <c r="AD1206" s="32">
        <v>13</v>
      </c>
      <c r="AE1206" s="32" t="s">
        <v>200</v>
      </c>
      <c r="AF1206" s="32">
        <v>0</v>
      </c>
      <c r="AG1206" s="32" t="s">
        <v>200</v>
      </c>
    </row>
    <row r="1207" spans="1:33">
      <c r="A1207" s="32" t="s">
        <v>4337</v>
      </c>
      <c r="B1207" s="32" t="s">
        <v>118</v>
      </c>
      <c r="C1207" s="32" t="s">
        <v>4338</v>
      </c>
      <c r="D1207" s="32" t="s">
        <v>4339</v>
      </c>
      <c r="E1207" s="32" t="s">
        <v>4330</v>
      </c>
      <c r="F1207" s="32" t="s">
        <v>4331</v>
      </c>
      <c r="G1207" s="32" t="s">
        <v>3684</v>
      </c>
      <c r="H1207" s="32" t="s">
        <v>3685</v>
      </c>
      <c r="I1207" s="32" t="s">
        <v>198</v>
      </c>
      <c r="J1207" s="32" t="s">
        <v>199</v>
      </c>
      <c r="K1207" s="32">
        <v>2.234467</v>
      </c>
      <c r="L1207" s="33">
        <v>1517</v>
      </c>
      <c r="M1207" s="32">
        <v>358</v>
      </c>
      <c r="N1207" s="32">
        <v>243</v>
      </c>
      <c r="O1207" s="32">
        <v>376</v>
      </c>
      <c r="P1207" s="32">
        <v>369</v>
      </c>
      <c r="Q1207" s="32">
        <v>171</v>
      </c>
      <c r="R1207" s="32">
        <v>2</v>
      </c>
      <c r="S1207" s="32">
        <v>10.5121</v>
      </c>
      <c r="T1207" s="32">
        <v>2.6243599999999998</v>
      </c>
      <c r="U1207" s="32">
        <v>0.69716586700000005</v>
      </c>
      <c r="V1207" s="32">
        <v>8</v>
      </c>
      <c r="W1207" s="32">
        <v>0.90154599999999996</v>
      </c>
      <c r="X1207" s="32">
        <v>2.2946000000000001E-2</v>
      </c>
      <c r="Y1207" s="32">
        <v>0.8</v>
      </c>
      <c r="Z1207" s="32">
        <v>0.51550399999999996</v>
      </c>
      <c r="AA1207" s="32">
        <v>26.5</v>
      </c>
      <c r="AB1207" s="32">
        <v>517</v>
      </c>
      <c r="AC1207" s="32">
        <v>37</v>
      </c>
      <c r="AD1207" s="32">
        <v>20</v>
      </c>
      <c r="AE1207" s="32">
        <v>0</v>
      </c>
      <c r="AF1207" s="32">
        <v>0</v>
      </c>
      <c r="AG1207" s="32" t="s">
        <v>200</v>
      </c>
    </row>
    <row r="1208" spans="1:33">
      <c r="A1208" s="32" t="s">
        <v>4340</v>
      </c>
      <c r="B1208" s="32" t="s">
        <v>118</v>
      </c>
      <c r="C1208" s="32" t="s">
        <v>4341</v>
      </c>
      <c r="D1208" s="32" t="s">
        <v>4342</v>
      </c>
      <c r="E1208" s="32" t="s">
        <v>4335</v>
      </c>
      <c r="F1208" s="32" t="s">
        <v>4336</v>
      </c>
      <c r="G1208" s="32" t="s">
        <v>3684</v>
      </c>
      <c r="H1208" s="32" t="s">
        <v>3685</v>
      </c>
      <c r="I1208" s="32" t="s">
        <v>198</v>
      </c>
      <c r="J1208" s="32" t="s">
        <v>199</v>
      </c>
      <c r="K1208" s="32">
        <v>2.5562499999999999</v>
      </c>
      <c r="L1208" s="33">
        <v>1731</v>
      </c>
      <c r="M1208" s="32">
        <v>228</v>
      </c>
      <c r="N1208" s="32">
        <v>289</v>
      </c>
      <c r="O1208" s="32">
        <v>546</v>
      </c>
      <c r="P1208" s="32">
        <v>385</v>
      </c>
      <c r="Q1208" s="32">
        <v>283</v>
      </c>
      <c r="R1208" s="32">
        <v>3</v>
      </c>
      <c r="S1208" s="32">
        <v>22.715299999999999</v>
      </c>
      <c r="T1208" s="32">
        <v>5.6380100000000004</v>
      </c>
      <c r="U1208" s="32">
        <v>0.59843035899999997</v>
      </c>
      <c r="V1208" s="32">
        <v>9</v>
      </c>
      <c r="W1208" s="32">
        <v>0.90902799999999995</v>
      </c>
      <c r="X1208" s="32">
        <v>0.29268300000000003</v>
      </c>
      <c r="Y1208" s="32">
        <v>0.8</v>
      </c>
      <c r="Z1208" s="32">
        <v>0.56202099999999999</v>
      </c>
      <c r="AA1208" s="32">
        <v>21.8</v>
      </c>
      <c r="AB1208" s="32">
        <v>474</v>
      </c>
      <c r="AC1208" s="32">
        <v>33</v>
      </c>
      <c r="AD1208" s="32">
        <v>9</v>
      </c>
      <c r="AE1208" s="32">
        <v>0</v>
      </c>
      <c r="AF1208" s="32">
        <v>0</v>
      </c>
      <c r="AG1208" s="32" t="s">
        <v>200</v>
      </c>
    </row>
    <row r="1209" spans="1:33">
      <c r="A1209" s="32" t="s">
        <v>4343</v>
      </c>
      <c r="B1209" s="32" t="s">
        <v>118</v>
      </c>
      <c r="C1209" s="32" t="s">
        <v>4344</v>
      </c>
      <c r="D1209" s="32" t="s">
        <v>4345</v>
      </c>
      <c r="E1209" s="32" t="s">
        <v>4346</v>
      </c>
      <c r="F1209" s="32" t="s">
        <v>4347</v>
      </c>
      <c r="G1209" s="32" t="s">
        <v>3684</v>
      </c>
      <c r="H1209" s="32" t="s">
        <v>3685</v>
      </c>
      <c r="I1209" s="32" t="s">
        <v>198</v>
      </c>
      <c r="J1209" s="32" t="s">
        <v>199</v>
      </c>
      <c r="K1209" s="32">
        <v>2.3499210000000001</v>
      </c>
      <c r="L1209" s="33">
        <v>2340</v>
      </c>
      <c r="M1209" s="32">
        <v>397</v>
      </c>
      <c r="N1209" s="32">
        <v>367</v>
      </c>
      <c r="O1209" s="32">
        <v>861</v>
      </c>
      <c r="P1209" s="32">
        <v>497</v>
      </c>
      <c r="Q1209" s="32">
        <v>218</v>
      </c>
      <c r="R1209" s="32">
        <v>2</v>
      </c>
      <c r="S1209" s="32">
        <v>10.488899999999999</v>
      </c>
      <c r="T1209" s="32">
        <v>0</v>
      </c>
      <c r="U1209" s="32">
        <v>0.882779066</v>
      </c>
      <c r="V1209" s="32">
        <v>4</v>
      </c>
      <c r="W1209" s="32">
        <v>0.90566899999999995</v>
      </c>
      <c r="X1209" s="32">
        <v>0.13761799999999999</v>
      </c>
      <c r="Y1209" s="32">
        <v>0.8</v>
      </c>
      <c r="Z1209" s="32">
        <v>0.53532199999999996</v>
      </c>
      <c r="AA1209" s="32">
        <v>32.200000000000003</v>
      </c>
      <c r="AB1209" s="32">
        <v>548</v>
      </c>
      <c r="AC1209" s="32">
        <v>50</v>
      </c>
      <c r="AD1209" s="32">
        <v>23</v>
      </c>
      <c r="AE1209" s="32">
        <v>0</v>
      </c>
      <c r="AF1209" s="32">
        <v>0</v>
      </c>
      <c r="AG1209" s="32" t="s">
        <v>200</v>
      </c>
    </row>
    <row r="1210" spans="1:33">
      <c r="A1210" s="32" t="s">
        <v>4348</v>
      </c>
      <c r="B1210" s="32" t="s">
        <v>118</v>
      </c>
      <c r="C1210" s="32" t="s">
        <v>4349</v>
      </c>
      <c r="D1210" s="32" t="s">
        <v>4350</v>
      </c>
      <c r="E1210" s="32" t="s">
        <v>4346</v>
      </c>
      <c r="F1210" s="32" t="s">
        <v>4347</v>
      </c>
      <c r="G1210" s="32" t="s">
        <v>3684</v>
      </c>
      <c r="H1210" s="32" t="s">
        <v>3685</v>
      </c>
      <c r="I1210" s="32" t="s">
        <v>198</v>
      </c>
      <c r="J1210" s="32" t="s">
        <v>199</v>
      </c>
      <c r="K1210" s="32">
        <v>2.2627449999999998</v>
      </c>
      <c r="L1210" s="33">
        <v>1807</v>
      </c>
      <c r="M1210" s="32">
        <v>439</v>
      </c>
      <c r="N1210" s="32">
        <v>323</v>
      </c>
      <c r="O1210" s="32">
        <v>510</v>
      </c>
      <c r="P1210" s="32">
        <v>380</v>
      </c>
      <c r="Q1210" s="32">
        <v>155</v>
      </c>
      <c r="R1210" s="32">
        <v>2</v>
      </c>
      <c r="S1210" s="32">
        <v>10.536199999999999</v>
      </c>
      <c r="T1210" s="32">
        <v>7.5094099999999999</v>
      </c>
      <c r="U1210" s="32">
        <v>1.0378335839999999</v>
      </c>
      <c r="V1210" s="32">
        <v>3</v>
      </c>
      <c r="W1210" s="32">
        <v>0.90252100000000002</v>
      </c>
      <c r="X1210" s="32">
        <v>4.8485E-2</v>
      </c>
      <c r="Y1210" s="32">
        <v>0.8</v>
      </c>
      <c r="Z1210" s="32">
        <v>0.51680700000000002</v>
      </c>
      <c r="AA1210" s="32">
        <v>44.5</v>
      </c>
      <c r="AB1210" s="32">
        <v>414</v>
      </c>
      <c r="AC1210" s="32">
        <v>35</v>
      </c>
      <c r="AD1210" s="32">
        <v>15</v>
      </c>
      <c r="AE1210" s="32">
        <v>0</v>
      </c>
      <c r="AF1210" s="32">
        <v>0</v>
      </c>
      <c r="AG1210" s="32" t="s">
        <v>200</v>
      </c>
    </row>
    <row r="1211" spans="1:33">
      <c r="A1211" s="32" t="s">
        <v>4351</v>
      </c>
      <c r="B1211" s="32" t="s">
        <v>118</v>
      </c>
      <c r="C1211" s="32" t="s">
        <v>4352</v>
      </c>
      <c r="D1211" s="32" t="s">
        <v>4353</v>
      </c>
      <c r="E1211" s="32" t="s">
        <v>4346</v>
      </c>
      <c r="F1211" s="32" t="s">
        <v>4347</v>
      </c>
      <c r="G1211" s="32" t="s">
        <v>3684</v>
      </c>
      <c r="H1211" s="32" t="s">
        <v>3685</v>
      </c>
      <c r="I1211" s="32" t="s">
        <v>198</v>
      </c>
      <c r="J1211" s="32" t="s">
        <v>199</v>
      </c>
      <c r="K1211" s="32">
        <v>2.311966</v>
      </c>
      <c r="L1211" s="33">
        <v>1625</v>
      </c>
      <c r="M1211" s="32">
        <v>350</v>
      </c>
      <c r="N1211" s="32">
        <v>288</v>
      </c>
      <c r="O1211" s="32">
        <v>466</v>
      </c>
      <c r="P1211" s="32">
        <v>337</v>
      </c>
      <c r="Q1211" s="32">
        <v>184</v>
      </c>
      <c r="R1211" s="32">
        <v>2</v>
      </c>
      <c r="S1211" s="32">
        <v>13.3667</v>
      </c>
      <c r="T1211" s="32">
        <v>4.7018500000000003</v>
      </c>
      <c r="U1211" s="32">
        <v>0.89985508000000003</v>
      </c>
      <c r="V1211" s="32">
        <v>5</v>
      </c>
      <c r="W1211" s="32">
        <v>0.90448700000000004</v>
      </c>
      <c r="X1211" s="32">
        <v>0.127079</v>
      </c>
      <c r="Y1211" s="32">
        <v>0.8</v>
      </c>
      <c r="Z1211" s="32">
        <v>0.50042299999999995</v>
      </c>
      <c r="AA1211" s="32">
        <v>32</v>
      </c>
      <c r="AB1211" s="32">
        <v>410</v>
      </c>
      <c r="AC1211" s="32">
        <v>46</v>
      </c>
      <c r="AD1211" s="32">
        <v>23</v>
      </c>
      <c r="AE1211" s="32">
        <v>0</v>
      </c>
      <c r="AF1211" s="32">
        <v>0</v>
      </c>
      <c r="AG1211" s="32">
        <v>0</v>
      </c>
    </row>
    <row r="1212" spans="1:33">
      <c r="A1212" s="32" t="s">
        <v>4354</v>
      </c>
      <c r="B1212" s="32" t="s">
        <v>119</v>
      </c>
      <c r="C1212" s="32" t="s">
        <v>4355</v>
      </c>
      <c r="D1212" s="32" t="s">
        <v>4356</v>
      </c>
      <c r="E1212" s="32" t="s">
        <v>4357</v>
      </c>
      <c r="F1212" s="32" t="s">
        <v>4358</v>
      </c>
      <c r="G1212" s="32" t="s">
        <v>4359</v>
      </c>
      <c r="H1212" s="32" t="s">
        <v>4360</v>
      </c>
      <c r="I1212" s="32" t="s">
        <v>198</v>
      </c>
      <c r="J1212" s="32" t="s">
        <v>199</v>
      </c>
      <c r="K1212" s="32">
        <v>2.2511809999999999</v>
      </c>
      <c r="L1212" s="33">
        <v>1615</v>
      </c>
      <c r="M1212" s="32">
        <v>277</v>
      </c>
      <c r="N1212" s="32">
        <v>281</v>
      </c>
      <c r="O1212" s="32">
        <v>277</v>
      </c>
      <c r="P1212" s="32">
        <v>429</v>
      </c>
      <c r="Q1212" s="32">
        <v>351</v>
      </c>
      <c r="R1212" s="32" t="s">
        <v>225</v>
      </c>
      <c r="S1212" s="32">
        <v>9.4197699999999998</v>
      </c>
      <c r="T1212" s="32">
        <v>0</v>
      </c>
      <c r="U1212" s="32">
        <v>0.68052696400000001</v>
      </c>
      <c r="V1212" s="32">
        <v>9</v>
      </c>
      <c r="W1212" s="32">
        <v>0.82979599999999998</v>
      </c>
      <c r="X1212" s="32">
        <v>0.28436099999999997</v>
      </c>
      <c r="Y1212" s="32">
        <v>0.87678599999999995</v>
      </c>
      <c r="Z1212" s="32">
        <v>0.26003900000000002</v>
      </c>
      <c r="AA1212" s="32">
        <v>39.1</v>
      </c>
      <c r="AB1212" s="32">
        <v>710</v>
      </c>
      <c r="AC1212" s="32">
        <v>15</v>
      </c>
      <c r="AD1212" s="32">
        <v>29</v>
      </c>
      <c r="AE1212" s="32">
        <v>0</v>
      </c>
      <c r="AF1212" s="32">
        <v>0</v>
      </c>
      <c r="AG1212" s="32" t="s">
        <v>200</v>
      </c>
    </row>
    <row r="1213" spans="1:33">
      <c r="A1213" s="32" t="s">
        <v>4361</v>
      </c>
      <c r="B1213" s="32" t="s">
        <v>119</v>
      </c>
      <c r="C1213" s="32" t="s">
        <v>4362</v>
      </c>
      <c r="D1213" s="32" t="s">
        <v>4363</v>
      </c>
      <c r="E1213" s="32" t="s">
        <v>4357</v>
      </c>
      <c r="F1213" s="32" t="s">
        <v>4358</v>
      </c>
      <c r="G1213" s="32" t="s">
        <v>4359</v>
      </c>
      <c r="H1213" s="32" t="s">
        <v>4360</v>
      </c>
      <c r="I1213" s="32" t="s">
        <v>198</v>
      </c>
      <c r="J1213" s="32" t="s">
        <v>199</v>
      </c>
      <c r="K1213" s="32">
        <v>2.262527</v>
      </c>
      <c r="L1213" s="33">
        <v>1601</v>
      </c>
      <c r="M1213" s="32">
        <v>276</v>
      </c>
      <c r="N1213" s="32">
        <v>333</v>
      </c>
      <c r="O1213" s="32">
        <v>348</v>
      </c>
      <c r="P1213" s="32">
        <v>385</v>
      </c>
      <c r="Q1213" s="32">
        <v>259</v>
      </c>
      <c r="R1213" s="32" t="s">
        <v>225</v>
      </c>
      <c r="S1213" s="32">
        <v>7.5607699999999998</v>
      </c>
      <c r="T1213" s="32">
        <v>0</v>
      </c>
      <c r="U1213" s="32">
        <v>0.78203434100000002</v>
      </c>
      <c r="V1213" s="32">
        <v>6</v>
      </c>
      <c r="W1213" s="32">
        <v>0.86062799999999995</v>
      </c>
      <c r="X1213" s="32">
        <v>0.391374</v>
      </c>
      <c r="Y1213" s="32">
        <v>0.8</v>
      </c>
      <c r="Z1213" s="32">
        <v>0.20811399999999999</v>
      </c>
      <c r="AA1213" s="32">
        <v>39.1</v>
      </c>
      <c r="AB1213" s="32">
        <v>609</v>
      </c>
      <c r="AC1213" s="32">
        <v>46</v>
      </c>
      <c r="AD1213" s="32">
        <v>49</v>
      </c>
      <c r="AE1213" s="32" t="s">
        <v>200</v>
      </c>
      <c r="AF1213" s="32">
        <v>0</v>
      </c>
      <c r="AG1213" s="32" t="s">
        <v>200</v>
      </c>
    </row>
    <row r="1214" spans="1:33">
      <c r="A1214" s="32" t="s">
        <v>4364</v>
      </c>
      <c r="B1214" s="32" t="s">
        <v>119</v>
      </c>
      <c r="C1214" s="32" t="s">
        <v>4365</v>
      </c>
      <c r="D1214" s="32" t="s">
        <v>4366</v>
      </c>
      <c r="E1214" s="32" t="s">
        <v>4367</v>
      </c>
      <c r="F1214" s="32" t="s">
        <v>4368</v>
      </c>
      <c r="G1214" s="32" t="s">
        <v>4359</v>
      </c>
      <c r="H1214" s="32" t="s">
        <v>4360</v>
      </c>
      <c r="I1214" s="32" t="s">
        <v>198</v>
      </c>
      <c r="J1214" s="32" t="s">
        <v>199</v>
      </c>
      <c r="K1214" s="32">
        <v>2.124835</v>
      </c>
      <c r="L1214" s="33">
        <v>1631</v>
      </c>
      <c r="M1214" s="32">
        <v>339</v>
      </c>
      <c r="N1214" s="32">
        <v>187</v>
      </c>
      <c r="O1214" s="32">
        <v>341</v>
      </c>
      <c r="P1214" s="32">
        <v>448</v>
      </c>
      <c r="Q1214" s="32">
        <v>316</v>
      </c>
      <c r="R1214" s="32">
        <v>2</v>
      </c>
      <c r="S1214" s="32">
        <v>16.0518</v>
      </c>
      <c r="T1214" s="32">
        <v>0</v>
      </c>
      <c r="U1214" s="32">
        <v>0.755451557</v>
      </c>
      <c r="V1214" s="32">
        <v>8</v>
      </c>
      <c r="W1214" s="32">
        <v>0.82170799999999999</v>
      </c>
      <c r="X1214" s="32">
        <v>0.125389</v>
      </c>
      <c r="Y1214" s="32">
        <v>0.9</v>
      </c>
      <c r="Z1214" s="32">
        <v>0.272623</v>
      </c>
      <c r="AA1214" s="32">
        <v>23.7</v>
      </c>
      <c r="AB1214" s="32">
        <v>743</v>
      </c>
      <c r="AC1214" s="32">
        <v>32</v>
      </c>
      <c r="AD1214" s="32">
        <v>21</v>
      </c>
      <c r="AE1214" s="32">
        <v>0</v>
      </c>
      <c r="AF1214" s="32">
        <v>0</v>
      </c>
      <c r="AG1214" s="32" t="s">
        <v>200</v>
      </c>
    </row>
    <row r="1215" spans="1:33">
      <c r="A1215" s="32" t="s">
        <v>4369</v>
      </c>
      <c r="B1215" s="32" t="s">
        <v>119</v>
      </c>
      <c r="C1215" s="32" t="s">
        <v>4370</v>
      </c>
      <c r="D1215" s="32" t="s">
        <v>4371</v>
      </c>
      <c r="E1215" s="32" t="s">
        <v>4372</v>
      </c>
      <c r="F1215" s="32" t="s">
        <v>4373</v>
      </c>
      <c r="G1215" s="32" t="s">
        <v>3993</v>
      </c>
      <c r="H1215" s="32" t="s">
        <v>3994</v>
      </c>
      <c r="I1215" s="32" t="s">
        <v>198</v>
      </c>
      <c r="J1215" s="32" t="s">
        <v>199</v>
      </c>
      <c r="K1215" s="32">
        <v>2.0234809999999999</v>
      </c>
      <c r="L1215" s="33">
        <v>1415</v>
      </c>
      <c r="M1215" s="32">
        <v>330</v>
      </c>
      <c r="N1215" s="32">
        <v>180</v>
      </c>
      <c r="O1215" s="32">
        <v>208</v>
      </c>
      <c r="P1215" s="32">
        <v>436</v>
      </c>
      <c r="Q1215" s="32">
        <v>261</v>
      </c>
      <c r="R1215" s="32" t="s">
        <v>225</v>
      </c>
      <c r="S1215" s="32">
        <v>5.4256200000000003</v>
      </c>
      <c r="T1215" s="32">
        <v>0</v>
      </c>
      <c r="U1215" s="32">
        <v>0.71924520700000005</v>
      </c>
      <c r="V1215" s="32">
        <v>10</v>
      </c>
      <c r="W1215" s="32">
        <v>0.83522200000000002</v>
      </c>
      <c r="X1215" s="32">
        <v>0.09</v>
      </c>
      <c r="Y1215" s="32">
        <v>0.89767399999999997</v>
      </c>
      <c r="Z1215" s="32">
        <v>0.20457</v>
      </c>
      <c r="AA1215" s="32">
        <v>24.7</v>
      </c>
      <c r="AB1215" s="32">
        <v>764</v>
      </c>
      <c r="AC1215" s="32">
        <v>19</v>
      </c>
      <c r="AD1215" s="32">
        <v>24</v>
      </c>
      <c r="AE1215" s="32" t="s">
        <v>200</v>
      </c>
      <c r="AF1215" s="32">
        <v>0</v>
      </c>
      <c r="AG1215" s="32" t="s">
        <v>200</v>
      </c>
    </row>
    <row r="1216" spans="1:33">
      <c r="A1216" s="32" t="s">
        <v>4374</v>
      </c>
      <c r="B1216" s="32" t="s">
        <v>119</v>
      </c>
      <c r="C1216" s="32" t="s">
        <v>4375</v>
      </c>
      <c r="D1216" s="32" t="s">
        <v>4376</v>
      </c>
      <c r="E1216" s="32" t="s">
        <v>4372</v>
      </c>
      <c r="F1216" s="32" t="s">
        <v>4373</v>
      </c>
      <c r="G1216" s="32" t="s">
        <v>3993</v>
      </c>
      <c r="H1216" s="32" t="s">
        <v>3994</v>
      </c>
      <c r="I1216" s="32" t="s">
        <v>198</v>
      </c>
      <c r="J1216" s="32" t="s">
        <v>199</v>
      </c>
      <c r="K1216" s="32">
        <v>2.2561209999999998</v>
      </c>
      <c r="L1216" s="33">
        <v>1715</v>
      </c>
      <c r="M1216" s="32">
        <v>379</v>
      </c>
      <c r="N1216" s="32">
        <v>189</v>
      </c>
      <c r="O1216" s="32">
        <v>384</v>
      </c>
      <c r="P1216" s="32">
        <v>478</v>
      </c>
      <c r="Q1216" s="32">
        <v>285</v>
      </c>
      <c r="R1216" s="32">
        <v>2</v>
      </c>
      <c r="S1216" s="32">
        <v>16.898199999999999</v>
      </c>
      <c r="T1216" s="32">
        <v>0</v>
      </c>
      <c r="U1216" s="32">
        <v>0.69590524799999998</v>
      </c>
      <c r="V1216" s="32">
        <v>8</v>
      </c>
      <c r="W1216" s="32">
        <v>0.85494099999999995</v>
      </c>
      <c r="X1216" s="32">
        <v>0.29690299999999997</v>
      </c>
      <c r="Y1216" s="32">
        <v>0.83855199999999996</v>
      </c>
      <c r="Z1216" s="32">
        <v>0.265704</v>
      </c>
      <c r="AA1216" s="32">
        <v>22.2</v>
      </c>
      <c r="AB1216" s="32">
        <v>745</v>
      </c>
      <c r="AC1216" s="32">
        <v>26</v>
      </c>
      <c r="AD1216" s="32">
        <v>37</v>
      </c>
      <c r="AE1216" s="32">
        <v>0</v>
      </c>
      <c r="AF1216" s="32" t="s">
        <v>200</v>
      </c>
      <c r="AG1216" s="32" t="s">
        <v>200</v>
      </c>
    </row>
    <row r="1217" spans="1:33">
      <c r="A1217" s="32" t="s">
        <v>4377</v>
      </c>
      <c r="B1217" s="32" t="s">
        <v>119</v>
      </c>
      <c r="C1217" s="32" t="s">
        <v>4378</v>
      </c>
      <c r="D1217" s="32" t="s">
        <v>4379</v>
      </c>
      <c r="E1217" s="32" t="s">
        <v>4380</v>
      </c>
      <c r="F1217" s="32" t="s">
        <v>4381</v>
      </c>
      <c r="G1217" s="32" t="s">
        <v>3993</v>
      </c>
      <c r="H1217" s="32" t="s">
        <v>3994</v>
      </c>
      <c r="I1217" s="32" t="s">
        <v>198</v>
      </c>
      <c r="J1217" s="32" t="s">
        <v>199</v>
      </c>
      <c r="K1217" s="32">
        <v>2.546357</v>
      </c>
      <c r="L1217" s="33">
        <v>1603</v>
      </c>
      <c r="M1217" s="32">
        <v>338</v>
      </c>
      <c r="N1217" s="32">
        <v>266</v>
      </c>
      <c r="O1217" s="32">
        <v>473</v>
      </c>
      <c r="P1217" s="32">
        <v>346</v>
      </c>
      <c r="Q1217" s="32">
        <v>180</v>
      </c>
      <c r="R1217" s="32">
        <v>2</v>
      </c>
      <c r="S1217" s="32">
        <v>18.590499999999999</v>
      </c>
      <c r="T1217" s="32">
        <v>0</v>
      </c>
      <c r="U1217" s="32">
        <v>0.79286860299999995</v>
      </c>
      <c r="V1217" s="32">
        <v>4</v>
      </c>
      <c r="W1217" s="32">
        <v>0.88624800000000004</v>
      </c>
      <c r="X1217" s="32">
        <v>0.38521899999999998</v>
      </c>
      <c r="Y1217" s="32">
        <v>0.83876300000000004</v>
      </c>
      <c r="Z1217" s="32">
        <v>0.42674499999999999</v>
      </c>
      <c r="AA1217" s="32">
        <v>30.2</v>
      </c>
      <c r="AB1217" s="32">
        <v>443</v>
      </c>
      <c r="AC1217" s="32">
        <v>19</v>
      </c>
      <c r="AD1217" s="32">
        <v>57</v>
      </c>
      <c r="AE1217" s="32">
        <v>22</v>
      </c>
      <c r="AF1217" s="32">
        <v>0</v>
      </c>
      <c r="AG1217" s="32">
        <v>18</v>
      </c>
    </row>
    <row r="1218" spans="1:33">
      <c r="A1218" s="32" t="s">
        <v>4382</v>
      </c>
      <c r="B1218" s="32" t="s">
        <v>119</v>
      </c>
      <c r="C1218" s="32" t="s">
        <v>4383</v>
      </c>
      <c r="D1218" s="32" t="s">
        <v>4384</v>
      </c>
      <c r="E1218" s="32" t="s">
        <v>4385</v>
      </c>
      <c r="F1218" s="32" t="s">
        <v>4386</v>
      </c>
      <c r="G1218" s="32" t="s">
        <v>3684</v>
      </c>
      <c r="H1218" s="32" t="s">
        <v>3685</v>
      </c>
      <c r="I1218" s="32" t="s">
        <v>198</v>
      </c>
      <c r="J1218" s="32" t="s">
        <v>199</v>
      </c>
      <c r="K1218" s="32">
        <v>2.1327219999999998</v>
      </c>
      <c r="L1218" s="33">
        <v>1766</v>
      </c>
      <c r="M1218" s="32">
        <v>343</v>
      </c>
      <c r="N1218" s="32">
        <v>337</v>
      </c>
      <c r="O1218" s="32">
        <v>469</v>
      </c>
      <c r="P1218" s="32">
        <v>426</v>
      </c>
      <c r="Q1218" s="32">
        <v>191</v>
      </c>
      <c r="R1218" s="32" t="s">
        <v>225</v>
      </c>
      <c r="S1218" s="32">
        <v>9.1150500000000001</v>
      </c>
      <c r="T1218" s="32">
        <v>0</v>
      </c>
      <c r="U1218" s="32">
        <v>1.090400131</v>
      </c>
      <c r="V1218" s="32">
        <v>3</v>
      </c>
      <c r="W1218" s="32">
        <v>0.85378200000000004</v>
      </c>
      <c r="X1218" s="32">
        <v>0.23907600000000001</v>
      </c>
      <c r="Y1218" s="32">
        <v>0.80233600000000005</v>
      </c>
      <c r="Z1218" s="32">
        <v>0.24244599999999999</v>
      </c>
      <c r="AA1218" s="32">
        <v>31.6</v>
      </c>
      <c r="AB1218" s="32">
        <v>497</v>
      </c>
      <c r="AC1218" s="32">
        <v>36</v>
      </c>
      <c r="AD1218" s="32">
        <v>44</v>
      </c>
      <c r="AE1218" s="32">
        <v>0</v>
      </c>
      <c r="AF1218" s="32" t="s">
        <v>200</v>
      </c>
      <c r="AG1218" s="32" t="s">
        <v>200</v>
      </c>
    </row>
    <row r="1219" spans="1:33">
      <c r="A1219" s="32" t="s">
        <v>4387</v>
      </c>
      <c r="B1219" s="32" t="s">
        <v>120</v>
      </c>
      <c r="C1219" s="32" t="s">
        <v>4388</v>
      </c>
      <c r="D1219" s="32" t="s">
        <v>4389</v>
      </c>
      <c r="E1219" s="32" t="s">
        <v>4390</v>
      </c>
      <c r="F1219" s="32" t="s">
        <v>4391</v>
      </c>
      <c r="G1219" s="32" t="s">
        <v>4359</v>
      </c>
      <c r="H1219" s="32" t="s">
        <v>4360</v>
      </c>
      <c r="I1219" s="32" t="s">
        <v>198</v>
      </c>
      <c r="J1219" s="32" t="s">
        <v>199</v>
      </c>
      <c r="K1219" s="32">
        <v>2.065302</v>
      </c>
      <c r="L1219" s="33">
        <v>1711</v>
      </c>
      <c r="M1219" s="32">
        <v>381</v>
      </c>
      <c r="N1219" s="32">
        <v>236</v>
      </c>
      <c r="O1219" s="32">
        <v>441</v>
      </c>
      <c r="P1219" s="32">
        <v>450</v>
      </c>
      <c r="Q1219" s="32">
        <v>203</v>
      </c>
      <c r="R1219" s="32" t="s">
        <v>225</v>
      </c>
      <c r="S1219" s="32">
        <v>7.3963999999999999</v>
      </c>
      <c r="T1219" s="32">
        <v>0</v>
      </c>
      <c r="U1219" s="32">
        <v>0.91853971800000001</v>
      </c>
      <c r="V1219" s="32">
        <v>5</v>
      </c>
      <c r="W1219" s="32">
        <v>0.81439099999999998</v>
      </c>
      <c r="X1219" s="32">
        <v>0.123268</v>
      </c>
      <c r="Y1219" s="32">
        <v>0.8</v>
      </c>
      <c r="Z1219" s="32">
        <v>0.332482</v>
      </c>
      <c r="AA1219" s="32">
        <v>30.1</v>
      </c>
      <c r="AB1219" s="32">
        <v>841</v>
      </c>
      <c r="AC1219" s="32">
        <v>42</v>
      </c>
      <c r="AD1219" s="32">
        <v>959</v>
      </c>
      <c r="AE1219" s="32">
        <v>49</v>
      </c>
      <c r="AF1219" s="32" t="s">
        <v>200</v>
      </c>
      <c r="AG1219" s="32">
        <v>8</v>
      </c>
    </row>
    <row r="1220" spans="1:33">
      <c r="A1220" s="32" t="s">
        <v>4392</v>
      </c>
      <c r="B1220" s="32" t="s">
        <v>120</v>
      </c>
      <c r="C1220" s="32" t="s">
        <v>4393</v>
      </c>
      <c r="D1220" s="32" t="s">
        <v>4394</v>
      </c>
      <c r="E1220" s="32" t="s">
        <v>4390</v>
      </c>
      <c r="F1220" s="32" t="s">
        <v>4391</v>
      </c>
      <c r="G1220" s="32" t="s">
        <v>4359</v>
      </c>
      <c r="H1220" s="32" t="s">
        <v>4360</v>
      </c>
      <c r="I1220" s="32" t="s">
        <v>198</v>
      </c>
      <c r="J1220" s="32" t="s">
        <v>199</v>
      </c>
      <c r="K1220" s="32">
        <v>2.3240639999999999</v>
      </c>
      <c r="L1220" s="33">
        <v>1900</v>
      </c>
      <c r="M1220" s="32">
        <v>426</v>
      </c>
      <c r="N1220" s="32">
        <v>260</v>
      </c>
      <c r="O1220" s="32">
        <v>404</v>
      </c>
      <c r="P1220" s="32">
        <v>540</v>
      </c>
      <c r="Q1220" s="32">
        <v>270</v>
      </c>
      <c r="R1220" s="32">
        <v>2</v>
      </c>
      <c r="S1220" s="32">
        <v>12.1488</v>
      </c>
      <c r="T1220" s="32">
        <v>0</v>
      </c>
      <c r="U1220" s="32">
        <v>0.67856664799999999</v>
      </c>
      <c r="V1220" s="32">
        <v>7</v>
      </c>
      <c r="W1220" s="32">
        <v>0.83539300000000005</v>
      </c>
      <c r="X1220" s="32">
        <v>0.25940400000000002</v>
      </c>
      <c r="Y1220" s="32">
        <v>0.8</v>
      </c>
      <c r="Z1220" s="32">
        <v>0.41743200000000003</v>
      </c>
      <c r="AA1220" s="32">
        <v>37.299999999999997</v>
      </c>
      <c r="AB1220" s="32">
        <v>874</v>
      </c>
      <c r="AC1220" s="32">
        <v>44</v>
      </c>
      <c r="AD1220" s="32">
        <v>57</v>
      </c>
      <c r="AE1220" s="32" t="s">
        <v>200</v>
      </c>
      <c r="AF1220" s="32" t="s">
        <v>200</v>
      </c>
      <c r="AG1220" s="32" t="s">
        <v>200</v>
      </c>
    </row>
    <row r="1221" spans="1:33">
      <c r="A1221" s="32" t="s">
        <v>4395</v>
      </c>
      <c r="B1221" s="32" t="s">
        <v>120</v>
      </c>
      <c r="C1221" s="32" t="s">
        <v>4396</v>
      </c>
      <c r="D1221" s="32" t="s">
        <v>4397</v>
      </c>
      <c r="E1221" s="32" t="s">
        <v>4398</v>
      </c>
      <c r="F1221" s="32" t="s">
        <v>4399</v>
      </c>
      <c r="G1221" s="32" t="s">
        <v>4359</v>
      </c>
      <c r="H1221" s="32" t="s">
        <v>4360</v>
      </c>
      <c r="I1221" s="32" t="s">
        <v>198</v>
      </c>
      <c r="J1221" s="32" t="s">
        <v>199</v>
      </c>
      <c r="K1221" s="32">
        <v>2.2082259999999998</v>
      </c>
      <c r="L1221" s="33">
        <v>2017</v>
      </c>
      <c r="M1221" s="32">
        <v>494</v>
      </c>
      <c r="N1221" s="32">
        <v>242</v>
      </c>
      <c r="O1221" s="32">
        <v>577</v>
      </c>
      <c r="P1221" s="32">
        <v>438</v>
      </c>
      <c r="Q1221" s="32">
        <v>266</v>
      </c>
      <c r="R1221" s="32">
        <v>2</v>
      </c>
      <c r="S1221" s="32">
        <v>8.1141799999999993</v>
      </c>
      <c r="T1221" s="32">
        <v>0</v>
      </c>
      <c r="U1221" s="32">
        <v>0.83807292099999997</v>
      </c>
      <c r="V1221" s="32">
        <v>6</v>
      </c>
      <c r="W1221" s="32">
        <v>0.82350199999999996</v>
      </c>
      <c r="X1221" s="32">
        <v>0.248751</v>
      </c>
      <c r="Y1221" s="32">
        <v>0.8</v>
      </c>
      <c r="Z1221" s="32">
        <v>0.33313700000000002</v>
      </c>
      <c r="AA1221" s="32">
        <v>22.9</v>
      </c>
      <c r="AB1221" s="32">
        <v>774</v>
      </c>
      <c r="AC1221" s="32">
        <v>36</v>
      </c>
      <c r="AD1221" s="32">
        <v>58</v>
      </c>
      <c r="AE1221" s="32" t="s">
        <v>200</v>
      </c>
      <c r="AF1221" s="32" t="s">
        <v>200</v>
      </c>
      <c r="AG1221" s="32">
        <v>9</v>
      </c>
    </row>
    <row r="1222" spans="1:33">
      <c r="A1222" s="32" t="s">
        <v>4400</v>
      </c>
      <c r="B1222" s="32" t="s">
        <v>120</v>
      </c>
      <c r="C1222" s="32" t="s">
        <v>4401</v>
      </c>
      <c r="D1222" s="32" t="s">
        <v>4402</v>
      </c>
      <c r="E1222" s="32" t="s">
        <v>4390</v>
      </c>
      <c r="F1222" s="32" t="s">
        <v>4391</v>
      </c>
      <c r="G1222" s="32" t="s">
        <v>4359</v>
      </c>
      <c r="H1222" s="32" t="s">
        <v>4360</v>
      </c>
      <c r="I1222" s="32" t="s">
        <v>198</v>
      </c>
      <c r="J1222" s="32" t="s">
        <v>199</v>
      </c>
      <c r="K1222" s="32">
        <v>2.2447020000000002</v>
      </c>
      <c r="L1222" s="33">
        <v>1776</v>
      </c>
      <c r="M1222" s="32">
        <v>366</v>
      </c>
      <c r="N1222" s="32">
        <v>299</v>
      </c>
      <c r="O1222" s="32">
        <v>452</v>
      </c>
      <c r="P1222" s="32">
        <v>432</v>
      </c>
      <c r="Q1222" s="32">
        <v>227</v>
      </c>
      <c r="R1222" s="32">
        <v>2</v>
      </c>
      <c r="S1222" s="32">
        <v>12.891500000000001</v>
      </c>
      <c r="T1222" s="32">
        <v>2.3426999999999998</v>
      </c>
      <c r="U1222" s="32">
        <v>0.76201475799999996</v>
      </c>
      <c r="V1222" s="32">
        <v>6</v>
      </c>
      <c r="W1222" s="32">
        <v>0.84281600000000001</v>
      </c>
      <c r="X1222" s="32">
        <v>0.14419999999999999</v>
      </c>
      <c r="Y1222" s="32">
        <v>0.8</v>
      </c>
      <c r="Z1222" s="32">
        <v>0.45131199999999999</v>
      </c>
      <c r="AA1222" s="32">
        <v>31.1</v>
      </c>
      <c r="AB1222" s="32">
        <v>631</v>
      </c>
      <c r="AC1222" s="32">
        <v>30</v>
      </c>
      <c r="AD1222" s="32">
        <v>88</v>
      </c>
      <c r="AE1222" s="32" t="s">
        <v>200</v>
      </c>
      <c r="AF1222" s="32" t="s">
        <v>200</v>
      </c>
      <c r="AG1222" s="32" t="s">
        <v>200</v>
      </c>
    </row>
    <row r="1223" spans="1:33">
      <c r="A1223" s="32" t="s">
        <v>4403</v>
      </c>
      <c r="B1223" s="32" t="s">
        <v>120</v>
      </c>
      <c r="C1223" s="32" t="s">
        <v>4404</v>
      </c>
      <c r="D1223" s="32" t="s">
        <v>4405</v>
      </c>
      <c r="E1223" s="32" t="s">
        <v>4406</v>
      </c>
      <c r="F1223" s="32" t="s">
        <v>4407</v>
      </c>
      <c r="G1223" s="32" t="s">
        <v>4359</v>
      </c>
      <c r="H1223" s="32" t="s">
        <v>4360</v>
      </c>
      <c r="I1223" s="32" t="s">
        <v>198</v>
      </c>
      <c r="J1223" s="32" t="s">
        <v>199</v>
      </c>
      <c r="K1223" s="32">
        <v>2.3657370000000002</v>
      </c>
      <c r="L1223" s="33">
        <v>1557</v>
      </c>
      <c r="M1223" s="32">
        <v>319</v>
      </c>
      <c r="N1223" s="32">
        <v>208</v>
      </c>
      <c r="O1223" s="32">
        <v>352</v>
      </c>
      <c r="P1223" s="32">
        <v>425</v>
      </c>
      <c r="Q1223" s="32">
        <v>253</v>
      </c>
      <c r="R1223" s="32" t="s">
        <v>225</v>
      </c>
      <c r="S1223" s="32">
        <v>7.1628499999999997</v>
      </c>
      <c r="T1223" s="32">
        <v>0</v>
      </c>
      <c r="U1223" s="32">
        <v>0.66628848900000004</v>
      </c>
      <c r="V1223" s="32">
        <v>8</v>
      </c>
      <c r="W1223" s="32">
        <v>0.84319200000000005</v>
      </c>
      <c r="X1223" s="32">
        <v>0.27699200000000002</v>
      </c>
      <c r="Y1223" s="32">
        <v>0.8</v>
      </c>
      <c r="Z1223" s="32">
        <v>0.45016600000000001</v>
      </c>
      <c r="AA1223" s="32">
        <v>24.8</v>
      </c>
      <c r="AB1223" s="32">
        <v>712</v>
      </c>
      <c r="AC1223" s="32">
        <v>31</v>
      </c>
      <c r="AD1223" s="32">
        <v>99</v>
      </c>
      <c r="AE1223" s="32" t="s">
        <v>200</v>
      </c>
      <c r="AF1223" s="32" t="s">
        <v>200</v>
      </c>
      <c r="AG1223" s="32">
        <v>9</v>
      </c>
    </row>
    <row r="1224" spans="1:33">
      <c r="A1224" s="32" t="s">
        <v>4408</v>
      </c>
      <c r="B1224" s="32" t="s">
        <v>120</v>
      </c>
      <c r="C1224" s="32" t="s">
        <v>4409</v>
      </c>
      <c r="D1224" s="32" t="s">
        <v>4410</v>
      </c>
      <c r="E1224" s="32" t="s">
        <v>4406</v>
      </c>
      <c r="F1224" s="32" t="s">
        <v>4407</v>
      </c>
      <c r="G1224" s="32" t="s">
        <v>4359</v>
      </c>
      <c r="H1224" s="32" t="s">
        <v>4360</v>
      </c>
      <c r="I1224" s="32" t="s">
        <v>198</v>
      </c>
      <c r="J1224" s="32" t="s">
        <v>199</v>
      </c>
      <c r="K1224" s="32">
        <v>2.159259</v>
      </c>
      <c r="L1224" s="33">
        <v>1561</v>
      </c>
      <c r="M1224" s="32">
        <v>356</v>
      </c>
      <c r="N1224" s="32">
        <v>179</v>
      </c>
      <c r="O1224" s="32">
        <v>346</v>
      </c>
      <c r="P1224" s="32">
        <v>436</v>
      </c>
      <c r="Q1224" s="32">
        <v>244</v>
      </c>
      <c r="R1224" s="32" t="s">
        <v>225</v>
      </c>
      <c r="S1224" s="32">
        <v>6.25495</v>
      </c>
      <c r="T1224" s="32">
        <v>2.0032199999999998</v>
      </c>
      <c r="U1224" s="32">
        <v>0.73559249100000001</v>
      </c>
      <c r="V1224" s="32">
        <v>9</v>
      </c>
      <c r="W1224" s="32">
        <v>0.81688899999999998</v>
      </c>
      <c r="X1224" s="32">
        <v>9.0638999999999997E-2</v>
      </c>
      <c r="Y1224" s="32">
        <v>0.8</v>
      </c>
      <c r="Z1224" s="32">
        <v>0.45252199999999998</v>
      </c>
      <c r="AA1224" s="32">
        <v>15.7</v>
      </c>
      <c r="AB1224" s="32">
        <v>855</v>
      </c>
      <c r="AC1224" s="32">
        <v>45</v>
      </c>
      <c r="AD1224" s="32">
        <v>135</v>
      </c>
      <c r="AE1224" s="32">
        <v>10</v>
      </c>
      <c r="AF1224" s="32" t="s">
        <v>200</v>
      </c>
      <c r="AG1224" s="32">
        <v>5</v>
      </c>
    </row>
    <row r="1225" spans="1:33">
      <c r="A1225" s="32" t="s">
        <v>4411</v>
      </c>
      <c r="B1225" s="32" t="s">
        <v>120</v>
      </c>
      <c r="C1225" s="32" t="s">
        <v>4412</v>
      </c>
      <c r="D1225" s="32" t="s">
        <v>4413</v>
      </c>
      <c r="E1225" s="32" t="s">
        <v>4414</v>
      </c>
      <c r="F1225" s="32" t="s">
        <v>4415</v>
      </c>
      <c r="G1225" s="32" t="s">
        <v>4359</v>
      </c>
      <c r="H1225" s="32" t="s">
        <v>4360</v>
      </c>
      <c r="I1225" s="32" t="s">
        <v>198</v>
      </c>
      <c r="J1225" s="32" t="s">
        <v>199</v>
      </c>
      <c r="K1225" s="32">
        <v>2.3975</v>
      </c>
      <c r="L1225" s="33">
        <v>1563</v>
      </c>
      <c r="M1225" s="32">
        <v>305</v>
      </c>
      <c r="N1225" s="32">
        <v>235</v>
      </c>
      <c r="O1225" s="32">
        <v>257</v>
      </c>
      <c r="P1225" s="32">
        <v>500</v>
      </c>
      <c r="Q1225" s="32">
        <v>266</v>
      </c>
      <c r="R1225" s="32" t="s">
        <v>225</v>
      </c>
      <c r="S1225" s="32">
        <v>10.8512</v>
      </c>
      <c r="T1225" s="32">
        <v>2.1184599999999998</v>
      </c>
      <c r="U1225" s="32">
        <v>0.64796136100000001</v>
      </c>
      <c r="V1225" s="32">
        <v>7</v>
      </c>
      <c r="W1225" s="32">
        <v>0.87453700000000001</v>
      </c>
      <c r="X1225" s="32">
        <v>0.333148</v>
      </c>
      <c r="Y1225" s="32">
        <v>0.83600699999999994</v>
      </c>
      <c r="Z1225" s="32">
        <v>0.34454800000000002</v>
      </c>
      <c r="AA1225" s="32">
        <v>46</v>
      </c>
      <c r="AB1225" s="32">
        <v>797</v>
      </c>
      <c r="AC1225" s="32">
        <v>22</v>
      </c>
      <c r="AD1225" s="32">
        <v>58</v>
      </c>
      <c r="AE1225" s="32" t="s">
        <v>200</v>
      </c>
      <c r="AF1225" s="32">
        <v>0</v>
      </c>
      <c r="AG1225" s="32" t="s">
        <v>200</v>
      </c>
    </row>
    <row r="1226" spans="1:33">
      <c r="A1226" s="32" t="s">
        <v>4416</v>
      </c>
      <c r="B1226" s="32" t="s">
        <v>120</v>
      </c>
      <c r="C1226" s="32" t="s">
        <v>4417</v>
      </c>
      <c r="D1226" s="32" t="s">
        <v>4418</v>
      </c>
      <c r="E1226" s="32" t="s">
        <v>4419</v>
      </c>
      <c r="F1226" s="32" t="s">
        <v>4420</v>
      </c>
      <c r="G1226" s="32" t="s">
        <v>4359</v>
      </c>
      <c r="H1226" s="32" t="s">
        <v>4360</v>
      </c>
      <c r="I1226" s="32" t="s">
        <v>198</v>
      </c>
      <c r="J1226" s="32" t="s">
        <v>199</v>
      </c>
      <c r="K1226" s="32">
        <v>2.3875000000000002</v>
      </c>
      <c r="L1226" s="33">
        <v>1408</v>
      </c>
      <c r="M1226" s="32">
        <v>223</v>
      </c>
      <c r="N1226" s="32">
        <v>159</v>
      </c>
      <c r="O1226" s="32">
        <v>222</v>
      </c>
      <c r="P1226" s="32">
        <v>407</v>
      </c>
      <c r="Q1226" s="32">
        <v>397</v>
      </c>
      <c r="R1226" s="32">
        <v>2</v>
      </c>
      <c r="S1226" s="32">
        <v>11.793699999999999</v>
      </c>
      <c r="T1226" s="32">
        <v>4.5282200000000001</v>
      </c>
      <c r="U1226" s="32">
        <v>0.71829154699999997</v>
      </c>
      <c r="V1226" s="32">
        <v>7</v>
      </c>
      <c r="W1226" s="32">
        <v>0.88387099999999996</v>
      </c>
      <c r="X1226" s="32">
        <v>0.20053599999999999</v>
      </c>
      <c r="Y1226" s="32">
        <v>0.9</v>
      </c>
      <c r="Z1226" s="32">
        <v>0.42126799999999998</v>
      </c>
      <c r="AA1226" s="32">
        <v>36.700000000000003</v>
      </c>
      <c r="AB1226" s="32">
        <v>713</v>
      </c>
      <c r="AC1226" s="32">
        <v>25</v>
      </c>
      <c r="AD1226" s="32">
        <v>41</v>
      </c>
      <c r="AE1226" s="32" t="s">
        <v>200</v>
      </c>
      <c r="AF1226" s="32" t="s">
        <v>200</v>
      </c>
      <c r="AG1226" s="32" t="s">
        <v>200</v>
      </c>
    </row>
    <row r="1227" spans="1:33">
      <c r="A1227" s="32" t="s">
        <v>4421</v>
      </c>
      <c r="B1227" s="32" t="s">
        <v>120</v>
      </c>
      <c r="C1227" s="32" t="s">
        <v>4422</v>
      </c>
      <c r="D1227" s="32" t="s">
        <v>4423</v>
      </c>
      <c r="E1227" s="32" t="s">
        <v>4414</v>
      </c>
      <c r="F1227" s="32" t="s">
        <v>4415</v>
      </c>
      <c r="G1227" s="32" t="s">
        <v>4359</v>
      </c>
      <c r="H1227" s="32" t="s">
        <v>4360</v>
      </c>
      <c r="I1227" s="32" t="s">
        <v>198</v>
      </c>
      <c r="J1227" s="32" t="s">
        <v>199</v>
      </c>
      <c r="K1227" s="32">
        <v>2.2237239999999998</v>
      </c>
      <c r="L1227" s="33">
        <v>1436</v>
      </c>
      <c r="M1227" s="32">
        <v>283</v>
      </c>
      <c r="N1227" s="32">
        <v>157</v>
      </c>
      <c r="O1227" s="32">
        <v>276</v>
      </c>
      <c r="P1227" s="32">
        <v>434</v>
      </c>
      <c r="Q1227" s="32">
        <v>286</v>
      </c>
      <c r="R1227" s="32">
        <v>2</v>
      </c>
      <c r="S1227" s="32">
        <v>17.716100000000001</v>
      </c>
      <c r="T1227" s="32">
        <v>0.78484200000000004</v>
      </c>
      <c r="U1227" s="32">
        <v>0.79929661200000002</v>
      </c>
      <c r="V1227" s="32">
        <v>6</v>
      </c>
      <c r="W1227" s="32">
        <v>0.84783200000000003</v>
      </c>
      <c r="X1227" s="32">
        <v>0.12177200000000001</v>
      </c>
      <c r="Y1227" s="32">
        <v>0.857016</v>
      </c>
      <c r="Z1227" s="32">
        <v>0.39886100000000002</v>
      </c>
      <c r="AA1227" s="32">
        <v>39.299999999999997</v>
      </c>
      <c r="AB1227" s="32">
        <v>597</v>
      </c>
      <c r="AC1227" s="32">
        <v>15</v>
      </c>
      <c r="AD1227" s="32">
        <v>21</v>
      </c>
      <c r="AE1227" s="32">
        <v>0</v>
      </c>
      <c r="AF1227" s="32" t="s">
        <v>200</v>
      </c>
      <c r="AG1227" s="32" t="s">
        <v>200</v>
      </c>
    </row>
    <row r="1228" spans="1:33">
      <c r="A1228" s="32" t="s">
        <v>4424</v>
      </c>
      <c r="B1228" s="32" t="s">
        <v>120</v>
      </c>
      <c r="C1228" s="32" t="s">
        <v>4425</v>
      </c>
      <c r="D1228" s="32" t="s">
        <v>4426</v>
      </c>
      <c r="E1228" s="32" t="s">
        <v>4367</v>
      </c>
      <c r="F1228" s="32" t="s">
        <v>4368</v>
      </c>
      <c r="G1228" s="32" t="s">
        <v>4359</v>
      </c>
      <c r="H1228" s="32" t="s">
        <v>4360</v>
      </c>
      <c r="I1228" s="32" t="s">
        <v>198</v>
      </c>
      <c r="J1228" s="32" t="s">
        <v>199</v>
      </c>
      <c r="K1228" s="32">
        <v>2.4926080000000002</v>
      </c>
      <c r="L1228" s="33">
        <v>1846</v>
      </c>
      <c r="M1228" s="32">
        <v>424</v>
      </c>
      <c r="N1228" s="32">
        <v>221</v>
      </c>
      <c r="O1228" s="32">
        <v>496</v>
      </c>
      <c r="P1228" s="32">
        <v>472</v>
      </c>
      <c r="Q1228" s="32">
        <v>233</v>
      </c>
      <c r="R1228" s="32">
        <v>2</v>
      </c>
      <c r="S1228" s="32">
        <v>17.341699999999999</v>
      </c>
      <c r="T1228" s="32">
        <v>5.7910899999999996</v>
      </c>
      <c r="U1228" s="32">
        <v>0.59648293100000005</v>
      </c>
      <c r="V1228" s="32">
        <v>7</v>
      </c>
      <c r="W1228" s="32">
        <v>0.90246400000000004</v>
      </c>
      <c r="X1228" s="32">
        <v>0.16098599999999999</v>
      </c>
      <c r="Y1228" s="32">
        <v>0.9</v>
      </c>
      <c r="Z1228" s="32">
        <v>0.50655700000000004</v>
      </c>
      <c r="AA1228" s="32">
        <v>56.2</v>
      </c>
      <c r="AB1228" s="32">
        <v>616</v>
      </c>
      <c r="AC1228" s="32">
        <v>29</v>
      </c>
      <c r="AD1228" s="32">
        <v>47</v>
      </c>
      <c r="AE1228" s="32">
        <v>0</v>
      </c>
      <c r="AF1228" s="32">
        <v>0</v>
      </c>
      <c r="AG1228" s="32" t="s">
        <v>200</v>
      </c>
    </row>
    <row r="1229" spans="1:33">
      <c r="A1229" s="32" t="s">
        <v>4427</v>
      </c>
      <c r="B1229" s="32" t="s">
        <v>120</v>
      </c>
      <c r="C1229" s="32" t="s">
        <v>4428</v>
      </c>
      <c r="D1229" s="32" t="s">
        <v>4429</v>
      </c>
      <c r="E1229" s="32" t="s">
        <v>4414</v>
      </c>
      <c r="F1229" s="32" t="s">
        <v>4415</v>
      </c>
      <c r="G1229" s="32" t="s">
        <v>4359</v>
      </c>
      <c r="H1229" s="32" t="s">
        <v>4360</v>
      </c>
      <c r="I1229" s="32" t="s">
        <v>198</v>
      </c>
      <c r="J1229" s="32" t="s">
        <v>199</v>
      </c>
      <c r="K1229" s="32">
        <v>2.1492719999999998</v>
      </c>
      <c r="L1229" s="33">
        <v>1511</v>
      </c>
      <c r="M1229" s="32">
        <v>309</v>
      </c>
      <c r="N1229" s="32">
        <v>208</v>
      </c>
      <c r="O1229" s="32">
        <v>310</v>
      </c>
      <c r="P1229" s="32">
        <v>378</v>
      </c>
      <c r="Q1229" s="32">
        <v>306</v>
      </c>
      <c r="R1229" s="32">
        <v>2</v>
      </c>
      <c r="S1229" s="32">
        <v>7.1281699999999999</v>
      </c>
      <c r="T1229" s="32">
        <v>2.2678699999999998</v>
      </c>
      <c r="U1229" s="32">
        <v>0.77090229499999996</v>
      </c>
      <c r="V1229" s="32">
        <v>7</v>
      </c>
      <c r="W1229" s="32">
        <v>0.83713599999999999</v>
      </c>
      <c r="X1229" s="32">
        <v>0.198295</v>
      </c>
      <c r="Y1229" s="32">
        <v>0.8</v>
      </c>
      <c r="Z1229" s="32">
        <v>0.33373799999999998</v>
      </c>
      <c r="AA1229" s="32">
        <v>49.5</v>
      </c>
      <c r="AB1229" s="32">
        <v>658</v>
      </c>
      <c r="AC1229" s="32">
        <v>25</v>
      </c>
      <c r="AD1229" s="32">
        <v>40</v>
      </c>
      <c r="AE1229" s="32">
        <v>0</v>
      </c>
      <c r="AF1229" s="32" t="s">
        <v>200</v>
      </c>
      <c r="AG1229" s="32" t="s">
        <v>200</v>
      </c>
    </row>
    <row r="1230" spans="1:33">
      <c r="A1230" s="32" t="s">
        <v>4430</v>
      </c>
      <c r="B1230" s="32" t="s">
        <v>120</v>
      </c>
      <c r="C1230" s="32" t="s">
        <v>4431</v>
      </c>
      <c r="D1230" s="32" t="s">
        <v>4432</v>
      </c>
      <c r="E1230" s="32" t="s">
        <v>4406</v>
      </c>
      <c r="F1230" s="32" t="s">
        <v>4407</v>
      </c>
      <c r="G1230" s="32" t="s">
        <v>4359</v>
      </c>
      <c r="H1230" s="32" t="s">
        <v>4360</v>
      </c>
      <c r="I1230" s="32" t="s">
        <v>198</v>
      </c>
      <c r="J1230" s="32" t="s">
        <v>199</v>
      </c>
      <c r="K1230" s="32">
        <v>2.1636470000000001</v>
      </c>
      <c r="L1230" s="33">
        <v>1630</v>
      </c>
      <c r="M1230" s="32">
        <v>295</v>
      </c>
      <c r="N1230" s="32">
        <v>215</v>
      </c>
      <c r="O1230" s="32">
        <v>323</v>
      </c>
      <c r="P1230" s="32">
        <v>471</v>
      </c>
      <c r="Q1230" s="32">
        <v>326</v>
      </c>
      <c r="R1230" s="32" t="s">
        <v>225</v>
      </c>
      <c r="S1230" s="32">
        <v>10.1996</v>
      </c>
      <c r="T1230" s="32">
        <v>0</v>
      </c>
      <c r="U1230" s="32">
        <v>0.77313418499999997</v>
      </c>
      <c r="V1230" s="32">
        <v>8</v>
      </c>
      <c r="W1230" s="32">
        <v>0.81174000000000002</v>
      </c>
      <c r="X1230" s="32">
        <v>0.28264</v>
      </c>
      <c r="Y1230" s="32">
        <v>0.8</v>
      </c>
      <c r="Z1230" s="32">
        <v>0.26299800000000001</v>
      </c>
      <c r="AA1230" s="32">
        <v>12.3</v>
      </c>
      <c r="AB1230" s="32">
        <v>802</v>
      </c>
      <c r="AC1230" s="32">
        <v>67</v>
      </c>
      <c r="AD1230" s="32">
        <v>73</v>
      </c>
      <c r="AE1230" s="32">
        <v>11</v>
      </c>
      <c r="AF1230" s="32">
        <v>0</v>
      </c>
      <c r="AG1230" s="32">
        <v>46</v>
      </c>
    </row>
    <row r="1231" spans="1:33">
      <c r="A1231" s="32" t="s">
        <v>4433</v>
      </c>
      <c r="B1231" s="32" t="s">
        <v>120</v>
      </c>
      <c r="C1231" s="32" t="s">
        <v>4434</v>
      </c>
      <c r="D1231" s="32" t="s">
        <v>4435</v>
      </c>
      <c r="E1231" s="32" t="s">
        <v>4436</v>
      </c>
      <c r="F1231" s="32" t="s">
        <v>4437</v>
      </c>
      <c r="G1231" s="32" t="s">
        <v>4359</v>
      </c>
      <c r="H1231" s="32" t="s">
        <v>4360</v>
      </c>
      <c r="I1231" s="32" t="s">
        <v>198</v>
      </c>
      <c r="J1231" s="32" t="s">
        <v>199</v>
      </c>
      <c r="K1231" s="32">
        <v>2.2758319999999999</v>
      </c>
      <c r="L1231" s="33">
        <v>1381</v>
      </c>
      <c r="M1231" s="32">
        <v>286</v>
      </c>
      <c r="N1231" s="32">
        <v>143</v>
      </c>
      <c r="O1231" s="32">
        <v>278</v>
      </c>
      <c r="P1231" s="32">
        <v>342</v>
      </c>
      <c r="Q1231" s="32">
        <v>332</v>
      </c>
      <c r="R1231" s="32" t="s">
        <v>225</v>
      </c>
      <c r="S1231" s="32">
        <v>9.7377400000000005</v>
      </c>
      <c r="T1231" s="32">
        <v>0</v>
      </c>
      <c r="U1231" s="32">
        <v>0.69661820500000005</v>
      </c>
      <c r="V1231" s="32">
        <v>9</v>
      </c>
      <c r="W1231" s="32">
        <v>0.86263900000000004</v>
      </c>
      <c r="X1231" s="32">
        <v>0.31498799999999999</v>
      </c>
      <c r="Y1231" s="32">
        <v>0.8</v>
      </c>
      <c r="Z1231" s="32">
        <v>0.3</v>
      </c>
      <c r="AA1231" s="32">
        <v>32.1</v>
      </c>
      <c r="AB1231" s="32">
        <v>766</v>
      </c>
      <c r="AC1231" s="32">
        <v>36</v>
      </c>
      <c r="AD1231" s="32">
        <v>140</v>
      </c>
      <c r="AE1231" s="32">
        <v>10</v>
      </c>
      <c r="AF1231" s="32">
        <v>0</v>
      </c>
      <c r="AG1231" s="32" t="s">
        <v>200</v>
      </c>
    </row>
    <row r="1232" spans="1:33">
      <c r="A1232" s="32" t="s">
        <v>4438</v>
      </c>
      <c r="B1232" s="32" t="s">
        <v>120</v>
      </c>
      <c r="C1232" s="32" t="s">
        <v>4439</v>
      </c>
      <c r="D1232" s="32" t="s">
        <v>4440</v>
      </c>
      <c r="E1232" s="32" t="s">
        <v>4436</v>
      </c>
      <c r="F1232" s="32" t="s">
        <v>4437</v>
      </c>
      <c r="G1232" s="32" t="s">
        <v>4359</v>
      </c>
      <c r="H1232" s="32" t="s">
        <v>4360</v>
      </c>
      <c r="I1232" s="32" t="s">
        <v>198</v>
      </c>
      <c r="J1232" s="32" t="s">
        <v>199</v>
      </c>
      <c r="K1232" s="32">
        <v>1.932396</v>
      </c>
      <c r="L1232" s="33">
        <v>1477</v>
      </c>
      <c r="M1232" s="32">
        <v>322</v>
      </c>
      <c r="N1232" s="32">
        <v>150</v>
      </c>
      <c r="O1232" s="32">
        <v>286</v>
      </c>
      <c r="P1232" s="32">
        <v>411</v>
      </c>
      <c r="Q1232" s="32">
        <v>308</v>
      </c>
      <c r="R1232" s="32" t="s">
        <v>214</v>
      </c>
      <c r="S1232" s="32">
        <v>9.3485999999999994</v>
      </c>
      <c r="T1232" s="32">
        <v>0</v>
      </c>
      <c r="U1232" s="32">
        <v>0.78425983499999996</v>
      </c>
      <c r="V1232" s="32">
        <v>10</v>
      </c>
      <c r="W1232" s="32">
        <v>0.803423</v>
      </c>
      <c r="X1232" s="32">
        <v>3.6584999999999999E-2</v>
      </c>
      <c r="Y1232" s="32">
        <v>0.8</v>
      </c>
      <c r="Z1232" s="32">
        <v>0.28406300000000001</v>
      </c>
      <c r="AA1232" s="32">
        <v>21.2</v>
      </c>
      <c r="AB1232" s="32">
        <v>725</v>
      </c>
      <c r="AC1232" s="32">
        <v>31</v>
      </c>
      <c r="AD1232" s="32">
        <v>62</v>
      </c>
      <c r="AE1232" s="32" t="s">
        <v>200</v>
      </c>
      <c r="AF1232" s="32">
        <v>0</v>
      </c>
      <c r="AG1232" s="32" t="s">
        <v>200</v>
      </c>
    </row>
    <row r="1233" spans="1:33">
      <c r="A1233" s="32" t="s">
        <v>4441</v>
      </c>
      <c r="B1233" s="32" t="s">
        <v>120</v>
      </c>
      <c r="C1233" s="32" t="s">
        <v>4442</v>
      </c>
      <c r="D1233" s="32" t="s">
        <v>4443</v>
      </c>
      <c r="E1233" s="32" t="s">
        <v>4390</v>
      </c>
      <c r="F1233" s="32" t="s">
        <v>4391</v>
      </c>
      <c r="G1233" s="32" t="s">
        <v>4359</v>
      </c>
      <c r="H1233" s="32" t="s">
        <v>4360</v>
      </c>
      <c r="I1233" s="32" t="s">
        <v>198</v>
      </c>
      <c r="J1233" s="32" t="s">
        <v>199</v>
      </c>
      <c r="K1233" s="32">
        <v>1.8994200000000001</v>
      </c>
      <c r="L1233" s="33">
        <v>1839</v>
      </c>
      <c r="M1233" s="32">
        <v>438</v>
      </c>
      <c r="N1233" s="32">
        <v>276</v>
      </c>
      <c r="O1233" s="32">
        <v>459</v>
      </c>
      <c r="P1233" s="32">
        <v>484</v>
      </c>
      <c r="Q1233" s="32">
        <v>182</v>
      </c>
      <c r="R1233" s="32" t="s">
        <v>225</v>
      </c>
      <c r="S1233" s="32">
        <v>9.8615899999999996</v>
      </c>
      <c r="T1233" s="32">
        <v>0</v>
      </c>
      <c r="U1233" s="32">
        <v>0.92381493000000003</v>
      </c>
      <c r="V1233" s="32">
        <v>7</v>
      </c>
      <c r="W1233" s="32">
        <v>0.80546799999999996</v>
      </c>
      <c r="X1233" s="32">
        <v>3.8448999999999997E-2</v>
      </c>
      <c r="Y1233" s="32">
        <v>0.8</v>
      </c>
      <c r="Z1233" s="32">
        <v>0.25369900000000001</v>
      </c>
      <c r="AA1233" s="32">
        <v>34.299999999999997</v>
      </c>
      <c r="AB1233" s="32">
        <v>740</v>
      </c>
      <c r="AC1233" s="32">
        <v>26</v>
      </c>
      <c r="AD1233" s="32">
        <v>53</v>
      </c>
      <c r="AE1233" s="32">
        <v>0</v>
      </c>
      <c r="AF1233" s="32" t="s">
        <v>200</v>
      </c>
      <c r="AG1233" s="32" t="s">
        <v>200</v>
      </c>
    </row>
    <row r="1234" spans="1:33">
      <c r="A1234" s="32" t="s">
        <v>4444</v>
      </c>
      <c r="B1234" s="32" t="s">
        <v>120</v>
      </c>
      <c r="C1234" s="32" t="s">
        <v>4445</v>
      </c>
      <c r="D1234" s="32" t="s">
        <v>4446</v>
      </c>
      <c r="E1234" s="32" t="s">
        <v>4390</v>
      </c>
      <c r="F1234" s="32" t="s">
        <v>4391</v>
      </c>
      <c r="G1234" s="32" t="s">
        <v>4359</v>
      </c>
      <c r="H1234" s="32" t="s">
        <v>4360</v>
      </c>
      <c r="I1234" s="32" t="s">
        <v>198</v>
      </c>
      <c r="J1234" s="32" t="s">
        <v>199</v>
      </c>
      <c r="K1234" s="32">
        <v>2.1465580000000002</v>
      </c>
      <c r="L1234" s="33">
        <v>2103</v>
      </c>
      <c r="M1234" s="32">
        <v>420</v>
      </c>
      <c r="N1234" s="32">
        <v>387</v>
      </c>
      <c r="O1234" s="32">
        <v>480</v>
      </c>
      <c r="P1234" s="32">
        <v>543</v>
      </c>
      <c r="Q1234" s="32">
        <v>273</v>
      </c>
      <c r="R1234" s="32">
        <v>2</v>
      </c>
      <c r="S1234" s="32">
        <v>13.725099999999999</v>
      </c>
      <c r="T1234" s="32">
        <v>0</v>
      </c>
      <c r="U1234" s="32">
        <v>0.86732505599999998</v>
      </c>
      <c r="V1234" s="32">
        <v>6</v>
      </c>
      <c r="W1234" s="32">
        <v>0.83393899999999999</v>
      </c>
      <c r="X1234" s="32">
        <v>0.21111099999999999</v>
      </c>
      <c r="Y1234" s="32">
        <v>0.8</v>
      </c>
      <c r="Z1234" s="32">
        <v>0.30668899999999999</v>
      </c>
      <c r="AA1234" s="32">
        <v>42.8</v>
      </c>
      <c r="AB1234" s="32">
        <v>725</v>
      </c>
      <c r="AC1234" s="32">
        <v>29</v>
      </c>
      <c r="AD1234" s="32">
        <v>92</v>
      </c>
      <c r="AE1234" s="32" t="s">
        <v>200</v>
      </c>
      <c r="AF1234" s="32" t="s">
        <v>200</v>
      </c>
      <c r="AG1234" s="32">
        <v>9</v>
      </c>
    </row>
    <row r="1235" spans="1:33">
      <c r="A1235" s="32" t="s">
        <v>4447</v>
      </c>
      <c r="B1235" s="32" t="s">
        <v>120</v>
      </c>
      <c r="C1235" s="32" t="s">
        <v>4448</v>
      </c>
      <c r="D1235" s="32" t="s">
        <v>4449</v>
      </c>
      <c r="E1235" s="32" t="s">
        <v>4436</v>
      </c>
      <c r="F1235" s="32" t="s">
        <v>4437</v>
      </c>
      <c r="G1235" s="32" t="s">
        <v>4359</v>
      </c>
      <c r="H1235" s="32" t="s">
        <v>4360</v>
      </c>
      <c r="I1235" s="32" t="s">
        <v>198</v>
      </c>
      <c r="J1235" s="32" t="s">
        <v>199</v>
      </c>
      <c r="K1235" s="32">
        <v>1.8468899999999999</v>
      </c>
      <c r="L1235" s="33">
        <v>1622</v>
      </c>
      <c r="M1235" s="32">
        <v>375</v>
      </c>
      <c r="N1235" s="32">
        <v>159</v>
      </c>
      <c r="O1235" s="32">
        <v>314</v>
      </c>
      <c r="P1235" s="32">
        <v>484</v>
      </c>
      <c r="Q1235" s="32">
        <v>290</v>
      </c>
      <c r="R1235" s="32" t="s">
        <v>225</v>
      </c>
      <c r="S1235" s="32">
        <v>5.6738999999999997</v>
      </c>
      <c r="T1235" s="32">
        <v>0</v>
      </c>
      <c r="U1235" s="32">
        <v>0.82965791300000002</v>
      </c>
      <c r="V1235" s="32">
        <v>10</v>
      </c>
      <c r="W1235" s="32">
        <v>0.80116600000000004</v>
      </c>
      <c r="X1235" s="32">
        <v>2.4223999999999999E-2</v>
      </c>
      <c r="Y1235" s="32">
        <v>0.8</v>
      </c>
      <c r="Z1235" s="32">
        <v>0.21804000000000001</v>
      </c>
      <c r="AA1235" s="32">
        <v>18.600000000000001</v>
      </c>
      <c r="AB1235" s="32">
        <v>743</v>
      </c>
      <c r="AC1235" s="32">
        <v>41</v>
      </c>
      <c r="AD1235" s="32">
        <v>53</v>
      </c>
      <c r="AE1235" s="32">
        <v>0</v>
      </c>
      <c r="AF1235" s="32">
        <v>0</v>
      </c>
      <c r="AG1235" s="32">
        <v>8</v>
      </c>
    </row>
    <row r="1236" spans="1:33">
      <c r="A1236" s="32" t="s">
        <v>4450</v>
      </c>
      <c r="B1236" s="32" t="s">
        <v>120</v>
      </c>
      <c r="C1236" s="32" t="s">
        <v>4451</v>
      </c>
      <c r="D1236" s="32" t="s">
        <v>4452</v>
      </c>
      <c r="E1236" s="32" t="s">
        <v>4453</v>
      </c>
      <c r="F1236" s="32" t="s">
        <v>4454</v>
      </c>
      <c r="G1236" s="32" t="s">
        <v>3993</v>
      </c>
      <c r="H1236" s="32" t="s">
        <v>3994</v>
      </c>
      <c r="I1236" s="32" t="s">
        <v>198</v>
      </c>
      <c r="J1236" s="32" t="s">
        <v>199</v>
      </c>
      <c r="K1236" s="32">
        <v>2.6420370000000002</v>
      </c>
      <c r="L1236" s="33">
        <v>1497</v>
      </c>
      <c r="M1236" s="32">
        <v>318</v>
      </c>
      <c r="N1236" s="32">
        <v>232</v>
      </c>
      <c r="O1236" s="32">
        <v>371</v>
      </c>
      <c r="P1236" s="32">
        <v>419</v>
      </c>
      <c r="Q1236" s="32">
        <v>157</v>
      </c>
      <c r="R1236" s="32">
        <v>2</v>
      </c>
      <c r="S1236" s="32">
        <v>13.104699999999999</v>
      </c>
      <c r="T1236" s="32">
        <v>3.29</v>
      </c>
      <c r="U1236" s="32">
        <v>0.60687835599999995</v>
      </c>
      <c r="V1236" s="32">
        <v>6</v>
      </c>
      <c r="W1236" s="32">
        <v>0.89332599999999995</v>
      </c>
      <c r="X1236" s="32">
        <v>0.28737000000000001</v>
      </c>
      <c r="Y1236" s="32">
        <v>0.9</v>
      </c>
      <c r="Z1236" s="32">
        <v>0.55913299999999999</v>
      </c>
      <c r="AA1236" s="32">
        <v>49.4</v>
      </c>
      <c r="AB1236" s="32">
        <v>609</v>
      </c>
      <c r="AC1236" s="32">
        <v>19</v>
      </c>
      <c r="AD1236" s="32">
        <v>84</v>
      </c>
      <c r="AE1236" s="32">
        <v>6</v>
      </c>
      <c r="AF1236" s="32">
        <v>0</v>
      </c>
      <c r="AG1236" s="32">
        <v>7</v>
      </c>
    </row>
    <row r="1237" spans="1:33">
      <c r="A1237" s="32" t="s">
        <v>4455</v>
      </c>
      <c r="B1237" s="32" t="s">
        <v>120</v>
      </c>
      <c r="C1237" s="32" t="s">
        <v>4456</v>
      </c>
      <c r="D1237" s="32" t="s">
        <v>4457</v>
      </c>
      <c r="E1237" s="32" t="s">
        <v>4453</v>
      </c>
      <c r="F1237" s="32" t="s">
        <v>4454</v>
      </c>
      <c r="G1237" s="32" t="s">
        <v>3993</v>
      </c>
      <c r="H1237" s="32" t="s">
        <v>3994</v>
      </c>
      <c r="I1237" s="32" t="s">
        <v>198</v>
      </c>
      <c r="J1237" s="32" t="s">
        <v>199</v>
      </c>
      <c r="K1237" s="32">
        <v>2.5466489999999999</v>
      </c>
      <c r="L1237" s="33">
        <v>1790</v>
      </c>
      <c r="M1237" s="32">
        <v>333</v>
      </c>
      <c r="N1237" s="32">
        <v>300</v>
      </c>
      <c r="O1237" s="32">
        <v>412</v>
      </c>
      <c r="P1237" s="32">
        <v>509</v>
      </c>
      <c r="Q1237" s="32">
        <v>236</v>
      </c>
      <c r="R1237" s="32">
        <v>2</v>
      </c>
      <c r="S1237" s="32">
        <v>12.1462</v>
      </c>
      <c r="T1237" s="32">
        <v>6.1632400000000001</v>
      </c>
      <c r="U1237" s="32">
        <v>0.54035592499999996</v>
      </c>
      <c r="V1237" s="32">
        <v>8</v>
      </c>
      <c r="W1237" s="32">
        <v>0.90551899999999996</v>
      </c>
      <c r="X1237" s="32">
        <v>0.208649</v>
      </c>
      <c r="Y1237" s="32">
        <v>0.9</v>
      </c>
      <c r="Z1237" s="32">
        <v>0.52704499999999999</v>
      </c>
      <c r="AA1237" s="32">
        <v>40.799999999999997</v>
      </c>
      <c r="AB1237" s="32">
        <v>714</v>
      </c>
      <c r="AC1237" s="32">
        <v>33</v>
      </c>
      <c r="AD1237" s="32">
        <v>77</v>
      </c>
      <c r="AE1237" s="32">
        <v>0</v>
      </c>
      <c r="AF1237" s="32">
        <v>0</v>
      </c>
      <c r="AG1237" s="32">
        <v>8</v>
      </c>
    </row>
    <row r="1238" spans="1:33">
      <c r="A1238" s="32" t="s">
        <v>4458</v>
      </c>
      <c r="B1238" s="32" t="s">
        <v>120</v>
      </c>
      <c r="C1238" s="32" t="s">
        <v>4459</v>
      </c>
      <c r="D1238" s="32" t="s">
        <v>4460</v>
      </c>
      <c r="E1238" s="32" t="s">
        <v>4380</v>
      </c>
      <c r="F1238" s="32" t="s">
        <v>4381</v>
      </c>
      <c r="G1238" s="32" t="s">
        <v>3993</v>
      </c>
      <c r="H1238" s="32" t="s">
        <v>3994</v>
      </c>
      <c r="I1238" s="32" t="s">
        <v>198</v>
      </c>
      <c r="J1238" s="32" t="s">
        <v>199</v>
      </c>
      <c r="K1238" s="32">
        <v>2.3183739999999999</v>
      </c>
      <c r="L1238" s="33">
        <v>1705</v>
      </c>
      <c r="M1238" s="32">
        <v>389</v>
      </c>
      <c r="N1238" s="32">
        <v>179</v>
      </c>
      <c r="O1238" s="32">
        <v>487</v>
      </c>
      <c r="P1238" s="32">
        <v>354</v>
      </c>
      <c r="Q1238" s="32">
        <v>296</v>
      </c>
      <c r="R1238" s="32">
        <v>3</v>
      </c>
      <c r="S1238" s="32">
        <v>21.414100000000001</v>
      </c>
      <c r="T1238" s="32">
        <v>2.7941400000000001</v>
      </c>
      <c r="U1238" s="32">
        <v>0.67804586099999997</v>
      </c>
      <c r="V1238" s="32">
        <v>9</v>
      </c>
      <c r="W1238" s="32">
        <v>0.90356300000000001</v>
      </c>
      <c r="X1238" s="32">
        <v>0.17035400000000001</v>
      </c>
      <c r="Y1238" s="32">
        <v>0.875166</v>
      </c>
      <c r="Z1238" s="32">
        <v>0.38539600000000002</v>
      </c>
      <c r="AA1238" s="32">
        <v>24.7</v>
      </c>
      <c r="AB1238" s="32">
        <v>588</v>
      </c>
      <c r="AC1238" s="32">
        <v>39</v>
      </c>
      <c r="AD1238" s="32">
        <v>25</v>
      </c>
      <c r="AE1238" s="32" t="s">
        <v>200</v>
      </c>
      <c r="AF1238" s="32">
        <v>0</v>
      </c>
      <c r="AG1238" s="32" t="s">
        <v>200</v>
      </c>
    </row>
    <row r="1239" spans="1:33">
      <c r="A1239" s="32" t="s">
        <v>4377</v>
      </c>
      <c r="B1239" s="32" t="s">
        <v>120</v>
      </c>
      <c r="C1239" s="32" t="s">
        <v>4378</v>
      </c>
      <c r="D1239" s="32" t="s">
        <v>4379</v>
      </c>
      <c r="E1239" s="32" t="s">
        <v>4380</v>
      </c>
      <c r="F1239" s="32" t="s">
        <v>4381</v>
      </c>
      <c r="G1239" s="32" t="s">
        <v>3993</v>
      </c>
      <c r="H1239" s="32" t="s">
        <v>3994</v>
      </c>
      <c r="I1239" s="32" t="s">
        <v>198</v>
      </c>
      <c r="J1239" s="32" t="s">
        <v>199</v>
      </c>
      <c r="K1239" s="32">
        <v>2.546357</v>
      </c>
      <c r="L1239" s="33">
        <v>1603</v>
      </c>
      <c r="M1239" s="32">
        <v>338</v>
      </c>
      <c r="N1239" s="32">
        <v>266</v>
      </c>
      <c r="O1239" s="32">
        <v>473</v>
      </c>
      <c r="P1239" s="32">
        <v>346</v>
      </c>
      <c r="Q1239" s="32">
        <v>180</v>
      </c>
      <c r="R1239" s="32">
        <v>2</v>
      </c>
      <c r="S1239" s="32">
        <v>18.590499999999999</v>
      </c>
      <c r="T1239" s="32">
        <v>0</v>
      </c>
      <c r="U1239" s="32">
        <v>0.79286860299999995</v>
      </c>
      <c r="V1239" s="32">
        <v>4</v>
      </c>
      <c r="W1239" s="32">
        <v>0.88624800000000004</v>
      </c>
      <c r="X1239" s="32">
        <v>0.38521899999999998</v>
      </c>
      <c r="Y1239" s="32">
        <v>0.83876300000000004</v>
      </c>
      <c r="Z1239" s="32">
        <v>0.42674499999999999</v>
      </c>
      <c r="AA1239" s="32">
        <v>30.2</v>
      </c>
      <c r="AB1239" s="32">
        <v>443</v>
      </c>
      <c r="AC1239" s="32">
        <v>19</v>
      </c>
      <c r="AD1239" s="32">
        <v>57</v>
      </c>
      <c r="AE1239" s="32">
        <v>22</v>
      </c>
      <c r="AF1239" s="32">
        <v>0</v>
      </c>
      <c r="AG1239" s="32">
        <v>18</v>
      </c>
    </row>
    <row r="1240" spans="1:33">
      <c r="A1240" s="32" t="s">
        <v>4461</v>
      </c>
      <c r="B1240" s="32" t="s">
        <v>121</v>
      </c>
      <c r="C1240" s="32" t="s">
        <v>4462</v>
      </c>
      <c r="D1240" s="32" t="s">
        <v>4463</v>
      </c>
      <c r="E1240" s="32" t="s">
        <v>4464</v>
      </c>
      <c r="F1240" s="32" t="s">
        <v>4465</v>
      </c>
      <c r="G1240" s="32" t="s">
        <v>4359</v>
      </c>
      <c r="H1240" s="32" t="s">
        <v>4360</v>
      </c>
      <c r="I1240" s="32" t="s">
        <v>198</v>
      </c>
      <c r="J1240" s="32" t="s">
        <v>199</v>
      </c>
      <c r="K1240" s="32">
        <v>2.0036999999999998</v>
      </c>
      <c r="L1240" s="33">
        <v>2213</v>
      </c>
      <c r="M1240" s="32">
        <v>461</v>
      </c>
      <c r="N1240" s="32">
        <v>340</v>
      </c>
      <c r="O1240" s="32">
        <v>498</v>
      </c>
      <c r="P1240" s="32">
        <v>595</v>
      </c>
      <c r="Q1240" s="32">
        <v>319</v>
      </c>
      <c r="R1240" s="32" t="s">
        <v>214</v>
      </c>
      <c r="S1240" s="32">
        <v>9.2075999999999993</v>
      </c>
      <c r="T1240" s="32">
        <v>0</v>
      </c>
      <c r="U1240" s="32">
        <v>0.96827271100000001</v>
      </c>
      <c r="V1240" s="32">
        <v>5</v>
      </c>
      <c r="W1240" s="32">
        <v>0.80215199999999998</v>
      </c>
      <c r="X1240" s="32">
        <v>0.171991</v>
      </c>
      <c r="Y1240" s="32">
        <v>0.89505299999999999</v>
      </c>
      <c r="Z1240" s="32">
        <v>0.14699000000000001</v>
      </c>
      <c r="AA1240" s="32">
        <v>18.2</v>
      </c>
      <c r="AB1240" s="32">
        <v>1029</v>
      </c>
      <c r="AC1240" s="32">
        <v>64</v>
      </c>
      <c r="AD1240" s="32">
        <v>127</v>
      </c>
      <c r="AE1240" s="32">
        <v>6</v>
      </c>
      <c r="AF1240" s="32">
        <v>7</v>
      </c>
      <c r="AG1240" s="32">
        <v>16</v>
      </c>
    </row>
    <row r="1241" spans="1:33">
      <c r="A1241" s="32" t="s">
        <v>4466</v>
      </c>
      <c r="B1241" s="32" t="s">
        <v>121</v>
      </c>
      <c r="C1241" s="32" t="s">
        <v>4467</v>
      </c>
      <c r="D1241" s="32" t="s">
        <v>4468</v>
      </c>
      <c r="E1241" s="32" t="s">
        <v>4464</v>
      </c>
      <c r="F1241" s="32" t="s">
        <v>4465</v>
      </c>
      <c r="G1241" s="32" t="s">
        <v>4359</v>
      </c>
      <c r="H1241" s="32" t="s">
        <v>4360</v>
      </c>
      <c r="I1241" s="32" t="s">
        <v>198</v>
      </c>
      <c r="J1241" s="32" t="s">
        <v>199</v>
      </c>
      <c r="K1241" s="32">
        <v>2.0449660000000001</v>
      </c>
      <c r="L1241" s="33">
        <v>1924</v>
      </c>
      <c r="M1241" s="32">
        <v>432</v>
      </c>
      <c r="N1241" s="32">
        <v>282</v>
      </c>
      <c r="O1241" s="32">
        <v>407</v>
      </c>
      <c r="P1241" s="32">
        <v>552</v>
      </c>
      <c r="Q1241" s="32">
        <v>251</v>
      </c>
      <c r="R1241" s="32">
        <v>2</v>
      </c>
      <c r="S1241" s="32">
        <v>7.7308599999999998</v>
      </c>
      <c r="T1241" s="32">
        <v>1.3324400000000001</v>
      </c>
      <c r="U1241" s="32">
        <v>0.80357441299999999</v>
      </c>
      <c r="V1241" s="32">
        <v>8</v>
      </c>
      <c r="W1241" s="32">
        <v>0.81132700000000002</v>
      </c>
      <c r="X1241" s="32">
        <v>0.106113</v>
      </c>
      <c r="Y1241" s="32">
        <v>0.84254600000000002</v>
      </c>
      <c r="Z1241" s="32">
        <v>0.28897800000000001</v>
      </c>
      <c r="AA1241" s="32">
        <v>16.7</v>
      </c>
      <c r="AB1241" s="32">
        <v>906</v>
      </c>
      <c r="AC1241" s="32">
        <v>51</v>
      </c>
      <c r="AD1241" s="32">
        <v>77</v>
      </c>
      <c r="AE1241" s="32" t="s">
        <v>200</v>
      </c>
      <c r="AF1241" s="32" t="s">
        <v>200</v>
      </c>
      <c r="AG1241" s="32" t="s">
        <v>200</v>
      </c>
    </row>
    <row r="1242" spans="1:33">
      <c r="A1242" s="32" t="s">
        <v>4469</v>
      </c>
      <c r="B1242" s="32" t="s">
        <v>121</v>
      </c>
      <c r="C1242" s="32" t="s">
        <v>4470</v>
      </c>
      <c r="D1242" s="32" t="s">
        <v>4471</v>
      </c>
      <c r="E1242" s="32" t="s">
        <v>4464</v>
      </c>
      <c r="F1242" s="32" t="s">
        <v>4465</v>
      </c>
      <c r="G1242" s="32" t="s">
        <v>4359</v>
      </c>
      <c r="H1242" s="32" t="s">
        <v>4360</v>
      </c>
      <c r="I1242" s="32" t="s">
        <v>198</v>
      </c>
      <c r="J1242" s="32" t="s">
        <v>199</v>
      </c>
      <c r="K1242" s="32">
        <v>1.8218049999999999</v>
      </c>
      <c r="L1242" s="33">
        <v>1662</v>
      </c>
      <c r="M1242" s="32">
        <v>399</v>
      </c>
      <c r="N1242" s="32">
        <v>202</v>
      </c>
      <c r="O1242" s="32">
        <v>392</v>
      </c>
      <c r="P1242" s="32">
        <v>407</v>
      </c>
      <c r="Q1242" s="32">
        <v>262</v>
      </c>
      <c r="R1242" s="32" t="s">
        <v>225</v>
      </c>
      <c r="S1242" s="32">
        <v>8.6626399999999997</v>
      </c>
      <c r="T1242" s="32">
        <v>0</v>
      </c>
      <c r="U1242" s="32">
        <v>1.0762670329999999</v>
      </c>
      <c r="V1242" s="32">
        <v>5</v>
      </c>
      <c r="W1242" s="32">
        <v>0.80193599999999998</v>
      </c>
      <c r="X1242" s="32">
        <v>2.2574E-2</v>
      </c>
      <c r="Y1242" s="32">
        <v>0.83629299999999995</v>
      </c>
      <c r="Z1242" s="32">
        <v>0.165765</v>
      </c>
      <c r="AA1242" s="32">
        <v>11.5</v>
      </c>
      <c r="AB1242" s="32">
        <v>811</v>
      </c>
      <c r="AC1242" s="32">
        <v>35</v>
      </c>
      <c r="AD1242" s="32">
        <v>108</v>
      </c>
      <c r="AE1242" s="32" t="s">
        <v>200</v>
      </c>
      <c r="AF1242" s="32">
        <v>0</v>
      </c>
      <c r="AG1242" s="32" t="s">
        <v>200</v>
      </c>
    </row>
    <row r="1243" spans="1:33">
      <c r="A1243" s="32" t="s">
        <v>4472</v>
      </c>
      <c r="B1243" s="32" t="s">
        <v>121</v>
      </c>
      <c r="C1243" s="32" t="s">
        <v>4473</v>
      </c>
      <c r="D1243" s="32" t="s">
        <v>4474</v>
      </c>
      <c r="E1243" s="32" t="s">
        <v>4406</v>
      </c>
      <c r="F1243" s="32" t="s">
        <v>4407</v>
      </c>
      <c r="G1243" s="32" t="s">
        <v>4359</v>
      </c>
      <c r="H1243" s="32" t="s">
        <v>4360</v>
      </c>
      <c r="I1243" s="32" t="s">
        <v>198</v>
      </c>
      <c r="J1243" s="32" t="s">
        <v>199</v>
      </c>
      <c r="K1243" s="32">
        <v>2.0781529999999999</v>
      </c>
      <c r="L1243" s="33">
        <v>1655</v>
      </c>
      <c r="M1243" s="32">
        <v>377</v>
      </c>
      <c r="N1243" s="32">
        <v>224</v>
      </c>
      <c r="O1243" s="32">
        <v>428</v>
      </c>
      <c r="P1243" s="32">
        <v>426</v>
      </c>
      <c r="Q1243" s="32">
        <v>200</v>
      </c>
      <c r="R1243" s="32">
        <v>2</v>
      </c>
      <c r="S1243" s="32">
        <v>9.5277799999999999</v>
      </c>
      <c r="T1243" s="32">
        <v>4.25718</v>
      </c>
      <c r="U1243" s="32">
        <v>0.84574635899999995</v>
      </c>
      <c r="V1243" s="32">
        <v>7</v>
      </c>
      <c r="W1243" s="32">
        <v>0.80936300000000005</v>
      </c>
      <c r="X1243" s="32">
        <v>8.8660000000000003E-2</v>
      </c>
      <c r="Y1243" s="32">
        <v>0.8</v>
      </c>
      <c r="Z1243" s="32">
        <v>0.39056800000000003</v>
      </c>
      <c r="AA1243" s="32">
        <v>19.8</v>
      </c>
      <c r="AB1243" s="32">
        <v>742</v>
      </c>
      <c r="AC1243" s="32">
        <v>69</v>
      </c>
      <c r="AD1243" s="32">
        <v>74</v>
      </c>
      <c r="AE1243" s="32" t="s">
        <v>200</v>
      </c>
      <c r="AF1243" s="32" t="s">
        <v>200</v>
      </c>
      <c r="AG1243" s="32" t="s">
        <v>200</v>
      </c>
    </row>
    <row r="1244" spans="1:33">
      <c r="A1244" s="32" t="s">
        <v>4475</v>
      </c>
      <c r="B1244" s="32" t="s">
        <v>121</v>
      </c>
      <c r="C1244" s="32" t="s">
        <v>4476</v>
      </c>
      <c r="D1244" s="32" t="s">
        <v>4477</v>
      </c>
      <c r="E1244" s="32" t="s">
        <v>4464</v>
      </c>
      <c r="F1244" s="32" t="s">
        <v>4465</v>
      </c>
      <c r="G1244" s="32" t="s">
        <v>4359</v>
      </c>
      <c r="H1244" s="32" t="s">
        <v>4360</v>
      </c>
      <c r="I1244" s="32" t="s">
        <v>198</v>
      </c>
      <c r="J1244" s="32" t="s">
        <v>199</v>
      </c>
      <c r="K1244" s="32">
        <v>2.069572</v>
      </c>
      <c r="L1244" s="33">
        <v>1664</v>
      </c>
      <c r="M1244" s="32">
        <v>377</v>
      </c>
      <c r="N1244" s="32">
        <v>216</v>
      </c>
      <c r="O1244" s="32">
        <v>367</v>
      </c>
      <c r="P1244" s="32">
        <v>431</v>
      </c>
      <c r="Q1244" s="32">
        <v>273</v>
      </c>
      <c r="R1244" s="32">
        <v>2</v>
      </c>
      <c r="S1244" s="32">
        <v>10.305</v>
      </c>
      <c r="T1244" s="32">
        <v>5.0257199999999997</v>
      </c>
      <c r="U1244" s="32">
        <v>0.91458430800000001</v>
      </c>
      <c r="V1244" s="32">
        <v>5</v>
      </c>
      <c r="W1244" s="32">
        <v>0.81220300000000001</v>
      </c>
      <c r="X1244" s="32">
        <v>0.13039400000000001</v>
      </c>
      <c r="Y1244" s="32">
        <v>0.8</v>
      </c>
      <c r="Z1244" s="32">
        <v>0.32352900000000001</v>
      </c>
      <c r="AA1244" s="32">
        <v>16.100000000000001</v>
      </c>
      <c r="AB1244" s="32">
        <v>706</v>
      </c>
      <c r="AC1244" s="32">
        <v>35</v>
      </c>
      <c r="AD1244" s="32">
        <v>68</v>
      </c>
      <c r="AE1244" s="32" t="s">
        <v>200</v>
      </c>
      <c r="AF1244" s="32" t="s">
        <v>200</v>
      </c>
      <c r="AG1244" s="32">
        <v>5</v>
      </c>
    </row>
    <row r="1245" spans="1:33">
      <c r="A1245" s="32" t="s">
        <v>4430</v>
      </c>
      <c r="B1245" s="32" t="s">
        <v>121</v>
      </c>
      <c r="C1245" s="32" t="s">
        <v>4431</v>
      </c>
      <c r="D1245" s="32" t="s">
        <v>4432</v>
      </c>
      <c r="E1245" s="32" t="s">
        <v>4406</v>
      </c>
      <c r="F1245" s="32" t="s">
        <v>4407</v>
      </c>
      <c r="G1245" s="32" t="s">
        <v>4359</v>
      </c>
      <c r="H1245" s="32" t="s">
        <v>4360</v>
      </c>
      <c r="I1245" s="32" t="s">
        <v>198</v>
      </c>
      <c r="J1245" s="32" t="s">
        <v>199</v>
      </c>
      <c r="K1245" s="32">
        <v>2.1636470000000001</v>
      </c>
      <c r="L1245" s="33">
        <v>1630</v>
      </c>
      <c r="M1245" s="32">
        <v>295</v>
      </c>
      <c r="N1245" s="32">
        <v>215</v>
      </c>
      <c r="O1245" s="32">
        <v>323</v>
      </c>
      <c r="P1245" s="32">
        <v>471</v>
      </c>
      <c r="Q1245" s="32">
        <v>326</v>
      </c>
      <c r="R1245" s="32" t="s">
        <v>225</v>
      </c>
      <c r="S1245" s="32">
        <v>10.1996</v>
      </c>
      <c r="T1245" s="32">
        <v>0</v>
      </c>
      <c r="U1245" s="32">
        <v>0.77313418499999997</v>
      </c>
      <c r="V1245" s="32">
        <v>8</v>
      </c>
      <c r="W1245" s="32">
        <v>0.81174000000000002</v>
      </c>
      <c r="X1245" s="32">
        <v>0.28264</v>
      </c>
      <c r="Y1245" s="32">
        <v>0.8</v>
      </c>
      <c r="Z1245" s="32">
        <v>0.26299800000000001</v>
      </c>
      <c r="AA1245" s="32">
        <v>12.3</v>
      </c>
      <c r="AB1245" s="32">
        <v>802</v>
      </c>
      <c r="AC1245" s="32">
        <v>67</v>
      </c>
      <c r="AD1245" s="32">
        <v>73</v>
      </c>
      <c r="AE1245" s="32">
        <v>11</v>
      </c>
      <c r="AF1245" s="32">
        <v>0</v>
      </c>
      <c r="AG1245" s="32">
        <v>46</v>
      </c>
    </row>
    <row r="1246" spans="1:33">
      <c r="A1246" s="32" t="s">
        <v>4478</v>
      </c>
      <c r="B1246" s="32" t="s">
        <v>121</v>
      </c>
      <c r="C1246" s="32" t="s">
        <v>4479</v>
      </c>
      <c r="D1246" s="32" t="s">
        <v>4480</v>
      </c>
      <c r="E1246" s="32" t="s">
        <v>4406</v>
      </c>
      <c r="F1246" s="32" t="s">
        <v>4407</v>
      </c>
      <c r="G1246" s="32" t="s">
        <v>4359</v>
      </c>
      <c r="H1246" s="32" t="s">
        <v>4360</v>
      </c>
      <c r="I1246" s="32" t="s">
        <v>198</v>
      </c>
      <c r="J1246" s="32" t="s">
        <v>199</v>
      </c>
      <c r="K1246" s="32">
        <v>2.0332240000000001</v>
      </c>
      <c r="L1246" s="33">
        <v>1397</v>
      </c>
      <c r="M1246" s="32">
        <v>283</v>
      </c>
      <c r="N1246" s="32">
        <v>160</v>
      </c>
      <c r="O1246" s="32">
        <v>264</v>
      </c>
      <c r="P1246" s="32">
        <v>411</v>
      </c>
      <c r="Q1246" s="32">
        <v>279</v>
      </c>
      <c r="R1246" s="32">
        <v>2</v>
      </c>
      <c r="S1246" s="32">
        <v>10.045400000000001</v>
      </c>
      <c r="T1246" s="32">
        <v>5.7176400000000003</v>
      </c>
      <c r="U1246" s="32">
        <v>0.83432670900000006</v>
      </c>
      <c r="V1246" s="32">
        <v>8</v>
      </c>
      <c r="W1246" s="32">
        <v>0.80296100000000004</v>
      </c>
      <c r="X1246" s="32">
        <v>4.1914E-2</v>
      </c>
      <c r="Y1246" s="32">
        <v>0.8</v>
      </c>
      <c r="Z1246" s="32">
        <v>0.39404</v>
      </c>
      <c r="AA1246" s="32">
        <v>10.1</v>
      </c>
      <c r="AB1246" s="32">
        <v>696</v>
      </c>
      <c r="AC1246" s="32">
        <v>39</v>
      </c>
      <c r="AD1246" s="32">
        <v>64</v>
      </c>
      <c r="AE1246" s="32">
        <v>0</v>
      </c>
      <c r="AF1246" s="32">
        <v>0</v>
      </c>
      <c r="AG1246" s="32" t="s">
        <v>200</v>
      </c>
    </row>
    <row r="1247" spans="1:33">
      <c r="A1247" s="32" t="s">
        <v>4481</v>
      </c>
      <c r="B1247" s="32" t="s">
        <v>121</v>
      </c>
      <c r="C1247" s="32" t="s">
        <v>4482</v>
      </c>
      <c r="D1247" s="32" t="s">
        <v>4483</v>
      </c>
      <c r="E1247" s="32" t="s">
        <v>4464</v>
      </c>
      <c r="F1247" s="32" t="s">
        <v>4465</v>
      </c>
      <c r="G1247" s="32" t="s">
        <v>4359</v>
      </c>
      <c r="H1247" s="32" t="s">
        <v>4360</v>
      </c>
      <c r="I1247" s="32" t="s">
        <v>198</v>
      </c>
      <c r="J1247" s="32" t="s">
        <v>199</v>
      </c>
      <c r="K1247" s="32">
        <v>2.0169030000000001</v>
      </c>
      <c r="L1247" s="33">
        <v>1430</v>
      </c>
      <c r="M1247" s="32">
        <v>324</v>
      </c>
      <c r="N1247" s="32">
        <v>210</v>
      </c>
      <c r="O1247" s="32">
        <v>328</v>
      </c>
      <c r="P1247" s="32">
        <v>365</v>
      </c>
      <c r="Q1247" s="32">
        <v>203</v>
      </c>
      <c r="R1247" s="32" t="s">
        <v>214</v>
      </c>
      <c r="S1247" s="32">
        <v>6.2227199999999998</v>
      </c>
      <c r="T1247" s="32">
        <v>0</v>
      </c>
      <c r="U1247" s="32">
        <v>0.93647034600000001</v>
      </c>
      <c r="V1247" s="32">
        <v>6</v>
      </c>
      <c r="W1247" s="32">
        <v>0.80224600000000001</v>
      </c>
      <c r="X1247" s="32">
        <v>0.17585799999999999</v>
      </c>
      <c r="Y1247" s="32">
        <v>0.8</v>
      </c>
      <c r="Z1247" s="32">
        <v>0.24557300000000001</v>
      </c>
      <c r="AA1247" s="32">
        <v>13</v>
      </c>
      <c r="AB1247" s="32">
        <v>720</v>
      </c>
      <c r="AC1247" s="32">
        <v>27</v>
      </c>
      <c r="AD1247" s="32">
        <v>98</v>
      </c>
      <c r="AE1247" s="32" t="s">
        <v>200</v>
      </c>
      <c r="AF1247" s="32">
        <v>19</v>
      </c>
      <c r="AG1247" s="32" t="s">
        <v>200</v>
      </c>
    </row>
    <row r="1248" spans="1:33">
      <c r="A1248" s="32" t="s">
        <v>4484</v>
      </c>
      <c r="B1248" s="32" t="s">
        <v>122</v>
      </c>
      <c r="C1248" s="32" t="s">
        <v>4485</v>
      </c>
      <c r="D1248" s="32" t="s">
        <v>4486</v>
      </c>
      <c r="E1248" s="32" t="s">
        <v>4487</v>
      </c>
      <c r="F1248" s="32" t="s">
        <v>4488</v>
      </c>
      <c r="G1248" s="32" t="s">
        <v>3684</v>
      </c>
      <c r="H1248" s="32" t="s">
        <v>3685</v>
      </c>
      <c r="I1248" s="32" t="s">
        <v>198</v>
      </c>
      <c r="J1248" s="32" t="s">
        <v>199</v>
      </c>
      <c r="K1248" s="32">
        <v>2.4325230000000002</v>
      </c>
      <c r="L1248" s="33">
        <v>1821</v>
      </c>
      <c r="M1248" s="32">
        <v>350</v>
      </c>
      <c r="N1248" s="32">
        <v>808</v>
      </c>
      <c r="O1248" s="32">
        <v>283</v>
      </c>
      <c r="P1248" s="32">
        <v>274</v>
      </c>
      <c r="Q1248" s="32">
        <v>106</v>
      </c>
      <c r="R1248" s="32">
        <v>2</v>
      </c>
      <c r="S1248" s="32">
        <v>11.350199999999999</v>
      </c>
      <c r="T1248" s="32">
        <v>0</v>
      </c>
      <c r="U1248" s="32">
        <v>0.89741701100000004</v>
      </c>
      <c r="V1248" s="32">
        <v>4</v>
      </c>
      <c r="W1248" s="32">
        <v>0.90212800000000004</v>
      </c>
      <c r="X1248" s="32">
        <v>0.125802</v>
      </c>
      <c r="Y1248" s="32">
        <v>0.8</v>
      </c>
      <c r="Z1248" s="32">
        <v>0.58843199999999996</v>
      </c>
      <c r="AA1248" s="32">
        <v>34.700000000000003</v>
      </c>
      <c r="AB1248" s="32">
        <v>215</v>
      </c>
      <c r="AC1248" s="32">
        <v>13</v>
      </c>
      <c r="AD1248" s="32">
        <v>13</v>
      </c>
      <c r="AE1248" s="32">
        <v>0</v>
      </c>
      <c r="AF1248" s="32">
        <v>0</v>
      </c>
      <c r="AG1248" s="32" t="s">
        <v>200</v>
      </c>
    </row>
    <row r="1249" spans="1:33">
      <c r="A1249" s="32" t="s">
        <v>4489</v>
      </c>
      <c r="B1249" s="32" t="s">
        <v>122</v>
      </c>
      <c r="C1249" s="32" t="s">
        <v>4490</v>
      </c>
      <c r="D1249" s="32" t="s">
        <v>4491</v>
      </c>
      <c r="E1249" s="32" t="s">
        <v>4385</v>
      </c>
      <c r="F1249" s="32" t="s">
        <v>4386</v>
      </c>
      <c r="G1249" s="32" t="s">
        <v>3684</v>
      </c>
      <c r="H1249" s="32" t="s">
        <v>3685</v>
      </c>
      <c r="I1249" s="32" t="s">
        <v>198</v>
      </c>
      <c r="J1249" s="32" t="s">
        <v>199</v>
      </c>
      <c r="K1249" s="32">
        <v>2.157314</v>
      </c>
      <c r="L1249" s="33">
        <v>2543</v>
      </c>
      <c r="M1249" s="32">
        <v>449</v>
      </c>
      <c r="N1249" s="32">
        <v>889</v>
      </c>
      <c r="O1249" s="32">
        <v>506</v>
      </c>
      <c r="P1249" s="32">
        <v>450</v>
      </c>
      <c r="Q1249" s="32">
        <v>249</v>
      </c>
      <c r="R1249" s="32">
        <v>2</v>
      </c>
      <c r="S1249" s="32">
        <v>14.2463</v>
      </c>
      <c r="T1249" s="32">
        <v>4.5757399999999997</v>
      </c>
      <c r="U1249" s="32">
        <v>1.011546949</v>
      </c>
      <c r="V1249" s="32">
        <v>4</v>
      </c>
      <c r="W1249" s="32">
        <v>0.87350099999999997</v>
      </c>
      <c r="X1249" s="32">
        <v>5.8781E-2</v>
      </c>
      <c r="Y1249" s="32">
        <v>0.8</v>
      </c>
      <c r="Z1249" s="32">
        <v>0.42655500000000002</v>
      </c>
      <c r="AA1249" s="32">
        <v>31.7</v>
      </c>
      <c r="AB1249" s="32">
        <v>515</v>
      </c>
      <c r="AC1249" s="32">
        <v>38</v>
      </c>
      <c r="AD1249" s="32">
        <v>32</v>
      </c>
      <c r="AE1249" s="32" t="s">
        <v>200</v>
      </c>
      <c r="AF1249" s="32" t="s">
        <v>200</v>
      </c>
      <c r="AG1249" s="32">
        <v>5</v>
      </c>
    </row>
    <row r="1250" spans="1:33">
      <c r="A1250" s="32" t="s">
        <v>4492</v>
      </c>
      <c r="B1250" s="32" t="s">
        <v>122</v>
      </c>
      <c r="C1250" s="32" t="s">
        <v>4493</v>
      </c>
      <c r="D1250" s="32" t="s">
        <v>4494</v>
      </c>
      <c r="E1250" s="32" t="s">
        <v>4385</v>
      </c>
      <c r="F1250" s="32" t="s">
        <v>4386</v>
      </c>
      <c r="G1250" s="32" t="s">
        <v>3684</v>
      </c>
      <c r="H1250" s="32" t="s">
        <v>3685</v>
      </c>
      <c r="I1250" s="32" t="s">
        <v>198</v>
      </c>
      <c r="J1250" s="32" t="s">
        <v>199</v>
      </c>
      <c r="K1250" s="32">
        <v>2.0621849999999999</v>
      </c>
      <c r="L1250" s="33">
        <v>1914</v>
      </c>
      <c r="M1250" s="32">
        <v>402</v>
      </c>
      <c r="N1250" s="32">
        <v>493</v>
      </c>
      <c r="O1250" s="32">
        <v>473</v>
      </c>
      <c r="P1250" s="32">
        <v>359</v>
      </c>
      <c r="Q1250" s="32">
        <v>187</v>
      </c>
      <c r="R1250" s="32">
        <v>2</v>
      </c>
      <c r="S1250" s="32">
        <v>12.1029</v>
      </c>
      <c r="T1250" s="32">
        <v>6.5671099999999996</v>
      </c>
      <c r="U1250" s="32">
        <v>1.210851983</v>
      </c>
      <c r="V1250" s="32">
        <v>2</v>
      </c>
      <c r="W1250" s="32">
        <v>0.855182</v>
      </c>
      <c r="X1250" s="32">
        <v>6.215E-3</v>
      </c>
      <c r="Y1250" s="32">
        <v>0.8</v>
      </c>
      <c r="Z1250" s="32">
        <v>0.39943800000000002</v>
      </c>
      <c r="AA1250" s="32">
        <v>41</v>
      </c>
      <c r="AB1250" s="32">
        <v>366</v>
      </c>
      <c r="AC1250" s="32">
        <v>32</v>
      </c>
      <c r="AD1250" s="32">
        <v>15</v>
      </c>
      <c r="AE1250" s="32">
        <v>0</v>
      </c>
      <c r="AF1250" s="32" t="s">
        <v>200</v>
      </c>
      <c r="AG1250" s="32" t="s">
        <v>200</v>
      </c>
    </row>
    <row r="1251" spans="1:33">
      <c r="A1251" s="32" t="s">
        <v>4495</v>
      </c>
      <c r="B1251" s="32" t="s">
        <v>122</v>
      </c>
      <c r="C1251" s="32" t="s">
        <v>4496</v>
      </c>
      <c r="D1251" s="32" t="s">
        <v>4497</v>
      </c>
      <c r="E1251" s="32" t="s">
        <v>4385</v>
      </c>
      <c r="F1251" s="32" t="s">
        <v>4386</v>
      </c>
      <c r="G1251" s="32" t="s">
        <v>3684</v>
      </c>
      <c r="H1251" s="32" t="s">
        <v>3685</v>
      </c>
      <c r="I1251" s="32" t="s">
        <v>198</v>
      </c>
      <c r="J1251" s="32" t="s">
        <v>199</v>
      </c>
      <c r="K1251" s="32">
        <v>2.2580049999999998</v>
      </c>
      <c r="L1251" s="33">
        <v>2112</v>
      </c>
      <c r="M1251" s="32">
        <v>412</v>
      </c>
      <c r="N1251" s="32">
        <v>611</v>
      </c>
      <c r="O1251" s="32">
        <v>581</v>
      </c>
      <c r="P1251" s="32">
        <v>328</v>
      </c>
      <c r="Q1251" s="32">
        <v>180</v>
      </c>
      <c r="R1251" s="32">
        <v>3</v>
      </c>
      <c r="S1251" s="32">
        <v>13.057499999999999</v>
      </c>
      <c r="T1251" s="32">
        <v>5.6768900000000002</v>
      </c>
      <c r="U1251" s="32">
        <v>1.0341128669999999</v>
      </c>
      <c r="V1251" s="32">
        <v>4</v>
      </c>
      <c r="W1251" s="32">
        <v>0.90341199999999999</v>
      </c>
      <c r="X1251" s="32">
        <v>0.13437499999999999</v>
      </c>
      <c r="Y1251" s="32">
        <v>0.8</v>
      </c>
      <c r="Z1251" s="32">
        <v>0.41134599999999999</v>
      </c>
      <c r="AA1251" s="32">
        <v>34.6</v>
      </c>
      <c r="AB1251" s="32">
        <v>366</v>
      </c>
      <c r="AC1251" s="32">
        <v>34</v>
      </c>
      <c r="AD1251" s="32">
        <v>22</v>
      </c>
      <c r="AE1251" s="32">
        <v>0</v>
      </c>
      <c r="AF1251" s="32" t="s">
        <v>200</v>
      </c>
      <c r="AG1251" s="32" t="s">
        <v>200</v>
      </c>
    </row>
    <row r="1252" spans="1:33">
      <c r="A1252" s="32" t="s">
        <v>4322</v>
      </c>
      <c r="B1252" s="32" t="s">
        <v>122</v>
      </c>
      <c r="C1252" s="32" t="s">
        <v>4323</v>
      </c>
      <c r="D1252" s="32" t="s">
        <v>4324</v>
      </c>
      <c r="E1252" s="32" t="s">
        <v>4325</v>
      </c>
      <c r="F1252" s="32" t="s">
        <v>4326</v>
      </c>
      <c r="G1252" s="32" t="s">
        <v>3684</v>
      </c>
      <c r="H1252" s="32" t="s">
        <v>3685</v>
      </c>
      <c r="I1252" s="32" t="s">
        <v>198</v>
      </c>
      <c r="J1252" s="32" t="s">
        <v>199</v>
      </c>
      <c r="K1252" s="32">
        <v>2.3431489999999999</v>
      </c>
      <c r="L1252" s="33">
        <v>1966</v>
      </c>
      <c r="M1252" s="32">
        <v>382</v>
      </c>
      <c r="N1252" s="32">
        <v>515</v>
      </c>
      <c r="O1252" s="32">
        <v>453</v>
      </c>
      <c r="P1252" s="32">
        <v>377</v>
      </c>
      <c r="Q1252" s="32">
        <v>239</v>
      </c>
      <c r="R1252" s="32">
        <v>2</v>
      </c>
      <c r="S1252" s="32">
        <v>18.139800000000001</v>
      </c>
      <c r="T1252" s="32">
        <v>0</v>
      </c>
      <c r="U1252" s="32">
        <v>0.87954210099999997</v>
      </c>
      <c r="V1252" s="32">
        <v>4</v>
      </c>
      <c r="W1252" s="32">
        <v>0.90337800000000001</v>
      </c>
      <c r="X1252" s="32">
        <v>0.239313</v>
      </c>
      <c r="Y1252" s="32">
        <v>0.8</v>
      </c>
      <c r="Z1252" s="32">
        <v>0.38782699999999998</v>
      </c>
      <c r="AA1252" s="32">
        <v>28.3</v>
      </c>
      <c r="AB1252" s="32">
        <v>505</v>
      </c>
      <c r="AC1252" s="32">
        <v>41</v>
      </c>
      <c r="AD1252" s="32">
        <v>30</v>
      </c>
      <c r="AE1252" s="32">
        <v>0</v>
      </c>
      <c r="AF1252" s="32">
        <v>0</v>
      </c>
      <c r="AG1252" s="32" t="s">
        <v>200</v>
      </c>
    </row>
    <row r="1253" spans="1:33">
      <c r="A1253" s="32" t="s">
        <v>4498</v>
      </c>
      <c r="B1253" s="32" t="s">
        <v>122</v>
      </c>
      <c r="C1253" s="32" t="s">
        <v>4499</v>
      </c>
      <c r="D1253" s="32" t="s">
        <v>4500</v>
      </c>
      <c r="E1253" s="32" t="s">
        <v>4487</v>
      </c>
      <c r="F1253" s="32" t="s">
        <v>4488</v>
      </c>
      <c r="G1253" s="32" t="s">
        <v>3684</v>
      </c>
      <c r="H1253" s="32" t="s">
        <v>3685</v>
      </c>
      <c r="I1253" s="32" t="s">
        <v>198</v>
      </c>
      <c r="J1253" s="32" t="s">
        <v>199</v>
      </c>
      <c r="K1253" s="32">
        <v>2.285561</v>
      </c>
      <c r="L1253" s="33">
        <v>1787</v>
      </c>
      <c r="M1253" s="32">
        <v>334</v>
      </c>
      <c r="N1253" s="32">
        <v>326</v>
      </c>
      <c r="O1253" s="32">
        <v>432</v>
      </c>
      <c r="P1253" s="32">
        <v>348</v>
      </c>
      <c r="Q1253" s="32">
        <v>347</v>
      </c>
      <c r="R1253" s="32">
        <v>2</v>
      </c>
      <c r="S1253" s="32">
        <v>17.510400000000001</v>
      </c>
      <c r="T1253" s="32">
        <v>0</v>
      </c>
      <c r="U1253" s="32">
        <v>0.97018036600000002</v>
      </c>
      <c r="V1253" s="32">
        <v>3</v>
      </c>
      <c r="W1253" s="32">
        <v>0.89892499999999997</v>
      </c>
      <c r="X1253" s="32">
        <v>0.10548100000000001</v>
      </c>
      <c r="Y1253" s="32">
        <v>0.8</v>
      </c>
      <c r="Z1253" s="32">
        <v>0.48386899999999999</v>
      </c>
      <c r="AA1253" s="32">
        <v>31</v>
      </c>
      <c r="AB1253" s="32">
        <v>385</v>
      </c>
      <c r="AC1253" s="32">
        <v>21</v>
      </c>
      <c r="AD1253" s="32">
        <v>17</v>
      </c>
      <c r="AE1253" s="32">
        <v>0</v>
      </c>
      <c r="AF1253" s="32">
        <v>0</v>
      </c>
      <c r="AG1253" s="32">
        <v>7</v>
      </c>
    </row>
    <row r="1254" spans="1:33">
      <c r="A1254" s="32" t="s">
        <v>4501</v>
      </c>
      <c r="B1254" s="32" t="s">
        <v>122</v>
      </c>
      <c r="C1254" s="32" t="s">
        <v>4502</v>
      </c>
      <c r="D1254" s="32" t="s">
        <v>4503</v>
      </c>
      <c r="E1254" s="32" t="s">
        <v>4325</v>
      </c>
      <c r="F1254" s="32" t="s">
        <v>4326</v>
      </c>
      <c r="G1254" s="32" t="s">
        <v>3684</v>
      </c>
      <c r="H1254" s="32" t="s">
        <v>3685</v>
      </c>
      <c r="I1254" s="32" t="s">
        <v>198</v>
      </c>
      <c r="J1254" s="32" t="s">
        <v>199</v>
      </c>
      <c r="K1254" s="32">
        <v>2.1750769999999999</v>
      </c>
      <c r="L1254" s="33">
        <v>2272</v>
      </c>
      <c r="M1254" s="32">
        <v>498</v>
      </c>
      <c r="N1254" s="32">
        <v>450</v>
      </c>
      <c r="O1254" s="32">
        <v>583</v>
      </c>
      <c r="P1254" s="32">
        <v>468</v>
      </c>
      <c r="Q1254" s="32">
        <v>273</v>
      </c>
      <c r="R1254" s="32" t="s">
        <v>225</v>
      </c>
      <c r="S1254" s="32">
        <v>8.9279899999999994</v>
      </c>
      <c r="T1254" s="32">
        <v>2.8058999999999998</v>
      </c>
      <c r="U1254" s="32">
        <v>0.95795508600000001</v>
      </c>
      <c r="V1254" s="32">
        <v>4</v>
      </c>
      <c r="W1254" s="32">
        <v>0.90356000000000003</v>
      </c>
      <c r="X1254" s="32">
        <v>7.8694E-2</v>
      </c>
      <c r="Y1254" s="32">
        <v>0.8</v>
      </c>
      <c r="Z1254" s="32">
        <v>0.40061799999999997</v>
      </c>
      <c r="AA1254" s="32">
        <v>21.9</v>
      </c>
      <c r="AB1254" s="32">
        <v>556</v>
      </c>
      <c r="AC1254" s="32">
        <v>39</v>
      </c>
      <c r="AD1254" s="32">
        <v>23</v>
      </c>
      <c r="AE1254" s="32">
        <v>0</v>
      </c>
      <c r="AF1254" s="32">
        <v>0</v>
      </c>
      <c r="AG1254" s="32">
        <v>9</v>
      </c>
    </row>
    <row r="1255" spans="1:33">
      <c r="A1255" s="32" t="s">
        <v>4504</v>
      </c>
      <c r="B1255" s="32" t="s">
        <v>122</v>
      </c>
      <c r="C1255" s="32" t="s">
        <v>4505</v>
      </c>
      <c r="D1255" s="32" t="s">
        <v>4506</v>
      </c>
      <c r="E1255" s="32" t="s">
        <v>4325</v>
      </c>
      <c r="F1255" s="32" t="s">
        <v>4326</v>
      </c>
      <c r="G1255" s="32" t="s">
        <v>3684</v>
      </c>
      <c r="H1255" s="32" t="s">
        <v>3685</v>
      </c>
      <c r="I1255" s="32" t="s">
        <v>198</v>
      </c>
      <c r="J1255" s="32" t="s">
        <v>199</v>
      </c>
      <c r="K1255" s="32">
        <v>2.1943039999999998</v>
      </c>
      <c r="L1255" s="33">
        <v>2487</v>
      </c>
      <c r="M1255" s="32">
        <v>470</v>
      </c>
      <c r="N1255" s="32">
        <v>344</v>
      </c>
      <c r="O1255" s="32">
        <v>764</v>
      </c>
      <c r="P1255" s="32">
        <v>560</v>
      </c>
      <c r="Q1255" s="32">
        <v>349</v>
      </c>
      <c r="R1255" s="32">
        <v>2</v>
      </c>
      <c r="S1255" s="32">
        <v>11.685</v>
      </c>
      <c r="T1255" s="32">
        <v>2.7132100000000001</v>
      </c>
      <c r="U1255" s="32">
        <v>0.90753626600000004</v>
      </c>
      <c r="V1255" s="32">
        <v>5</v>
      </c>
      <c r="W1255" s="32">
        <v>0.90186699999999997</v>
      </c>
      <c r="X1255" s="32">
        <v>3.9252000000000002E-2</v>
      </c>
      <c r="Y1255" s="32">
        <v>0.8</v>
      </c>
      <c r="Z1255" s="32">
        <v>0.461308</v>
      </c>
      <c r="AA1255" s="32">
        <v>19.899999999999999</v>
      </c>
      <c r="AB1255" s="32">
        <v>839</v>
      </c>
      <c r="AC1255" s="32">
        <v>54</v>
      </c>
      <c r="AD1255" s="32">
        <v>31</v>
      </c>
      <c r="AE1255" s="32">
        <v>0</v>
      </c>
      <c r="AF1255" s="32" t="s">
        <v>200</v>
      </c>
      <c r="AG1255" s="32">
        <v>7</v>
      </c>
    </row>
    <row r="1256" spans="1:33">
      <c r="A1256" s="32" t="s">
        <v>4507</v>
      </c>
      <c r="B1256" s="32" t="s">
        <v>122</v>
      </c>
      <c r="C1256" s="32" t="s">
        <v>4508</v>
      </c>
      <c r="D1256" s="32" t="s">
        <v>4509</v>
      </c>
      <c r="E1256" s="32" t="s">
        <v>4510</v>
      </c>
      <c r="F1256" s="32" t="s">
        <v>4511</v>
      </c>
      <c r="G1256" s="32" t="s">
        <v>3684</v>
      </c>
      <c r="H1256" s="32" t="s">
        <v>3685</v>
      </c>
      <c r="I1256" s="32" t="s">
        <v>198</v>
      </c>
      <c r="J1256" s="32" t="s">
        <v>199</v>
      </c>
      <c r="K1256" s="32">
        <v>2.180717</v>
      </c>
      <c r="L1256" s="33">
        <v>1930</v>
      </c>
      <c r="M1256" s="32">
        <v>340</v>
      </c>
      <c r="N1256" s="32">
        <v>284</v>
      </c>
      <c r="O1256" s="32">
        <v>477</v>
      </c>
      <c r="P1256" s="32">
        <v>502</v>
      </c>
      <c r="Q1256" s="32">
        <v>327</v>
      </c>
      <c r="R1256" s="32">
        <v>3</v>
      </c>
      <c r="S1256" s="32">
        <v>16.079699999999999</v>
      </c>
      <c r="T1256" s="32">
        <v>3.79684</v>
      </c>
      <c r="U1256" s="32">
        <v>0.90159684699999998</v>
      </c>
      <c r="V1256" s="32">
        <v>5</v>
      </c>
      <c r="W1256" s="32">
        <v>0.90597300000000003</v>
      </c>
      <c r="X1256" s="32">
        <v>0.103237</v>
      </c>
      <c r="Y1256" s="32">
        <v>0.8</v>
      </c>
      <c r="Z1256" s="32">
        <v>0.392295</v>
      </c>
      <c r="AA1256" s="32">
        <v>20.5</v>
      </c>
      <c r="AB1256" s="32">
        <v>658</v>
      </c>
      <c r="AC1256" s="32">
        <v>31</v>
      </c>
      <c r="AD1256" s="32">
        <v>18</v>
      </c>
      <c r="AE1256" s="32">
        <v>0</v>
      </c>
      <c r="AF1256" s="32">
        <v>0</v>
      </c>
      <c r="AG1256" s="32" t="s">
        <v>200</v>
      </c>
    </row>
    <row r="1257" spans="1:33">
      <c r="A1257" s="32" t="s">
        <v>4512</v>
      </c>
      <c r="B1257" s="32" t="s">
        <v>123</v>
      </c>
      <c r="C1257" s="32" t="s">
        <v>4513</v>
      </c>
      <c r="D1257" s="32" t="s">
        <v>4514</v>
      </c>
      <c r="E1257" s="32" t="s">
        <v>4515</v>
      </c>
      <c r="F1257" s="32" t="s">
        <v>4516</v>
      </c>
      <c r="G1257" s="32" t="s">
        <v>4517</v>
      </c>
      <c r="H1257" s="32" t="s">
        <v>4518</v>
      </c>
      <c r="I1257" s="32" t="s">
        <v>198</v>
      </c>
      <c r="J1257" s="32" t="s">
        <v>199</v>
      </c>
      <c r="K1257" s="32">
        <v>2.3067329999999999</v>
      </c>
      <c r="L1257" s="33">
        <v>1401</v>
      </c>
      <c r="M1257" s="32">
        <v>232</v>
      </c>
      <c r="N1257" s="32">
        <v>203</v>
      </c>
      <c r="O1257" s="32">
        <v>351</v>
      </c>
      <c r="P1257" s="32">
        <v>353</v>
      </c>
      <c r="Q1257" s="32">
        <v>262</v>
      </c>
      <c r="R1257" s="32">
        <v>3</v>
      </c>
      <c r="S1257" s="32">
        <v>18.9788</v>
      </c>
      <c r="T1257" s="32">
        <v>4.2947800000000003</v>
      </c>
      <c r="U1257" s="32">
        <v>0.76371427300000005</v>
      </c>
      <c r="V1257" s="32">
        <v>7</v>
      </c>
      <c r="W1257" s="32">
        <v>0.90507700000000002</v>
      </c>
      <c r="X1257" s="32">
        <v>0.27800599999999998</v>
      </c>
      <c r="Y1257" s="32">
        <v>0.8</v>
      </c>
      <c r="Z1257" s="32">
        <v>0.32488899999999998</v>
      </c>
      <c r="AA1257" s="32">
        <v>12.5</v>
      </c>
      <c r="AB1257" s="32">
        <v>505</v>
      </c>
      <c r="AC1257" s="32">
        <v>30</v>
      </c>
      <c r="AD1257" s="32">
        <v>12</v>
      </c>
      <c r="AE1257" s="32" t="s">
        <v>200</v>
      </c>
      <c r="AF1257" s="32">
        <v>0</v>
      </c>
      <c r="AG1257" s="32" t="s">
        <v>200</v>
      </c>
    </row>
    <row r="1258" spans="1:33">
      <c r="A1258" s="32" t="s">
        <v>4519</v>
      </c>
      <c r="B1258" s="32" t="s">
        <v>123</v>
      </c>
      <c r="C1258" s="32" t="s">
        <v>4520</v>
      </c>
      <c r="D1258" s="32" t="s">
        <v>4521</v>
      </c>
      <c r="E1258" s="32" t="s">
        <v>3954</v>
      </c>
      <c r="F1258" s="32" t="s">
        <v>3955</v>
      </c>
      <c r="G1258" s="32" t="s">
        <v>3684</v>
      </c>
      <c r="H1258" s="32" t="s">
        <v>3685</v>
      </c>
      <c r="I1258" s="32" t="s">
        <v>198</v>
      </c>
      <c r="J1258" s="32" t="s">
        <v>199</v>
      </c>
      <c r="K1258" s="32">
        <v>2.4126669999999999</v>
      </c>
      <c r="L1258" s="33">
        <v>1157</v>
      </c>
      <c r="M1258" s="32">
        <v>266</v>
      </c>
      <c r="N1258" s="32">
        <v>213</v>
      </c>
      <c r="O1258" s="32">
        <v>383</v>
      </c>
      <c r="P1258" s="32">
        <v>207</v>
      </c>
      <c r="Q1258" s="32">
        <v>88</v>
      </c>
      <c r="R1258" s="32">
        <v>4</v>
      </c>
      <c r="S1258" s="32">
        <v>20.357099999999999</v>
      </c>
      <c r="T1258" s="32">
        <v>11.878</v>
      </c>
      <c r="U1258" s="32">
        <v>0.57202372099999999</v>
      </c>
      <c r="V1258" s="32">
        <v>10</v>
      </c>
      <c r="W1258" s="32">
        <v>0.90733299999999995</v>
      </c>
      <c r="X1258" s="32">
        <v>0.26874999999999999</v>
      </c>
      <c r="Y1258" s="32">
        <v>0.7</v>
      </c>
      <c r="Z1258" s="32">
        <v>0.50858099999999995</v>
      </c>
      <c r="AA1258" s="32">
        <v>10.4</v>
      </c>
      <c r="AB1258" s="32">
        <v>318</v>
      </c>
      <c r="AC1258" s="32">
        <v>19</v>
      </c>
      <c r="AD1258" s="32">
        <v>18</v>
      </c>
      <c r="AE1258" s="32" t="s">
        <v>200</v>
      </c>
      <c r="AF1258" s="32">
        <v>0</v>
      </c>
      <c r="AG1258" s="32" t="s">
        <v>200</v>
      </c>
    </row>
    <row r="1259" spans="1:33">
      <c r="A1259" s="32" t="s">
        <v>4327</v>
      </c>
      <c r="B1259" s="32" t="s">
        <v>123</v>
      </c>
      <c r="C1259" s="32" t="s">
        <v>4328</v>
      </c>
      <c r="D1259" s="32" t="s">
        <v>4329</v>
      </c>
      <c r="E1259" s="32" t="s">
        <v>4330</v>
      </c>
      <c r="F1259" s="32" t="s">
        <v>4331</v>
      </c>
      <c r="G1259" s="32" t="s">
        <v>3684</v>
      </c>
      <c r="H1259" s="32" t="s">
        <v>3685</v>
      </c>
      <c r="I1259" s="32" t="s">
        <v>198</v>
      </c>
      <c r="J1259" s="32" t="s">
        <v>199</v>
      </c>
      <c r="K1259" s="32">
        <v>2.4991089999999998</v>
      </c>
      <c r="L1259" s="33">
        <v>1581</v>
      </c>
      <c r="M1259" s="32">
        <v>244</v>
      </c>
      <c r="N1259" s="32">
        <v>374</v>
      </c>
      <c r="O1259" s="32">
        <v>536</v>
      </c>
      <c r="P1259" s="32">
        <v>282</v>
      </c>
      <c r="Q1259" s="32">
        <v>145</v>
      </c>
      <c r="R1259" s="32">
        <v>3</v>
      </c>
      <c r="S1259" s="32">
        <v>19.1265</v>
      </c>
      <c r="T1259" s="32">
        <v>7.4295099999999996</v>
      </c>
      <c r="U1259" s="32">
        <v>0.64410832200000001</v>
      </c>
      <c r="V1259" s="32">
        <v>7</v>
      </c>
      <c r="W1259" s="32">
        <v>0.91135900000000003</v>
      </c>
      <c r="X1259" s="32">
        <v>0.26116099999999998</v>
      </c>
      <c r="Y1259" s="32">
        <v>0.75619499999999995</v>
      </c>
      <c r="Z1259" s="32">
        <v>0.57130199999999998</v>
      </c>
      <c r="AA1259" s="32">
        <v>20.9</v>
      </c>
      <c r="AB1259" s="32">
        <v>417</v>
      </c>
      <c r="AC1259" s="32">
        <v>28</v>
      </c>
      <c r="AD1259" s="32">
        <v>13</v>
      </c>
      <c r="AE1259" s="32">
        <v>0</v>
      </c>
      <c r="AF1259" s="32" t="s">
        <v>200</v>
      </c>
      <c r="AG1259" s="32" t="s">
        <v>200</v>
      </c>
    </row>
    <row r="1260" spans="1:33">
      <c r="A1260" s="32" t="s">
        <v>4522</v>
      </c>
      <c r="B1260" s="32" t="s">
        <v>123</v>
      </c>
      <c r="C1260" s="32" t="s">
        <v>4523</v>
      </c>
      <c r="D1260" s="32" t="s">
        <v>4524</v>
      </c>
      <c r="E1260" s="32" t="s">
        <v>4510</v>
      </c>
      <c r="F1260" s="32" t="s">
        <v>4511</v>
      </c>
      <c r="G1260" s="32" t="s">
        <v>3684</v>
      </c>
      <c r="H1260" s="32" t="s">
        <v>3685</v>
      </c>
      <c r="I1260" s="32" t="s">
        <v>198</v>
      </c>
      <c r="J1260" s="32" t="s">
        <v>199</v>
      </c>
      <c r="K1260" s="32">
        <v>2.4949499999999998</v>
      </c>
      <c r="L1260" s="33">
        <v>2135</v>
      </c>
      <c r="M1260" s="32">
        <v>294</v>
      </c>
      <c r="N1260" s="32">
        <v>452</v>
      </c>
      <c r="O1260" s="32">
        <v>784</v>
      </c>
      <c r="P1260" s="32">
        <v>362</v>
      </c>
      <c r="Q1260" s="32">
        <v>243</v>
      </c>
      <c r="R1260" s="32" t="s">
        <v>302</v>
      </c>
      <c r="S1260" s="32">
        <v>40.434899999999999</v>
      </c>
      <c r="T1260" s="32">
        <v>11.6113</v>
      </c>
      <c r="U1260" s="32">
        <v>0.599294043</v>
      </c>
      <c r="V1260" s="32">
        <v>8</v>
      </c>
      <c r="W1260" s="32">
        <v>0.90959599999999996</v>
      </c>
      <c r="X1260" s="32">
        <v>0.183333</v>
      </c>
      <c r="Y1260" s="32">
        <v>0.79196599999999995</v>
      </c>
      <c r="Z1260" s="32">
        <v>0.61918499999999999</v>
      </c>
      <c r="AA1260" s="32">
        <v>18.8</v>
      </c>
      <c r="AB1260" s="32">
        <v>583</v>
      </c>
      <c r="AC1260" s="32">
        <v>39</v>
      </c>
      <c r="AD1260" s="32">
        <v>16</v>
      </c>
      <c r="AE1260" s="32" t="s">
        <v>200</v>
      </c>
      <c r="AF1260" s="32">
        <v>0</v>
      </c>
      <c r="AG1260" s="32" t="s">
        <v>200</v>
      </c>
    </row>
    <row r="1261" spans="1:33">
      <c r="A1261" s="32" t="s">
        <v>4525</v>
      </c>
      <c r="B1261" s="32" t="s">
        <v>123</v>
      </c>
      <c r="C1261" s="32" t="s">
        <v>4526</v>
      </c>
      <c r="D1261" s="32" t="s">
        <v>4527</v>
      </c>
      <c r="E1261" s="32" t="s">
        <v>4335</v>
      </c>
      <c r="F1261" s="32" t="s">
        <v>4336</v>
      </c>
      <c r="G1261" s="32" t="s">
        <v>3684</v>
      </c>
      <c r="H1261" s="32" t="s">
        <v>3685</v>
      </c>
      <c r="I1261" s="32" t="s">
        <v>198</v>
      </c>
      <c r="J1261" s="32" t="s">
        <v>199</v>
      </c>
      <c r="K1261" s="32">
        <v>2.4041290000000002</v>
      </c>
      <c r="L1261" s="33">
        <v>2325</v>
      </c>
      <c r="M1261" s="32">
        <v>331</v>
      </c>
      <c r="N1261" s="32">
        <v>549</v>
      </c>
      <c r="O1261" s="32">
        <v>848</v>
      </c>
      <c r="P1261" s="32">
        <v>392</v>
      </c>
      <c r="Q1261" s="32">
        <v>205</v>
      </c>
      <c r="R1261" s="32">
        <v>5</v>
      </c>
      <c r="S1261" s="32">
        <v>29.905899999999999</v>
      </c>
      <c r="T1261" s="32">
        <v>15.924099999999999</v>
      </c>
      <c r="U1261" s="32">
        <v>0.63512632800000002</v>
      </c>
      <c r="V1261" s="32">
        <v>8</v>
      </c>
      <c r="W1261" s="32">
        <v>0.90574500000000002</v>
      </c>
      <c r="X1261" s="32">
        <v>0.18380299999999999</v>
      </c>
      <c r="Y1261" s="32">
        <v>0.71007100000000001</v>
      </c>
      <c r="Z1261" s="32">
        <v>0.62786900000000001</v>
      </c>
      <c r="AA1261" s="32">
        <v>20.399999999999999</v>
      </c>
      <c r="AB1261" s="32">
        <v>486</v>
      </c>
      <c r="AC1261" s="32">
        <v>34</v>
      </c>
      <c r="AD1261" s="32">
        <v>15</v>
      </c>
      <c r="AE1261" s="32">
        <v>0</v>
      </c>
      <c r="AF1261" s="32" t="s">
        <v>200</v>
      </c>
      <c r="AG1261" s="32">
        <v>6</v>
      </c>
    </row>
    <row r="1262" spans="1:33">
      <c r="A1262" s="32" t="s">
        <v>4528</v>
      </c>
      <c r="B1262" s="32" t="s">
        <v>123</v>
      </c>
      <c r="C1262" s="32" t="s">
        <v>4529</v>
      </c>
      <c r="D1262" s="32" t="s">
        <v>4530</v>
      </c>
      <c r="E1262" s="32" t="s">
        <v>4510</v>
      </c>
      <c r="F1262" s="32" t="s">
        <v>4511</v>
      </c>
      <c r="G1262" s="32" t="s">
        <v>3684</v>
      </c>
      <c r="H1262" s="32" t="s">
        <v>3685</v>
      </c>
      <c r="I1262" s="32" t="s">
        <v>198</v>
      </c>
      <c r="J1262" s="32" t="s">
        <v>199</v>
      </c>
      <c r="K1262" s="32">
        <v>2.2018399999999998</v>
      </c>
      <c r="L1262" s="33">
        <v>1725</v>
      </c>
      <c r="M1262" s="32">
        <v>285</v>
      </c>
      <c r="N1262" s="32">
        <v>361</v>
      </c>
      <c r="O1262" s="32">
        <v>509</v>
      </c>
      <c r="P1262" s="32">
        <v>330</v>
      </c>
      <c r="Q1262" s="32">
        <v>240</v>
      </c>
      <c r="R1262" s="32" t="s">
        <v>225</v>
      </c>
      <c r="S1262" s="32">
        <v>10.8406</v>
      </c>
      <c r="T1262" s="32">
        <v>0</v>
      </c>
      <c r="U1262" s="32">
        <v>0.79280393500000002</v>
      </c>
      <c r="V1262" s="32">
        <v>8</v>
      </c>
      <c r="W1262" s="32">
        <v>0.90429400000000004</v>
      </c>
      <c r="X1262" s="32">
        <v>0.16937199999999999</v>
      </c>
      <c r="Y1262" s="32">
        <v>0.8</v>
      </c>
      <c r="Z1262" s="32">
        <v>0.33415</v>
      </c>
      <c r="AA1262" s="32">
        <v>17.3</v>
      </c>
      <c r="AB1262" s="32">
        <v>539</v>
      </c>
      <c r="AC1262" s="32">
        <v>53</v>
      </c>
      <c r="AD1262" s="32">
        <v>20</v>
      </c>
      <c r="AE1262" s="32">
        <v>0</v>
      </c>
      <c r="AF1262" s="32">
        <v>0</v>
      </c>
      <c r="AG1262" s="32" t="s">
        <v>200</v>
      </c>
    </row>
    <row r="1263" spans="1:33">
      <c r="A1263" s="32" t="s">
        <v>4531</v>
      </c>
      <c r="B1263" s="32" t="s">
        <v>123</v>
      </c>
      <c r="C1263" s="32" t="s">
        <v>4532</v>
      </c>
      <c r="D1263" s="32" t="s">
        <v>4533</v>
      </c>
      <c r="E1263" s="32" t="s">
        <v>4510</v>
      </c>
      <c r="F1263" s="32" t="s">
        <v>4511</v>
      </c>
      <c r="G1263" s="32" t="s">
        <v>3684</v>
      </c>
      <c r="H1263" s="32" t="s">
        <v>3685</v>
      </c>
      <c r="I1263" s="32" t="s">
        <v>198</v>
      </c>
      <c r="J1263" s="32" t="s">
        <v>199</v>
      </c>
      <c r="K1263" s="32">
        <v>2.2160820000000001</v>
      </c>
      <c r="L1263" s="33">
        <v>1734</v>
      </c>
      <c r="M1263" s="32">
        <v>273</v>
      </c>
      <c r="N1263" s="32">
        <v>327</v>
      </c>
      <c r="O1263" s="32">
        <v>506</v>
      </c>
      <c r="P1263" s="32">
        <v>384</v>
      </c>
      <c r="Q1263" s="32">
        <v>244</v>
      </c>
      <c r="R1263" s="32">
        <v>2</v>
      </c>
      <c r="S1263" s="32">
        <v>11.814299999999999</v>
      </c>
      <c r="T1263" s="32">
        <v>3.9268100000000001</v>
      </c>
      <c r="U1263" s="32">
        <v>0.68031882799999999</v>
      </c>
      <c r="V1263" s="32">
        <v>10</v>
      </c>
      <c r="W1263" s="32">
        <v>0.90412400000000004</v>
      </c>
      <c r="X1263" s="32">
        <v>0.13219600000000001</v>
      </c>
      <c r="Y1263" s="32">
        <v>0.8</v>
      </c>
      <c r="Z1263" s="32">
        <v>0.391322</v>
      </c>
      <c r="AA1263" s="32">
        <v>13.9</v>
      </c>
      <c r="AB1263" s="32">
        <v>589</v>
      </c>
      <c r="AC1263" s="32">
        <v>24</v>
      </c>
      <c r="AD1263" s="32">
        <v>10</v>
      </c>
      <c r="AE1263" s="32" t="s">
        <v>200</v>
      </c>
      <c r="AF1263" s="32" t="s">
        <v>200</v>
      </c>
      <c r="AG1263" s="32">
        <v>0</v>
      </c>
    </row>
    <row r="1264" spans="1:33">
      <c r="A1264" s="32" t="s">
        <v>4507</v>
      </c>
      <c r="B1264" s="32" t="s">
        <v>123</v>
      </c>
      <c r="C1264" s="32" t="s">
        <v>4508</v>
      </c>
      <c r="D1264" s="32" t="s">
        <v>4509</v>
      </c>
      <c r="E1264" s="32" t="s">
        <v>4510</v>
      </c>
      <c r="F1264" s="32" t="s">
        <v>4511</v>
      </c>
      <c r="G1264" s="32" t="s">
        <v>3684</v>
      </c>
      <c r="H1264" s="32" t="s">
        <v>3685</v>
      </c>
      <c r="I1264" s="32" t="s">
        <v>198</v>
      </c>
      <c r="J1264" s="32" t="s">
        <v>199</v>
      </c>
      <c r="K1264" s="32">
        <v>2.180717</v>
      </c>
      <c r="L1264" s="33">
        <v>1930</v>
      </c>
      <c r="M1264" s="32">
        <v>340</v>
      </c>
      <c r="N1264" s="32">
        <v>284</v>
      </c>
      <c r="O1264" s="32">
        <v>477</v>
      </c>
      <c r="P1264" s="32">
        <v>502</v>
      </c>
      <c r="Q1264" s="32">
        <v>327</v>
      </c>
      <c r="R1264" s="32">
        <v>3</v>
      </c>
      <c r="S1264" s="32">
        <v>16.079699999999999</v>
      </c>
      <c r="T1264" s="32">
        <v>3.79684</v>
      </c>
      <c r="U1264" s="32">
        <v>0.90159684699999998</v>
      </c>
      <c r="V1264" s="32">
        <v>5</v>
      </c>
      <c r="W1264" s="32">
        <v>0.90597300000000003</v>
      </c>
      <c r="X1264" s="32">
        <v>0.103237</v>
      </c>
      <c r="Y1264" s="32">
        <v>0.8</v>
      </c>
      <c r="Z1264" s="32">
        <v>0.392295</v>
      </c>
      <c r="AA1264" s="32">
        <v>20.5</v>
      </c>
      <c r="AB1264" s="32">
        <v>658</v>
      </c>
      <c r="AC1264" s="32">
        <v>31</v>
      </c>
      <c r="AD1264" s="32">
        <v>18</v>
      </c>
      <c r="AE1264" s="32">
        <v>0</v>
      </c>
      <c r="AF1264" s="32">
        <v>0</v>
      </c>
      <c r="AG1264" s="32" t="s">
        <v>200</v>
      </c>
    </row>
    <row r="1265" spans="1:33">
      <c r="A1265" s="32" t="s">
        <v>4534</v>
      </c>
      <c r="B1265" s="32" t="s">
        <v>123</v>
      </c>
      <c r="C1265" s="32" t="s">
        <v>4535</v>
      </c>
      <c r="D1265" s="32" t="s">
        <v>4536</v>
      </c>
      <c r="E1265" s="32" t="s">
        <v>3954</v>
      </c>
      <c r="F1265" s="32" t="s">
        <v>3955</v>
      </c>
      <c r="G1265" s="32" t="s">
        <v>3684</v>
      </c>
      <c r="H1265" s="32" t="s">
        <v>3685</v>
      </c>
      <c r="I1265" s="32" t="s">
        <v>198</v>
      </c>
      <c r="J1265" s="32" t="s">
        <v>199</v>
      </c>
      <c r="K1265" s="32">
        <v>2.2916470000000002</v>
      </c>
      <c r="L1265" s="33">
        <v>1684</v>
      </c>
      <c r="M1265" s="32">
        <v>300</v>
      </c>
      <c r="N1265" s="32">
        <v>376</v>
      </c>
      <c r="O1265" s="32">
        <v>538</v>
      </c>
      <c r="P1265" s="32">
        <v>321</v>
      </c>
      <c r="Q1265" s="32">
        <v>149</v>
      </c>
      <c r="R1265" s="32" t="s">
        <v>302</v>
      </c>
      <c r="S1265" s="32">
        <v>34.811999999999998</v>
      </c>
      <c r="T1265" s="32">
        <v>18.956600000000002</v>
      </c>
      <c r="U1265" s="32">
        <v>0.68360070399999995</v>
      </c>
      <c r="V1265" s="32">
        <v>8</v>
      </c>
      <c r="W1265" s="32">
        <v>0.90510400000000002</v>
      </c>
      <c r="X1265" s="32">
        <v>0.14452200000000001</v>
      </c>
      <c r="Y1265" s="32">
        <v>0.70794400000000002</v>
      </c>
      <c r="Z1265" s="32">
        <v>0.52893500000000004</v>
      </c>
      <c r="AA1265" s="32">
        <v>13.7</v>
      </c>
      <c r="AB1265" s="32">
        <v>452</v>
      </c>
      <c r="AC1265" s="32">
        <v>39</v>
      </c>
      <c r="AD1265" s="32">
        <v>36</v>
      </c>
      <c r="AE1265" s="32" t="s">
        <v>200</v>
      </c>
      <c r="AF1265" s="32">
        <v>5</v>
      </c>
      <c r="AG1265" s="32" t="s">
        <v>200</v>
      </c>
    </row>
    <row r="1266" spans="1:33">
      <c r="A1266" s="32" t="s">
        <v>4537</v>
      </c>
      <c r="B1266" s="32" t="s">
        <v>123</v>
      </c>
      <c r="C1266" s="32" t="s">
        <v>4538</v>
      </c>
      <c r="D1266" s="32" t="s">
        <v>4539</v>
      </c>
      <c r="E1266" s="32" t="s">
        <v>4540</v>
      </c>
      <c r="F1266" s="32" t="s">
        <v>4541</v>
      </c>
      <c r="G1266" s="32" t="s">
        <v>3684</v>
      </c>
      <c r="H1266" s="32" t="s">
        <v>3685</v>
      </c>
      <c r="I1266" s="32" t="s">
        <v>198</v>
      </c>
      <c r="J1266" s="32" t="s">
        <v>199</v>
      </c>
      <c r="K1266" s="32">
        <v>2.1328339999999999</v>
      </c>
      <c r="L1266" s="33">
        <v>1626</v>
      </c>
      <c r="M1266" s="32">
        <v>361</v>
      </c>
      <c r="N1266" s="32">
        <v>258</v>
      </c>
      <c r="O1266" s="32">
        <v>326</v>
      </c>
      <c r="P1266" s="32">
        <v>460</v>
      </c>
      <c r="Q1266" s="32">
        <v>221</v>
      </c>
      <c r="R1266" s="32">
        <v>2</v>
      </c>
      <c r="S1266" s="32">
        <v>12.011100000000001</v>
      </c>
      <c r="T1266" s="32">
        <v>0</v>
      </c>
      <c r="U1266" s="32">
        <v>0.73402870399999998</v>
      </c>
      <c r="V1266" s="32">
        <v>9</v>
      </c>
      <c r="W1266" s="32">
        <v>0.90112300000000001</v>
      </c>
      <c r="X1266" s="32">
        <v>6.5978999999999996E-2</v>
      </c>
      <c r="Y1266" s="32">
        <v>0.8</v>
      </c>
      <c r="Z1266" s="32">
        <v>0.36142999999999997</v>
      </c>
      <c r="AA1266" s="32">
        <v>6.2</v>
      </c>
      <c r="AB1266" s="32">
        <v>656</v>
      </c>
      <c r="AC1266" s="32">
        <v>32</v>
      </c>
      <c r="AD1266" s="32">
        <v>13</v>
      </c>
      <c r="AE1266" s="32">
        <v>0</v>
      </c>
      <c r="AF1266" s="32">
        <v>0</v>
      </c>
      <c r="AG1266" s="32" t="s">
        <v>200</v>
      </c>
    </row>
    <row r="1267" spans="1:33">
      <c r="A1267" s="32" t="s">
        <v>4542</v>
      </c>
      <c r="B1267" s="32" t="s">
        <v>123</v>
      </c>
      <c r="C1267" s="32" t="s">
        <v>4543</v>
      </c>
      <c r="D1267" s="32" t="s">
        <v>4544</v>
      </c>
      <c r="E1267" s="32" t="s">
        <v>4540</v>
      </c>
      <c r="F1267" s="32" t="s">
        <v>4541</v>
      </c>
      <c r="G1267" s="32" t="s">
        <v>3684</v>
      </c>
      <c r="H1267" s="32" t="s">
        <v>3685</v>
      </c>
      <c r="I1267" s="32" t="s">
        <v>198</v>
      </c>
      <c r="J1267" s="32" t="s">
        <v>199</v>
      </c>
      <c r="K1267" s="32">
        <v>2.4065349999999999</v>
      </c>
      <c r="L1267" s="33">
        <v>1799</v>
      </c>
      <c r="M1267" s="32">
        <v>379</v>
      </c>
      <c r="N1267" s="32">
        <v>295</v>
      </c>
      <c r="O1267" s="32">
        <v>495</v>
      </c>
      <c r="P1267" s="32">
        <v>415</v>
      </c>
      <c r="Q1267" s="32">
        <v>215</v>
      </c>
      <c r="R1267" s="32">
        <v>4</v>
      </c>
      <c r="S1267" s="32">
        <v>25.209700000000002</v>
      </c>
      <c r="T1267" s="32">
        <v>12.093999999999999</v>
      </c>
      <c r="U1267" s="32">
        <v>0.57954272100000004</v>
      </c>
      <c r="V1267" s="32">
        <v>9</v>
      </c>
      <c r="W1267" s="32">
        <v>0.90198</v>
      </c>
      <c r="X1267" s="32">
        <v>0.15160000000000001</v>
      </c>
      <c r="Y1267" s="32">
        <v>0.8</v>
      </c>
      <c r="Z1267" s="32">
        <v>0.55407600000000001</v>
      </c>
      <c r="AA1267" s="32">
        <v>9.4</v>
      </c>
      <c r="AB1267" s="32">
        <v>544</v>
      </c>
      <c r="AC1267" s="32">
        <v>26</v>
      </c>
      <c r="AD1267" s="32">
        <v>25</v>
      </c>
      <c r="AE1267" s="32" t="s">
        <v>200</v>
      </c>
      <c r="AF1267" s="32">
        <v>0</v>
      </c>
      <c r="AG1267" s="32" t="s">
        <v>200</v>
      </c>
    </row>
    <row r="1268" spans="1:33">
      <c r="A1268" s="32" t="s">
        <v>4545</v>
      </c>
      <c r="B1268" s="32" t="s">
        <v>123</v>
      </c>
      <c r="C1268" s="32" t="s">
        <v>4546</v>
      </c>
      <c r="D1268" s="32" t="s">
        <v>4547</v>
      </c>
      <c r="E1268" s="32" t="s">
        <v>3954</v>
      </c>
      <c r="F1268" s="32" t="s">
        <v>3955</v>
      </c>
      <c r="G1268" s="32" t="s">
        <v>3684</v>
      </c>
      <c r="H1268" s="32" t="s">
        <v>3685</v>
      </c>
      <c r="I1268" s="32" t="s">
        <v>198</v>
      </c>
      <c r="J1268" s="32" t="s">
        <v>199</v>
      </c>
      <c r="K1268" s="32">
        <v>2.6632419999999999</v>
      </c>
      <c r="L1268" s="33">
        <v>2056</v>
      </c>
      <c r="M1268" s="32">
        <v>274</v>
      </c>
      <c r="N1268" s="32">
        <v>575</v>
      </c>
      <c r="O1268" s="32">
        <v>675</v>
      </c>
      <c r="P1268" s="32">
        <v>353</v>
      </c>
      <c r="Q1268" s="32">
        <v>179</v>
      </c>
      <c r="R1268" s="32" t="s">
        <v>302</v>
      </c>
      <c r="S1268" s="32">
        <v>41.647399999999998</v>
      </c>
      <c r="T1268" s="32">
        <v>22.067599999999999</v>
      </c>
      <c r="U1268" s="32">
        <v>0.53644882000000005</v>
      </c>
      <c r="V1268" s="32">
        <v>8</v>
      </c>
      <c r="W1268" s="32">
        <v>0.91203900000000004</v>
      </c>
      <c r="X1268" s="32">
        <v>0.34551300000000001</v>
      </c>
      <c r="Y1268" s="32">
        <v>0.76474399999999998</v>
      </c>
      <c r="Z1268" s="32">
        <v>0.63017699999999999</v>
      </c>
      <c r="AA1268" s="32">
        <v>15.5</v>
      </c>
      <c r="AB1268" s="32">
        <v>541</v>
      </c>
      <c r="AC1268" s="32">
        <v>31</v>
      </c>
      <c r="AD1268" s="32">
        <v>194</v>
      </c>
      <c r="AE1268" s="32">
        <v>168</v>
      </c>
      <c r="AF1268" s="32">
        <v>12</v>
      </c>
      <c r="AG1268" s="32" t="s">
        <v>200</v>
      </c>
    </row>
    <row r="1269" spans="1:33">
      <c r="A1269" s="32" t="s">
        <v>4548</v>
      </c>
      <c r="B1269" s="32" t="s">
        <v>124</v>
      </c>
      <c r="C1269" s="32" t="s">
        <v>4549</v>
      </c>
      <c r="D1269" s="32" t="s">
        <v>4550</v>
      </c>
      <c r="E1269" s="32" t="s">
        <v>4515</v>
      </c>
      <c r="F1269" s="32" t="s">
        <v>4516</v>
      </c>
      <c r="G1269" s="32" t="s">
        <v>4517</v>
      </c>
      <c r="H1269" s="32" t="s">
        <v>4518</v>
      </c>
      <c r="I1269" s="32" t="s">
        <v>198</v>
      </c>
      <c r="J1269" s="32" t="s">
        <v>199</v>
      </c>
      <c r="K1269" s="32">
        <v>2.362857</v>
      </c>
      <c r="L1269" s="33">
        <v>2009</v>
      </c>
      <c r="M1269" s="32">
        <v>562</v>
      </c>
      <c r="N1269" s="32">
        <v>194</v>
      </c>
      <c r="O1269" s="32">
        <v>584</v>
      </c>
      <c r="P1269" s="32">
        <v>458</v>
      </c>
      <c r="Q1269" s="32">
        <v>211</v>
      </c>
      <c r="R1269" s="32">
        <v>2</v>
      </c>
      <c r="S1269" s="32">
        <v>11.763999999999999</v>
      </c>
      <c r="T1269" s="32">
        <v>3.4511799999999999</v>
      </c>
      <c r="U1269" s="32">
        <v>0.613509945</v>
      </c>
      <c r="V1269" s="32">
        <v>10</v>
      </c>
      <c r="W1269" s="32">
        <v>0.90373599999999998</v>
      </c>
      <c r="X1269" s="32">
        <v>0.213808</v>
      </c>
      <c r="Y1269" s="32">
        <v>0.8</v>
      </c>
      <c r="Z1269" s="32">
        <v>0.43515300000000001</v>
      </c>
      <c r="AA1269" s="32">
        <v>11.6</v>
      </c>
      <c r="AB1269" s="32">
        <v>581</v>
      </c>
      <c r="AC1269" s="32">
        <v>25</v>
      </c>
      <c r="AD1269" s="32">
        <v>21</v>
      </c>
      <c r="AE1269" s="32" t="s">
        <v>200</v>
      </c>
      <c r="AF1269" s="32">
        <v>0</v>
      </c>
      <c r="AG1269" s="32">
        <v>6</v>
      </c>
    </row>
    <row r="1270" spans="1:33">
      <c r="A1270" s="32" t="s">
        <v>4551</v>
      </c>
      <c r="B1270" s="32" t="s">
        <v>124</v>
      </c>
      <c r="C1270" s="32" t="s">
        <v>4552</v>
      </c>
      <c r="D1270" s="32" t="s">
        <v>4553</v>
      </c>
      <c r="E1270" s="32" t="s">
        <v>4515</v>
      </c>
      <c r="F1270" s="32" t="s">
        <v>4516</v>
      </c>
      <c r="G1270" s="32" t="s">
        <v>4517</v>
      </c>
      <c r="H1270" s="32" t="s">
        <v>4518</v>
      </c>
      <c r="I1270" s="32" t="s">
        <v>198</v>
      </c>
      <c r="J1270" s="32" t="s">
        <v>199</v>
      </c>
      <c r="K1270" s="32">
        <v>2.3259340000000002</v>
      </c>
      <c r="L1270" s="33">
        <v>1638</v>
      </c>
      <c r="M1270" s="32">
        <v>428</v>
      </c>
      <c r="N1270" s="32">
        <v>134</v>
      </c>
      <c r="O1270" s="32">
        <v>433</v>
      </c>
      <c r="P1270" s="32">
        <v>441</v>
      </c>
      <c r="Q1270" s="32">
        <v>202</v>
      </c>
      <c r="R1270" s="32">
        <v>2</v>
      </c>
      <c r="S1270" s="32">
        <v>10.766299999999999</v>
      </c>
      <c r="T1270" s="32">
        <v>4.0618999999999996</v>
      </c>
      <c r="U1270" s="32">
        <v>0.58877708799999995</v>
      </c>
      <c r="V1270" s="32">
        <v>10</v>
      </c>
      <c r="W1270" s="32">
        <v>0.90311200000000003</v>
      </c>
      <c r="X1270" s="32">
        <v>0.15337400000000001</v>
      </c>
      <c r="Y1270" s="32">
        <v>0.8</v>
      </c>
      <c r="Z1270" s="32">
        <v>0.46446300000000001</v>
      </c>
      <c r="AA1270" s="32">
        <v>5.6</v>
      </c>
      <c r="AB1270" s="32">
        <v>601</v>
      </c>
      <c r="AC1270" s="32">
        <v>24</v>
      </c>
      <c r="AD1270" s="32">
        <v>22</v>
      </c>
      <c r="AE1270" s="32">
        <v>0</v>
      </c>
      <c r="AF1270" s="32">
        <v>0</v>
      </c>
      <c r="AG1270" s="32" t="s">
        <v>200</v>
      </c>
    </row>
    <row r="1271" spans="1:33">
      <c r="A1271" s="32" t="s">
        <v>4554</v>
      </c>
      <c r="B1271" s="32" t="s">
        <v>124</v>
      </c>
      <c r="C1271" s="32" t="s">
        <v>4555</v>
      </c>
      <c r="D1271" s="32" t="s">
        <v>4556</v>
      </c>
      <c r="E1271" s="32" t="s">
        <v>4557</v>
      </c>
      <c r="F1271" s="32" t="s">
        <v>4558</v>
      </c>
      <c r="G1271" s="32" t="s">
        <v>4517</v>
      </c>
      <c r="H1271" s="32" t="s">
        <v>4518</v>
      </c>
      <c r="I1271" s="32" t="s">
        <v>198</v>
      </c>
      <c r="J1271" s="32" t="s">
        <v>199</v>
      </c>
      <c r="K1271" s="32">
        <v>2.3117649999999998</v>
      </c>
      <c r="L1271" s="33">
        <v>1659</v>
      </c>
      <c r="M1271" s="32">
        <v>426</v>
      </c>
      <c r="N1271" s="32">
        <v>169</v>
      </c>
      <c r="O1271" s="32">
        <v>354</v>
      </c>
      <c r="P1271" s="32">
        <v>459</v>
      </c>
      <c r="Q1271" s="32">
        <v>251</v>
      </c>
      <c r="R1271" s="32">
        <v>2</v>
      </c>
      <c r="S1271" s="32">
        <v>11.906000000000001</v>
      </c>
      <c r="T1271" s="32">
        <v>4.0398800000000001</v>
      </c>
      <c r="U1271" s="32">
        <v>0.60952944799999997</v>
      </c>
      <c r="V1271" s="32">
        <v>9</v>
      </c>
      <c r="W1271" s="32">
        <v>0.90534800000000004</v>
      </c>
      <c r="X1271" s="32">
        <v>0.23291999999999999</v>
      </c>
      <c r="Y1271" s="32">
        <v>0.78670200000000001</v>
      </c>
      <c r="Z1271" s="32">
        <v>0.39414900000000003</v>
      </c>
      <c r="AA1271" s="32">
        <v>12.4</v>
      </c>
      <c r="AB1271" s="32">
        <v>603</v>
      </c>
      <c r="AC1271" s="32">
        <v>45</v>
      </c>
      <c r="AD1271" s="32">
        <v>20</v>
      </c>
      <c r="AE1271" s="32" t="s">
        <v>200</v>
      </c>
      <c r="AF1271" s="32" t="s">
        <v>200</v>
      </c>
      <c r="AG1271" s="32" t="s">
        <v>200</v>
      </c>
    </row>
    <row r="1272" spans="1:33">
      <c r="A1272" s="32" t="s">
        <v>4559</v>
      </c>
      <c r="B1272" s="32" t="s">
        <v>124</v>
      </c>
      <c r="C1272" s="32" t="s">
        <v>4560</v>
      </c>
      <c r="D1272" s="32" t="s">
        <v>4561</v>
      </c>
      <c r="E1272" s="32" t="s">
        <v>4557</v>
      </c>
      <c r="F1272" s="32" t="s">
        <v>4558</v>
      </c>
      <c r="G1272" s="32" t="s">
        <v>4517</v>
      </c>
      <c r="H1272" s="32" t="s">
        <v>4518</v>
      </c>
      <c r="I1272" s="32" t="s">
        <v>198</v>
      </c>
      <c r="J1272" s="32" t="s">
        <v>199</v>
      </c>
      <c r="K1272" s="32">
        <v>2.0484439999999999</v>
      </c>
      <c r="L1272" s="33">
        <v>1805</v>
      </c>
      <c r="M1272" s="32">
        <v>446</v>
      </c>
      <c r="N1272" s="32">
        <v>186</v>
      </c>
      <c r="O1272" s="32">
        <v>479</v>
      </c>
      <c r="P1272" s="32">
        <v>457</v>
      </c>
      <c r="Q1272" s="32">
        <v>237</v>
      </c>
      <c r="R1272" s="32">
        <v>2</v>
      </c>
      <c r="S1272" s="32">
        <v>10.427899999999999</v>
      </c>
      <c r="T1272" s="32">
        <v>4.4604900000000001</v>
      </c>
      <c r="U1272" s="32">
        <v>0.76244207799999997</v>
      </c>
      <c r="V1272" s="32">
        <v>10</v>
      </c>
      <c r="W1272" s="32">
        <v>0.90427999999999997</v>
      </c>
      <c r="X1272" s="32">
        <v>8.3525000000000002E-2</v>
      </c>
      <c r="Y1272" s="32">
        <v>0.74738899999999997</v>
      </c>
      <c r="Z1272" s="32">
        <v>0.32456099999999999</v>
      </c>
      <c r="AA1272" s="32">
        <v>13.5</v>
      </c>
      <c r="AB1272" s="32">
        <v>659</v>
      </c>
      <c r="AC1272" s="32">
        <v>45</v>
      </c>
      <c r="AD1272" s="32">
        <v>21</v>
      </c>
      <c r="AE1272" s="32">
        <v>0</v>
      </c>
      <c r="AF1272" s="32" t="s">
        <v>200</v>
      </c>
      <c r="AG1272" s="32" t="s">
        <v>200</v>
      </c>
    </row>
    <row r="1273" spans="1:33">
      <c r="A1273" s="32" t="s">
        <v>4562</v>
      </c>
      <c r="B1273" s="32" t="s">
        <v>124</v>
      </c>
      <c r="C1273" s="32" t="s">
        <v>4563</v>
      </c>
      <c r="D1273" s="32" t="s">
        <v>4564</v>
      </c>
      <c r="E1273" s="32" t="s">
        <v>4557</v>
      </c>
      <c r="F1273" s="32" t="s">
        <v>4558</v>
      </c>
      <c r="G1273" s="32" t="s">
        <v>4517</v>
      </c>
      <c r="H1273" s="32" t="s">
        <v>4518</v>
      </c>
      <c r="I1273" s="32" t="s">
        <v>198</v>
      </c>
      <c r="J1273" s="32" t="s">
        <v>199</v>
      </c>
      <c r="K1273" s="32">
        <v>2.1820080000000002</v>
      </c>
      <c r="L1273" s="33">
        <v>2019</v>
      </c>
      <c r="M1273" s="32">
        <v>419</v>
      </c>
      <c r="N1273" s="32">
        <v>271</v>
      </c>
      <c r="O1273" s="32">
        <v>569</v>
      </c>
      <c r="P1273" s="32">
        <v>475</v>
      </c>
      <c r="Q1273" s="32">
        <v>285</v>
      </c>
      <c r="R1273" s="32">
        <v>2</v>
      </c>
      <c r="S1273" s="32">
        <v>10.9917</v>
      </c>
      <c r="T1273" s="32">
        <v>8.4011600000000008</v>
      </c>
      <c r="U1273" s="32">
        <v>0.73489692600000001</v>
      </c>
      <c r="V1273" s="32">
        <v>9</v>
      </c>
      <c r="W1273" s="32">
        <v>0.90492399999999995</v>
      </c>
      <c r="X1273" s="32">
        <v>0.13320799999999999</v>
      </c>
      <c r="Y1273" s="32">
        <v>0.76158199999999998</v>
      </c>
      <c r="Z1273" s="32">
        <v>0.39682800000000001</v>
      </c>
      <c r="AA1273" s="32">
        <v>9.6</v>
      </c>
      <c r="AB1273" s="32">
        <v>618</v>
      </c>
      <c r="AC1273" s="32">
        <v>40</v>
      </c>
      <c r="AD1273" s="32">
        <v>53</v>
      </c>
      <c r="AE1273" s="32">
        <v>0</v>
      </c>
      <c r="AF1273" s="32">
        <v>0</v>
      </c>
      <c r="AG1273" s="32" t="s">
        <v>200</v>
      </c>
    </row>
    <row r="1274" spans="1:33">
      <c r="A1274" s="32" t="s">
        <v>4565</v>
      </c>
      <c r="B1274" s="32" t="s">
        <v>124</v>
      </c>
      <c r="C1274" s="32" t="s">
        <v>4566</v>
      </c>
      <c r="D1274" s="32" t="s">
        <v>4567</v>
      </c>
      <c r="E1274" s="32" t="s">
        <v>4557</v>
      </c>
      <c r="F1274" s="32" t="s">
        <v>4558</v>
      </c>
      <c r="G1274" s="32" t="s">
        <v>4517</v>
      </c>
      <c r="H1274" s="32" t="s">
        <v>4518</v>
      </c>
      <c r="I1274" s="32" t="s">
        <v>198</v>
      </c>
      <c r="J1274" s="32" t="s">
        <v>199</v>
      </c>
      <c r="K1274" s="32">
        <v>2.225587</v>
      </c>
      <c r="L1274" s="33">
        <v>1916</v>
      </c>
      <c r="M1274" s="32">
        <v>481</v>
      </c>
      <c r="N1274" s="32">
        <v>153</v>
      </c>
      <c r="O1274" s="32">
        <v>548</v>
      </c>
      <c r="P1274" s="32">
        <v>487</v>
      </c>
      <c r="Q1274" s="32">
        <v>247</v>
      </c>
      <c r="R1274" s="32">
        <v>2</v>
      </c>
      <c r="S1274" s="32">
        <v>10.91</v>
      </c>
      <c r="T1274" s="32">
        <v>7.1956499999999997</v>
      </c>
      <c r="U1274" s="32">
        <v>0.685090796</v>
      </c>
      <c r="V1274" s="32">
        <v>9</v>
      </c>
      <c r="W1274" s="32">
        <v>0.90365499999999999</v>
      </c>
      <c r="X1274" s="32">
        <v>0.12931899999999999</v>
      </c>
      <c r="Y1274" s="32">
        <v>0.77740299999999996</v>
      </c>
      <c r="Z1274" s="32">
        <v>0.41574800000000001</v>
      </c>
      <c r="AA1274" s="32">
        <v>8.8000000000000007</v>
      </c>
      <c r="AB1274" s="32">
        <v>666</v>
      </c>
      <c r="AC1274" s="32">
        <v>29</v>
      </c>
      <c r="AD1274" s="32">
        <v>23</v>
      </c>
      <c r="AE1274" s="32">
        <v>0</v>
      </c>
      <c r="AF1274" s="32">
        <v>0</v>
      </c>
      <c r="AG1274" s="32" t="s">
        <v>200</v>
      </c>
    </row>
    <row r="1275" spans="1:33">
      <c r="A1275" s="32" t="s">
        <v>4568</v>
      </c>
      <c r="B1275" s="32" t="s">
        <v>124</v>
      </c>
      <c r="C1275" s="32" t="s">
        <v>4569</v>
      </c>
      <c r="D1275" s="32" t="s">
        <v>4570</v>
      </c>
      <c r="E1275" s="32" t="s">
        <v>4557</v>
      </c>
      <c r="F1275" s="32" t="s">
        <v>4558</v>
      </c>
      <c r="G1275" s="32" t="s">
        <v>4517</v>
      </c>
      <c r="H1275" s="32" t="s">
        <v>4518</v>
      </c>
      <c r="I1275" s="32" t="s">
        <v>198</v>
      </c>
      <c r="J1275" s="32" t="s">
        <v>199</v>
      </c>
      <c r="K1275" s="32">
        <v>2.1146470000000002</v>
      </c>
      <c r="L1275" s="33">
        <v>1705</v>
      </c>
      <c r="M1275" s="32">
        <v>387</v>
      </c>
      <c r="N1275" s="32">
        <v>165</v>
      </c>
      <c r="O1275" s="32">
        <v>289</v>
      </c>
      <c r="P1275" s="32">
        <v>515</v>
      </c>
      <c r="Q1275" s="32">
        <v>349</v>
      </c>
      <c r="R1275" s="32" t="s">
        <v>225</v>
      </c>
      <c r="S1275" s="32">
        <v>11.2072</v>
      </c>
      <c r="T1275" s="32">
        <v>0</v>
      </c>
      <c r="U1275" s="32">
        <v>0.71965480400000004</v>
      </c>
      <c r="V1275" s="32">
        <v>9</v>
      </c>
      <c r="W1275" s="32">
        <v>0.88788400000000001</v>
      </c>
      <c r="X1275" s="32">
        <v>6.5944000000000003E-2</v>
      </c>
      <c r="Y1275" s="32">
        <v>0.74788900000000003</v>
      </c>
      <c r="Z1275" s="32">
        <v>0.41864899999999999</v>
      </c>
      <c r="AA1275" s="32">
        <v>7.6</v>
      </c>
      <c r="AB1275" s="32">
        <v>779</v>
      </c>
      <c r="AC1275" s="32">
        <v>26</v>
      </c>
      <c r="AD1275" s="32">
        <v>13</v>
      </c>
      <c r="AE1275" s="32">
        <v>0</v>
      </c>
      <c r="AF1275" s="32" t="s">
        <v>200</v>
      </c>
      <c r="AG1275" s="32">
        <v>8</v>
      </c>
    </row>
    <row r="1276" spans="1:33">
      <c r="A1276" s="32" t="s">
        <v>4498</v>
      </c>
      <c r="B1276" s="32" t="s">
        <v>124</v>
      </c>
      <c r="C1276" s="32" t="s">
        <v>4499</v>
      </c>
      <c r="D1276" s="32" t="s">
        <v>4500</v>
      </c>
      <c r="E1276" s="32" t="s">
        <v>4487</v>
      </c>
      <c r="F1276" s="32" t="s">
        <v>4488</v>
      </c>
      <c r="G1276" s="32" t="s">
        <v>3684</v>
      </c>
      <c r="H1276" s="32" t="s">
        <v>3685</v>
      </c>
      <c r="I1276" s="32" t="s">
        <v>198</v>
      </c>
      <c r="J1276" s="32" t="s">
        <v>199</v>
      </c>
      <c r="K1276" s="32">
        <v>2.285561</v>
      </c>
      <c r="L1276" s="33">
        <v>1787</v>
      </c>
      <c r="M1276" s="32">
        <v>334</v>
      </c>
      <c r="N1276" s="32">
        <v>326</v>
      </c>
      <c r="O1276" s="32">
        <v>432</v>
      </c>
      <c r="P1276" s="32">
        <v>348</v>
      </c>
      <c r="Q1276" s="32">
        <v>347</v>
      </c>
      <c r="R1276" s="32">
        <v>2</v>
      </c>
      <c r="S1276" s="32">
        <v>17.510400000000001</v>
      </c>
      <c r="T1276" s="32">
        <v>0</v>
      </c>
      <c r="U1276" s="32">
        <v>0.97018036600000002</v>
      </c>
      <c r="V1276" s="32">
        <v>3</v>
      </c>
      <c r="W1276" s="32">
        <v>0.89892499999999997</v>
      </c>
      <c r="X1276" s="32">
        <v>0.10548100000000001</v>
      </c>
      <c r="Y1276" s="32">
        <v>0.8</v>
      </c>
      <c r="Z1276" s="32">
        <v>0.48386899999999999</v>
      </c>
      <c r="AA1276" s="32">
        <v>31</v>
      </c>
      <c r="AB1276" s="32">
        <v>385</v>
      </c>
      <c r="AC1276" s="32">
        <v>21</v>
      </c>
      <c r="AD1276" s="32">
        <v>17</v>
      </c>
      <c r="AE1276" s="32">
        <v>0</v>
      </c>
      <c r="AF1276" s="32">
        <v>0</v>
      </c>
      <c r="AG1276" s="32">
        <v>7</v>
      </c>
    </row>
    <row r="1277" spans="1:33">
      <c r="A1277" s="32" t="s">
        <v>4571</v>
      </c>
      <c r="B1277" s="32" t="s">
        <v>125</v>
      </c>
      <c r="C1277" s="32" t="s">
        <v>4572</v>
      </c>
      <c r="D1277" s="32" t="s">
        <v>4573</v>
      </c>
      <c r="E1277" s="32" t="s">
        <v>4574</v>
      </c>
      <c r="F1277" s="32" t="s">
        <v>4575</v>
      </c>
      <c r="G1277" s="32" t="s">
        <v>4517</v>
      </c>
      <c r="H1277" s="32" t="s">
        <v>4518</v>
      </c>
      <c r="I1277" s="32" t="s">
        <v>198</v>
      </c>
      <c r="J1277" s="32" t="s">
        <v>199</v>
      </c>
      <c r="K1277" s="32">
        <v>2.3851969999999998</v>
      </c>
      <c r="L1277" s="33">
        <v>1771</v>
      </c>
      <c r="M1277" s="32">
        <v>445</v>
      </c>
      <c r="N1277" s="32">
        <v>179</v>
      </c>
      <c r="O1277" s="32">
        <v>476</v>
      </c>
      <c r="P1277" s="32">
        <v>473</v>
      </c>
      <c r="Q1277" s="32">
        <v>198</v>
      </c>
      <c r="R1277" s="32">
        <v>3</v>
      </c>
      <c r="S1277" s="32">
        <v>20.532599999999999</v>
      </c>
      <c r="T1277" s="32">
        <v>5.5719099999999999</v>
      </c>
      <c r="U1277" s="32">
        <v>0.75575454099999995</v>
      </c>
      <c r="V1277" s="32">
        <v>5</v>
      </c>
      <c r="W1277" s="32">
        <v>0.90592099999999998</v>
      </c>
      <c r="X1277" s="32">
        <v>0.25409799999999999</v>
      </c>
      <c r="Y1277" s="32">
        <v>0.8</v>
      </c>
      <c r="Z1277" s="32">
        <v>0.42052499999999998</v>
      </c>
      <c r="AA1277" s="32">
        <v>21.1</v>
      </c>
      <c r="AB1277" s="32">
        <v>581</v>
      </c>
      <c r="AC1277" s="32">
        <v>23</v>
      </c>
      <c r="AD1277" s="32">
        <v>38</v>
      </c>
      <c r="AE1277" s="32">
        <v>7</v>
      </c>
      <c r="AF1277" s="32">
        <v>0</v>
      </c>
      <c r="AG1277" s="32">
        <v>5</v>
      </c>
    </row>
    <row r="1278" spans="1:33">
      <c r="A1278" s="32" t="s">
        <v>4576</v>
      </c>
      <c r="B1278" s="32" t="s">
        <v>125</v>
      </c>
      <c r="C1278" s="32" t="s">
        <v>4577</v>
      </c>
      <c r="D1278" s="32" t="s">
        <v>4578</v>
      </c>
      <c r="E1278" s="32" t="s">
        <v>4579</v>
      </c>
      <c r="F1278" s="32" t="s">
        <v>4580</v>
      </c>
      <c r="G1278" s="32" t="s">
        <v>4517</v>
      </c>
      <c r="H1278" s="32" t="s">
        <v>4518</v>
      </c>
      <c r="I1278" s="32" t="s">
        <v>198</v>
      </c>
      <c r="J1278" s="32" t="s">
        <v>199</v>
      </c>
      <c r="K1278" s="32">
        <v>2.205819</v>
      </c>
      <c r="L1278" s="33">
        <v>1647</v>
      </c>
      <c r="M1278" s="32">
        <v>335</v>
      </c>
      <c r="N1278" s="32">
        <v>214</v>
      </c>
      <c r="O1278" s="32">
        <v>362</v>
      </c>
      <c r="P1278" s="32">
        <v>452</v>
      </c>
      <c r="Q1278" s="32">
        <v>284</v>
      </c>
      <c r="R1278" s="32">
        <v>3</v>
      </c>
      <c r="S1278" s="32">
        <v>27.978899999999999</v>
      </c>
      <c r="T1278" s="32">
        <v>2.3366400000000001</v>
      </c>
      <c r="U1278" s="32">
        <v>0.70241045000000002</v>
      </c>
      <c r="V1278" s="32">
        <v>9</v>
      </c>
      <c r="W1278" s="32">
        <v>0.89323399999999997</v>
      </c>
      <c r="X1278" s="32">
        <v>0.195412</v>
      </c>
      <c r="Y1278" s="32">
        <v>0.8</v>
      </c>
      <c r="Z1278" s="32">
        <v>0.31705299999999997</v>
      </c>
      <c r="AA1278" s="32">
        <v>16.2</v>
      </c>
      <c r="AB1278" s="32">
        <v>537</v>
      </c>
      <c r="AC1278" s="32">
        <v>11</v>
      </c>
      <c r="AD1278" s="32">
        <v>26</v>
      </c>
      <c r="AE1278" s="32" t="s">
        <v>200</v>
      </c>
      <c r="AF1278" s="32" t="s">
        <v>200</v>
      </c>
      <c r="AG1278" s="32" t="s">
        <v>200</v>
      </c>
    </row>
    <row r="1279" spans="1:33">
      <c r="A1279" s="32" t="s">
        <v>4581</v>
      </c>
      <c r="B1279" s="32" t="s">
        <v>125</v>
      </c>
      <c r="C1279" s="32" t="s">
        <v>4582</v>
      </c>
      <c r="D1279" s="32" t="s">
        <v>4583</v>
      </c>
      <c r="E1279" s="32" t="s">
        <v>4574</v>
      </c>
      <c r="F1279" s="32" t="s">
        <v>4575</v>
      </c>
      <c r="G1279" s="32" t="s">
        <v>4517</v>
      </c>
      <c r="H1279" s="32" t="s">
        <v>4518</v>
      </c>
      <c r="I1279" s="32" t="s">
        <v>198</v>
      </c>
      <c r="J1279" s="32" t="s">
        <v>199</v>
      </c>
      <c r="K1279" s="32">
        <v>2.4251849999999999</v>
      </c>
      <c r="L1279" s="33">
        <v>1495</v>
      </c>
      <c r="M1279" s="32">
        <v>346</v>
      </c>
      <c r="N1279" s="32">
        <v>170</v>
      </c>
      <c r="O1279" s="32">
        <v>372</v>
      </c>
      <c r="P1279" s="32">
        <v>389</v>
      </c>
      <c r="Q1279" s="32">
        <v>218</v>
      </c>
      <c r="R1279" s="32">
        <v>2</v>
      </c>
      <c r="S1279" s="32">
        <v>15.27</v>
      </c>
      <c r="T1279" s="32">
        <v>4.2707499999999996</v>
      </c>
      <c r="U1279" s="32">
        <v>0.65426082399999996</v>
      </c>
      <c r="V1279" s="32">
        <v>7</v>
      </c>
      <c r="W1279" s="32">
        <v>0.91456800000000005</v>
      </c>
      <c r="X1279" s="32">
        <v>0.33165800000000001</v>
      </c>
      <c r="Y1279" s="32">
        <v>0.8</v>
      </c>
      <c r="Z1279" s="32">
        <v>0.4</v>
      </c>
      <c r="AA1279" s="32">
        <v>18.2</v>
      </c>
      <c r="AB1279" s="32">
        <v>480</v>
      </c>
      <c r="AC1279" s="32">
        <v>25</v>
      </c>
      <c r="AD1279" s="32">
        <v>17</v>
      </c>
      <c r="AE1279" s="32" t="s">
        <v>200</v>
      </c>
      <c r="AF1279" s="32" t="s">
        <v>200</v>
      </c>
      <c r="AG1279" s="32" t="s">
        <v>200</v>
      </c>
    </row>
    <row r="1280" spans="1:33">
      <c r="A1280" s="32" t="s">
        <v>4584</v>
      </c>
      <c r="B1280" s="32" t="s">
        <v>125</v>
      </c>
      <c r="C1280" s="32" t="s">
        <v>4585</v>
      </c>
      <c r="D1280" s="32" t="s">
        <v>4586</v>
      </c>
      <c r="E1280" s="32" t="s">
        <v>4587</v>
      </c>
      <c r="F1280" s="32" t="s">
        <v>4588</v>
      </c>
      <c r="G1280" s="32" t="s">
        <v>4517</v>
      </c>
      <c r="H1280" s="32" t="s">
        <v>4518</v>
      </c>
      <c r="I1280" s="32" t="s">
        <v>198</v>
      </c>
      <c r="J1280" s="32" t="s">
        <v>199</v>
      </c>
      <c r="K1280" s="32">
        <v>2.4926409999999999</v>
      </c>
      <c r="L1280" s="33">
        <v>1918</v>
      </c>
      <c r="M1280" s="32">
        <v>192</v>
      </c>
      <c r="N1280" s="32">
        <v>258</v>
      </c>
      <c r="O1280" s="32">
        <v>585</v>
      </c>
      <c r="P1280" s="32">
        <v>507</v>
      </c>
      <c r="Q1280" s="32">
        <v>376</v>
      </c>
      <c r="R1280" s="32" t="s">
        <v>302</v>
      </c>
      <c r="S1280" s="32">
        <v>40.677399999999999</v>
      </c>
      <c r="T1280" s="32">
        <v>0</v>
      </c>
      <c r="U1280" s="32">
        <v>0.59361726299999995</v>
      </c>
      <c r="V1280" s="32">
        <v>9</v>
      </c>
      <c r="W1280" s="32">
        <v>0.90883000000000003</v>
      </c>
      <c r="X1280" s="32">
        <v>0.25224099999999999</v>
      </c>
      <c r="Y1280" s="32">
        <v>0.86633099999999996</v>
      </c>
      <c r="Z1280" s="32">
        <v>0.47902899999999998</v>
      </c>
      <c r="AA1280" s="32">
        <v>11.4</v>
      </c>
      <c r="AB1280" s="32">
        <v>665</v>
      </c>
      <c r="AC1280" s="32">
        <v>32</v>
      </c>
      <c r="AD1280" s="32">
        <v>52</v>
      </c>
      <c r="AE1280" s="32">
        <v>7</v>
      </c>
      <c r="AF1280" s="32" t="s">
        <v>200</v>
      </c>
      <c r="AG1280" s="32">
        <v>9</v>
      </c>
    </row>
    <row r="1281" spans="1:33">
      <c r="A1281" s="32" t="s">
        <v>4589</v>
      </c>
      <c r="B1281" s="32" t="s">
        <v>125</v>
      </c>
      <c r="C1281" s="32" t="s">
        <v>4590</v>
      </c>
      <c r="D1281" s="32" t="s">
        <v>4591</v>
      </c>
      <c r="E1281" s="32" t="s">
        <v>4574</v>
      </c>
      <c r="F1281" s="32" t="s">
        <v>4575</v>
      </c>
      <c r="G1281" s="32" t="s">
        <v>4517</v>
      </c>
      <c r="H1281" s="32" t="s">
        <v>4518</v>
      </c>
      <c r="I1281" s="32" t="s">
        <v>198</v>
      </c>
      <c r="J1281" s="32" t="s">
        <v>199</v>
      </c>
      <c r="K1281" s="32">
        <v>2.1996600000000002</v>
      </c>
      <c r="L1281" s="33">
        <v>1832</v>
      </c>
      <c r="M1281" s="32">
        <v>377</v>
      </c>
      <c r="N1281" s="32">
        <v>228</v>
      </c>
      <c r="O1281" s="32">
        <v>536</v>
      </c>
      <c r="P1281" s="32">
        <v>466</v>
      </c>
      <c r="Q1281" s="32">
        <v>225</v>
      </c>
      <c r="R1281" s="32">
        <v>4</v>
      </c>
      <c r="S1281" s="32">
        <v>19.5062</v>
      </c>
      <c r="T1281" s="32">
        <v>9.3766599999999993</v>
      </c>
      <c r="U1281" s="32">
        <v>0.77224150000000003</v>
      </c>
      <c r="V1281" s="32">
        <v>7</v>
      </c>
      <c r="W1281" s="32">
        <v>0.90221099999999999</v>
      </c>
      <c r="X1281" s="32">
        <v>0.162416</v>
      </c>
      <c r="Y1281" s="32">
        <v>0.8</v>
      </c>
      <c r="Z1281" s="32">
        <v>0.326768</v>
      </c>
      <c r="AA1281" s="32">
        <v>14</v>
      </c>
      <c r="AB1281" s="32">
        <v>632</v>
      </c>
      <c r="AC1281" s="32">
        <v>26</v>
      </c>
      <c r="AD1281" s="32">
        <v>24</v>
      </c>
      <c r="AE1281" s="32" t="s">
        <v>200</v>
      </c>
      <c r="AF1281" s="32">
        <v>0</v>
      </c>
      <c r="AG1281" s="32" t="s">
        <v>200</v>
      </c>
    </row>
    <row r="1282" spans="1:33">
      <c r="A1282" s="32" t="s">
        <v>4592</v>
      </c>
      <c r="B1282" s="32" t="s">
        <v>125</v>
      </c>
      <c r="C1282" s="32" t="s">
        <v>4593</v>
      </c>
      <c r="D1282" s="32" t="s">
        <v>4594</v>
      </c>
      <c r="E1282" s="32" t="s">
        <v>4515</v>
      </c>
      <c r="F1282" s="32" t="s">
        <v>4516</v>
      </c>
      <c r="G1282" s="32" t="s">
        <v>4517</v>
      </c>
      <c r="H1282" s="32" t="s">
        <v>4518</v>
      </c>
      <c r="I1282" s="32" t="s">
        <v>198</v>
      </c>
      <c r="J1282" s="32" t="s">
        <v>199</v>
      </c>
      <c r="K1282" s="32">
        <v>2.3545449999999999</v>
      </c>
      <c r="L1282" s="33">
        <v>1941</v>
      </c>
      <c r="M1282" s="32">
        <v>388</v>
      </c>
      <c r="N1282" s="32">
        <v>258</v>
      </c>
      <c r="O1282" s="32">
        <v>488</v>
      </c>
      <c r="P1282" s="32">
        <v>537</v>
      </c>
      <c r="Q1282" s="32">
        <v>270</v>
      </c>
      <c r="R1282" s="32">
        <v>2</v>
      </c>
      <c r="S1282" s="32">
        <v>10.295199999999999</v>
      </c>
      <c r="T1282" s="32">
        <v>1.7269399999999999</v>
      </c>
      <c r="U1282" s="32">
        <v>0.81534889200000005</v>
      </c>
      <c r="V1282" s="32">
        <v>5</v>
      </c>
      <c r="W1282" s="32">
        <v>0.90715100000000004</v>
      </c>
      <c r="X1282" s="32">
        <v>0.32369399999999998</v>
      </c>
      <c r="Y1282" s="32">
        <v>0.8</v>
      </c>
      <c r="Z1282" s="32">
        <v>0.33244600000000002</v>
      </c>
      <c r="AA1282" s="32">
        <v>16.5</v>
      </c>
      <c r="AB1282" s="32">
        <v>593</v>
      </c>
      <c r="AC1282" s="32">
        <v>45</v>
      </c>
      <c r="AD1282" s="32">
        <v>34</v>
      </c>
      <c r="AE1282" s="32" t="s">
        <v>200</v>
      </c>
      <c r="AF1282" s="32">
        <v>0</v>
      </c>
      <c r="AG1282" s="32" t="s">
        <v>200</v>
      </c>
    </row>
    <row r="1283" spans="1:33">
      <c r="A1283" s="32" t="s">
        <v>4595</v>
      </c>
      <c r="B1283" s="32" t="s">
        <v>125</v>
      </c>
      <c r="C1283" s="32" t="s">
        <v>4596</v>
      </c>
      <c r="D1283" s="32" t="s">
        <v>4597</v>
      </c>
      <c r="E1283" s="32" t="s">
        <v>4579</v>
      </c>
      <c r="F1283" s="32" t="s">
        <v>4580</v>
      </c>
      <c r="G1283" s="32" t="s">
        <v>4517</v>
      </c>
      <c r="H1283" s="32" t="s">
        <v>4518</v>
      </c>
      <c r="I1283" s="32" t="s">
        <v>198</v>
      </c>
      <c r="J1283" s="32" t="s">
        <v>199</v>
      </c>
      <c r="K1283" s="32">
        <v>2.0310320000000002</v>
      </c>
      <c r="L1283" s="33">
        <v>1857</v>
      </c>
      <c r="M1283" s="32">
        <v>301</v>
      </c>
      <c r="N1283" s="32">
        <v>268</v>
      </c>
      <c r="O1283" s="32">
        <v>576</v>
      </c>
      <c r="P1283" s="32">
        <v>512</v>
      </c>
      <c r="Q1283" s="32">
        <v>200</v>
      </c>
      <c r="R1283" s="32">
        <v>2</v>
      </c>
      <c r="S1283" s="32">
        <v>34.5212</v>
      </c>
      <c r="T1283" s="32">
        <v>0</v>
      </c>
      <c r="U1283" s="32">
        <v>0.80541719700000003</v>
      </c>
      <c r="V1283" s="32">
        <v>8</v>
      </c>
      <c r="W1283" s="32">
        <v>0.82983499999999999</v>
      </c>
      <c r="X1283" s="32">
        <v>0.102571</v>
      </c>
      <c r="Y1283" s="32">
        <v>0.82126999999999994</v>
      </c>
      <c r="Z1283" s="32">
        <v>0.272372</v>
      </c>
      <c r="AA1283" s="32">
        <v>12.2</v>
      </c>
      <c r="AB1283" s="32">
        <v>558</v>
      </c>
      <c r="AC1283" s="32">
        <v>14</v>
      </c>
      <c r="AD1283" s="32">
        <v>26</v>
      </c>
      <c r="AE1283" s="32" t="s">
        <v>200</v>
      </c>
      <c r="AF1283" s="32">
        <v>0</v>
      </c>
      <c r="AG1283" s="32" t="s">
        <v>200</v>
      </c>
    </row>
    <row r="1284" spans="1:33">
      <c r="A1284" s="32" t="s">
        <v>4598</v>
      </c>
      <c r="B1284" s="32" t="s">
        <v>125</v>
      </c>
      <c r="C1284" s="32" t="s">
        <v>4599</v>
      </c>
      <c r="D1284" s="32" t="s">
        <v>4600</v>
      </c>
      <c r="E1284" s="32" t="s">
        <v>4574</v>
      </c>
      <c r="F1284" s="32" t="s">
        <v>4575</v>
      </c>
      <c r="G1284" s="32" t="s">
        <v>4517</v>
      </c>
      <c r="H1284" s="32" t="s">
        <v>4518</v>
      </c>
      <c r="I1284" s="32" t="s">
        <v>198</v>
      </c>
      <c r="J1284" s="32" t="s">
        <v>199</v>
      </c>
      <c r="K1284" s="32">
        <v>2.5215550000000002</v>
      </c>
      <c r="L1284" s="33">
        <v>2072</v>
      </c>
      <c r="M1284" s="32">
        <v>412</v>
      </c>
      <c r="N1284" s="32">
        <v>316</v>
      </c>
      <c r="O1284" s="32">
        <v>697</v>
      </c>
      <c r="P1284" s="32">
        <v>447</v>
      </c>
      <c r="Q1284" s="32">
        <v>200</v>
      </c>
      <c r="R1284" s="32">
        <v>5</v>
      </c>
      <c r="S1284" s="32">
        <v>30.543399999999998</v>
      </c>
      <c r="T1284" s="32">
        <v>18.149000000000001</v>
      </c>
      <c r="U1284" s="32">
        <v>0.58167289200000005</v>
      </c>
      <c r="V1284" s="32">
        <v>9</v>
      </c>
      <c r="W1284" s="32">
        <v>0.90671400000000002</v>
      </c>
      <c r="X1284" s="32">
        <v>0.31768999999999997</v>
      </c>
      <c r="Y1284" s="32">
        <v>0.8</v>
      </c>
      <c r="Z1284" s="32">
        <v>0.48918400000000001</v>
      </c>
      <c r="AA1284" s="32">
        <v>15.2</v>
      </c>
      <c r="AB1284" s="32">
        <v>591</v>
      </c>
      <c r="AC1284" s="32">
        <v>34</v>
      </c>
      <c r="AD1284" s="32">
        <v>29</v>
      </c>
      <c r="AE1284" s="32" t="s">
        <v>200</v>
      </c>
      <c r="AF1284" s="32">
        <v>0</v>
      </c>
      <c r="AG1284" s="32" t="s">
        <v>200</v>
      </c>
    </row>
    <row r="1285" spans="1:33">
      <c r="A1285" s="32" t="s">
        <v>4601</v>
      </c>
      <c r="B1285" s="32" t="s">
        <v>126</v>
      </c>
      <c r="C1285" s="32" t="s">
        <v>4602</v>
      </c>
      <c r="D1285" s="32" t="s">
        <v>4603</v>
      </c>
      <c r="E1285" s="32" t="s">
        <v>4604</v>
      </c>
      <c r="F1285" s="32" t="s">
        <v>4605</v>
      </c>
      <c r="G1285" s="32" t="s">
        <v>4606</v>
      </c>
      <c r="H1285" s="32" t="s">
        <v>4607</v>
      </c>
      <c r="I1285" s="32" t="s">
        <v>198</v>
      </c>
      <c r="J1285" s="32" t="s">
        <v>199</v>
      </c>
      <c r="K1285" s="32">
        <v>2.1124559999999999</v>
      </c>
      <c r="L1285" s="33">
        <v>1610</v>
      </c>
      <c r="M1285" s="32">
        <v>455</v>
      </c>
      <c r="N1285" s="32">
        <v>359</v>
      </c>
      <c r="O1285" s="32">
        <v>314</v>
      </c>
      <c r="P1285" s="32">
        <v>359</v>
      </c>
      <c r="Q1285" s="32">
        <v>123</v>
      </c>
      <c r="R1285" s="32" t="s">
        <v>225</v>
      </c>
      <c r="S1285" s="32">
        <v>6.6772099999999996</v>
      </c>
      <c r="T1285" s="32">
        <v>0</v>
      </c>
      <c r="U1285" s="32">
        <v>1.2532827769999999</v>
      </c>
      <c r="V1285" s="32">
        <v>2</v>
      </c>
      <c r="W1285" s="32">
        <v>0.81548299999999996</v>
      </c>
      <c r="X1285" s="32">
        <v>0.188772</v>
      </c>
      <c r="Y1285" s="32">
        <v>0.8</v>
      </c>
      <c r="Z1285" s="32">
        <v>0.3</v>
      </c>
      <c r="AA1285" s="32">
        <v>39.4</v>
      </c>
      <c r="AB1285" s="32">
        <v>541</v>
      </c>
      <c r="AC1285" s="32">
        <v>31</v>
      </c>
      <c r="AD1285" s="32">
        <v>53</v>
      </c>
      <c r="AE1285" s="32" t="s">
        <v>200</v>
      </c>
      <c r="AF1285" s="32">
        <v>0</v>
      </c>
      <c r="AG1285" s="32" t="s">
        <v>200</v>
      </c>
    </row>
    <row r="1286" spans="1:33">
      <c r="A1286" s="32" t="s">
        <v>4608</v>
      </c>
      <c r="B1286" s="32" t="s">
        <v>126</v>
      </c>
      <c r="C1286" s="32" t="s">
        <v>4609</v>
      </c>
      <c r="D1286" s="32" t="s">
        <v>4610</v>
      </c>
      <c r="E1286" s="32" t="s">
        <v>4604</v>
      </c>
      <c r="F1286" s="32" t="s">
        <v>4605</v>
      </c>
      <c r="G1286" s="32" t="s">
        <v>4606</v>
      </c>
      <c r="H1286" s="32" t="s">
        <v>4607</v>
      </c>
      <c r="I1286" s="32" t="s">
        <v>198</v>
      </c>
      <c r="J1286" s="32" t="s">
        <v>199</v>
      </c>
      <c r="K1286" s="32">
        <v>2.313428</v>
      </c>
      <c r="L1286" s="33">
        <v>2060</v>
      </c>
      <c r="M1286" s="32">
        <v>531</v>
      </c>
      <c r="N1286" s="32">
        <v>341</v>
      </c>
      <c r="O1286" s="32">
        <v>493</v>
      </c>
      <c r="P1286" s="32">
        <v>428</v>
      </c>
      <c r="Q1286" s="32">
        <v>267</v>
      </c>
      <c r="R1286" s="32">
        <v>2</v>
      </c>
      <c r="S1286" s="32">
        <v>8.1800700000000006</v>
      </c>
      <c r="T1286" s="32">
        <v>2.0083899999999999</v>
      </c>
      <c r="U1286" s="32">
        <v>1.038330813</v>
      </c>
      <c r="V1286" s="32">
        <v>3</v>
      </c>
      <c r="W1286" s="32">
        <v>0.837009</v>
      </c>
      <c r="X1286" s="32">
        <v>0.31179000000000001</v>
      </c>
      <c r="Y1286" s="32">
        <v>0.8</v>
      </c>
      <c r="Z1286" s="32">
        <v>0.35803299999999999</v>
      </c>
      <c r="AA1286" s="32">
        <v>31.8</v>
      </c>
      <c r="AB1286" s="32">
        <v>801</v>
      </c>
      <c r="AC1286" s="32">
        <v>43</v>
      </c>
      <c r="AD1286" s="32">
        <v>78</v>
      </c>
      <c r="AE1286" s="32" t="s">
        <v>200</v>
      </c>
      <c r="AF1286" s="32">
        <v>0</v>
      </c>
      <c r="AG1286" s="32" t="s">
        <v>200</v>
      </c>
    </row>
    <row r="1287" spans="1:33">
      <c r="A1287" s="32" t="s">
        <v>4611</v>
      </c>
      <c r="B1287" s="32" t="s">
        <v>126</v>
      </c>
      <c r="C1287" s="32" t="s">
        <v>4612</v>
      </c>
      <c r="D1287" s="32" t="s">
        <v>4613</v>
      </c>
      <c r="E1287" s="32" t="s">
        <v>4614</v>
      </c>
      <c r="F1287" s="32" t="s">
        <v>4615</v>
      </c>
      <c r="G1287" s="32" t="s">
        <v>4606</v>
      </c>
      <c r="H1287" s="32" t="s">
        <v>4607</v>
      </c>
      <c r="I1287" s="32" t="s">
        <v>198</v>
      </c>
      <c r="J1287" s="32" t="s">
        <v>199</v>
      </c>
      <c r="K1287" s="32">
        <v>2.2939829999999999</v>
      </c>
      <c r="L1287" s="33">
        <v>1616</v>
      </c>
      <c r="M1287" s="32">
        <v>373</v>
      </c>
      <c r="N1287" s="32">
        <v>231</v>
      </c>
      <c r="O1287" s="32">
        <v>361</v>
      </c>
      <c r="P1287" s="32">
        <v>409</v>
      </c>
      <c r="Q1287" s="32">
        <v>242</v>
      </c>
      <c r="R1287" s="32">
        <v>2</v>
      </c>
      <c r="S1287" s="32">
        <v>7.46577</v>
      </c>
      <c r="T1287" s="32">
        <v>3.1131199999999999</v>
      </c>
      <c r="U1287" s="32">
        <v>0.82371691400000002</v>
      </c>
      <c r="V1287" s="32">
        <v>5</v>
      </c>
      <c r="W1287" s="32">
        <v>0.89455600000000002</v>
      </c>
      <c r="X1287" s="32">
        <v>7.4822E-2</v>
      </c>
      <c r="Y1287" s="32">
        <v>0.9</v>
      </c>
      <c r="Z1287" s="32">
        <v>0.428429</v>
      </c>
      <c r="AA1287" s="32">
        <v>17.399999999999999</v>
      </c>
      <c r="AB1287" s="32">
        <v>710</v>
      </c>
      <c r="AC1287" s="32">
        <v>40</v>
      </c>
      <c r="AD1287" s="32">
        <v>45</v>
      </c>
      <c r="AE1287" s="32">
        <v>0</v>
      </c>
      <c r="AF1287" s="32" t="s">
        <v>200</v>
      </c>
      <c r="AG1287" s="32" t="s">
        <v>200</v>
      </c>
    </row>
    <row r="1288" spans="1:33">
      <c r="A1288" s="32" t="s">
        <v>4616</v>
      </c>
      <c r="B1288" s="32" t="s">
        <v>126</v>
      </c>
      <c r="C1288" s="32" t="s">
        <v>4617</v>
      </c>
      <c r="D1288" s="32" t="s">
        <v>4618</v>
      </c>
      <c r="E1288" s="32" t="s">
        <v>4614</v>
      </c>
      <c r="F1288" s="32" t="s">
        <v>4615</v>
      </c>
      <c r="G1288" s="32" t="s">
        <v>4606</v>
      </c>
      <c r="H1288" s="32" t="s">
        <v>4607</v>
      </c>
      <c r="I1288" s="32" t="s">
        <v>198</v>
      </c>
      <c r="J1288" s="32" t="s">
        <v>199</v>
      </c>
      <c r="K1288" s="32">
        <v>2.7382279999999999</v>
      </c>
      <c r="L1288" s="33">
        <v>1634</v>
      </c>
      <c r="M1288" s="32">
        <v>326</v>
      </c>
      <c r="N1288" s="32">
        <v>371</v>
      </c>
      <c r="O1288" s="32">
        <v>405</v>
      </c>
      <c r="P1288" s="32">
        <v>352</v>
      </c>
      <c r="Q1288" s="32">
        <v>180</v>
      </c>
      <c r="R1288" s="32" t="s">
        <v>225</v>
      </c>
      <c r="S1288" s="32">
        <v>10.238799999999999</v>
      </c>
      <c r="T1288" s="32">
        <v>0.79106600000000005</v>
      </c>
      <c r="U1288" s="32">
        <v>0.718733281</v>
      </c>
      <c r="V1288" s="32">
        <v>3</v>
      </c>
      <c r="W1288" s="32">
        <v>0.82499999999999996</v>
      </c>
      <c r="X1288" s="32">
        <v>7.9894999999999994E-2</v>
      </c>
      <c r="Y1288" s="32">
        <v>0.87173100000000003</v>
      </c>
      <c r="Z1288" s="32">
        <v>0.95672800000000002</v>
      </c>
      <c r="AA1288" s="32">
        <v>50.7</v>
      </c>
      <c r="AB1288" s="32">
        <v>473</v>
      </c>
      <c r="AC1288" s="32">
        <v>18</v>
      </c>
      <c r="AD1288" s="32">
        <v>24</v>
      </c>
      <c r="AE1288" s="32">
        <v>5</v>
      </c>
      <c r="AF1288" s="32" t="s">
        <v>200</v>
      </c>
      <c r="AG1288" s="32">
        <v>0</v>
      </c>
    </row>
    <row r="1289" spans="1:33">
      <c r="A1289" s="32" t="s">
        <v>4619</v>
      </c>
      <c r="B1289" s="32" t="s">
        <v>126</v>
      </c>
      <c r="C1289" s="32" t="s">
        <v>4620</v>
      </c>
      <c r="D1289" s="32" t="s">
        <v>4621</v>
      </c>
      <c r="E1289" s="32" t="s">
        <v>4622</v>
      </c>
      <c r="F1289" s="32" t="s">
        <v>4623</v>
      </c>
      <c r="G1289" s="32" t="s">
        <v>4517</v>
      </c>
      <c r="H1289" s="32" t="s">
        <v>4518</v>
      </c>
      <c r="I1289" s="32" t="s">
        <v>198</v>
      </c>
      <c r="J1289" s="32" t="s">
        <v>199</v>
      </c>
      <c r="K1289" s="32">
        <v>1.9382109999999999</v>
      </c>
      <c r="L1289" s="33">
        <v>1673</v>
      </c>
      <c r="M1289" s="32">
        <v>397</v>
      </c>
      <c r="N1289" s="32">
        <v>224</v>
      </c>
      <c r="O1289" s="32">
        <v>383</v>
      </c>
      <c r="P1289" s="32">
        <v>417</v>
      </c>
      <c r="Q1289" s="32">
        <v>252</v>
      </c>
      <c r="R1289" s="32" t="s">
        <v>225</v>
      </c>
      <c r="S1289" s="32">
        <v>6.6038500000000004</v>
      </c>
      <c r="T1289" s="32">
        <v>0</v>
      </c>
      <c r="U1289" s="32">
        <v>1.016432499</v>
      </c>
      <c r="V1289" s="32">
        <v>5</v>
      </c>
      <c r="W1289" s="32">
        <v>0.80671000000000004</v>
      </c>
      <c r="X1289" s="32">
        <v>2.8864000000000001E-2</v>
      </c>
      <c r="Y1289" s="32">
        <v>0.80587699999999995</v>
      </c>
      <c r="Z1289" s="32">
        <v>0.3</v>
      </c>
      <c r="AA1289" s="32">
        <v>16.399999999999999</v>
      </c>
      <c r="AB1289" s="32">
        <v>702</v>
      </c>
      <c r="AC1289" s="32">
        <v>30</v>
      </c>
      <c r="AD1289" s="32">
        <v>84</v>
      </c>
      <c r="AE1289" s="32" t="s">
        <v>200</v>
      </c>
      <c r="AF1289" s="32">
        <v>0</v>
      </c>
      <c r="AG1289" s="32">
        <v>6</v>
      </c>
    </row>
    <row r="1290" spans="1:33">
      <c r="A1290" s="32" t="s">
        <v>4624</v>
      </c>
      <c r="B1290" s="32" t="s">
        <v>126</v>
      </c>
      <c r="C1290" s="32" t="s">
        <v>4625</v>
      </c>
      <c r="D1290" s="32" t="s">
        <v>4626</v>
      </c>
      <c r="E1290" s="32" t="s">
        <v>4622</v>
      </c>
      <c r="F1290" s="32" t="s">
        <v>4623</v>
      </c>
      <c r="G1290" s="32" t="s">
        <v>4517</v>
      </c>
      <c r="H1290" s="32" t="s">
        <v>4518</v>
      </c>
      <c r="I1290" s="32" t="s">
        <v>198</v>
      </c>
      <c r="J1290" s="32" t="s">
        <v>199</v>
      </c>
      <c r="K1290" s="32">
        <v>2.3218990000000002</v>
      </c>
      <c r="L1290" s="33">
        <v>1463</v>
      </c>
      <c r="M1290" s="32">
        <v>279</v>
      </c>
      <c r="N1290" s="32">
        <v>211</v>
      </c>
      <c r="O1290" s="32">
        <v>246</v>
      </c>
      <c r="P1290" s="32">
        <v>396</v>
      </c>
      <c r="Q1290" s="32">
        <v>331</v>
      </c>
      <c r="R1290" s="32">
        <v>2</v>
      </c>
      <c r="S1290" s="32">
        <v>8.7371099999999995</v>
      </c>
      <c r="T1290" s="32">
        <v>3.4076</v>
      </c>
      <c r="U1290" s="32">
        <v>0.64778675600000002</v>
      </c>
      <c r="V1290" s="32">
        <v>8</v>
      </c>
      <c r="W1290" s="32">
        <v>0.84189899999999995</v>
      </c>
      <c r="X1290" s="32">
        <v>0.222053</v>
      </c>
      <c r="Y1290" s="32">
        <v>0.89784299999999995</v>
      </c>
      <c r="Z1290" s="32">
        <v>0.34828900000000002</v>
      </c>
      <c r="AA1290" s="32">
        <v>18.600000000000001</v>
      </c>
      <c r="AB1290" s="32">
        <v>680</v>
      </c>
      <c r="AC1290" s="32">
        <v>23</v>
      </c>
      <c r="AD1290" s="32">
        <v>32</v>
      </c>
      <c r="AE1290" s="32" t="s">
        <v>200</v>
      </c>
      <c r="AF1290" s="32">
        <v>6</v>
      </c>
      <c r="AG1290" s="32">
        <v>0</v>
      </c>
    </row>
    <row r="1291" spans="1:33">
      <c r="A1291" s="32" t="s">
        <v>4627</v>
      </c>
      <c r="B1291" s="32" t="s">
        <v>126</v>
      </c>
      <c r="C1291" s="32" t="s">
        <v>4628</v>
      </c>
      <c r="D1291" s="32" t="s">
        <v>4629</v>
      </c>
      <c r="E1291" s="32" t="s">
        <v>4622</v>
      </c>
      <c r="F1291" s="32" t="s">
        <v>4623</v>
      </c>
      <c r="G1291" s="32" t="s">
        <v>4517</v>
      </c>
      <c r="H1291" s="32" t="s">
        <v>4518</v>
      </c>
      <c r="I1291" s="32" t="s">
        <v>198</v>
      </c>
      <c r="J1291" s="32" t="s">
        <v>199</v>
      </c>
      <c r="K1291" s="32">
        <v>1.982912</v>
      </c>
      <c r="L1291" s="33">
        <v>1674</v>
      </c>
      <c r="M1291" s="32">
        <v>277</v>
      </c>
      <c r="N1291" s="32">
        <v>199</v>
      </c>
      <c r="O1291" s="32">
        <v>286</v>
      </c>
      <c r="P1291" s="32">
        <v>535</v>
      </c>
      <c r="Q1291" s="32">
        <v>377</v>
      </c>
      <c r="R1291" s="32" t="s">
        <v>225</v>
      </c>
      <c r="S1291" s="32">
        <v>7.49925</v>
      </c>
      <c r="T1291" s="32">
        <v>0</v>
      </c>
      <c r="U1291" s="32">
        <v>0.83506020299999995</v>
      </c>
      <c r="V1291" s="32">
        <v>8</v>
      </c>
      <c r="W1291" s="32">
        <v>0.810724</v>
      </c>
      <c r="X1291" s="32">
        <v>6.1391000000000001E-2</v>
      </c>
      <c r="Y1291" s="32">
        <v>0.80269100000000004</v>
      </c>
      <c r="Z1291" s="32">
        <v>0.30026000000000003</v>
      </c>
      <c r="AA1291" s="32">
        <v>23.2</v>
      </c>
      <c r="AB1291" s="32">
        <v>857</v>
      </c>
      <c r="AC1291" s="32">
        <v>26</v>
      </c>
      <c r="AD1291" s="32">
        <v>63</v>
      </c>
      <c r="AE1291" s="32" t="s">
        <v>200</v>
      </c>
      <c r="AF1291" s="32" t="s">
        <v>200</v>
      </c>
      <c r="AG1291" s="32">
        <v>5</v>
      </c>
    </row>
    <row r="1292" spans="1:33">
      <c r="A1292" s="32" t="s">
        <v>4630</v>
      </c>
      <c r="B1292" s="32" t="s">
        <v>126</v>
      </c>
      <c r="C1292" s="32" t="s">
        <v>4631</v>
      </c>
      <c r="D1292" s="32" t="s">
        <v>4632</v>
      </c>
      <c r="E1292" s="32" t="s">
        <v>4633</v>
      </c>
      <c r="F1292" s="32" t="s">
        <v>4634</v>
      </c>
      <c r="G1292" s="32" t="s">
        <v>4517</v>
      </c>
      <c r="H1292" s="32" t="s">
        <v>4518</v>
      </c>
      <c r="I1292" s="32" t="s">
        <v>198</v>
      </c>
      <c r="J1292" s="32" t="s">
        <v>199</v>
      </c>
      <c r="K1292" s="32">
        <v>2.3247789999999999</v>
      </c>
      <c r="L1292" s="33">
        <v>1708</v>
      </c>
      <c r="M1292" s="32">
        <v>444</v>
      </c>
      <c r="N1292" s="32">
        <v>187</v>
      </c>
      <c r="O1292" s="32">
        <v>396</v>
      </c>
      <c r="P1292" s="32">
        <v>501</v>
      </c>
      <c r="Q1292" s="32">
        <v>180</v>
      </c>
      <c r="R1292" s="32">
        <v>2</v>
      </c>
      <c r="S1292" s="32">
        <v>11.3079</v>
      </c>
      <c r="T1292" s="32">
        <v>6.2232200000000004</v>
      </c>
      <c r="U1292" s="32">
        <v>0.578833822</v>
      </c>
      <c r="V1292" s="32">
        <v>10</v>
      </c>
      <c r="W1292" s="32">
        <v>0.90221200000000001</v>
      </c>
      <c r="X1292" s="32">
        <v>0.13051199999999999</v>
      </c>
      <c r="Y1292" s="32">
        <v>0.853437</v>
      </c>
      <c r="Z1292" s="32">
        <v>0.42941200000000002</v>
      </c>
      <c r="AA1292" s="32">
        <v>7.8</v>
      </c>
      <c r="AB1292" s="32">
        <v>612</v>
      </c>
      <c r="AC1292" s="32">
        <v>23</v>
      </c>
      <c r="AD1292" s="32">
        <v>18</v>
      </c>
      <c r="AE1292" s="32">
        <v>0</v>
      </c>
      <c r="AF1292" s="32">
        <v>0</v>
      </c>
      <c r="AG1292" s="32" t="s">
        <v>200</v>
      </c>
    </row>
    <row r="1293" spans="1:33">
      <c r="A1293" s="32" t="s">
        <v>4635</v>
      </c>
      <c r="B1293" s="32" t="s">
        <v>126</v>
      </c>
      <c r="C1293" s="32" t="s">
        <v>4636</v>
      </c>
      <c r="D1293" s="32" t="s">
        <v>4637</v>
      </c>
      <c r="E1293" s="32" t="s">
        <v>4638</v>
      </c>
      <c r="F1293" s="32" t="s">
        <v>4639</v>
      </c>
      <c r="G1293" s="32" t="s">
        <v>4517</v>
      </c>
      <c r="H1293" s="32" t="s">
        <v>4518</v>
      </c>
      <c r="I1293" s="32" t="s">
        <v>198</v>
      </c>
      <c r="J1293" s="32" t="s">
        <v>199</v>
      </c>
      <c r="K1293" s="32">
        <v>2.8629470000000001</v>
      </c>
      <c r="L1293" s="33">
        <v>1547</v>
      </c>
      <c r="M1293" s="32">
        <v>338</v>
      </c>
      <c r="N1293" s="32">
        <v>243</v>
      </c>
      <c r="O1293" s="32">
        <v>370</v>
      </c>
      <c r="P1293" s="32">
        <v>390</v>
      </c>
      <c r="Q1293" s="32">
        <v>206</v>
      </c>
      <c r="R1293" s="32">
        <v>2</v>
      </c>
      <c r="S1293" s="32">
        <v>13.3416</v>
      </c>
      <c r="T1293" s="32">
        <v>0</v>
      </c>
      <c r="U1293" s="32">
        <v>0.38978451400000003</v>
      </c>
      <c r="V1293" s="32">
        <v>7</v>
      </c>
      <c r="W1293" s="32">
        <v>0.86643999999999999</v>
      </c>
      <c r="X1293" s="32">
        <v>0.20665</v>
      </c>
      <c r="Y1293" s="32">
        <v>0.81099699999999997</v>
      </c>
      <c r="Z1293" s="32">
        <v>0.97761600000000004</v>
      </c>
      <c r="AA1293" s="32">
        <v>21.5</v>
      </c>
      <c r="AB1293" s="32">
        <v>757</v>
      </c>
      <c r="AC1293" s="32">
        <v>22</v>
      </c>
      <c r="AD1293" s="32">
        <v>70</v>
      </c>
      <c r="AE1293" s="32" t="s">
        <v>200</v>
      </c>
      <c r="AF1293" s="32" t="s">
        <v>200</v>
      </c>
      <c r="AG1293" s="32" t="s">
        <v>200</v>
      </c>
    </row>
    <row r="1294" spans="1:33">
      <c r="A1294" s="32" t="s">
        <v>4640</v>
      </c>
      <c r="B1294" s="32" t="s">
        <v>126</v>
      </c>
      <c r="C1294" s="32" t="s">
        <v>4641</v>
      </c>
      <c r="D1294" s="32" t="s">
        <v>4642</v>
      </c>
      <c r="E1294" s="32" t="s">
        <v>4633</v>
      </c>
      <c r="F1294" s="32" t="s">
        <v>4634</v>
      </c>
      <c r="G1294" s="32" t="s">
        <v>4517</v>
      </c>
      <c r="H1294" s="32" t="s">
        <v>4518</v>
      </c>
      <c r="I1294" s="32" t="s">
        <v>198</v>
      </c>
      <c r="J1294" s="32" t="s">
        <v>199</v>
      </c>
      <c r="K1294" s="32">
        <v>2.3503759999999998</v>
      </c>
      <c r="L1294" s="33">
        <v>1526</v>
      </c>
      <c r="M1294" s="32">
        <v>346</v>
      </c>
      <c r="N1294" s="32">
        <v>164</v>
      </c>
      <c r="O1294" s="32">
        <v>419</v>
      </c>
      <c r="P1294" s="32">
        <v>408</v>
      </c>
      <c r="Q1294" s="32">
        <v>189</v>
      </c>
      <c r="R1294" s="32">
        <v>3</v>
      </c>
      <c r="S1294" s="32">
        <v>15.5992</v>
      </c>
      <c r="T1294" s="32">
        <v>7.06081</v>
      </c>
      <c r="U1294" s="32">
        <v>0.61792340999999995</v>
      </c>
      <c r="V1294" s="32">
        <v>10</v>
      </c>
      <c r="W1294" s="32">
        <v>0.90451099999999995</v>
      </c>
      <c r="X1294" s="32">
        <v>0.22531599999999999</v>
      </c>
      <c r="Y1294" s="32">
        <v>0.80050399999999999</v>
      </c>
      <c r="Z1294" s="32">
        <v>0.41038000000000002</v>
      </c>
      <c r="AA1294" s="32">
        <v>8.6</v>
      </c>
      <c r="AB1294" s="32">
        <v>564</v>
      </c>
      <c r="AC1294" s="32">
        <v>22</v>
      </c>
      <c r="AD1294" s="32">
        <v>31</v>
      </c>
      <c r="AE1294" s="32" t="s">
        <v>200</v>
      </c>
      <c r="AF1294" s="32" t="s">
        <v>200</v>
      </c>
      <c r="AG1294" s="32" t="s">
        <v>200</v>
      </c>
    </row>
    <row r="1295" spans="1:33">
      <c r="A1295" s="32" t="s">
        <v>4643</v>
      </c>
      <c r="B1295" s="32" t="s">
        <v>126</v>
      </c>
      <c r="C1295" s="32" t="s">
        <v>4644</v>
      </c>
      <c r="D1295" s="32" t="s">
        <v>4645</v>
      </c>
      <c r="E1295" s="32" t="s">
        <v>4638</v>
      </c>
      <c r="F1295" s="32" t="s">
        <v>4639</v>
      </c>
      <c r="G1295" s="32" t="s">
        <v>4517</v>
      </c>
      <c r="H1295" s="32" t="s">
        <v>4518</v>
      </c>
      <c r="I1295" s="32" t="s">
        <v>198</v>
      </c>
      <c r="J1295" s="32" t="s">
        <v>199</v>
      </c>
      <c r="K1295" s="32">
        <v>2.539717</v>
      </c>
      <c r="L1295" s="33">
        <v>1682</v>
      </c>
      <c r="M1295" s="32">
        <v>356</v>
      </c>
      <c r="N1295" s="32">
        <v>221</v>
      </c>
      <c r="O1295" s="32">
        <v>469</v>
      </c>
      <c r="P1295" s="32">
        <v>420</v>
      </c>
      <c r="Q1295" s="32">
        <v>216</v>
      </c>
      <c r="R1295" s="32">
        <v>3</v>
      </c>
      <c r="S1295" s="32">
        <v>20.472899999999999</v>
      </c>
      <c r="T1295" s="32">
        <v>4.2510000000000003</v>
      </c>
      <c r="U1295" s="32">
        <v>0.49261927999999999</v>
      </c>
      <c r="V1295" s="32">
        <v>10</v>
      </c>
      <c r="W1295" s="32">
        <v>0.89173000000000002</v>
      </c>
      <c r="X1295" s="32">
        <v>0.256546</v>
      </c>
      <c r="Y1295" s="32">
        <v>0.81049199999999999</v>
      </c>
      <c r="Z1295" s="32">
        <v>0.578712</v>
      </c>
      <c r="AA1295" s="32">
        <v>13.5</v>
      </c>
      <c r="AB1295" s="32">
        <v>661</v>
      </c>
      <c r="AC1295" s="32">
        <v>38</v>
      </c>
      <c r="AD1295" s="32">
        <v>21</v>
      </c>
      <c r="AE1295" s="32">
        <v>0</v>
      </c>
      <c r="AF1295" s="32">
        <v>0</v>
      </c>
      <c r="AG1295" s="32">
        <v>0</v>
      </c>
    </row>
    <row r="1296" spans="1:33">
      <c r="A1296" s="32" t="s">
        <v>4646</v>
      </c>
      <c r="B1296" s="32" t="s">
        <v>126</v>
      </c>
      <c r="C1296" s="32" t="s">
        <v>4647</v>
      </c>
      <c r="D1296" s="32" t="s">
        <v>4648</v>
      </c>
      <c r="E1296" s="32" t="s">
        <v>4638</v>
      </c>
      <c r="F1296" s="32" t="s">
        <v>4639</v>
      </c>
      <c r="G1296" s="32" t="s">
        <v>4517</v>
      </c>
      <c r="H1296" s="32" t="s">
        <v>4518</v>
      </c>
      <c r="I1296" s="32" t="s">
        <v>198</v>
      </c>
      <c r="J1296" s="32" t="s">
        <v>199</v>
      </c>
      <c r="K1296" s="32">
        <v>2.6055929999999998</v>
      </c>
      <c r="L1296" s="33">
        <v>2109</v>
      </c>
      <c r="M1296" s="32">
        <v>486</v>
      </c>
      <c r="N1296" s="32">
        <v>292</v>
      </c>
      <c r="O1296" s="32">
        <v>542</v>
      </c>
      <c r="P1296" s="32">
        <v>597</v>
      </c>
      <c r="Q1296" s="32">
        <v>192</v>
      </c>
      <c r="R1296" s="32">
        <v>2</v>
      </c>
      <c r="S1296" s="32">
        <v>19.144200000000001</v>
      </c>
      <c r="T1296" s="32">
        <v>0</v>
      </c>
      <c r="U1296" s="32">
        <v>0.499290448</v>
      </c>
      <c r="V1296" s="32">
        <v>10</v>
      </c>
      <c r="W1296" s="32">
        <v>0.83711899999999995</v>
      </c>
      <c r="X1296" s="32">
        <v>0.162299</v>
      </c>
      <c r="Y1296" s="32">
        <v>0.8</v>
      </c>
      <c r="Z1296" s="32">
        <v>0.80784800000000001</v>
      </c>
      <c r="AA1296" s="32">
        <v>11.4</v>
      </c>
      <c r="AB1296" s="32">
        <v>743</v>
      </c>
      <c r="AC1296" s="32">
        <v>29</v>
      </c>
      <c r="AD1296" s="32">
        <v>34</v>
      </c>
      <c r="AE1296" s="32">
        <v>9</v>
      </c>
      <c r="AF1296" s="32" t="s">
        <v>200</v>
      </c>
      <c r="AG1296" s="32">
        <v>8</v>
      </c>
    </row>
    <row r="1297" spans="1:33">
      <c r="A1297" s="32" t="s">
        <v>4649</v>
      </c>
      <c r="B1297" s="32" t="s">
        <v>126</v>
      </c>
      <c r="C1297" s="32" t="s">
        <v>4650</v>
      </c>
      <c r="D1297" s="32" t="s">
        <v>4651</v>
      </c>
      <c r="E1297" s="32" t="s">
        <v>4633</v>
      </c>
      <c r="F1297" s="32" t="s">
        <v>4634</v>
      </c>
      <c r="G1297" s="32" t="s">
        <v>4517</v>
      </c>
      <c r="H1297" s="32" t="s">
        <v>4518</v>
      </c>
      <c r="I1297" s="32" t="s">
        <v>198</v>
      </c>
      <c r="J1297" s="32" t="s">
        <v>199</v>
      </c>
      <c r="K1297" s="32">
        <v>2.4277160000000002</v>
      </c>
      <c r="L1297" s="33">
        <v>1599</v>
      </c>
      <c r="M1297" s="32">
        <v>288</v>
      </c>
      <c r="N1297" s="32">
        <v>244</v>
      </c>
      <c r="O1297" s="32">
        <v>442</v>
      </c>
      <c r="P1297" s="32">
        <v>444</v>
      </c>
      <c r="Q1297" s="32">
        <v>181</v>
      </c>
      <c r="R1297" s="32">
        <v>2</v>
      </c>
      <c r="S1297" s="32">
        <v>14.0139</v>
      </c>
      <c r="T1297" s="32">
        <v>0</v>
      </c>
      <c r="U1297" s="32">
        <v>0.59910810000000003</v>
      </c>
      <c r="V1297" s="32">
        <v>9</v>
      </c>
      <c r="W1297" s="32">
        <v>0.90454500000000004</v>
      </c>
      <c r="X1297" s="32">
        <v>0.26119700000000001</v>
      </c>
      <c r="Y1297" s="32">
        <v>0.88340700000000005</v>
      </c>
      <c r="Z1297" s="32">
        <v>0.377691</v>
      </c>
      <c r="AA1297" s="32">
        <v>10.5</v>
      </c>
      <c r="AB1297" s="32">
        <v>608</v>
      </c>
      <c r="AC1297" s="32">
        <v>26</v>
      </c>
      <c r="AD1297" s="32">
        <v>24</v>
      </c>
      <c r="AE1297" s="32">
        <v>0</v>
      </c>
      <c r="AF1297" s="32">
        <v>0</v>
      </c>
      <c r="AG1297" s="32" t="s">
        <v>200</v>
      </c>
    </row>
    <row r="1298" spans="1:33">
      <c r="A1298" s="32" t="s">
        <v>4652</v>
      </c>
      <c r="B1298" s="32" t="s">
        <v>126</v>
      </c>
      <c r="C1298" s="32" t="s">
        <v>4653</v>
      </c>
      <c r="D1298" s="32" t="s">
        <v>4654</v>
      </c>
      <c r="E1298" s="32" t="s">
        <v>4655</v>
      </c>
      <c r="F1298" s="32" t="s">
        <v>4656</v>
      </c>
      <c r="G1298" s="32" t="s">
        <v>4517</v>
      </c>
      <c r="H1298" s="32" t="s">
        <v>4518</v>
      </c>
      <c r="I1298" s="32" t="s">
        <v>198</v>
      </c>
      <c r="J1298" s="32" t="s">
        <v>199</v>
      </c>
      <c r="K1298" s="32">
        <v>2.272478</v>
      </c>
      <c r="L1298" s="33">
        <v>1767</v>
      </c>
      <c r="M1298" s="32">
        <v>444</v>
      </c>
      <c r="N1298" s="32">
        <v>244</v>
      </c>
      <c r="O1298" s="32">
        <v>353</v>
      </c>
      <c r="P1298" s="32">
        <v>515</v>
      </c>
      <c r="Q1298" s="32">
        <v>211</v>
      </c>
      <c r="R1298" s="32" t="s">
        <v>214</v>
      </c>
      <c r="S1298" s="32">
        <v>6.1032099999999998</v>
      </c>
      <c r="T1298" s="32">
        <v>0</v>
      </c>
      <c r="U1298" s="32">
        <v>0.652152179</v>
      </c>
      <c r="V1298" s="32">
        <v>9</v>
      </c>
      <c r="W1298" s="32">
        <v>0.85217900000000002</v>
      </c>
      <c r="X1298" s="32">
        <v>0.19079599999999999</v>
      </c>
      <c r="Y1298" s="32">
        <v>0.89950399999999997</v>
      </c>
      <c r="Z1298" s="32">
        <v>0.359406</v>
      </c>
      <c r="AA1298" s="32">
        <v>12.5</v>
      </c>
      <c r="AB1298" s="32">
        <v>728</v>
      </c>
      <c r="AC1298" s="32">
        <v>42</v>
      </c>
      <c r="AD1298" s="32">
        <v>41</v>
      </c>
      <c r="AE1298" s="32">
        <v>0</v>
      </c>
      <c r="AF1298" s="32">
        <v>0</v>
      </c>
      <c r="AG1298" s="32">
        <v>5</v>
      </c>
    </row>
    <row r="1299" spans="1:33">
      <c r="A1299" s="32" t="s">
        <v>4657</v>
      </c>
      <c r="B1299" s="32" t="s">
        <v>126</v>
      </c>
      <c r="C1299" s="32" t="s">
        <v>4658</v>
      </c>
      <c r="D1299" s="32" t="s">
        <v>4659</v>
      </c>
      <c r="E1299" s="32" t="s">
        <v>4655</v>
      </c>
      <c r="F1299" s="32" t="s">
        <v>4656</v>
      </c>
      <c r="G1299" s="32" t="s">
        <v>4517</v>
      </c>
      <c r="H1299" s="32" t="s">
        <v>4518</v>
      </c>
      <c r="I1299" s="32" t="s">
        <v>198</v>
      </c>
      <c r="J1299" s="32" t="s">
        <v>199</v>
      </c>
      <c r="K1299" s="32">
        <v>2.121909</v>
      </c>
      <c r="L1299" s="33">
        <v>1315</v>
      </c>
      <c r="M1299" s="32">
        <v>334</v>
      </c>
      <c r="N1299" s="32">
        <v>130</v>
      </c>
      <c r="O1299" s="32">
        <v>285</v>
      </c>
      <c r="P1299" s="32">
        <v>363</v>
      </c>
      <c r="Q1299" s="32">
        <v>203</v>
      </c>
      <c r="R1299" s="32">
        <v>2</v>
      </c>
      <c r="S1299" s="32">
        <v>8.3511699999999998</v>
      </c>
      <c r="T1299" s="32">
        <v>6.3458100000000002</v>
      </c>
      <c r="U1299" s="32">
        <v>0.72618876499999996</v>
      </c>
      <c r="V1299" s="32">
        <v>10</v>
      </c>
      <c r="W1299" s="32">
        <v>0.82147499999999996</v>
      </c>
      <c r="X1299" s="32">
        <v>0.111931</v>
      </c>
      <c r="Y1299" s="32">
        <v>0.88728399999999996</v>
      </c>
      <c r="Z1299" s="32">
        <v>0.293464</v>
      </c>
      <c r="AA1299" s="32">
        <v>20.6</v>
      </c>
      <c r="AB1299" s="32">
        <v>544</v>
      </c>
      <c r="AC1299" s="32">
        <v>20</v>
      </c>
      <c r="AD1299" s="32">
        <v>30</v>
      </c>
      <c r="AE1299" s="32" t="s">
        <v>200</v>
      </c>
      <c r="AF1299" s="32" t="s">
        <v>200</v>
      </c>
      <c r="AG1299" s="32" t="s">
        <v>200</v>
      </c>
    </row>
    <row r="1300" spans="1:33">
      <c r="A1300" s="32" t="s">
        <v>4660</v>
      </c>
      <c r="B1300" s="32" t="s">
        <v>126</v>
      </c>
      <c r="C1300" s="32" t="s">
        <v>4661</v>
      </c>
      <c r="D1300" s="32" t="s">
        <v>4662</v>
      </c>
      <c r="E1300" s="32" t="s">
        <v>4655</v>
      </c>
      <c r="F1300" s="32" t="s">
        <v>4656</v>
      </c>
      <c r="G1300" s="32" t="s">
        <v>4517</v>
      </c>
      <c r="H1300" s="32" t="s">
        <v>4518</v>
      </c>
      <c r="I1300" s="32" t="s">
        <v>198</v>
      </c>
      <c r="J1300" s="32" t="s">
        <v>199</v>
      </c>
      <c r="K1300" s="32">
        <v>2.0957720000000002</v>
      </c>
      <c r="L1300" s="33">
        <v>1659</v>
      </c>
      <c r="M1300" s="32">
        <v>393</v>
      </c>
      <c r="N1300" s="32">
        <v>238</v>
      </c>
      <c r="O1300" s="32">
        <v>332</v>
      </c>
      <c r="P1300" s="32">
        <v>461</v>
      </c>
      <c r="Q1300" s="32">
        <v>235</v>
      </c>
      <c r="R1300" s="32">
        <v>2</v>
      </c>
      <c r="S1300" s="32">
        <v>8.2663799999999998</v>
      </c>
      <c r="T1300" s="32">
        <v>0</v>
      </c>
      <c r="U1300" s="32">
        <v>0.85992043500000004</v>
      </c>
      <c r="V1300" s="32">
        <v>7</v>
      </c>
      <c r="W1300" s="32">
        <v>0.82723800000000003</v>
      </c>
      <c r="X1300" s="32">
        <v>0.21159700000000001</v>
      </c>
      <c r="Y1300" s="32">
        <v>0.81237700000000002</v>
      </c>
      <c r="Z1300" s="32">
        <v>0.25664100000000001</v>
      </c>
      <c r="AA1300" s="32">
        <v>22.1</v>
      </c>
      <c r="AB1300" s="32">
        <v>689</v>
      </c>
      <c r="AC1300" s="32">
        <v>65</v>
      </c>
      <c r="AD1300" s="32">
        <v>51</v>
      </c>
      <c r="AE1300" s="32">
        <v>0</v>
      </c>
      <c r="AF1300" s="32" t="s">
        <v>200</v>
      </c>
      <c r="AG1300" s="32" t="s">
        <v>200</v>
      </c>
    </row>
    <row r="1301" spans="1:33">
      <c r="A1301" s="32" t="s">
        <v>4663</v>
      </c>
      <c r="B1301" s="32" t="s">
        <v>126</v>
      </c>
      <c r="C1301" s="32" t="s">
        <v>4664</v>
      </c>
      <c r="D1301" s="32" t="s">
        <v>4665</v>
      </c>
      <c r="E1301" s="32" t="s">
        <v>4655</v>
      </c>
      <c r="F1301" s="32" t="s">
        <v>4656</v>
      </c>
      <c r="G1301" s="32" t="s">
        <v>4517</v>
      </c>
      <c r="H1301" s="32" t="s">
        <v>4518</v>
      </c>
      <c r="I1301" s="32" t="s">
        <v>198</v>
      </c>
      <c r="J1301" s="32" t="s">
        <v>199</v>
      </c>
      <c r="K1301" s="32">
        <v>2.1815530000000001</v>
      </c>
      <c r="L1301" s="33">
        <v>1630</v>
      </c>
      <c r="M1301" s="32">
        <v>390</v>
      </c>
      <c r="N1301" s="32">
        <v>175</v>
      </c>
      <c r="O1301" s="32">
        <v>401</v>
      </c>
      <c r="P1301" s="32">
        <v>462</v>
      </c>
      <c r="Q1301" s="32">
        <v>202</v>
      </c>
      <c r="R1301" s="32">
        <v>2</v>
      </c>
      <c r="S1301" s="32">
        <v>10.0189</v>
      </c>
      <c r="T1301" s="32">
        <v>0</v>
      </c>
      <c r="U1301" s="32">
        <v>0.72991740900000002</v>
      </c>
      <c r="V1301" s="32">
        <v>8</v>
      </c>
      <c r="W1301" s="32">
        <v>0.81484100000000004</v>
      </c>
      <c r="X1301" s="32">
        <v>9.9020999999999998E-2</v>
      </c>
      <c r="Y1301" s="32">
        <v>0.87023600000000001</v>
      </c>
      <c r="Z1301" s="32">
        <v>0.398343</v>
      </c>
      <c r="AA1301" s="32">
        <v>15.1</v>
      </c>
      <c r="AB1301" s="32">
        <v>564</v>
      </c>
      <c r="AC1301" s="32">
        <v>30</v>
      </c>
      <c r="AD1301" s="32">
        <v>28</v>
      </c>
      <c r="AE1301" s="32">
        <v>0</v>
      </c>
      <c r="AF1301" s="32">
        <v>0</v>
      </c>
      <c r="AG1301" s="32" t="s">
        <v>200</v>
      </c>
    </row>
    <row r="1302" spans="1:33">
      <c r="A1302" s="32" t="s">
        <v>4666</v>
      </c>
      <c r="B1302" s="32" t="s">
        <v>126</v>
      </c>
      <c r="C1302" s="32" t="s">
        <v>4667</v>
      </c>
      <c r="D1302" s="32" t="s">
        <v>4668</v>
      </c>
      <c r="E1302" s="32" t="s">
        <v>4669</v>
      </c>
      <c r="F1302" s="32" t="s">
        <v>4670</v>
      </c>
      <c r="G1302" s="32" t="s">
        <v>4517</v>
      </c>
      <c r="H1302" s="32" t="s">
        <v>4518</v>
      </c>
      <c r="I1302" s="32" t="s">
        <v>198</v>
      </c>
      <c r="J1302" s="32" t="s">
        <v>199</v>
      </c>
      <c r="K1302" s="32">
        <v>2.4426359999999998</v>
      </c>
      <c r="L1302" s="33">
        <v>1368</v>
      </c>
      <c r="M1302" s="32">
        <v>258</v>
      </c>
      <c r="N1302" s="32">
        <v>217</v>
      </c>
      <c r="O1302" s="32">
        <v>330</v>
      </c>
      <c r="P1302" s="32">
        <v>363</v>
      </c>
      <c r="Q1302" s="32">
        <v>200</v>
      </c>
      <c r="R1302" s="32">
        <v>2</v>
      </c>
      <c r="S1302" s="32">
        <v>9.7158899999999999</v>
      </c>
      <c r="T1302" s="32">
        <v>2.0719099999999999</v>
      </c>
      <c r="U1302" s="32">
        <v>0.58209269600000002</v>
      </c>
      <c r="V1302" s="32">
        <v>9</v>
      </c>
      <c r="W1302" s="32">
        <v>0.81608499999999995</v>
      </c>
      <c r="X1302" s="32">
        <v>1.1460000000000001E-3</v>
      </c>
      <c r="Y1302" s="32">
        <v>0.86831599999999998</v>
      </c>
      <c r="Z1302" s="32">
        <v>0.76051599999999997</v>
      </c>
      <c r="AA1302" s="32">
        <v>20.100000000000001</v>
      </c>
      <c r="AB1302" s="32">
        <v>538</v>
      </c>
      <c r="AC1302" s="32">
        <v>45</v>
      </c>
      <c r="AD1302" s="32">
        <v>34</v>
      </c>
      <c r="AE1302" s="32">
        <v>0</v>
      </c>
      <c r="AF1302" s="32" t="s">
        <v>200</v>
      </c>
      <c r="AG1302" s="32" t="s">
        <v>200</v>
      </c>
    </row>
    <row r="1303" spans="1:33">
      <c r="A1303" s="32" t="s">
        <v>4671</v>
      </c>
      <c r="B1303" s="32" t="s">
        <v>126</v>
      </c>
      <c r="C1303" s="32" t="s">
        <v>4672</v>
      </c>
      <c r="D1303" s="32" t="s">
        <v>4673</v>
      </c>
      <c r="E1303" s="32" t="s">
        <v>4669</v>
      </c>
      <c r="F1303" s="32" t="s">
        <v>4670</v>
      </c>
      <c r="G1303" s="32" t="s">
        <v>4517</v>
      </c>
      <c r="H1303" s="32" t="s">
        <v>4518</v>
      </c>
      <c r="I1303" s="32" t="s">
        <v>198</v>
      </c>
      <c r="J1303" s="32" t="s">
        <v>199</v>
      </c>
      <c r="K1303" s="32">
        <v>2.2561619999999998</v>
      </c>
      <c r="L1303" s="33">
        <v>1637</v>
      </c>
      <c r="M1303" s="32">
        <v>336</v>
      </c>
      <c r="N1303" s="32">
        <v>228</v>
      </c>
      <c r="O1303" s="32">
        <v>358</v>
      </c>
      <c r="P1303" s="32">
        <v>405</v>
      </c>
      <c r="Q1303" s="32">
        <v>310</v>
      </c>
      <c r="R1303" s="32">
        <v>2</v>
      </c>
      <c r="S1303" s="32">
        <v>9.2767999999999997</v>
      </c>
      <c r="T1303" s="32">
        <v>5.8876600000000003</v>
      </c>
      <c r="U1303" s="32">
        <v>0.70290898700000004</v>
      </c>
      <c r="V1303" s="32">
        <v>9</v>
      </c>
      <c r="W1303" s="32">
        <v>0.82808099999999996</v>
      </c>
      <c r="X1303" s="32">
        <v>0.120188</v>
      </c>
      <c r="Y1303" s="32">
        <v>0.9</v>
      </c>
      <c r="Z1303" s="32">
        <v>0.392702</v>
      </c>
      <c r="AA1303" s="32">
        <v>20.399999999999999</v>
      </c>
      <c r="AB1303" s="32">
        <v>702</v>
      </c>
      <c r="AC1303" s="32">
        <v>32</v>
      </c>
      <c r="AD1303" s="32">
        <v>51</v>
      </c>
      <c r="AE1303" s="32" t="s">
        <v>200</v>
      </c>
      <c r="AF1303" s="32" t="s">
        <v>200</v>
      </c>
      <c r="AG1303" s="32">
        <v>5</v>
      </c>
    </row>
    <row r="1304" spans="1:33">
      <c r="A1304" s="32" t="s">
        <v>4674</v>
      </c>
      <c r="B1304" s="32" t="s">
        <v>126</v>
      </c>
      <c r="C1304" s="32" t="s">
        <v>4675</v>
      </c>
      <c r="D1304" s="32" t="s">
        <v>4676</v>
      </c>
      <c r="E1304" s="32" t="s">
        <v>4638</v>
      </c>
      <c r="F1304" s="32" t="s">
        <v>4639</v>
      </c>
      <c r="G1304" s="32" t="s">
        <v>4517</v>
      </c>
      <c r="H1304" s="32" t="s">
        <v>4518</v>
      </c>
      <c r="I1304" s="32" t="s">
        <v>198</v>
      </c>
      <c r="J1304" s="32" t="s">
        <v>199</v>
      </c>
      <c r="K1304" s="32">
        <v>2.6546759999999998</v>
      </c>
      <c r="L1304" s="33">
        <v>1718</v>
      </c>
      <c r="M1304" s="32">
        <v>349</v>
      </c>
      <c r="N1304" s="32">
        <v>161</v>
      </c>
      <c r="O1304" s="32">
        <v>361</v>
      </c>
      <c r="P1304" s="32">
        <v>473</v>
      </c>
      <c r="Q1304" s="32">
        <v>374</v>
      </c>
      <c r="R1304" s="32" t="s">
        <v>225</v>
      </c>
      <c r="S1304" s="32">
        <v>8.2140000000000004</v>
      </c>
      <c r="T1304" s="32">
        <v>0</v>
      </c>
      <c r="U1304" s="32">
        <v>0.440708614</v>
      </c>
      <c r="V1304" s="32">
        <v>9</v>
      </c>
      <c r="W1304" s="32">
        <v>0.85</v>
      </c>
      <c r="X1304" s="32">
        <v>0.25273400000000001</v>
      </c>
      <c r="Y1304" s="32">
        <v>0.84896199999999999</v>
      </c>
      <c r="Z1304" s="32">
        <v>0.70763600000000004</v>
      </c>
      <c r="AA1304" s="32">
        <v>14.6</v>
      </c>
      <c r="AB1304" s="32">
        <v>739</v>
      </c>
      <c r="AC1304" s="32">
        <v>33</v>
      </c>
      <c r="AD1304" s="32">
        <v>44</v>
      </c>
      <c r="AE1304" s="32" t="s">
        <v>200</v>
      </c>
      <c r="AF1304" s="32" t="s">
        <v>200</v>
      </c>
      <c r="AG1304" s="32" t="s">
        <v>200</v>
      </c>
    </row>
    <row r="1305" spans="1:33">
      <c r="A1305" s="32" t="s">
        <v>4677</v>
      </c>
      <c r="B1305" s="32" t="s">
        <v>127</v>
      </c>
      <c r="C1305" s="32" t="s">
        <v>4678</v>
      </c>
      <c r="D1305" s="32" t="s">
        <v>4679</v>
      </c>
      <c r="E1305" s="32" t="s">
        <v>4680</v>
      </c>
      <c r="F1305" s="32" t="s">
        <v>4681</v>
      </c>
      <c r="G1305" s="32" t="s">
        <v>4606</v>
      </c>
      <c r="H1305" s="32" t="s">
        <v>4607</v>
      </c>
      <c r="I1305" s="32" t="s">
        <v>198</v>
      </c>
      <c r="J1305" s="32" t="s">
        <v>199</v>
      </c>
      <c r="K1305" s="32">
        <v>2.7064520000000001</v>
      </c>
      <c r="L1305" s="33">
        <v>1786</v>
      </c>
      <c r="M1305" s="32">
        <v>398</v>
      </c>
      <c r="N1305" s="32">
        <v>283</v>
      </c>
      <c r="O1305" s="32">
        <v>429</v>
      </c>
      <c r="P1305" s="32">
        <v>450</v>
      </c>
      <c r="Q1305" s="32">
        <v>226</v>
      </c>
      <c r="R1305" s="32">
        <v>2</v>
      </c>
      <c r="S1305" s="32">
        <v>14.489699999999999</v>
      </c>
      <c r="T1305" s="32">
        <v>0</v>
      </c>
      <c r="U1305" s="32">
        <v>0.79675673899999999</v>
      </c>
      <c r="V1305" s="32">
        <v>2</v>
      </c>
      <c r="W1305" s="32">
        <v>0.90747800000000001</v>
      </c>
      <c r="X1305" s="32">
        <v>0.36988300000000002</v>
      </c>
      <c r="Y1305" s="32">
        <v>0.84110799999999997</v>
      </c>
      <c r="Z1305" s="32">
        <v>0.57379899999999995</v>
      </c>
      <c r="AA1305" s="32">
        <v>35.299999999999997</v>
      </c>
      <c r="AB1305" s="32">
        <v>657</v>
      </c>
      <c r="AC1305" s="32">
        <v>32</v>
      </c>
      <c r="AD1305" s="32">
        <v>48</v>
      </c>
      <c r="AE1305" s="32">
        <v>0</v>
      </c>
      <c r="AF1305" s="32" t="s">
        <v>200</v>
      </c>
      <c r="AG1305" s="32" t="s">
        <v>200</v>
      </c>
    </row>
    <row r="1306" spans="1:33">
      <c r="A1306" s="32" t="s">
        <v>4682</v>
      </c>
      <c r="B1306" s="32" t="s">
        <v>127</v>
      </c>
      <c r="C1306" s="32" t="s">
        <v>4683</v>
      </c>
      <c r="D1306" s="32" t="s">
        <v>4684</v>
      </c>
      <c r="E1306" s="32" t="s">
        <v>4685</v>
      </c>
      <c r="F1306" s="32" t="s">
        <v>4686</v>
      </c>
      <c r="G1306" s="32" t="s">
        <v>4606</v>
      </c>
      <c r="H1306" s="32" t="s">
        <v>4607</v>
      </c>
      <c r="I1306" s="32" t="s">
        <v>198</v>
      </c>
      <c r="J1306" s="32" t="s">
        <v>199</v>
      </c>
      <c r="K1306" s="32">
        <v>2.9876960000000001</v>
      </c>
      <c r="L1306" s="33">
        <v>2999</v>
      </c>
      <c r="M1306" s="32">
        <v>447</v>
      </c>
      <c r="N1306" s="32">
        <v>991</v>
      </c>
      <c r="O1306" s="32">
        <v>728</v>
      </c>
      <c r="P1306" s="32">
        <v>540</v>
      </c>
      <c r="Q1306" s="32">
        <v>293</v>
      </c>
      <c r="R1306" s="32">
        <v>2</v>
      </c>
      <c r="S1306" s="32">
        <v>14.359500000000001</v>
      </c>
      <c r="T1306" s="32">
        <v>0</v>
      </c>
      <c r="U1306" s="32">
        <v>0.41620496099999998</v>
      </c>
      <c r="V1306" s="32">
        <v>5</v>
      </c>
      <c r="W1306" s="32">
        <v>0.91747599999999996</v>
      </c>
      <c r="X1306" s="32">
        <v>0.58641699999999997</v>
      </c>
      <c r="Y1306" s="32">
        <v>0.81046099999999999</v>
      </c>
      <c r="Z1306" s="32">
        <v>0.670234</v>
      </c>
      <c r="AA1306" s="32">
        <v>25.8</v>
      </c>
      <c r="AB1306" s="32">
        <v>836</v>
      </c>
      <c r="AC1306" s="32">
        <v>49</v>
      </c>
      <c r="AD1306" s="32">
        <v>68</v>
      </c>
      <c r="AE1306" s="32" t="s">
        <v>200</v>
      </c>
      <c r="AF1306" s="32">
        <v>0</v>
      </c>
      <c r="AG1306" s="32" t="s">
        <v>200</v>
      </c>
    </row>
    <row r="1307" spans="1:33">
      <c r="A1307" s="32" t="s">
        <v>4687</v>
      </c>
      <c r="B1307" s="32" t="s">
        <v>127</v>
      </c>
      <c r="C1307" s="32" t="s">
        <v>4688</v>
      </c>
      <c r="D1307" s="32" t="s">
        <v>4689</v>
      </c>
      <c r="E1307" s="32" t="s">
        <v>4680</v>
      </c>
      <c r="F1307" s="32" t="s">
        <v>4681</v>
      </c>
      <c r="G1307" s="32" t="s">
        <v>4606</v>
      </c>
      <c r="H1307" s="32" t="s">
        <v>4607</v>
      </c>
      <c r="I1307" s="32" t="s">
        <v>198</v>
      </c>
      <c r="J1307" s="32" t="s">
        <v>199</v>
      </c>
      <c r="K1307" s="32">
        <v>2.9333960000000001</v>
      </c>
      <c r="L1307" s="33">
        <v>3109</v>
      </c>
      <c r="M1307" s="32">
        <v>714</v>
      </c>
      <c r="N1307" s="32">
        <v>504</v>
      </c>
      <c r="O1307" s="32">
        <v>849</v>
      </c>
      <c r="P1307" s="32">
        <v>753</v>
      </c>
      <c r="Q1307" s="32">
        <v>289</v>
      </c>
      <c r="R1307" s="32">
        <v>2</v>
      </c>
      <c r="S1307" s="32">
        <v>17.633700000000001</v>
      </c>
      <c r="T1307" s="32">
        <v>0</v>
      </c>
      <c r="U1307" s="32">
        <v>0.76019309099999999</v>
      </c>
      <c r="V1307" s="32">
        <v>2</v>
      </c>
      <c r="W1307" s="32">
        <v>0.91828399999999999</v>
      </c>
      <c r="X1307" s="32">
        <v>0.56954899999999997</v>
      </c>
      <c r="Y1307" s="32">
        <v>0.8</v>
      </c>
      <c r="Z1307" s="32">
        <v>0.644791</v>
      </c>
      <c r="AA1307" s="32">
        <v>47</v>
      </c>
      <c r="AB1307" s="32">
        <v>976</v>
      </c>
      <c r="AC1307" s="32">
        <v>52</v>
      </c>
      <c r="AD1307" s="32">
        <v>35</v>
      </c>
      <c r="AE1307" s="32">
        <v>0</v>
      </c>
      <c r="AF1307" s="32">
        <v>0</v>
      </c>
      <c r="AG1307" s="32">
        <v>5</v>
      </c>
    </row>
    <row r="1308" spans="1:33">
      <c r="A1308" s="32" t="s">
        <v>4690</v>
      </c>
      <c r="B1308" s="32" t="s">
        <v>127</v>
      </c>
      <c r="C1308" s="32" t="s">
        <v>4691</v>
      </c>
      <c r="D1308" s="32" t="s">
        <v>4692</v>
      </c>
      <c r="E1308" s="32" t="s">
        <v>4685</v>
      </c>
      <c r="F1308" s="32" t="s">
        <v>4686</v>
      </c>
      <c r="G1308" s="32" t="s">
        <v>4606</v>
      </c>
      <c r="H1308" s="32" t="s">
        <v>4607</v>
      </c>
      <c r="I1308" s="32" t="s">
        <v>198</v>
      </c>
      <c r="J1308" s="32" t="s">
        <v>199</v>
      </c>
      <c r="K1308" s="32">
        <v>2.8536830000000002</v>
      </c>
      <c r="L1308" s="33">
        <v>1727</v>
      </c>
      <c r="M1308" s="32">
        <v>333</v>
      </c>
      <c r="N1308" s="32">
        <v>244</v>
      </c>
      <c r="O1308" s="32">
        <v>474</v>
      </c>
      <c r="P1308" s="32">
        <v>447</v>
      </c>
      <c r="Q1308" s="32">
        <v>229</v>
      </c>
      <c r="R1308" s="32">
        <v>3</v>
      </c>
      <c r="S1308" s="32">
        <v>16.8673</v>
      </c>
      <c r="T1308" s="32">
        <v>11.3369</v>
      </c>
      <c r="U1308" s="32">
        <v>0.51905231200000002</v>
      </c>
      <c r="V1308" s="32">
        <v>5</v>
      </c>
      <c r="W1308" s="32">
        <v>0.90180000000000005</v>
      </c>
      <c r="X1308" s="32">
        <v>0.22164800000000001</v>
      </c>
      <c r="Y1308" s="32">
        <v>0.8</v>
      </c>
      <c r="Z1308" s="32">
        <v>0.93766400000000005</v>
      </c>
      <c r="AA1308" s="32">
        <v>19.7</v>
      </c>
      <c r="AB1308" s="32">
        <v>597</v>
      </c>
      <c r="AC1308" s="32">
        <v>38</v>
      </c>
      <c r="AD1308" s="32">
        <v>37</v>
      </c>
      <c r="AE1308" s="32" t="s">
        <v>200</v>
      </c>
      <c r="AF1308" s="32" t="s">
        <v>200</v>
      </c>
      <c r="AG1308" s="32">
        <v>5</v>
      </c>
    </row>
    <row r="1309" spans="1:33">
      <c r="A1309" s="32" t="s">
        <v>4693</v>
      </c>
      <c r="B1309" s="32" t="s">
        <v>127</v>
      </c>
      <c r="C1309" s="32" t="s">
        <v>4694</v>
      </c>
      <c r="D1309" s="32" t="s">
        <v>4695</v>
      </c>
      <c r="E1309" s="32" t="s">
        <v>4680</v>
      </c>
      <c r="F1309" s="32" t="s">
        <v>4681</v>
      </c>
      <c r="G1309" s="32" t="s">
        <v>4606</v>
      </c>
      <c r="H1309" s="32" t="s">
        <v>4607</v>
      </c>
      <c r="I1309" s="32" t="s">
        <v>198</v>
      </c>
      <c r="J1309" s="32" t="s">
        <v>199</v>
      </c>
      <c r="K1309" s="32">
        <v>2.9424139999999999</v>
      </c>
      <c r="L1309" s="33">
        <v>3431</v>
      </c>
      <c r="M1309" s="32">
        <v>732</v>
      </c>
      <c r="N1309" s="32">
        <v>679</v>
      </c>
      <c r="O1309" s="33">
        <v>1029</v>
      </c>
      <c r="P1309" s="32">
        <v>659</v>
      </c>
      <c r="Q1309" s="32">
        <v>332</v>
      </c>
      <c r="R1309" s="32">
        <v>3</v>
      </c>
      <c r="S1309" s="32">
        <v>16.848500000000001</v>
      </c>
      <c r="T1309" s="32">
        <v>6.2829100000000002</v>
      </c>
      <c r="U1309" s="32">
        <v>0.72449255099999998</v>
      </c>
      <c r="V1309" s="32">
        <v>3</v>
      </c>
      <c r="W1309" s="32">
        <v>0.91603400000000001</v>
      </c>
      <c r="X1309" s="32">
        <v>0.44</v>
      </c>
      <c r="Y1309" s="32">
        <v>0.8</v>
      </c>
      <c r="Z1309" s="32">
        <v>0.78919399999999995</v>
      </c>
      <c r="AA1309" s="32">
        <v>41.4</v>
      </c>
      <c r="AB1309" s="32">
        <v>944</v>
      </c>
      <c r="AC1309" s="32">
        <v>45</v>
      </c>
      <c r="AD1309" s="32">
        <v>47</v>
      </c>
      <c r="AE1309" s="32" t="s">
        <v>200</v>
      </c>
      <c r="AF1309" s="32">
        <v>0</v>
      </c>
      <c r="AG1309" s="32" t="s">
        <v>200</v>
      </c>
    </row>
    <row r="1310" spans="1:33">
      <c r="A1310" s="32" t="s">
        <v>4696</v>
      </c>
      <c r="B1310" s="32" t="s">
        <v>127</v>
      </c>
      <c r="C1310" s="32" t="s">
        <v>4697</v>
      </c>
      <c r="D1310" s="32" t="s">
        <v>4698</v>
      </c>
      <c r="E1310" s="32" t="s">
        <v>4699</v>
      </c>
      <c r="F1310" s="32" t="s">
        <v>4700</v>
      </c>
      <c r="G1310" s="32" t="s">
        <v>4606</v>
      </c>
      <c r="H1310" s="32" t="s">
        <v>4607</v>
      </c>
      <c r="I1310" s="32" t="s">
        <v>198</v>
      </c>
      <c r="J1310" s="32" t="s">
        <v>199</v>
      </c>
      <c r="K1310" s="32">
        <v>2.400452</v>
      </c>
      <c r="L1310" s="33">
        <v>2167</v>
      </c>
      <c r="M1310" s="32">
        <v>499</v>
      </c>
      <c r="N1310" s="32">
        <v>374</v>
      </c>
      <c r="O1310" s="32">
        <v>587</v>
      </c>
      <c r="P1310" s="32">
        <v>417</v>
      </c>
      <c r="Q1310" s="32">
        <v>290</v>
      </c>
      <c r="R1310" s="32">
        <v>2</v>
      </c>
      <c r="S1310" s="32">
        <v>12.577</v>
      </c>
      <c r="T1310" s="32">
        <v>0</v>
      </c>
      <c r="U1310" s="32">
        <v>0.93115522299999998</v>
      </c>
      <c r="V1310" s="32">
        <v>4</v>
      </c>
      <c r="W1310" s="32">
        <v>0.84984899999999997</v>
      </c>
      <c r="X1310" s="32">
        <v>0.264048</v>
      </c>
      <c r="Y1310" s="32">
        <v>0.89500800000000003</v>
      </c>
      <c r="Z1310" s="32">
        <v>0.40239900000000001</v>
      </c>
      <c r="AA1310" s="32">
        <v>75.8</v>
      </c>
      <c r="AB1310" s="32">
        <v>657</v>
      </c>
      <c r="AC1310" s="32">
        <v>22</v>
      </c>
      <c r="AD1310" s="32">
        <v>46</v>
      </c>
      <c r="AE1310" s="32" t="s">
        <v>200</v>
      </c>
      <c r="AF1310" s="32">
        <v>0</v>
      </c>
      <c r="AG1310" s="32" t="s">
        <v>200</v>
      </c>
    </row>
    <row r="1311" spans="1:33">
      <c r="A1311" s="32" t="s">
        <v>4701</v>
      </c>
      <c r="B1311" s="32" t="s">
        <v>127</v>
      </c>
      <c r="C1311" s="32" t="s">
        <v>4702</v>
      </c>
      <c r="D1311" s="32" t="s">
        <v>4703</v>
      </c>
      <c r="E1311" s="32" t="s">
        <v>4704</v>
      </c>
      <c r="F1311" s="32" t="s">
        <v>4705</v>
      </c>
      <c r="G1311" s="32" t="s">
        <v>4606</v>
      </c>
      <c r="H1311" s="32" t="s">
        <v>4607</v>
      </c>
      <c r="I1311" s="32" t="s">
        <v>198</v>
      </c>
      <c r="J1311" s="32" t="s">
        <v>199</v>
      </c>
      <c r="K1311" s="32">
        <v>2.0858180000000002</v>
      </c>
      <c r="L1311" s="33">
        <v>1697</v>
      </c>
      <c r="M1311" s="32">
        <v>315</v>
      </c>
      <c r="N1311" s="32">
        <v>300</v>
      </c>
      <c r="O1311" s="32">
        <v>374</v>
      </c>
      <c r="P1311" s="32">
        <v>471</v>
      </c>
      <c r="Q1311" s="32">
        <v>237</v>
      </c>
      <c r="R1311" s="32">
        <v>2</v>
      </c>
      <c r="S1311" s="32">
        <v>12.361700000000001</v>
      </c>
      <c r="T1311" s="32">
        <v>1.68283</v>
      </c>
      <c r="U1311" s="32">
        <v>0.89388481399999997</v>
      </c>
      <c r="V1311" s="32">
        <v>6</v>
      </c>
      <c r="W1311" s="32">
        <v>0.82764099999999996</v>
      </c>
      <c r="X1311" s="32">
        <v>9.9856E-2</v>
      </c>
      <c r="Y1311" s="32">
        <v>0.84666699999999995</v>
      </c>
      <c r="Z1311" s="32">
        <v>0.3</v>
      </c>
      <c r="AA1311" s="32">
        <v>81.3</v>
      </c>
      <c r="AB1311" s="32">
        <v>755</v>
      </c>
      <c r="AC1311" s="32">
        <v>10</v>
      </c>
      <c r="AD1311" s="32">
        <v>33</v>
      </c>
      <c r="AE1311" s="32" t="s">
        <v>200</v>
      </c>
      <c r="AF1311" s="32" t="s">
        <v>200</v>
      </c>
      <c r="AG1311" s="32" t="s">
        <v>200</v>
      </c>
    </row>
    <row r="1312" spans="1:33">
      <c r="A1312" s="32" t="s">
        <v>4706</v>
      </c>
      <c r="B1312" s="32" t="s">
        <v>127</v>
      </c>
      <c r="C1312" s="32" t="s">
        <v>4707</v>
      </c>
      <c r="D1312" s="32" t="s">
        <v>4708</v>
      </c>
      <c r="E1312" s="32" t="s">
        <v>4704</v>
      </c>
      <c r="F1312" s="32" t="s">
        <v>4705</v>
      </c>
      <c r="G1312" s="32" t="s">
        <v>4606</v>
      </c>
      <c r="H1312" s="32" t="s">
        <v>4607</v>
      </c>
      <c r="I1312" s="32" t="s">
        <v>198</v>
      </c>
      <c r="J1312" s="32" t="s">
        <v>199</v>
      </c>
      <c r="K1312" s="32">
        <v>2.2180469999999999</v>
      </c>
      <c r="L1312" s="33">
        <v>1773</v>
      </c>
      <c r="M1312" s="32">
        <v>393</v>
      </c>
      <c r="N1312" s="32">
        <v>306</v>
      </c>
      <c r="O1312" s="32">
        <v>449</v>
      </c>
      <c r="P1312" s="32">
        <v>416</v>
      </c>
      <c r="Q1312" s="32">
        <v>209</v>
      </c>
      <c r="R1312" s="32" t="s">
        <v>225</v>
      </c>
      <c r="S1312" s="32">
        <v>8.5456299999999992</v>
      </c>
      <c r="T1312" s="32">
        <v>1.7535799999999999</v>
      </c>
      <c r="U1312" s="32">
        <v>0.96559573799999998</v>
      </c>
      <c r="V1312" s="32">
        <v>5</v>
      </c>
      <c r="W1312" s="32">
        <v>0.86971600000000004</v>
      </c>
      <c r="X1312" s="32">
        <v>0.24113299999999999</v>
      </c>
      <c r="Y1312" s="32">
        <v>0.80692200000000003</v>
      </c>
      <c r="Z1312" s="32">
        <v>0.300983</v>
      </c>
      <c r="AA1312" s="32">
        <v>73.900000000000006</v>
      </c>
      <c r="AB1312" s="32">
        <v>678</v>
      </c>
      <c r="AC1312" s="32">
        <v>19</v>
      </c>
      <c r="AD1312" s="32">
        <v>37</v>
      </c>
      <c r="AE1312" s="32">
        <v>0</v>
      </c>
      <c r="AF1312" s="32">
        <v>0</v>
      </c>
      <c r="AG1312" s="32">
        <v>5</v>
      </c>
    </row>
    <row r="1313" spans="1:33">
      <c r="A1313" s="32" t="s">
        <v>4709</v>
      </c>
      <c r="B1313" s="32" t="s">
        <v>127</v>
      </c>
      <c r="C1313" s="32" t="s">
        <v>4710</v>
      </c>
      <c r="D1313" s="32" t="s">
        <v>4711</v>
      </c>
      <c r="E1313" s="32" t="s">
        <v>4712</v>
      </c>
      <c r="F1313" s="32" t="s">
        <v>4713</v>
      </c>
      <c r="G1313" s="32" t="s">
        <v>4606</v>
      </c>
      <c r="H1313" s="32" t="s">
        <v>4607</v>
      </c>
      <c r="I1313" s="32" t="s">
        <v>198</v>
      </c>
      <c r="J1313" s="32" t="s">
        <v>199</v>
      </c>
      <c r="K1313" s="32">
        <v>2.34063</v>
      </c>
      <c r="L1313" s="33">
        <v>1793</v>
      </c>
      <c r="M1313" s="32">
        <v>345</v>
      </c>
      <c r="N1313" s="32">
        <v>301</v>
      </c>
      <c r="O1313" s="32">
        <v>481</v>
      </c>
      <c r="P1313" s="32">
        <v>448</v>
      </c>
      <c r="Q1313" s="32">
        <v>218</v>
      </c>
      <c r="R1313" s="32">
        <v>3</v>
      </c>
      <c r="S1313" s="32">
        <v>17.5063</v>
      </c>
      <c r="T1313" s="32">
        <v>1.81288</v>
      </c>
      <c r="U1313" s="32">
        <v>0.85040308200000003</v>
      </c>
      <c r="V1313" s="32">
        <v>4</v>
      </c>
      <c r="W1313" s="32">
        <v>0.85008300000000003</v>
      </c>
      <c r="X1313" s="32">
        <v>0.23031299999999999</v>
      </c>
      <c r="Y1313" s="32">
        <v>0.89423399999999997</v>
      </c>
      <c r="Z1313" s="32">
        <v>0.361628</v>
      </c>
      <c r="AA1313" s="32">
        <v>78.7</v>
      </c>
      <c r="AB1313" s="32">
        <v>614</v>
      </c>
      <c r="AC1313" s="32">
        <v>19</v>
      </c>
      <c r="AD1313" s="32">
        <v>22</v>
      </c>
      <c r="AE1313" s="32">
        <v>0</v>
      </c>
      <c r="AF1313" s="32" t="s">
        <v>200</v>
      </c>
      <c r="AG1313" s="32" t="s">
        <v>200</v>
      </c>
    </row>
    <row r="1314" spans="1:33">
      <c r="A1314" s="32" t="s">
        <v>4714</v>
      </c>
      <c r="B1314" s="32" t="s">
        <v>127</v>
      </c>
      <c r="C1314" s="32" t="s">
        <v>4715</v>
      </c>
      <c r="D1314" s="32" t="s">
        <v>4716</v>
      </c>
      <c r="E1314" s="32" t="s">
        <v>4704</v>
      </c>
      <c r="F1314" s="32" t="s">
        <v>4705</v>
      </c>
      <c r="G1314" s="32" t="s">
        <v>4606</v>
      </c>
      <c r="H1314" s="32" t="s">
        <v>4607</v>
      </c>
      <c r="I1314" s="32" t="s">
        <v>198</v>
      </c>
      <c r="J1314" s="32" t="s">
        <v>199</v>
      </c>
      <c r="K1314" s="32">
        <v>2.3253729999999999</v>
      </c>
      <c r="L1314" s="33">
        <v>1725</v>
      </c>
      <c r="M1314" s="32">
        <v>365</v>
      </c>
      <c r="N1314" s="32">
        <v>284</v>
      </c>
      <c r="O1314" s="32">
        <v>446</v>
      </c>
      <c r="P1314" s="32">
        <v>397</v>
      </c>
      <c r="Q1314" s="32">
        <v>233</v>
      </c>
      <c r="R1314" s="32">
        <v>3</v>
      </c>
      <c r="S1314" s="32">
        <v>19.7148</v>
      </c>
      <c r="T1314" s="32">
        <v>3.9024999999999999</v>
      </c>
      <c r="U1314" s="32">
        <v>0.99505465100000001</v>
      </c>
      <c r="V1314" s="32">
        <v>3</v>
      </c>
      <c r="W1314" s="32">
        <v>0.872305</v>
      </c>
      <c r="X1314" s="32">
        <v>0.249832</v>
      </c>
      <c r="Y1314" s="32">
        <v>0.89317800000000003</v>
      </c>
      <c r="Z1314" s="32">
        <v>0.31409599999999999</v>
      </c>
      <c r="AA1314" s="32">
        <v>78.900000000000006</v>
      </c>
      <c r="AB1314" s="32">
        <v>589</v>
      </c>
      <c r="AC1314" s="32">
        <v>25</v>
      </c>
      <c r="AD1314" s="32">
        <v>66</v>
      </c>
      <c r="AE1314" s="32" t="s">
        <v>200</v>
      </c>
      <c r="AF1314" s="32" t="s">
        <v>200</v>
      </c>
      <c r="AG1314" s="32" t="s">
        <v>200</v>
      </c>
    </row>
    <row r="1315" spans="1:33">
      <c r="A1315" s="32" t="s">
        <v>4717</v>
      </c>
      <c r="B1315" s="32" t="s">
        <v>127</v>
      </c>
      <c r="C1315" s="32" t="s">
        <v>4718</v>
      </c>
      <c r="D1315" s="32" t="s">
        <v>4719</v>
      </c>
      <c r="E1315" s="32" t="s">
        <v>4720</v>
      </c>
      <c r="F1315" s="32" t="s">
        <v>4721</v>
      </c>
      <c r="G1315" s="32" t="s">
        <v>4606</v>
      </c>
      <c r="H1315" s="32" t="s">
        <v>4607</v>
      </c>
      <c r="I1315" s="32" t="s">
        <v>198</v>
      </c>
      <c r="J1315" s="32" t="s">
        <v>199</v>
      </c>
      <c r="K1315" s="32">
        <v>2.158188</v>
      </c>
      <c r="L1315" s="33">
        <v>1687</v>
      </c>
      <c r="M1315" s="32">
        <v>354</v>
      </c>
      <c r="N1315" s="32">
        <v>268</v>
      </c>
      <c r="O1315" s="32">
        <v>495</v>
      </c>
      <c r="P1315" s="32">
        <v>376</v>
      </c>
      <c r="Q1315" s="32">
        <v>194</v>
      </c>
      <c r="R1315" s="32">
        <v>3</v>
      </c>
      <c r="S1315" s="32">
        <v>21.259799999999998</v>
      </c>
      <c r="T1315" s="32">
        <v>2.0069400000000002</v>
      </c>
      <c r="U1315" s="32">
        <v>1.00689842</v>
      </c>
      <c r="V1315" s="32">
        <v>4</v>
      </c>
      <c r="W1315" s="32">
        <v>0.83306800000000003</v>
      </c>
      <c r="X1315" s="32">
        <v>0.17879700000000001</v>
      </c>
      <c r="Y1315" s="32">
        <v>0.823824</v>
      </c>
      <c r="Z1315" s="32">
        <v>0.321994</v>
      </c>
      <c r="AA1315" s="32">
        <v>73</v>
      </c>
      <c r="AB1315" s="32">
        <v>516</v>
      </c>
      <c r="AC1315" s="32">
        <v>14</v>
      </c>
      <c r="AD1315" s="32">
        <v>16</v>
      </c>
      <c r="AE1315" s="32" t="s">
        <v>200</v>
      </c>
      <c r="AF1315" s="32">
        <v>0</v>
      </c>
      <c r="AG1315" s="32" t="s">
        <v>200</v>
      </c>
    </row>
    <row r="1316" spans="1:33">
      <c r="A1316" s="32" t="s">
        <v>4722</v>
      </c>
      <c r="B1316" s="32" t="s">
        <v>127</v>
      </c>
      <c r="C1316" s="32" t="s">
        <v>4723</v>
      </c>
      <c r="D1316" s="32" t="s">
        <v>4724</v>
      </c>
      <c r="E1316" s="32" t="s">
        <v>4704</v>
      </c>
      <c r="F1316" s="32" t="s">
        <v>4705</v>
      </c>
      <c r="G1316" s="32" t="s">
        <v>4606</v>
      </c>
      <c r="H1316" s="32" t="s">
        <v>4607</v>
      </c>
      <c r="I1316" s="32" t="s">
        <v>198</v>
      </c>
      <c r="J1316" s="32" t="s">
        <v>199</v>
      </c>
      <c r="K1316" s="32">
        <v>2.2402820000000001</v>
      </c>
      <c r="L1316" s="33">
        <v>1978</v>
      </c>
      <c r="M1316" s="32">
        <v>396</v>
      </c>
      <c r="N1316" s="32">
        <v>393</v>
      </c>
      <c r="O1316" s="32">
        <v>478</v>
      </c>
      <c r="P1316" s="32">
        <v>440</v>
      </c>
      <c r="Q1316" s="32">
        <v>271</v>
      </c>
      <c r="R1316" s="32" t="s">
        <v>225</v>
      </c>
      <c r="S1316" s="32">
        <v>7.4631400000000001</v>
      </c>
      <c r="T1316" s="32">
        <v>0</v>
      </c>
      <c r="U1316" s="32">
        <v>0.80354240300000002</v>
      </c>
      <c r="V1316" s="32">
        <v>6</v>
      </c>
      <c r="W1316" s="32">
        <v>0.873112</v>
      </c>
      <c r="X1316" s="32">
        <v>0.25659599999999999</v>
      </c>
      <c r="Y1316" s="32">
        <v>0.83674700000000002</v>
      </c>
      <c r="Z1316" s="32">
        <v>0.28132499999999999</v>
      </c>
      <c r="AA1316" s="32">
        <v>74.900000000000006</v>
      </c>
      <c r="AB1316" s="32">
        <v>751</v>
      </c>
      <c r="AC1316" s="32">
        <v>19</v>
      </c>
      <c r="AD1316" s="32">
        <v>34</v>
      </c>
      <c r="AE1316" s="32" t="s">
        <v>200</v>
      </c>
      <c r="AF1316" s="32" t="s">
        <v>200</v>
      </c>
      <c r="AG1316" s="32">
        <v>0</v>
      </c>
    </row>
    <row r="1317" spans="1:33">
      <c r="A1317" s="32" t="s">
        <v>4725</v>
      </c>
      <c r="B1317" s="32" t="s">
        <v>127</v>
      </c>
      <c r="C1317" s="32" t="s">
        <v>4726</v>
      </c>
      <c r="D1317" s="32" t="s">
        <v>4727</v>
      </c>
      <c r="E1317" s="32" t="s">
        <v>4704</v>
      </c>
      <c r="F1317" s="32" t="s">
        <v>4705</v>
      </c>
      <c r="G1317" s="32" t="s">
        <v>4606</v>
      </c>
      <c r="H1317" s="32" t="s">
        <v>4607</v>
      </c>
      <c r="I1317" s="32" t="s">
        <v>198</v>
      </c>
      <c r="J1317" s="32" t="s">
        <v>199</v>
      </c>
      <c r="K1317" s="32">
        <v>2.1795949999999999</v>
      </c>
      <c r="L1317" s="33">
        <v>2190</v>
      </c>
      <c r="M1317" s="32">
        <v>472</v>
      </c>
      <c r="N1317" s="32">
        <v>396</v>
      </c>
      <c r="O1317" s="32">
        <v>546</v>
      </c>
      <c r="P1317" s="32">
        <v>496</v>
      </c>
      <c r="Q1317" s="32">
        <v>280</v>
      </c>
      <c r="R1317" s="32">
        <v>2</v>
      </c>
      <c r="S1317" s="32">
        <v>17.325700000000001</v>
      </c>
      <c r="T1317" s="32">
        <v>1.7216400000000001</v>
      </c>
      <c r="U1317" s="32">
        <v>0.93388312799999995</v>
      </c>
      <c r="V1317" s="32">
        <v>4</v>
      </c>
      <c r="W1317" s="32">
        <v>0.873919</v>
      </c>
      <c r="X1317" s="32">
        <v>0.167794</v>
      </c>
      <c r="Y1317" s="32">
        <v>0.8</v>
      </c>
      <c r="Z1317" s="32">
        <v>0.333924</v>
      </c>
      <c r="AA1317" s="32">
        <v>74.599999999999994</v>
      </c>
      <c r="AB1317" s="32">
        <v>802</v>
      </c>
      <c r="AC1317" s="32">
        <v>25</v>
      </c>
      <c r="AD1317" s="32">
        <v>34</v>
      </c>
      <c r="AE1317" s="32" t="s">
        <v>200</v>
      </c>
      <c r="AF1317" s="32" t="s">
        <v>200</v>
      </c>
      <c r="AG1317" s="32">
        <v>6</v>
      </c>
    </row>
    <row r="1318" spans="1:33">
      <c r="A1318" s="32" t="s">
        <v>4728</v>
      </c>
      <c r="B1318" s="32" t="s">
        <v>127</v>
      </c>
      <c r="C1318" s="32" t="s">
        <v>4729</v>
      </c>
      <c r="D1318" s="32" t="s">
        <v>4730</v>
      </c>
      <c r="E1318" s="32" t="s">
        <v>4731</v>
      </c>
      <c r="F1318" s="32" t="s">
        <v>4732</v>
      </c>
      <c r="G1318" s="32" t="s">
        <v>4606</v>
      </c>
      <c r="H1318" s="32" t="s">
        <v>4607</v>
      </c>
      <c r="I1318" s="32" t="s">
        <v>198</v>
      </c>
      <c r="J1318" s="32" t="s">
        <v>199</v>
      </c>
      <c r="K1318" s="32">
        <v>2.2631890000000001</v>
      </c>
      <c r="L1318" s="33">
        <v>1920</v>
      </c>
      <c r="M1318" s="32">
        <v>378</v>
      </c>
      <c r="N1318" s="32">
        <v>289</v>
      </c>
      <c r="O1318" s="32">
        <v>587</v>
      </c>
      <c r="P1318" s="32">
        <v>442</v>
      </c>
      <c r="Q1318" s="32">
        <v>224</v>
      </c>
      <c r="R1318" s="32">
        <v>2</v>
      </c>
      <c r="S1318" s="32">
        <v>14.041</v>
      </c>
      <c r="T1318" s="32">
        <v>6.6673799999999996</v>
      </c>
      <c r="U1318" s="32">
        <v>0.82324770700000005</v>
      </c>
      <c r="V1318" s="32">
        <v>6</v>
      </c>
      <c r="W1318" s="32">
        <v>0.90924000000000005</v>
      </c>
      <c r="X1318" s="32">
        <v>0.27401799999999998</v>
      </c>
      <c r="Y1318" s="32">
        <v>0.8</v>
      </c>
      <c r="Z1318" s="32">
        <v>0.30149500000000001</v>
      </c>
      <c r="AA1318" s="32">
        <v>74.5</v>
      </c>
      <c r="AB1318" s="32">
        <v>543</v>
      </c>
      <c r="AC1318" s="32">
        <v>14</v>
      </c>
      <c r="AD1318" s="32">
        <v>33</v>
      </c>
      <c r="AE1318" s="32">
        <v>0</v>
      </c>
      <c r="AF1318" s="32">
        <v>0</v>
      </c>
      <c r="AG1318" s="32" t="s">
        <v>200</v>
      </c>
    </row>
    <row r="1319" spans="1:33">
      <c r="A1319" s="32" t="s">
        <v>4733</v>
      </c>
      <c r="B1319" s="32" t="s">
        <v>127</v>
      </c>
      <c r="C1319" s="32" t="s">
        <v>4734</v>
      </c>
      <c r="D1319" s="32" t="s">
        <v>4735</v>
      </c>
      <c r="E1319" s="32" t="s">
        <v>4712</v>
      </c>
      <c r="F1319" s="32" t="s">
        <v>4713</v>
      </c>
      <c r="G1319" s="32" t="s">
        <v>4606</v>
      </c>
      <c r="H1319" s="32" t="s">
        <v>4607</v>
      </c>
      <c r="I1319" s="32" t="s">
        <v>198</v>
      </c>
      <c r="J1319" s="32" t="s">
        <v>199</v>
      </c>
      <c r="K1319" s="32">
        <v>2.3389609999999998</v>
      </c>
      <c r="L1319" s="33">
        <v>1785</v>
      </c>
      <c r="M1319" s="32">
        <v>358</v>
      </c>
      <c r="N1319" s="32">
        <v>309</v>
      </c>
      <c r="O1319" s="32">
        <v>469</v>
      </c>
      <c r="P1319" s="32">
        <v>406</v>
      </c>
      <c r="Q1319" s="32">
        <v>243</v>
      </c>
      <c r="R1319" s="32" t="s">
        <v>225</v>
      </c>
      <c r="S1319" s="32">
        <v>12.098699999999999</v>
      </c>
      <c r="T1319" s="32">
        <v>0</v>
      </c>
      <c r="U1319" s="32">
        <v>0.850185419</v>
      </c>
      <c r="V1319" s="32">
        <v>5</v>
      </c>
      <c r="W1319" s="32">
        <v>0.82317200000000001</v>
      </c>
      <c r="X1319" s="32">
        <v>0.29259299999999999</v>
      </c>
      <c r="Y1319" s="32">
        <v>0.9</v>
      </c>
      <c r="Z1319" s="32">
        <v>0.32525599999999999</v>
      </c>
      <c r="AA1319" s="32">
        <v>82</v>
      </c>
      <c r="AB1319" s="32">
        <v>748</v>
      </c>
      <c r="AC1319" s="32">
        <v>21</v>
      </c>
      <c r="AD1319" s="32">
        <v>41</v>
      </c>
      <c r="AE1319" s="32" t="s">
        <v>200</v>
      </c>
      <c r="AF1319" s="32">
        <v>0</v>
      </c>
      <c r="AG1319" s="32" t="s">
        <v>200</v>
      </c>
    </row>
    <row r="1320" spans="1:33">
      <c r="A1320" s="32" t="s">
        <v>4736</v>
      </c>
      <c r="B1320" s="32" t="s">
        <v>127</v>
      </c>
      <c r="C1320" s="32" t="s">
        <v>4737</v>
      </c>
      <c r="D1320" s="32" t="s">
        <v>4738</v>
      </c>
      <c r="E1320" s="32" t="s">
        <v>4731</v>
      </c>
      <c r="F1320" s="32" t="s">
        <v>4732</v>
      </c>
      <c r="G1320" s="32" t="s">
        <v>4606</v>
      </c>
      <c r="H1320" s="32" t="s">
        <v>4607</v>
      </c>
      <c r="I1320" s="32" t="s">
        <v>198</v>
      </c>
      <c r="J1320" s="32" t="s">
        <v>199</v>
      </c>
      <c r="K1320" s="32">
        <v>2.024632</v>
      </c>
      <c r="L1320" s="33">
        <v>1780</v>
      </c>
      <c r="M1320" s="32">
        <v>325</v>
      </c>
      <c r="N1320" s="32">
        <v>299</v>
      </c>
      <c r="O1320" s="32">
        <v>488</v>
      </c>
      <c r="P1320" s="32">
        <v>411</v>
      </c>
      <c r="Q1320" s="32">
        <v>257</v>
      </c>
      <c r="R1320" s="32">
        <v>3</v>
      </c>
      <c r="S1320" s="32">
        <v>26.938700000000001</v>
      </c>
      <c r="T1320" s="32">
        <v>5.4512700000000001</v>
      </c>
      <c r="U1320" s="32">
        <v>0.92679017500000005</v>
      </c>
      <c r="V1320" s="32">
        <v>6</v>
      </c>
      <c r="W1320" s="32">
        <v>0.88584600000000002</v>
      </c>
      <c r="X1320" s="32">
        <v>0</v>
      </c>
      <c r="Y1320" s="32">
        <v>0.8</v>
      </c>
      <c r="Z1320" s="32">
        <v>0.33717900000000001</v>
      </c>
      <c r="AA1320" s="32">
        <v>74.3</v>
      </c>
      <c r="AB1320" s="32">
        <v>578</v>
      </c>
      <c r="AC1320" s="32">
        <v>24</v>
      </c>
      <c r="AD1320" s="32">
        <v>25</v>
      </c>
      <c r="AE1320" s="32">
        <v>0</v>
      </c>
      <c r="AF1320" s="32" t="s">
        <v>200</v>
      </c>
      <c r="AG1320" s="32" t="s">
        <v>200</v>
      </c>
    </row>
    <row r="1321" spans="1:33">
      <c r="A1321" s="32" t="s">
        <v>4739</v>
      </c>
      <c r="B1321" s="32" t="s">
        <v>127</v>
      </c>
      <c r="C1321" s="32" t="s">
        <v>4740</v>
      </c>
      <c r="D1321" s="32" t="s">
        <v>4741</v>
      </c>
      <c r="E1321" s="32" t="s">
        <v>4731</v>
      </c>
      <c r="F1321" s="32" t="s">
        <v>4732</v>
      </c>
      <c r="G1321" s="32" t="s">
        <v>4606</v>
      </c>
      <c r="H1321" s="32" t="s">
        <v>4607</v>
      </c>
      <c r="I1321" s="32" t="s">
        <v>198</v>
      </c>
      <c r="J1321" s="32" t="s">
        <v>199</v>
      </c>
      <c r="K1321" s="32">
        <v>2.1971210000000001</v>
      </c>
      <c r="L1321" s="33">
        <v>1945</v>
      </c>
      <c r="M1321" s="32">
        <v>367</v>
      </c>
      <c r="N1321" s="32">
        <v>333</v>
      </c>
      <c r="O1321" s="32">
        <v>644</v>
      </c>
      <c r="P1321" s="32">
        <v>402</v>
      </c>
      <c r="Q1321" s="32">
        <v>199</v>
      </c>
      <c r="R1321" s="32">
        <v>4</v>
      </c>
      <c r="S1321" s="32">
        <v>30.366499999999998</v>
      </c>
      <c r="T1321" s="32">
        <v>8.4852000000000007</v>
      </c>
      <c r="U1321" s="32">
        <v>0.86326013499999998</v>
      </c>
      <c r="V1321" s="32">
        <v>5</v>
      </c>
      <c r="W1321" s="32">
        <v>0.87802999999999998</v>
      </c>
      <c r="X1321" s="32">
        <v>3.7920000000000002E-2</v>
      </c>
      <c r="Y1321" s="32">
        <v>0.8</v>
      </c>
      <c r="Z1321" s="32">
        <v>0.48254900000000001</v>
      </c>
      <c r="AA1321" s="32">
        <v>82.1</v>
      </c>
      <c r="AB1321" s="32">
        <v>479</v>
      </c>
      <c r="AC1321" s="32">
        <v>27</v>
      </c>
      <c r="AD1321" s="32">
        <v>27</v>
      </c>
      <c r="AE1321" s="32">
        <v>0</v>
      </c>
      <c r="AF1321" s="32" t="s">
        <v>200</v>
      </c>
      <c r="AG1321" s="32">
        <v>0</v>
      </c>
    </row>
    <row r="1322" spans="1:33">
      <c r="A1322" s="32" t="s">
        <v>4742</v>
      </c>
      <c r="B1322" s="32" t="s">
        <v>127</v>
      </c>
      <c r="C1322" s="32" t="s">
        <v>4743</v>
      </c>
      <c r="D1322" s="32" t="s">
        <v>4744</v>
      </c>
      <c r="E1322" s="32" t="s">
        <v>4699</v>
      </c>
      <c r="F1322" s="32" t="s">
        <v>4700</v>
      </c>
      <c r="G1322" s="32" t="s">
        <v>4606</v>
      </c>
      <c r="H1322" s="32" t="s">
        <v>4607</v>
      </c>
      <c r="I1322" s="32" t="s">
        <v>198</v>
      </c>
      <c r="J1322" s="32" t="s">
        <v>199</v>
      </c>
      <c r="K1322" s="32">
        <v>2.0975389999999998</v>
      </c>
      <c r="L1322" s="33">
        <v>1969</v>
      </c>
      <c r="M1322" s="32">
        <v>365</v>
      </c>
      <c r="N1322" s="32">
        <v>308</v>
      </c>
      <c r="O1322" s="32">
        <v>572</v>
      </c>
      <c r="P1322" s="32">
        <v>465</v>
      </c>
      <c r="Q1322" s="32">
        <v>259</v>
      </c>
      <c r="R1322" s="32">
        <v>2</v>
      </c>
      <c r="S1322" s="32">
        <v>22.0398</v>
      </c>
      <c r="T1322" s="32">
        <v>1.92906</v>
      </c>
      <c r="U1322" s="32">
        <v>0.96063107000000003</v>
      </c>
      <c r="V1322" s="32">
        <v>6</v>
      </c>
      <c r="W1322" s="32">
        <v>0.81683899999999998</v>
      </c>
      <c r="X1322" s="32">
        <v>7.2329000000000004E-2</v>
      </c>
      <c r="Y1322" s="32">
        <v>0.80900799999999995</v>
      </c>
      <c r="Z1322" s="32">
        <v>0.402335</v>
      </c>
      <c r="AA1322" s="32">
        <v>87.1</v>
      </c>
      <c r="AB1322" s="32">
        <v>646</v>
      </c>
      <c r="AC1322" s="32">
        <v>9</v>
      </c>
      <c r="AD1322" s="32">
        <v>36</v>
      </c>
      <c r="AE1322" s="32">
        <v>0</v>
      </c>
      <c r="AF1322" s="32" t="s">
        <v>200</v>
      </c>
      <c r="AG1322" s="32" t="s">
        <v>200</v>
      </c>
    </row>
    <row r="1323" spans="1:33">
      <c r="A1323" s="32" t="s">
        <v>4745</v>
      </c>
      <c r="B1323" s="32" t="s">
        <v>127</v>
      </c>
      <c r="C1323" s="32" t="s">
        <v>4746</v>
      </c>
      <c r="D1323" s="32" t="s">
        <v>4747</v>
      </c>
      <c r="E1323" s="32" t="s">
        <v>4731</v>
      </c>
      <c r="F1323" s="32" t="s">
        <v>4732</v>
      </c>
      <c r="G1323" s="32" t="s">
        <v>4606</v>
      </c>
      <c r="H1323" s="32" t="s">
        <v>4607</v>
      </c>
      <c r="I1323" s="32" t="s">
        <v>198</v>
      </c>
      <c r="J1323" s="32" t="s">
        <v>199</v>
      </c>
      <c r="K1323" s="32">
        <v>2.0313279999999998</v>
      </c>
      <c r="L1323" s="33">
        <v>1911</v>
      </c>
      <c r="M1323" s="32">
        <v>420</v>
      </c>
      <c r="N1323" s="32">
        <v>256</v>
      </c>
      <c r="O1323" s="32">
        <v>563</v>
      </c>
      <c r="P1323" s="32">
        <v>412</v>
      </c>
      <c r="Q1323" s="32">
        <v>260</v>
      </c>
      <c r="R1323" s="32">
        <v>2</v>
      </c>
      <c r="S1323" s="32">
        <v>11.9693</v>
      </c>
      <c r="T1323" s="32">
        <v>1.7240899999999999</v>
      </c>
      <c r="U1323" s="32">
        <v>0.92795444100000002</v>
      </c>
      <c r="V1323" s="32">
        <v>6</v>
      </c>
      <c r="W1323" s="32">
        <v>0.88295699999999999</v>
      </c>
      <c r="X1323" s="32">
        <v>0.103113</v>
      </c>
      <c r="Y1323" s="32">
        <v>0.8</v>
      </c>
      <c r="Z1323" s="32">
        <v>0.25895499999999999</v>
      </c>
      <c r="AA1323" s="32">
        <v>59.5</v>
      </c>
      <c r="AB1323" s="32">
        <v>753</v>
      </c>
      <c r="AC1323" s="32">
        <v>16</v>
      </c>
      <c r="AD1323" s="32">
        <v>30</v>
      </c>
      <c r="AE1323" s="32">
        <v>0</v>
      </c>
      <c r="AF1323" s="32" t="s">
        <v>200</v>
      </c>
      <c r="AG1323" s="32">
        <v>0</v>
      </c>
    </row>
    <row r="1324" spans="1:33">
      <c r="A1324" s="32" t="s">
        <v>4748</v>
      </c>
      <c r="B1324" s="32" t="s">
        <v>127</v>
      </c>
      <c r="C1324" s="32" t="s">
        <v>4749</v>
      </c>
      <c r="D1324" s="32" t="s">
        <v>4750</v>
      </c>
      <c r="E1324" s="32" t="s">
        <v>4751</v>
      </c>
      <c r="F1324" s="32" t="s">
        <v>4752</v>
      </c>
      <c r="G1324" s="32" t="s">
        <v>4606</v>
      </c>
      <c r="H1324" s="32" t="s">
        <v>4607</v>
      </c>
      <c r="I1324" s="32" t="s">
        <v>198</v>
      </c>
      <c r="J1324" s="32" t="s">
        <v>199</v>
      </c>
      <c r="K1324" s="32">
        <v>2.1617850000000001</v>
      </c>
      <c r="L1324" s="33">
        <v>2521</v>
      </c>
      <c r="M1324" s="32">
        <v>575</v>
      </c>
      <c r="N1324" s="32">
        <v>449</v>
      </c>
      <c r="O1324" s="32">
        <v>656</v>
      </c>
      <c r="P1324" s="32">
        <v>546</v>
      </c>
      <c r="Q1324" s="32">
        <v>295</v>
      </c>
      <c r="R1324" s="32">
        <v>2</v>
      </c>
      <c r="S1324" s="32">
        <v>16.0748</v>
      </c>
      <c r="T1324" s="32">
        <v>5.2308000000000003</v>
      </c>
      <c r="U1324" s="32">
        <v>0.81371169799999998</v>
      </c>
      <c r="V1324" s="32">
        <v>7</v>
      </c>
      <c r="W1324" s="32">
        <v>0.90114399999999995</v>
      </c>
      <c r="X1324" s="32">
        <v>0.106865</v>
      </c>
      <c r="Y1324" s="32">
        <v>0.8</v>
      </c>
      <c r="Z1324" s="32">
        <v>0.35119499999999998</v>
      </c>
      <c r="AA1324" s="32">
        <v>50.3</v>
      </c>
      <c r="AB1324" s="32">
        <v>955</v>
      </c>
      <c r="AC1324" s="32">
        <v>37</v>
      </c>
      <c r="AD1324" s="32">
        <v>37</v>
      </c>
      <c r="AE1324" s="32">
        <v>0</v>
      </c>
      <c r="AF1324" s="32">
        <v>0</v>
      </c>
      <c r="AG1324" s="32" t="s">
        <v>200</v>
      </c>
    </row>
    <row r="1325" spans="1:33">
      <c r="A1325" s="32" t="s">
        <v>4753</v>
      </c>
      <c r="B1325" s="32" t="s">
        <v>127</v>
      </c>
      <c r="C1325" s="32" t="s">
        <v>4754</v>
      </c>
      <c r="D1325" s="32" t="s">
        <v>4755</v>
      </c>
      <c r="E1325" s="32" t="s">
        <v>4731</v>
      </c>
      <c r="F1325" s="32" t="s">
        <v>4732</v>
      </c>
      <c r="G1325" s="32" t="s">
        <v>4606</v>
      </c>
      <c r="H1325" s="32" t="s">
        <v>4607</v>
      </c>
      <c r="I1325" s="32" t="s">
        <v>198</v>
      </c>
      <c r="J1325" s="32" t="s">
        <v>199</v>
      </c>
      <c r="K1325" s="32">
        <v>2.1469040000000001</v>
      </c>
      <c r="L1325" s="33">
        <v>1590</v>
      </c>
      <c r="M1325" s="32">
        <v>228</v>
      </c>
      <c r="N1325" s="32">
        <v>245</v>
      </c>
      <c r="O1325" s="32">
        <v>400</v>
      </c>
      <c r="P1325" s="32">
        <v>373</v>
      </c>
      <c r="Q1325" s="32">
        <v>344</v>
      </c>
      <c r="R1325" s="32" t="s">
        <v>225</v>
      </c>
      <c r="S1325" s="32">
        <v>14.2204</v>
      </c>
      <c r="T1325" s="32">
        <v>0</v>
      </c>
      <c r="U1325" s="32">
        <v>0.86880885699999999</v>
      </c>
      <c r="V1325" s="32">
        <v>6</v>
      </c>
      <c r="W1325" s="32">
        <v>0.82304100000000002</v>
      </c>
      <c r="X1325" s="32">
        <v>0.26194200000000001</v>
      </c>
      <c r="Y1325" s="32">
        <v>0.86580400000000002</v>
      </c>
      <c r="Z1325" s="32">
        <v>0.193574</v>
      </c>
      <c r="AA1325" s="32">
        <v>70.599999999999994</v>
      </c>
      <c r="AB1325" s="32">
        <v>771</v>
      </c>
      <c r="AC1325" s="32">
        <v>22</v>
      </c>
      <c r="AD1325" s="32">
        <v>21</v>
      </c>
      <c r="AE1325" s="32" t="s">
        <v>200</v>
      </c>
      <c r="AF1325" s="32">
        <v>0</v>
      </c>
      <c r="AG1325" s="32" t="s">
        <v>200</v>
      </c>
    </row>
    <row r="1326" spans="1:33">
      <c r="A1326" s="32" t="s">
        <v>4756</v>
      </c>
      <c r="B1326" s="32" t="s">
        <v>127</v>
      </c>
      <c r="C1326" s="32" t="s">
        <v>4757</v>
      </c>
      <c r="D1326" s="32" t="s">
        <v>4758</v>
      </c>
      <c r="E1326" s="32" t="s">
        <v>4751</v>
      </c>
      <c r="F1326" s="32" t="s">
        <v>4752</v>
      </c>
      <c r="G1326" s="32" t="s">
        <v>4606</v>
      </c>
      <c r="H1326" s="32" t="s">
        <v>4607</v>
      </c>
      <c r="I1326" s="32" t="s">
        <v>198</v>
      </c>
      <c r="J1326" s="32" t="s">
        <v>199</v>
      </c>
      <c r="K1326" s="32">
        <v>2.6506769999999999</v>
      </c>
      <c r="L1326" s="33">
        <v>1696</v>
      </c>
      <c r="M1326" s="32">
        <v>309</v>
      </c>
      <c r="N1326" s="32">
        <v>280</v>
      </c>
      <c r="O1326" s="32">
        <v>469</v>
      </c>
      <c r="P1326" s="32">
        <v>378</v>
      </c>
      <c r="Q1326" s="32">
        <v>260</v>
      </c>
      <c r="R1326" s="32">
        <v>2</v>
      </c>
      <c r="S1326" s="32">
        <v>12.2453</v>
      </c>
      <c r="T1326" s="32">
        <v>2.4125000000000001</v>
      </c>
      <c r="U1326" s="32">
        <v>0.56482992499999995</v>
      </c>
      <c r="V1326" s="32">
        <v>7</v>
      </c>
      <c r="W1326" s="32">
        <v>0.90443600000000002</v>
      </c>
      <c r="X1326" s="32">
        <v>0.31368400000000002</v>
      </c>
      <c r="Y1326" s="32">
        <v>0.80347400000000002</v>
      </c>
      <c r="Z1326" s="32">
        <v>0.63684600000000002</v>
      </c>
      <c r="AA1326" s="32">
        <v>51</v>
      </c>
      <c r="AB1326" s="32">
        <v>850</v>
      </c>
      <c r="AC1326" s="32">
        <v>24</v>
      </c>
      <c r="AD1326" s="32">
        <v>70</v>
      </c>
      <c r="AE1326" s="32">
        <v>8</v>
      </c>
      <c r="AF1326" s="32" t="s">
        <v>200</v>
      </c>
      <c r="AG1326" s="32">
        <v>13</v>
      </c>
    </row>
    <row r="1327" spans="1:33">
      <c r="A1327" s="32" t="s">
        <v>4759</v>
      </c>
      <c r="B1327" s="32" t="s">
        <v>127</v>
      </c>
      <c r="C1327" s="32" t="s">
        <v>4760</v>
      </c>
      <c r="D1327" s="32" t="s">
        <v>4761</v>
      </c>
      <c r="E1327" s="32" t="s">
        <v>4751</v>
      </c>
      <c r="F1327" s="32" t="s">
        <v>4752</v>
      </c>
      <c r="G1327" s="32" t="s">
        <v>4606</v>
      </c>
      <c r="H1327" s="32" t="s">
        <v>4607</v>
      </c>
      <c r="I1327" s="32" t="s">
        <v>198</v>
      </c>
      <c r="J1327" s="32" t="s">
        <v>199</v>
      </c>
      <c r="K1327" s="32">
        <v>2.1527729999999998</v>
      </c>
      <c r="L1327" s="33">
        <v>1914</v>
      </c>
      <c r="M1327" s="32">
        <v>360</v>
      </c>
      <c r="N1327" s="32">
        <v>368</v>
      </c>
      <c r="O1327" s="32">
        <v>494</v>
      </c>
      <c r="P1327" s="32">
        <v>472</v>
      </c>
      <c r="Q1327" s="32">
        <v>220</v>
      </c>
      <c r="R1327" s="32">
        <v>3</v>
      </c>
      <c r="S1327" s="32">
        <v>15.545500000000001</v>
      </c>
      <c r="T1327" s="32">
        <v>5.4919700000000002</v>
      </c>
      <c r="U1327" s="32">
        <v>0.87237278200000001</v>
      </c>
      <c r="V1327" s="32">
        <v>6</v>
      </c>
      <c r="W1327" s="32">
        <v>0.88856199999999996</v>
      </c>
      <c r="X1327" s="32">
        <v>0.16284699999999999</v>
      </c>
      <c r="Y1327" s="32">
        <v>0.82172400000000001</v>
      </c>
      <c r="Z1327" s="32">
        <v>0.275752</v>
      </c>
      <c r="AA1327" s="32">
        <v>51.4</v>
      </c>
      <c r="AB1327" s="32">
        <v>773</v>
      </c>
      <c r="AC1327" s="32">
        <v>30</v>
      </c>
      <c r="AD1327" s="32">
        <v>91</v>
      </c>
      <c r="AE1327" s="32">
        <v>6</v>
      </c>
      <c r="AF1327" s="32" t="s">
        <v>200</v>
      </c>
      <c r="AG1327" s="32" t="s">
        <v>200</v>
      </c>
    </row>
    <row r="1328" spans="1:33">
      <c r="A1328" s="32" t="s">
        <v>4762</v>
      </c>
      <c r="B1328" s="32" t="s">
        <v>127</v>
      </c>
      <c r="C1328" s="32" t="s">
        <v>4763</v>
      </c>
      <c r="D1328" s="32" t="s">
        <v>4764</v>
      </c>
      <c r="E1328" s="32" t="s">
        <v>4685</v>
      </c>
      <c r="F1328" s="32" t="s">
        <v>4686</v>
      </c>
      <c r="G1328" s="32" t="s">
        <v>4606</v>
      </c>
      <c r="H1328" s="32" t="s">
        <v>4607</v>
      </c>
      <c r="I1328" s="32" t="s">
        <v>198</v>
      </c>
      <c r="J1328" s="32" t="s">
        <v>199</v>
      </c>
      <c r="K1328" s="32">
        <v>2.702359</v>
      </c>
      <c r="L1328" s="33">
        <v>2707</v>
      </c>
      <c r="M1328" s="32">
        <v>518</v>
      </c>
      <c r="N1328" s="32">
        <v>453</v>
      </c>
      <c r="O1328" s="32">
        <v>745</v>
      </c>
      <c r="P1328" s="32">
        <v>630</v>
      </c>
      <c r="Q1328" s="32">
        <v>361</v>
      </c>
      <c r="R1328" s="32">
        <v>3</v>
      </c>
      <c r="S1328" s="32">
        <v>18.812799999999999</v>
      </c>
      <c r="T1328" s="32">
        <v>7.4244700000000003</v>
      </c>
      <c r="U1328" s="32">
        <v>0.71486210800000005</v>
      </c>
      <c r="V1328" s="32">
        <v>4</v>
      </c>
      <c r="W1328" s="32">
        <v>0.91007300000000002</v>
      </c>
      <c r="X1328" s="32">
        <v>0.31785099999999999</v>
      </c>
      <c r="Y1328" s="32">
        <v>0.8</v>
      </c>
      <c r="Z1328" s="32">
        <v>0.68262100000000003</v>
      </c>
      <c r="AA1328" s="32">
        <v>31.8</v>
      </c>
      <c r="AB1328" s="32">
        <v>985</v>
      </c>
      <c r="AC1328" s="32">
        <v>68</v>
      </c>
      <c r="AD1328" s="32">
        <v>79</v>
      </c>
      <c r="AE1328" s="32">
        <v>11</v>
      </c>
      <c r="AF1328" s="32" t="s">
        <v>200</v>
      </c>
      <c r="AG1328" s="32">
        <v>6</v>
      </c>
    </row>
    <row r="1329" spans="1:33">
      <c r="A1329" s="32" t="s">
        <v>4765</v>
      </c>
      <c r="B1329" s="32" t="s">
        <v>128</v>
      </c>
      <c r="C1329" s="32" t="s">
        <v>4766</v>
      </c>
      <c r="D1329" s="32" t="s">
        <v>4767</v>
      </c>
      <c r="E1329" s="32" t="s">
        <v>4768</v>
      </c>
      <c r="F1329" s="32" t="s">
        <v>4769</v>
      </c>
      <c r="G1329" s="32" t="s">
        <v>300</v>
      </c>
      <c r="H1329" s="32" t="s">
        <v>301</v>
      </c>
      <c r="I1329" s="32" t="s">
        <v>198</v>
      </c>
      <c r="J1329" s="32" t="s">
        <v>199</v>
      </c>
      <c r="K1329" s="32">
        <v>2.9041980000000001</v>
      </c>
      <c r="L1329" s="33">
        <v>2403</v>
      </c>
      <c r="M1329" s="32">
        <v>276</v>
      </c>
      <c r="N1329" s="32">
        <v>459</v>
      </c>
      <c r="O1329" s="32">
        <v>774</v>
      </c>
      <c r="P1329" s="32">
        <v>610</v>
      </c>
      <c r="Q1329" s="32">
        <v>284</v>
      </c>
      <c r="R1329" s="32">
        <v>5</v>
      </c>
      <c r="S1329" s="32">
        <v>67.709699999999998</v>
      </c>
      <c r="T1329" s="32">
        <v>3.39655</v>
      </c>
      <c r="U1329" s="32">
        <v>0.38457555599999999</v>
      </c>
      <c r="V1329" s="32">
        <v>8</v>
      </c>
      <c r="W1329" s="32">
        <v>0.99171200000000004</v>
      </c>
      <c r="X1329" s="32">
        <v>0.218554</v>
      </c>
      <c r="Y1329" s="32">
        <v>0.7</v>
      </c>
      <c r="Z1329" s="32">
        <v>1</v>
      </c>
      <c r="AA1329" s="32">
        <v>23.8</v>
      </c>
      <c r="AB1329" s="32">
        <v>463</v>
      </c>
      <c r="AC1329" s="32">
        <v>27</v>
      </c>
      <c r="AD1329" s="32">
        <v>18</v>
      </c>
      <c r="AE1329" s="32" t="s">
        <v>200</v>
      </c>
      <c r="AF1329" s="32">
        <v>0</v>
      </c>
      <c r="AG1329" s="32">
        <v>7</v>
      </c>
    </row>
    <row r="1330" spans="1:33">
      <c r="A1330" s="32" t="s">
        <v>4770</v>
      </c>
      <c r="B1330" s="32" t="s">
        <v>128</v>
      </c>
      <c r="C1330" s="32" t="s">
        <v>4771</v>
      </c>
      <c r="D1330" s="32" t="s">
        <v>4772</v>
      </c>
      <c r="E1330" s="32" t="s">
        <v>4773</v>
      </c>
      <c r="F1330" s="32" t="s">
        <v>4774</v>
      </c>
      <c r="G1330" s="32" t="s">
        <v>300</v>
      </c>
      <c r="H1330" s="32" t="s">
        <v>301</v>
      </c>
      <c r="I1330" s="32" t="s">
        <v>198</v>
      </c>
      <c r="J1330" s="32" t="s">
        <v>199</v>
      </c>
      <c r="K1330" s="32">
        <v>3.0536469999999998</v>
      </c>
      <c r="L1330" s="33">
        <v>2222</v>
      </c>
      <c r="M1330" s="32">
        <v>380</v>
      </c>
      <c r="N1330" s="32">
        <v>529</v>
      </c>
      <c r="O1330" s="32">
        <v>756</v>
      </c>
      <c r="P1330" s="32">
        <v>420</v>
      </c>
      <c r="Q1330" s="32">
        <v>137</v>
      </c>
      <c r="R1330" s="32" t="s">
        <v>302</v>
      </c>
      <c r="S1330" s="32">
        <v>49.5625</v>
      </c>
      <c r="T1330" s="32">
        <v>5.2104600000000003</v>
      </c>
      <c r="U1330" s="32">
        <v>0.50406600800000001</v>
      </c>
      <c r="V1330" s="32">
        <v>5</v>
      </c>
      <c r="W1330" s="32">
        <v>0.99854100000000001</v>
      </c>
      <c r="X1330" s="32">
        <v>0.37376999999999999</v>
      </c>
      <c r="Y1330" s="32">
        <v>0.69213100000000005</v>
      </c>
      <c r="Z1330" s="32">
        <v>1</v>
      </c>
      <c r="AA1330" s="32">
        <v>40.299999999999997</v>
      </c>
      <c r="AB1330" s="32">
        <v>347</v>
      </c>
      <c r="AC1330" s="32">
        <v>25</v>
      </c>
      <c r="AD1330" s="32">
        <v>19</v>
      </c>
      <c r="AE1330" s="32">
        <v>0</v>
      </c>
      <c r="AF1330" s="32">
        <v>0</v>
      </c>
      <c r="AG1330" s="32">
        <v>9</v>
      </c>
    </row>
    <row r="1331" spans="1:33">
      <c r="A1331" s="32" t="s">
        <v>4775</v>
      </c>
      <c r="B1331" s="32" t="s">
        <v>128</v>
      </c>
      <c r="C1331" s="32" t="s">
        <v>4776</v>
      </c>
      <c r="D1331" s="32" t="s">
        <v>4777</v>
      </c>
      <c r="E1331" s="32" t="s">
        <v>4773</v>
      </c>
      <c r="F1331" s="32" t="s">
        <v>4774</v>
      </c>
      <c r="G1331" s="32" t="s">
        <v>300</v>
      </c>
      <c r="H1331" s="32" t="s">
        <v>301</v>
      </c>
      <c r="I1331" s="32" t="s">
        <v>198</v>
      </c>
      <c r="J1331" s="32" t="s">
        <v>199</v>
      </c>
      <c r="K1331" s="32">
        <v>3.0021369999999998</v>
      </c>
      <c r="L1331" s="33">
        <v>1925</v>
      </c>
      <c r="M1331" s="32">
        <v>593</v>
      </c>
      <c r="N1331" s="32">
        <v>344</v>
      </c>
      <c r="O1331" s="32">
        <v>597</v>
      </c>
      <c r="P1331" s="32">
        <v>270</v>
      </c>
      <c r="Q1331" s="32">
        <v>121</v>
      </c>
      <c r="R1331" s="32">
        <v>4</v>
      </c>
      <c r="S1331" s="32">
        <v>26.7562</v>
      </c>
      <c r="T1331" s="32">
        <v>5.9340400000000004</v>
      </c>
      <c r="U1331" s="32">
        <v>0.86405773200000002</v>
      </c>
      <c r="V1331" s="32">
        <v>3</v>
      </c>
      <c r="W1331" s="32">
        <v>1</v>
      </c>
      <c r="X1331" s="32">
        <v>0.38925599999999999</v>
      </c>
      <c r="Y1331" s="32">
        <v>0.60836800000000002</v>
      </c>
      <c r="Z1331" s="32">
        <v>1</v>
      </c>
      <c r="AA1331" s="32">
        <v>78.900000000000006</v>
      </c>
      <c r="AB1331" s="32">
        <v>249</v>
      </c>
      <c r="AC1331" s="32">
        <v>11</v>
      </c>
      <c r="AD1331" s="32">
        <v>7</v>
      </c>
      <c r="AE1331" s="32">
        <v>0</v>
      </c>
      <c r="AF1331" s="32" t="s">
        <v>200</v>
      </c>
      <c r="AG1331" s="32">
        <v>18</v>
      </c>
    </row>
    <row r="1332" spans="1:33">
      <c r="A1332" s="32" t="s">
        <v>4778</v>
      </c>
      <c r="B1332" s="32" t="s">
        <v>128</v>
      </c>
      <c r="C1332" s="32" t="s">
        <v>4779</v>
      </c>
      <c r="D1332" s="32" t="s">
        <v>4780</v>
      </c>
      <c r="E1332" s="32" t="s">
        <v>4773</v>
      </c>
      <c r="F1332" s="32" t="s">
        <v>4774</v>
      </c>
      <c r="G1332" s="32" t="s">
        <v>300</v>
      </c>
      <c r="H1332" s="32" t="s">
        <v>301</v>
      </c>
      <c r="I1332" s="32" t="s">
        <v>198</v>
      </c>
      <c r="J1332" s="32" t="s">
        <v>199</v>
      </c>
      <c r="K1332" s="32">
        <v>2.6892309999999999</v>
      </c>
      <c r="L1332" s="33">
        <v>2540</v>
      </c>
      <c r="M1332" s="32">
        <v>472</v>
      </c>
      <c r="N1332" s="32">
        <v>539</v>
      </c>
      <c r="O1332" s="32">
        <v>840</v>
      </c>
      <c r="P1332" s="32">
        <v>518</v>
      </c>
      <c r="Q1332" s="32">
        <v>171</v>
      </c>
      <c r="R1332" s="32">
        <v>4</v>
      </c>
      <c r="S1332" s="32">
        <v>23.879899999999999</v>
      </c>
      <c r="T1332" s="32">
        <v>16.110600000000002</v>
      </c>
      <c r="U1332" s="32">
        <v>0.87623009299999999</v>
      </c>
      <c r="V1332" s="32">
        <v>4</v>
      </c>
      <c r="W1332" s="32">
        <v>0.93692299999999995</v>
      </c>
      <c r="X1332" s="32">
        <v>9.2856999999999995E-2</v>
      </c>
      <c r="Y1332" s="32">
        <v>0.68788700000000003</v>
      </c>
      <c r="Z1332" s="32">
        <v>0.98051900000000003</v>
      </c>
      <c r="AA1332" s="32">
        <v>55</v>
      </c>
      <c r="AB1332" s="32">
        <v>952</v>
      </c>
      <c r="AC1332" s="32">
        <v>29</v>
      </c>
      <c r="AD1332" s="32">
        <v>65</v>
      </c>
      <c r="AE1332" s="32">
        <v>0</v>
      </c>
      <c r="AF1332" s="32">
        <v>0</v>
      </c>
      <c r="AG1332" s="32">
        <v>0</v>
      </c>
    </row>
    <row r="1333" spans="1:33">
      <c r="A1333" s="32" t="s">
        <v>4781</v>
      </c>
      <c r="B1333" s="32" t="s">
        <v>128</v>
      </c>
      <c r="C1333" s="32" t="s">
        <v>4782</v>
      </c>
      <c r="D1333" s="32" t="s">
        <v>4783</v>
      </c>
      <c r="E1333" s="32" t="s">
        <v>4768</v>
      </c>
      <c r="F1333" s="32" t="s">
        <v>4769</v>
      </c>
      <c r="G1333" s="32" t="s">
        <v>300</v>
      </c>
      <c r="H1333" s="32" t="s">
        <v>301</v>
      </c>
      <c r="I1333" s="32" t="s">
        <v>198</v>
      </c>
      <c r="J1333" s="32" t="s">
        <v>199</v>
      </c>
      <c r="K1333" s="32">
        <v>2.6319210000000002</v>
      </c>
      <c r="L1333" s="33">
        <v>2079</v>
      </c>
      <c r="M1333" s="32">
        <v>283</v>
      </c>
      <c r="N1333" s="32">
        <v>395</v>
      </c>
      <c r="O1333" s="32">
        <v>691</v>
      </c>
      <c r="P1333" s="32">
        <v>511</v>
      </c>
      <c r="Q1333" s="32">
        <v>199</v>
      </c>
      <c r="R1333" s="32">
        <v>4</v>
      </c>
      <c r="S1333" s="32">
        <v>22.349499999999999</v>
      </c>
      <c r="T1333" s="32">
        <v>14.4086</v>
      </c>
      <c r="U1333" s="32">
        <v>0.54844843499999996</v>
      </c>
      <c r="V1333" s="32">
        <v>8</v>
      </c>
      <c r="W1333" s="32">
        <v>0.91101699999999997</v>
      </c>
      <c r="X1333" s="32">
        <v>6.0845000000000003E-2</v>
      </c>
      <c r="Y1333" s="32">
        <v>0.69252100000000005</v>
      </c>
      <c r="Z1333" s="32">
        <v>0.97882999999999998</v>
      </c>
      <c r="AA1333" s="32">
        <v>24</v>
      </c>
      <c r="AB1333" s="32">
        <v>425</v>
      </c>
      <c r="AC1333" s="32">
        <v>19</v>
      </c>
      <c r="AD1333" s="32">
        <v>12</v>
      </c>
      <c r="AE1333" s="32">
        <v>0</v>
      </c>
      <c r="AF1333" s="32">
        <v>0</v>
      </c>
      <c r="AG1333" s="32">
        <v>0</v>
      </c>
    </row>
    <row r="1334" spans="1:33">
      <c r="A1334" s="32" t="s">
        <v>4784</v>
      </c>
      <c r="B1334" s="32" t="s">
        <v>128</v>
      </c>
      <c r="C1334" s="32" t="s">
        <v>4785</v>
      </c>
      <c r="D1334" s="32" t="s">
        <v>4786</v>
      </c>
      <c r="E1334" s="32" t="s">
        <v>4302</v>
      </c>
      <c r="F1334" s="32" t="s">
        <v>4303</v>
      </c>
      <c r="G1334" s="32" t="s">
        <v>300</v>
      </c>
      <c r="H1334" s="32" t="s">
        <v>301</v>
      </c>
      <c r="I1334" s="32" t="s">
        <v>198</v>
      </c>
      <c r="J1334" s="32" t="s">
        <v>199</v>
      </c>
      <c r="K1334" s="32">
        <v>2.9038219999999999</v>
      </c>
      <c r="L1334" s="33">
        <v>1604</v>
      </c>
      <c r="M1334" s="32">
        <v>392</v>
      </c>
      <c r="N1334" s="32">
        <v>324</v>
      </c>
      <c r="O1334" s="32">
        <v>386</v>
      </c>
      <c r="P1334" s="32">
        <v>319</v>
      </c>
      <c r="Q1334" s="32">
        <v>183</v>
      </c>
      <c r="R1334" s="32" t="s">
        <v>302</v>
      </c>
      <c r="S1334" s="32">
        <v>29.189800000000002</v>
      </c>
      <c r="T1334" s="32">
        <v>22.775099999999998</v>
      </c>
      <c r="U1334" s="32">
        <v>0.932683335</v>
      </c>
      <c r="V1334" s="32">
        <v>2</v>
      </c>
      <c r="W1334" s="32">
        <v>0.95477699999999999</v>
      </c>
      <c r="X1334" s="32">
        <v>0.32075500000000001</v>
      </c>
      <c r="Y1334" s="32">
        <v>0.6</v>
      </c>
      <c r="Z1334" s="32">
        <v>1</v>
      </c>
      <c r="AA1334" s="32">
        <v>66.599999999999994</v>
      </c>
      <c r="AB1334" s="32">
        <v>239</v>
      </c>
      <c r="AC1334" s="32">
        <v>9</v>
      </c>
      <c r="AD1334" s="32">
        <v>5</v>
      </c>
      <c r="AE1334" s="32">
        <v>0</v>
      </c>
      <c r="AF1334" s="32">
        <v>0</v>
      </c>
      <c r="AG1334" s="32">
        <v>6</v>
      </c>
    </row>
    <row r="1335" spans="1:33">
      <c r="A1335" s="32" t="s">
        <v>4787</v>
      </c>
      <c r="B1335" s="32" t="s">
        <v>128</v>
      </c>
      <c r="C1335" s="32" t="s">
        <v>4788</v>
      </c>
      <c r="D1335" s="32" t="s">
        <v>4789</v>
      </c>
      <c r="E1335" s="32" t="s">
        <v>2064</v>
      </c>
      <c r="F1335" s="32" t="s">
        <v>2065</v>
      </c>
      <c r="G1335" s="32" t="s">
        <v>300</v>
      </c>
      <c r="H1335" s="32" t="s">
        <v>301</v>
      </c>
      <c r="I1335" s="32" t="s">
        <v>198</v>
      </c>
      <c r="J1335" s="32" t="s">
        <v>199</v>
      </c>
      <c r="K1335" s="32">
        <v>2.9034219999999999</v>
      </c>
      <c r="L1335" s="33">
        <v>1357</v>
      </c>
      <c r="M1335" s="32">
        <v>336</v>
      </c>
      <c r="N1335" s="32">
        <v>281</v>
      </c>
      <c r="O1335" s="32">
        <v>340</v>
      </c>
      <c r="P1335" s="32">
        <v>301</v>
      </c>
      <c r="Q1335" s="32">
        <v>99</v>
      </c>
      <c r="R1335" s="32" t="s">
        <v>302</v>
      </c>
      <c r="S1335" s="32">
        <v>35.594499999999996</v>
      </c>
      <c r="T1335" s="32">
        <v>20.4742</v>
      </c>
      <c r="U1335" s="32">
        <v>0.98646853899999998</v>
      </c>
      <c r="V1335" s="32">
        <v>2</v>
      </c>
      <c r="W1335" s="32">
        <v>0.98707199999999995</v>
      </c>
      <c r="X1335" s="32">
        <v>0.30393700000000001</v>
      </c>
      <c r="Y1335" s="32">
        <v>0.6</v>
      </c>
      <c r="Z1335" s="32">
        <v>1</v>
      </c>
      <c r="AA1335" s="32">
        <v>74.7</v>
      </c>
      <c r="AB1335" s="32">
        <v>212</v>
      </c>
      <c r="AC1335" s="32">
        <v>9</v>
      </c>
      <c r="AD1335" s="32">
        <v>8</v>
      </c>
      <c r="AE1335" s="32" t="s">
        <v>200</v>
      </c>
      <c r="AF1335" s="32">
        <v>0</v>
      </c>
      <c r="AG1335" s="32" t="s">
        <v>200</v>
      </c>
    </row>
    <row r="1336" spans="1:33">
      <c r="A1336" s="32" t="s">
        <v>4304</v>
      </c>
      <c r="B1336" s="32" t="s">
        <v>128</v>
      </c>
      <c r="C1336" s="32" t="s">
        <v>4305</v>
      </c>
      <c r="D1336" s="32" t="s">
        <v>4306</v>
      </c>
      <c r="E1336" s="32" t="s">
        <v>2064</v>
      </c>
      <c r="F1336" s="32" t="s">
        <v>2065</v>
      </c>
      <c r="G1336" s="32" t="s">
        <v>300</v>
      </c>
      <c r="H1336" s="32" t="s">
        <v>301</v>
      </c>
      <c r="I1336" s="32" t="s">
        <v>198</v>
      </c>
      <c r="J1336" s="32" t="s">
        <v>199</v>
      </c>
      <c r="K1336" s="32">
        <v>2.9091719999999999</v>
      </c>
      <c r="L1336" s="33">
        <v>3239</v>
      </c>
      <c r="M1336" s="32">
        <v>706</v>
      </c>
      <c r="N1336" s="32">
        <v>816</v>
      </c>
      <c r="O1336" s="33">
        <v>1001</v>
      </c>
      <c r="P1336" s="32">
        <v>521</v>
      </c>
      <c r="Q1336" s="32">
        <v>195</v>
      </c>
      <c r="R1336" s="32">
        <v>5</v>
      </c>
      <c r="S1336" s="32">
        <v>27.0318</v>
      </c>
      <c r="T1336" s="32">
        <v>9.7125900000000005</v>
      </c>
      <c r="U1336" s="32">
        <v>0.71320222899999997</v>
      </c>
      <c r="V1336" s="32">
        <v>4</v>
      </c>
      <c r="W1336" s="32">
        <v>0.96183399999999997</v>
      </c>
      <c r="X1336" s="32">
        <v>0.318496</v>
      </c>
      <c r="Y1336" s="32">
        <v>0.62343300000000001</v>
      </c>
      <c r="Z1336" s="32">
        <v>1</v>
      </c>
      <c r="AA1336" s="32">
        <v>55.1</v>
      </c>
      <c r="AB1336" s="32">
        <v>419</v>
      </c>
      <c r="AC1336" s="32">
        <v>27</v>
      </c>
      <c r="AD1336" s="32">
        <v>31</v>
      </c>
      <c r="AE1336" s="32" t="s">
        <v>200</v>
      </c>
      <c r="AF1336" s="32">
        <v>0</v>
      </c>
      <c r="AG1336" s="32">
        <v>43</v>
      </c>
    </row>
    <row r="1337" spans="1:33">
      <c r="A1337" s="32" t="s">
        <v>2066</v>
      </c>
      <c r="B1337" s="32" t="s">
        <v>128</v>
      </c>
      <c r="C1337" s="32" t="s">
        <v>2067</v>
      </c>
      <c r="D1337" s="32" t="s">
        <v>2068</v>
      </c>
      <c r="E1337" s="32" t="s">
        <v>2064</v>
      </c>
      <c r="F1337" s="32" t="s">
        <v>2065</v>
      </c>
      <c r="G1337" s="32" t="s">
        <v>300</v>
      </c>
      <c r="H1337" s="32" t="s">
        <v>301</v>
      </c>
      <c r="I1337" s="32" t="s">
        <v>198</v>
      </c>
      <c r="J1337" s="32" t="s">
        <v>199</v>
      </c>
      <c r="K1337" s="32">
        <v>3.0197449999999999</v>
      </c>
      <c r="L1337" s="33">
        <v>1564</v>
      </c>
      <c r="M1337" s="32">
        <v>231</v>
      </c>
      <c r="N1337" s="32">
        <v>363</v>
      </c>
      <c r="O1337" s="32">
        <v>538</v>
      </c>
      <c r="P1337" s="32">
        <v>349</v>
      </c>
      <c r="Q1337" s="32">
        <v>83</v>
      </c>
      <c r="R1337" s="32">
        <v>5</v>
      </c>
      <c r="S1337" s="32">
        <v>28.9071</v>
      </c>
      <c r="T1337" s="32">
        <v>18.386299999999999</v>
      </c>
      <c r="U1337" s="32">
        <v>0.51614761099999995</v>
      </c>
      <c r="V1337" s="32">
        <v>5</v>
      </c>
      <c r="W1337" s="32">
        <v>0.99585999999999997</v>
      </c>
      <c r="X1337" s="32">
        <v>0.48580400000000001</v>
      </c>
      <c r="Y1337" s="32">
        <v>0.6</v>
      </c>
      <c r="Z1337" s="32">
        <v>0.98089199999999999</v>
      </c>
      <c r="AA1337" s="32">
        <v>46.8</v>
      </c>
      <c r="AB1337" s="32">
        <v>249</v>
      </c>
      <c r="AC1337" s="32">
        <v>42</v>
      </c>
      <c r="AD1337" s="32">
        <v>6</v>
      </c>
      <c r="AE1337" s="32">
        <v>0</v>
      </c>
      <c r="AF1337" s="32">
        <v>0</v>
      </c>
      <c r="AG1337" s="32" t="s">
        <v>200</v>
      </c>
    </row>
    <row r="1338" spans="1:33">
      <c r="A1338" s="32" t="s">
        <v>4790</v>
      </c>
      <c r="B1338" s="32" t="s">
        <v>129</v>
      </c>
      <c r="C1338" s="32" t="s">
        <v>4791</v>
      </c>
      <c r="D1338" s="32" t="s">
        <v>4792</v>
      </c>
      <c r="E1338" s="32" t="s">
        <v>4793</v>
      </c>
      <c r="F1338" s="32" t="s">
        <v>4794</v>
      </c>
      <c r="G1338" s="32" t="s">
        <v>4795</v>
      </c>
      <c r="H1338" s="32" t="s">
        <v>4796</v>
      </c>
      <c r="I1338" s="32" t="s">
        <v>198</v>
      </c>
      <c r="J1338" s="32" t="s">
        <v>199</v>
      </c>
      <c r="K1338" s="32">
        <v>2.639891</v>
      </c>
      <c r="L1338" s="33">
        <v>2047</v>
      </c>
      <c r="M1338" s="32">
        <v>456</v>
      </c>
      <c r="N1338" s="32">
        <v>345</v>
      </c>
      <c r="O1338" s="32">
        <v>598</v>
      </c>
      <c r="P1338" s="32">
        <v>485</v>
      </c>
      <c r="Q1338" s="32">
        <v>163</v>
      </c>
      <c r="R1338" s="32">
        <v>2</v>
      </c>
      <c r="S1338" s="32">
        <v>20.158000000000001</v>
      </c>
      <c r="T1338" s="32">
        <v>0</v>
      </c>
      <c r="U1338" s="32">
        <v>0.65934987599999995</v>
      </c>
      <c r="V1338" s="32">
        <v>5</v>
      </c>
      <c r="W1338" s="32">
        <v>0.82306299999999999</v>
      </c>
      <c r="X1338" s="32">
        <v>0.42272900000000002</v>
      </c>
      <c r="Y1338" s="32">
        <v>0.87825699999999995</v>
      </c>
      <c r="Z1338" s="32">
        <v>0.51636700000000002</v>
      </c>
      <c r="AA1338" s="32">
        <v>69.599999999999994</v>
      </c>
      <c r="AB1338" s="32">
        <v>791</v>
      </c>
      <c r="AC1338" s="32">
        <v>23</v>
      </c>
      <c r="AD1338" s="32">
        <v>130</v>
      </c>
      <c r="AE1338" s="32">
        <v>31</v>
      </c>
      <c r="AF1338" s="32" t="s">
        <v>200</v>
      </c>
      <c r="AG1338" s="32">
        <v>19</v>
      </c>
    </row>
    <row r="1339" spans="1:33">
      <c r="A1339" s="32" t="s">
        <v>4797</v>
      </c>
      <c r="B1339" s="32" t="s">
        <v>129</v>
      </c>
      <c r="C1339" s="32" t="s">
        <v>4798</v>
      </c>
      <c r="D1339" s="32" t="s">
        <v>4799</v>
      </c>
      <c r="E1339" s="32" t="s">
        <v>4800</v>
      </c>
      <c r="F1339" s="32" t="s">
        <v>4801</v>
      </c>
      <c r="G1339" s="32" t="s">
        <v>4795</v>
      </c>
      <c r="H1339" s="32" t="s">
        <v>4796</v>
      </c>
      <c r="I1339" s="32" t="s">
        <v>198</v>
      </c>
      <c r="J1339" s="32" t="s">
        <v>199</v>
      </c>
      <c r="K1339" s="32">
        <v>2.77765</v>
      </c>
      <c r="L1339" s="33">
        <v>2266</v>
      </c>
      <c r="M1339" s="32">
        <v>360</v>
      </c>
      <c r="N1339" s="32">
        <v>391</v>
      </c>
      <c r="O1339" s="32">
        <v>695</v>
      </c>
      <c r="P1339" s="32">
        <v>573</v>
      </c>
      <c r="Q1339" s="32">
        <v>247</v>
      </c>
      <c r="R1339" s="32" t="s">
        <v>225</v>
      </c>
      <c r="S1339" s="32">
        <v>28.723500000000001</v>
      </c>
      <c r="T1339" s="32">
        <v>0</v>
      </c>
      <c r="U1339" s="32">
        <v>0.63467351900000002</v>
      </c>
      <c r="V1339" s="32">
        <v>4</v>
      </c>
      <c r="W1339" s="32">
        <v>0.82101299999999999</v>
      </c>
      <c r="X1339" s="32">
        <v>0.31345899999999999</v>
      </c>
      <c r="Y1339" s="32">
        <v>0.87710500000000002</v>
      </c>
      <c r="Z1339" s="32">
        <v>0.76575099999999996</v>
      </c>
      <c r="AA1339" s="32">
        <v>48.2</v>
      </c>
      <c r="AB1339" s="32">
        <v>944</v>
      </c>
      <c r="AC1339" s="32">
        <v>27</v>
      </c>
      <c r="AD1339" s="32">
        <v>552</v>
      </c>
      <c r="AE1339" s="32">
        <v>305</v>
      </c>
      <c r="AF1339" s="32">
        <v>29</v>
      </c>
      <c r="AG1339" s="32">
        <v>192</v>
      </c>
    </row>
    <row r="1340" spans="1:33">
      <c r="A1340" s="32" t="s">
        <v>4802</v>
      </c>
      <c r="B1340" s="32" t="s">
        <v>129</v>
      </c>
      <c r="C1340" s="32" t="s">
        <v>4803</v>
      </c>
      <c r="D1340" s="32" t="s">
        <v>4804</v>
      </c>
      <c r="E1340" s="32" t="s">
        <v>4805</v>
      </c>
      <c r="F1340" s="32" t="s">
        <v>4806</v>
      </c>
      <c r="G1340" s="32" t="s">
        <v>4606</v>
      </c>
      <c r="H1340" s="32" t="s">
        <v>4607</v>
      </c>
      <c r="I1340" s="32" t="s">
        <v>198</v>
      </c>
      <c r="J1340" s="32" t="s">
        <v>199</v>
      </c>
      <c r="K1340" s="32">
        <v>2.1331250000000002</v>
      </c>
      <c r="L1340" s="33">
        <v>2025</v>
      </c>
      <c r="M1340" s="32">
        <v>412</v>
      </c>
      <c r="N1340" s="32">
        <v>313</v>
      </c>
      <c r="O1340" s="32">
        <v>486</v>
      </c>
      <c r="P1340" s="32">
        <v>497</v>
      </c>
      <c r="Q1340" s="32">
        <v>317</v>
      </c>
      <c r="R1340" s="32">
        <v>2</v>
      </c>
      <c r="S1340" s="32">
        <v>18.749600000000001</v>
      </c>
      <c r="T1340" s="32">
        <v>0</v>
      </c>
      <c r="U1340" s="32">
        <v>0.87231507500000005</v>
      </c>
      <c r="V1340" s="32">
        <v>6</v>
      </c>
      <c r="W1340" s="32">
        <v>0.81762900000000005</v>
      </c>
      <c r="X1340" s="32">
        <v>0.116649</v>
      </c>
      <c r="Y1340" s="32">
        <v>0.80036399999999996</v>
      </c>
      <c r="Z1340" s="32">
        <v>0.41182299999999999</v>
      </c>
      <c r="AA1340" s="32">
        <v>47.4</v>
      </c>
      <c r="AB1340" s="32">
        <v>945</v>
      </c>
      <c r="AC1340" s="32">
        <v>46</v>
      </c>
      <c r="AD1340" s="32">
        <v>64</v>
      </c>
      <c r="AE1340" s="32" t="s">
        <v>200</v>
      </c>
      <c r="AF1340" s="32">
        <v>5</v>
      </c>
      <c r="AG1340" s="32">
        <v>6</v>
      </c>
    </row>
    <row r="1341" spans="1:33">
      <c r="A1341" s="32" t="s">
        <v>4807</v>
      </c>
      <c r="B1341" s="32" t="s">
        <v>129</v>
      </c>
      <c r="C1341" s="32" t="s">
        <v>4808</v>
      </c>
      <c r="D1341" s="32" t="s">
        <v>4809</v>
      </c>
      <c r="E1341" s="32" t="s">
        <v>4805</v>
      </c>
      <c r="F1341" s="32" t="s">
        <v>4806</v>
      </c>
      <c r="G1341" s="32" t="s">
        <v>4606</v>
      </c>
      <c r="H1341" s="32" t="s">
        <v>4607</v>
      </c>
      <c r="I1341" s="32" t="s">
        <v>198</v>
      </c>
      <c r="J1341" s="32" t="s">
        <v>199</v>
      </c>
      <c r="K1341" s="32">
        <v>2.063653</v>
      </c>
      <c r="L1341" s="33">
        <v>1667</v>
      </c>
      <c r="M1341" s="32">
        <v>381</v>
      </c>
      <c r="N1341" s="32">
        <v>269</v>
      </c>
      <c r="O1341" s="32">
        <v>368</v>
      </c>
      <c r="P1341" s="32">
        <v>427</v>
      </c>
      <c r="Q1341" s="32">
        <v>222</v>
      </c>
      <c r="R1341" s="32" t="s">
        <v>225</v>
      </c>
      <c r="S1341" s="32">
        <v>5.46814</v>
      </c>
      <c r="T1341" s="32">
        <v>2.5852900000000001</v>
      </c>
      <c r="U1341" s="32">
        <v>0.93524233300000004</v>
      </c>
      <c r="V1341" s="32">
        <v>6</v>
      </c>
      <c r="W1341" s="32">
        <v>0.80319099999999999</v>
      </c>
      <c r="X1341" s="32">
        <v>0.132746</v>
      </c>
      <c r="Y1341" s="32">
        <v>0.8</v>
      </c>
      <c r="Z1341" s="32">
        <v>0.30958200000000002</v>
      </c>
      <c r="AA1341" s="32">
        <v>38.5</v>
      </c>
      <c r="AB1341" s="32">
        <v>765</v>
      </c>
      <c r="AC1341" s="32">
        <v>40</v>
      </c>
      <c r="AD1341" s="32">
        <v>73</v>
      </c>
      <c r="AE1341" s="32" t="s">
        <v>200</v>
      </c>
      <c r="AF1341" s="32" t="s">
        <v>200</v>
      </c>
      <c r="AG1341" s="32">
        <v>6</v>
      </c>
    </row>
    <row r="1342" spans="1:33">
      <c r="A1342" s="32" t="s">
        <v>4810</v>
      </c>
      <c r="B1342" s="32" t="s">
        <v>129</v>
      </c>
      <c r="C1342" s="32" t="s">
        <v>4811</v>
      </c>
      <c r="D1342" s="32" t="s">
        <v>4812</v>
      </c>
      <c r="E1342" s="32" t="s">
        <v>4813</v>
      </c>
      <c r="F1342" s="32" t="s">
        <v>4814</v>
      </c>
      <c r="G1342" s="32" t="s">
        <v>4606</v>
      </c>
      <c r="H1342" s="32" t="s">
        <v>4607</v>
      </c>
      <c r="I1342" s="32" t="s">
        <v>198</v>
      </c>
      <c r="J1342" s="32" t="s">
        <v>199</v>
      </c>
      <c r="K1342" s="32">
        <v>2.355216</v>
      </c>
      <c r="L1342" s="33">
        <v>1884</v>
      </c>
      <c r="M1342" s="32">
        <v>437</v>
      </c>
      <c r="N1342" s="32">
        <v>345</v>
      </c>
      <c r="O1342" s="32">
        <v>417</v>
      </c>
      <c r="P1342" s="32">
        <v>440</v>
      </c>
      <c r="Q1342" s="32">
        <v>245</v>
      </c>
      <c r="R1342" s="32">
        <v>2</v>
      </c>
      <c r="S1342" s="32">
        <v>6.9655800000000001</v>
      </c>
      <c r="T1342" s="32">
        <v>2.4920599999999999</v>
      </c>
      <c r="U1342" s="32">
        <v>0.95458924899999997</v>
      </c>
      <c r="V1342" s="32">
        <v>4</v>
      </c>
      <c r="W1342" s="32">
        <v>0.81633299999999998</v>
      </c>
      <c r="X1342" s="32">
        <v>0.14549300000000001</v>
      </c>
      <c r="Y1342" s="32">
        <v>0.8</v>
      </c>
      <c r="Z1342" s="32">
        <v>0.60445400000000005</v>
      </c>
      <c r="AA1342" s="32">
        <v>31.8</v>
      </c>
      <c r="AB1342" s="32">
        <v>859</v>
      </c>
      <c r="AC1342" s="32">
        <v>36</v>
      </c>
      <c r="AD1342" s="32">
        <v>170</v>
      </c>
      <c r="AE1342" s="32">
        <v>5</v>
      </c>
      <c r="AF1342" s="32">
        <v>0</v>
      </c>
      <c r="AG1342" s="32">
        <v>10</v>
      </c>
    </row>
    <row r="1343" spans="1:33">
      <c r="A1343" s="32" t="s">
        <v>4815</v>
      </c>
      <c r="B1343" s="32" t="s">
        <v>129</v>
      </c>
      <c r="C1343" s="32" t="s">
        <v>4816</v>
      </c>
      <c r="D1343" s="32" t="s">
        <v>4817</v>
      </c>
      <c r="E1343" s="32" t="s">
        <v>4813</v>
      </c>
      <c r="F1343" s="32" t="s">
        <v>4814</v>
      </c>
      <c r="G1343" s="32" t="s">
        <v>4606</v>
      </c>
      <c r="H1343" s="32" t="s">
        <v>4607</v>
      </c>
      <c r="I1343" s="32" t="s">
        <v>198</v>
      </c>
      <c r="J1343" s="32" t="s">
        <v>199</v>
      </c>
      <c r="K1343" s="32">
        <v>2.1396760000000001</v>
      </c>
      <c r="L1343" s="33">
        <v>2296</v>
      </c>
      <c r="M1343" s="32">
        <v>598</v>
      </c>
      <c r="N1343" s="32">
        <v>420</v>
      </c>
      <c r="O1343" s="32">
        <v>545</v>
      </c>
      <c r="P1343" s="32">
        <v>476</v>
      </c>
      <c r="Q1343" s="32">
        <v>257</v>
      </c>
      <c r="R1343" s="32">
        <v>2</v>
      </c>
      <c r="S1343" s="32">
        <v>6.1863799999999998</v>
      </c>
      <c r="T1343" s="32">
        <v>4.0732400000000002</v>
      </c>
      <c r="U1343" s="32">
        <v>1.05092735</v>
      </c>
      <c r="V1343" s="32">
        <v>4</v>
      </c>
      <c r="W1343" s="32">
        <v>0.81003000000000003</v>
      </c>
      <c r="X1343" s="32">
        <v>0.14505199999999999</v>
      </c>
      <c r="Y1343" s="32">
        <v>0.8</v>
      </c>
      <c r="Z1343" s="32">
        <v>0.38592399999999999</v>
      </c>
      <c r="AA1343" s="32">
        <v>34.299999999999997</v>
      </c>
      <c r="AB1343" s="32">
        <v>828</v>
      </c>
      <c r="AC1343" s="32">
        <v>20</v>
      </c>
      <c r="AD1343" s="32">
        <v>65</v>
      </c>
      <c r="AE1343" s="32">
        <v>0</v>
      </c>
      <c r="AF1343" s="32" t="s">
        <v>200</v>
      </c>
      <c r="AG1343" s="32" t="s">
        <v>200</v>
      </c>
    </row>
    <row r="1344" spans="1:33">
      <c r="A1344" s="32" t="s">
        <v>4818</v>
      </c>
      <c r="B1344" s="32" t="s">
        <v>129</v>
      </c>
      <c r="C1344" s="32" t="s">
        <v>4819</v>
      </c>
      <c r="D1344" s="32" t="s">
        <v>4820</v>
      </c>
      <c r="E1344" s="32" t="s">
        <v>4813</v>
      </c>
      <c r="F1344" s="32" t="s">
        <v>4814</v>
      </c>
      <c r="G1344" s="32" t="s">
        <v>4606</v>
      </c>
      <c r="H1344" s="32" t="s">
        <v>4607</v>
      </c>
      <c r="I1344" s="32" t="s">
        <v>198</v>
      </c>
      <c r="J1344" s="32" t="s">
        <v>199</v>
      </c>
      <c r="K1344" s="32">
        <v>2.211319</v>
      </c>
      <c r="L1344" s="33">
        <v>2559</v>
      </c>
      <c r="M1344" s="32">
        <v>650</v>
      </c>
      <c r="N1344" s="32">
        <v>450</v>
      </c>
      <c r="O1344" s="32">
        <v>651</v>
      </c>
      <c r="P1344" s="32">
        <v>564</v>
      </c>
      <c r="Q1344" s="32">
        <v>244</v>
      </c>
      <c r="R1344" s="32" t="s">
        <v>214</v>
      </c>
      <c r="S1344" s="32">
        <v>6.7254199999999997</v>
      </c>
      <c r="T1344" s="32">
        <v>0</v>
      </c>
      <c r="U1344" s="32">
        <v>1.0147442090000001</v>
      </c>
      <c r="V1344" s="32">
        <v>4</v>
      </c>
      <c r="W1344" s="32">
        <v>0.80770699999999995</v>
      </c>
      <c r="X1344" s="32">
        <v>0.15193100000000001</v>
      </c>
      <c r="Y1344" s="32">
        <v>0.8</v>
      </c>
      <c r="Z1344" s="32">
        <v>0.45156099999999999</v>
      </c>
      <c r="AA1344" s="32">
        <v>34.5</v>
      </c>
      <c r="AB1344" s="32">
        <v>996</v>
      </c>
      <c r="AC1344" s="32">
        <v>40</v>
      </c>
      <c r="AD1344" s="32">
        <v>93</v>
      </c>
      <c r="AE1344" s="32">
        <v>23</v>
      </c>
      <c r="AF1344" s="32">
        <v>55</v>
      </c>
      <c r="AG1344" s="32">
        <v>18</v>
      </c>
    </row>
    <row r="1345" spans="1:33">
      <c r="A1345" s="32" t="s">
        <v>4821</v>
      </c>
      <c r="B1345" s="32" t="s">
        <v>129</v>
      </c>
      <c r="C1345" s="32" t="s">
        <v>4822</v>
      </c>
      <c r="D1345" s="32" t="s">
        <v>4823</v>
      </c>
      <c r="E1345" s="32" t="s">
        <v>4824</v>
      </c>
      <c r="F1345" s="32" t="s">
        <v>4825</v>
      </c>
      <c r="G1345" s="32" t="s">
        <v>4606</v>
      </c>
      <c r="H1345" s="32" t="s">
        <v>4607</v>
      </c>
      <c r="I1345" s="32" t="s">
        <v>198</v>
      </c>
      <c r="J1345" s="32" t="s">
        <v>199</v>
      </c>
      <c r="K1345" s="32">
        <v>2.5119669999999998</v>
      </c>
      <c r="L1345" s="33">
        <v>1814</v>
      </c>
      <c r="M1345" s="32">
        <v>374</v>
      </c>
      <c r="N1345" s="32">
        <v>387</v>
      </c>
      <c r="O1345" s="32">
        <v>406</v>
      </c>
      <c r="P1345" s="32">
        <v>449</v>
      </c>
      <c r="Q1345" s="32">
        <v>198</v>
      </c>
      <c r="R1345" s="32">
        <v>2</v>
      </c>
      <c r="S1345" s="32">
        <v>10.7712</v>
      </c>
      <c r="T1345" s="32">
        <v>2.3398400000000001</v>
      </c>
      <c r="U1345" s="32">
        <v>0.92752830600000002</v>
      </c>
      <c r="V1345" s="32">
        <v>3</v>
      </c>
      <c r="W1345" s="32">
        <v>0.868197</v>
      </c>
      <c r="X1345" s="32">
        <v>0.363458</v>
      </c>
      <c r="Y1345" s="32">
        <v>0.9</v>
      </c>
      <c r="Z1345" s="32">
        <v>0.37808900000000001</v>
      </c>
      <c r="AA1345" s="32">
        <v>71.5</v>
      </c>
      <c r="AB1345" s="32">
        <v>646</v>
      </c>
      <c r="AC1345" s="32">
        <v>22</v>
      </c>
      <c r="AD1345" s="32">
        <v>36</v>
      </c>
      <c r="AE1345" s="32">
        <v>8</v>
      </c>
      <c r="AF1345" s="32">
        <v>0</v>
      </c>
      <c r="AG1345" s="32" t="s">
        <v>200</v>
      </c>
    </row>
    <row r="1346" spans="1:33">
      <c r="A1346" s="32" t="s">
        <v>4826</v>
      </c>
      <c r="B1346" s="32" t="s">
        <v>129</v>
      </c>
      <c r="C1346" s="32" t="s">
        <v>4827</v>
      </c>
      <c r="D1346" s="32" t="s">
        <v>4828</v>
      </c>
      <c r="E1346" s="32" t="s">
        <v>4824</v>
      </c>
      <c r="F1346" s="32" t="s">
        <v>4825</v>
      </c>
      <c r="G1346" s="32" t="s">
        <v>4606</v>
      </c>
      <c r="H1346" s="32" t="s">
        <v>4607</v>
      </c>
      <c r="I1346" s="32" t="s">
        <v>198</v>
      </c>
      <c r="J1346" s="32" t="s">
        <v>199</v>
      </c>
      <c r="K1346" s="32">
        <v>2.5093019999999999</v>
      </c>
      <c r="L1346" s="33">
        <v>1878</v>
      </c>
      <c r="M1346" s="32">
        <v>340</v>
      </c>
      <c r="N1346" s="32">
        <v>343</v>
      </c>
      <c r="O1346" s="32">
        <v>492</v>
      </c>
      <c r="P1346" s="32">
        <v>434</v>
      </c>
      <c r="Q1346" s="32">
        <v>269</v>
      </c>
      <c r="R1346" s="32" t="s">
        <v>225</v>
      </c>
      <c r="S1346" s="32">
        <v>7.9195900000000004</v>
      </c>
      <c r="T1346" s="32">
        <v>0</v>
      </c>
      <c r="U1346" s="32">
        <v>0.72662994299999994</v>
      </c>
      <c r="V1346" s="32">
        <v>6</v>
      </c>
      <c r="W1346" s="32">
        <v>0.81610700000000003</v>
      </c>
      <c r="X1346" s="32">
        <v>0.22089</v>
      </c>
      <c r="Y1346" s="32">
        <v>0.86629599999999995</v>
      </c>
      <c r="Z1346" s="32">
        <v>0.59011199999999997</v>
      </c>
      <c r="AA1346" s="32">
        <v>83.2</v>
      </c>
      <c r="AB1346" s="32">
        <v>640</v>
      </c>
      <c r="AC1346" s="32">
        <v>9</v>
      </c>
      <c r="AD1346" s="32">
        <v>25</v>
      </c>
      <c r="AE1346" s="32">
        <v>0</v>
      </c>
      <c r="AF1346" s="32" t="s">
        <v>200</v>
      </c>
      <c r="AG1346" s="32" t="s">
        <v>200</v>
      </c>
    </row>
    <row r="1347" spans="1:33">
      <c r="A1347" s="32" t="s">
        <v>4829</v>
      </c>
      <c r="B1347" s="32" t="s">
        <v>129</v>
      </c>
      <c r="C1347" s="32" t="s">
        <v>4830</v>
      </c>
      <c r="D1347" s="32" t="s">
        <v>4831</v>
      </c>
      <c r="E1347" s="32" t="s">
        <v>4699</v>
      </c>
      <c r="F1347" s="32" t="s">
        <v>4700</v>
      </c>
      <c r="G1347" s="32" t="s">
        <v>4606</v>
      </c>
      <c r="H1347" s="32" t="s">
        <v>4607</v>
      </c>
      <c r="I1347" s="32" t="s">
        <v>198</v>
      </c>
      <c r="J1347" s="32" t="s">
        <v>199</v>
      </c>
      <c r="K1347" s="32">
        <v>2.2533979999999998</v>
      </c>
      <c r="L1347" s="33">
        <v>1866</v>
      </c>
      <c r="M1347" s="32">
        <v>511</v>
      </c>
      <c r="N1347" s="32">
        <v>317</v>
      </c>
      <c r="O1347" s="32">
        <v>405</v>
      </c>
      <c r="P1347" s="32">
        <v>471</v>
      </c>
      <c r="Q1347" s="32">
        <v>162</v>
      </c>
      <c r="R1347" s="32" t="s">
        <v>214</v>
      </c>
      <c r="S1347" s="32">
        <v>4.4831399999999997</v>
      </c>
      <c r="T1347" s="32">
        <v>0</v>
      </c>
      <c r="U1347" s="32">
        <v>1.280250769</v>
      </c>
      <c r="V1347" s="32">
        <v>2</v>
      </c>
      <c r="W1347" s="32">
        <v>0.81577699999999997</v>
      </c>
      <c r="X1347" s="32">
        <v>8.2126000000000005E-2</v>
      </c>
      <c r="Y1347" s="32">
        <v>0.9</v>
      </c>
      <c r="Z1347" s="32">
        <v>0.46513300000000002</v>
      </c>
      <c r="AA1347" s="32">
        <v>51.1</v>
      </c>
      <c r="AB1347" s="32">
        <v>637</v>
      </c>
      <c r="AC1347" s="32">
        <v>24</v>
      </c>
      <c r="AD1347" s="32">
        <v>39</v>
      </c>
      <c r="AE1347" s="32" t="s">
        <v>200</v>
      </c>
      <c r="AF1347" s="32">
        <v>0</v>
      </c>
      <c r="AG1347" s="32">
        <v>8</v>
      </c>
    </row>
    <row r="1348" spans="1:33">
      <c r="A1348" s="32" t="s">
        <v>4832</v>
      </c>
      <c r="B1348" s="32" t="s">
        <v>129</v>
      </c>
      <c r="C1348" s="32" t="s">
        <v>4833</v>
      </c>
      <c r="D1348" s="32" t="s">
        <v>4834</v>
      </c>
      <c r="E1348" s="32" t="s">
        <v>4824</v>
      </c>
      <c r="F1348" s="32" t="s">
        <v>4825</v>
      </c>
      <c r="G1348" s="32" t="s">
        <v>4606</v>
      </c>
      <c r="H1348" s="32" t="s">
        <v>4607</v>
      </c>
      <c r="I1348" s="32" t="s">
        <v>198</v>
      </c>
      <c r="J1348" s="32" t="s">
        <v>199</v>
      </c>
      <c r="K1348" s="32">
        <v>2.3448549999999999</v>
      </c>
      <c r="L1348" s="33">
        <v>2367</v>
      </c>
      <c r="M1348" s="32">
        <v>665</v>
      </c>
      <c r="N1348" s="32">
        <v>403</v>
      </c>
      <c r="O1348" s="32">
        <v>597</v>
      </c>
      <c r="P1348" s="32">
        <v>499</v>
      </c>
      <c r="Q1348" s="32">
        <v>203</v>
      </c>
      <c r="R1348" s="32" t="s">
        <v>225</v>
      </c>
      <c r="S1348" s="32">
        <v>10.9436</v>
      </c>
      <c r="T1348" s="32">
        <v>0</v>
      </c>
      <c r="U1348" s="32">
        <v>0.94551098899999997</v>
      </c>
      <c r="V1348" s="32">
        <v>4</v>
      </c>
      <c r="W1348" s="32">
        <v>0.813415</v>
      </c>
      <c r="X1348" s="32">
        <v>0.150475</v>
      </c>
      <c r="Y1348" s="32">
        <v>0.85866900000000002</v>
      </c>
      <c r="Z1348" s="32">
        <v>0.52612199999999998</v>
      </c>
      <c r="AA1348" s="32">
        <v>73.400000000000006</v>
      </c>
      <c r="AB1348" s="32">
        <v>850</v>
      </c>
      <c r="AC1348" s="32">
        <v>22</v>
      </c>
      <c r="AD1348" s="32">
        <v>134</v>
      </c>
      <c r="AE1348" s="32">
        <v>74</v>
      </c>
      <c r="AF1348" s="32" t="s">
        <v>200</v>
      </c>
      <c r="AG1348" s="32">
        <v>34</v>
      </c>
    </row>
    <row r="1349" spans="1:33">
      <c r="A1349" s="32" t="s">
        <v>4835</v>
      </c>
      <c r="B1349" s="32" t="s">
        <v>129</v>
      </c>
      <c r="C1349" s="32" t="s">
        <v>4836</v>
      </c>
      <c r="D1349" s="32" t="s">
        <v>4837</v>
      </c>
      <c r="E1349" s="32" t="s">
        <v>4805</v>
      </c>
      <c r="F1349" s="32" t="s">
        <v>4806</v>
      </c>
      <c r="G1349" s="32" t="s">
        <v>4606</v>
      </c>
      <c r="H1349" s="32" t="s">
        <v>4607</v>
      </c>
      <c r="I1349" s="32" t="s">
        <v>198</v>
      </c>
      <c r="J1349" s="32" t="s">
        <v>199</v>
      </c>
      <c r="K1349" s="32">
        <v>2.4728680000000001</v>
      </c>
      <c r="L1349" s="33">
        <v>2171</v>
      </c>
      <c r="M1349" s="32">
        <v>488</v>
      </c>
      <c r="N1349" s="32">
        <v>365</v>
      </c>
      <c r="O1349" s="32">
        <v>518</v>
      </c>
      <c r="P1349" s="32">
        <v>496</v>
      </c>
      <c r="Q1349" s="32">
        <v>304</v>
      </c>
      <c r="R1349" s="32">
        <v>2</v>
      </c>
      <c r="S1349" s="32">
        <v>21.266100000000002</v>
      </c>
      <c r="T1349" s="32">
        <v>0</v>
      </c>
      <c r="U1349" s="32">
        <v>0.80421844799999997</v>
      </c>
      <c r="V1349" s="32">
        <v>4</v>
      </c>
      <c r="W1349" s="32">
        <v>0.81474500000000005</v>
      </c>
      <c r="X1349" s="32">
        <v>0.217833</v>
      </c>
      <c r="Y1349" s="32">
        <v>0.80256400000000006</v>
      </c>
      <c r="Z1349" s="32">
        <v>0.64231700000000003</v>
      </c>
      <c r="AA1349" s="32">
        <v>42.3</v>
      </c>
      <c r="AB1349" s="32">
        <v>854</v>
      </c>
      <c r="AC1349" s="32">
        <v>45</v>
      </c>
      <c r="AD1349" s="32">
        <v>282</v>
      </c>
      <c r="AE1349" s="32">
        <v>263</v>
      </c>
      <c r="AF1349" s="32">
        <v>8</v>
      </c>
      <c r="AG1349" s="32">
        <v>40</v>
      </c>
    </row>
    <row r="1350" spans="1:33">
      <c r="A1350" s="32" t="s">
        <v>4835</v>
      </c>
      <c r="B1350" s="32" t="s">
        <v>130</v>
      </c>
      <c r="C1350" s="32" t="s">
        <v>4836</v>
      </c>
      <c r="D1350" s="32" t="s">
        <v>4837</v>
      </c>
      <c r="E1350" s="32" t="s">
        <v>4805</v>
      </c>
      <c r="F1350" s="32" t="s">
        <v>4806</v>
      </c>
      <c r="G1350" s="32" t="s">
        <v>4606</v>
      </c>
      <c r="H1350" s="32" t="s">
        <v>4607</v>
      </c>
      <c r="I1350" s="32" t="s">
        <v>198</v>
      </c>
      <c r="J1350" s="32" t="s">
        <v>199</v>
      </c>
      <c r="K1350" s="32">
        <v>2.4728680000000001</v>
      </c>
      <c r="L1350" s="33">
        <v>2171</v>
      </c>
      <c r="M1350" s="32">
        <v>488</v>
      </c>
      <c r="N1350" s="32">
        <v>365</v>
      </c>
      <c r="O1350" s="32">
        <v>518</v>
      </c>
      <c r="P1350" s="32">
        <v>496</v>
      </c>
      <c r="Q1350" s="32">
        <v>304</v>
      </c>
      <c r="R1350" s="32">
        <v>2</v>
      </c>
      <c r="S1350" s="32">
        <v>21.266100000000002</v>
      </c>
      <c r="T1350" s="32">
        <v>0</v>
      </c>
      <c r="U1350" s="32">
        <v>0.80421844799999997</v>
      </c>
      <c r="V1350" s="32">
        <v>4</v>
      </c>
      <c r="W1350" s="32">
        <v>0.81474500000000005</v>
      </c>
      <c r="X1350" s="32">
        <v>0.217833</v>
      </c>
      <c r="Y1350" s="32">
        <v>0.80256400000000006</v>
      </c>
      <c r="Z1350" s="32">
        <v>0.64231700000000003</v>
      </c>
      <c r="AA1350" s="32">
        <v>42.3</v>
      </c>
      <c r="AB1350" s="32">
        <v>854</v>
      </c>
      <c r="AC1350" s="32">
        <v>45</v>
      </c>
      <c r="AD1350" s="32">
        <v>282</v>
      </c>
      <c r="AE1350" s="32">
        <v>263</v>
      </c>
      <c r="AF1350" s="32">
        <v>8</v>
      </c>
      <c r="AG1350" s="32">
        <v>40</v>
      </c>
    </row>
    <row r="1351" spans="1:33">
      <c r="A1351" s="32" t="s">
        <v>4838</v>
      </c>
      <c r="B1351" s="32" t="s">
        <v>130</v>
      </c>
      <c r="C1351" s="32" t="s">
        <v>4839</v>
      </c>
      <c r="D1351" s="32" t="s">
        <v>4840</v>
      </c>
      <c r="E1351" s="32" t="s">
        <v>4841</v>
      </c>
      <c r="F1351" s="32" t="s">
        <v>4842</v>
      </c>
      <c r="G1351" s="32" t="s">
        <v>4606</v>
      </c>
      <c r="H1351" s="32" t="s">
        <v>4607</v>
      </c>
      <c r="I1351" s="32" t="s">
        <v>198</v>
      </c>
      <c r="J1351" s="32" t="s">
        <v>199</v>
      </c>
      <c r="K1351" s="32">
        <v>2.1938</v>
      </c>
      <c r="L1351" s="33">
        <v>2179</v>
      </c>
      <c r="M1351" s="32">
        <v>400</v>
      </c>
      <c r="N1351" s="32">
        <v>360</v>
      </c>
      <c r="O1351" s="32">
        <v>500</v>
      </c>
      <c r="P1351" s="32">
        <v>548</v>
      </c>
      <c r="Q1351" s="32">
        <v>371</v>
      </c>
      <c r="R1351" s="32">
        <v>3</v>
      </c>
      <c r="S1351" s="32">
        <v>20.970600000000001</v>
      </c>
      <c r="T1351" s="32">
        <v>2.0643899999999999</v>
      </c>
      <c r="U1351" s="32">
        <v>0.96425617399999997</v>
      </c>
      <c r="V1351" s="32">
        <v>4</v>
      </c>
      <c r="W1351" s="32">
        <v>0.81621600000000005</v>
      </c>
      <c r="X1351" s="32">
        <v>0.17404500000000001</v>
      </c>
      <c r="Y1351" s="32">
        <v>0.8</v>
      </c>
      <c r="Z1351" s="32">
        <v>0.39809099999999997</v>
      </c>
      <c r="AA1351" s="32">
        <v>38.5</v>
      </c>
      <c r="AB1351" s="32">
        <v>720</v>
      </c>
      <c r="AC1351" s="32">
        <v>31</v>
      </c>
      <c r="AD1351" s="32">
        <v>65</v>
      </c>
      <c r="AE1351" s="32">
        <v>6</v>
      </c>
      <c r="AF1351" s="32" t="s">
        <v>200</v>
      </c>
      <c r="AG1351" s="32" t="s">
        <v>200</v>
      </c>
    </row>
    <row r="1352" spans="1:33">
      <c r="A1352" s="32" t="s">
        <v>4843</v>
      </c>
      <c r="B1352" s="32" t="s">
        <v>130</v>
      </c>
      <c r="C1352" s="32" t="s">
        <v>4844</v>
      </c>
      <c r="D1352" s="32" t="s">
        <v>4845</v>
      </c>
      <c r="E1352" s="32" t="s">
        <v>4841</v>
      </c>
      <c r="F1352" s="32" t="s">
        <v>4842</v>
      </c>
      <c r="G1352" s="32" t="s">
        <v>4606</v>
      </c>
      <c r="H1352" s="32" t="s">
        <v>4607</v>
      </c>
      <c r="I1352" s="32" t="s">
        <v>198</v>
      </c>
      <c r="J1352" s="32" t="s">
        <v>199</v>
      </c>
      <c r="K1352" s="32">
        <v>2.099364</v>
      </c>
      <c r="L1352" s="33">
        <v>2070</v>
      </c>
      <c r="M1352" s="32">
        <v>487</v>
      </c>
      <c r="N1352" s="32">
        <v>358</v>
      </c>
      <c r="O1352" s="32">
        <v>456</v>
      </c>
      <c r="P1352" s="32">
        <v>482</v>
      </c>
      <c r="Q1352" s="32">
        <v>287</v>
      </c>
      <c r="R1352" s="32">
        <v>3</v>
      </c>
      <c r="S1352" s="32">
        <v>20.317299999999999</v>
      </c>
      <c r="T1352" s="32">
        <v>2.1199400000000002</v>
      </c>
      <c r="U1352" s="32">
        <v>1.0301224630000001</v>
      </c>
      <c r="V1352" s="32">
        <v>4</v>
      </c>
      <c r="W1352" s="32">
        <v>0.81806599999999996</v>
      </c>
      <c r="X1352" s="32">
        <v>0.17766499999999999</v>
      </c>
      <c r="Y1352" s="32">
        <v>0.8</v>
      </c>
      <c r="Z1352" s="32">
        <v>0.30898700000000001</v>
      </c>
      <c r="AA1352" s="32">
        <v>52.3</v>
      </c>
      <c r="AB1352" s="32">
        <v>837</v>
      </c>
      <c r="AC1352" s="32">
        <v>48</v>
      </c>
      <c r="AD1352" s="32">
        <v>56</v>
      </c>
      <c r="AE1352" s="32" t="s">
        <v>200</v>
      </c>
      <c r="AF1352" s="32">
        <v>0</v>
      </c>
      <c r="AG1352" s="32" t="s">
        <v>200</v>
      </c>
    </row>
    <row r="1353" spans="1:33">
      <c r="A1353" s="32" t="s">
        <v>4846</v>
      </c>
      <c r="B1353" s="32" t="s">
        <v>130</v>
      </c>
      <c r="C1353" s="32" t="s">
        <v>4847</v>
      </c>
      <c r="D1353" s="32" t="s">
        <v>4848</v>
      </c>
      <c r="E1353" s="32" t="s">
        <v>4805</v>
      </c>
      <c r="F1353" s="32" t="s">
        <v>4806</v>
      </c>
      <c r="G1353" s="32" t="s">
        <v>4606</v>
      </c>
      <c r="H1353" s="32" t="s">
        <v>4607</v>
      </c>
      <c r="I1353" s="32" t="s">
        <v>198</v>
      </c>
      <c r="J1353" s="32" t="s">
        <v>199</v>
      </c>
      <c r="K1353" s="32">
        <v>2.1568860000000001</v>
      </c>
      <c r="L1353" s="33">
        <v>2047</v>
      </c>
      <c r="M1353" s="32">
        <v>415</v>
      </c>
      <c r="N1353" s="32">
        <v>405</v>
      </c>
      <c r="O1353" s="32">
        <v>414</v>
      </c>
      <c r="P1353" s="32">
        <v>571</v>
      </c>
      <c r="Q1353" s="32">
        <v>242</v>
      </c>
      <c r="R1353" s="32">
        <v>2</v>
      </c>
      <c r="S1353" s="32">
        <v>14.7934</v>
      </c>
      <c r="T1353" s="32">
        <v>2.0070100000000002</v>
      </c>
      <c r="U1353" s="32">
        <v>1.0641945719999999</v>
      </c>
      <c r="V1353" s="32">
        <v>3</v>
      </c>
      <c r="W1353" s="32">
        <v>0.81274100000000005</v>
      </c>
      <c r="X1353" s="32">
        <v>0.16117500000000001</v>
      </c>
      <c r="Y1353" s="32">
        <v>0.8</v>
      </c>
      <c r="Z1353" s="32">
        <v>0.39162400000000003</v>
      </c>
      <c r="AA1353" s="32">
        <v>37</v>
      </c>
      <c r="AB1353" s="32">
        <v>791</v>
      </c>
      <c r="AC1353" s="32">
        <v>30</v>
      </c>
      <c r="AD1353" s="32">
        <v>43</v>
      </c>
      <c r="AE1353" s="32" t="s">
        <v>200</v>
      </c>
      <c r="AF1353" s="32" t="s">
        <v>200</v>
      </c>
      <c r="AG1353" s="32" t="s">
        <v>200</v>
      </c>
    </row>
    <row r="1354" spans="1:33">
      <c r="A1354" s="32" t="s">
        <v>4608</v>
      </c>
      <c r="B1354" s="32" t="s">
        <v>130</v>
      </c>
      <c r="C1354" s="32" t="s">
        <v>4609</v>
      </c>
      <c r="D1354" s="32" t="s">
        <v>4610</v>
      </c>
      <c r="E1354" s="32" t="s">
        <v>4604</v>
      </c>
      <c r="F1354" s="32" t="s">
        <v>4605</v>
      </c>
      <c r="G1354" s="32" t="s">
        <v>4606</v>
      </c>
      <c r="H1354" s="32" t="s">
        <v>4607</v>
      </c>
      <c r="I1354" s="32" t="s">
        <v>198</v>
      </c>
      <c r="J1354" s="32" t="s">
        <v>199</v>
      </c>
      <c r="K1354" s="32">
        <v>2.313428</v>
      </c>
      <c r="L1354" s="33">
        <v>2060</v>
      </c>
      <c r="M1354" s="32">
        <v>531</v>
      </c>
      <c r="N1354" s="32">
        <v>341</v>
      </c>
      <c r="O1354" s="32">
        <v>493</v>
      </c>
      <c r="P1354" s="32">
        <v>428</v>
      </c>
      <c r="Q1354" s="32">
        <v>267</v>
      </c>
      <c r="R1354" s="32">
        <v>2</v>
      </c>
      <c r="S1354" s="32">
        <v>8.1800700000000006</v>
      </c>
      <c r="T1354" s="32">
        <v>2.0083899999999999</v>
      </c>
      <c r="U1354" s="32">
        <v>1.038330813</v>
      </c>
      <c r="V1354" s="32">
        <v>3</v>
      </c>
      <c r="W1354" s="32">
        <v>0.837009</v>
      </c>
      <c r="X1354" s="32">
        <v>0.31179000000000001</v>
      </c>
      <c r="Y1354" s="32">
        <v>0.8</v>
      </c>
      <c r="Z1354" s="32">
        <v>0.35803299999999999</v>
      </c>
      <c r="AA1354" s="32">
        <v>31.8</v>
      </c>
      <c r="AB1354" s="32">
        <v>801</v>
      </c>
      <c r="AC1354" s="32">
        <v>43</v>
      </c>
      <c r="AD1354" s="32">
        <v>78</v>
      </c>
      <c r="AE1354" s="32" t="s">
        <v>200</v>
      </c>
      <c r="AF1354" s="32">
        <v>0</v>
      </c>
      <c r="AG1354" s="32" t="s">
        <v>200</v>
      </c>
    </row>
    <row r="1355" spans="1:33">
      <c r="A1355" s="32" t="s">
        <v>4849</v>
      </c>
      <c r="B1355" s="32" t="s">
        <v>130</v>
      </c>
      <c r="C1355" s="32" t="s">
        <v>4850</v>
      </c>
      <c r="D1355" s="32" t="s">
        <v>4851</v>
      </c>
      <c r="E1355" s="32" t="s">
        <v>4604</v>
      </c>
      <c r="F1355" s="32" t="s">
        <v>4605</v>
      </c>
      <c r="G1355" s="32" t="s">
        <v>4606</v>
      </c>
      <c r="H1355" s="32" t="s">
        <v>4607</v>
      </c>
      <c r="I1355" s="32" t="s">
        <v>198</v>
      </c>
      <c r="J1355" s="32" t="s">
        <v>199</v>
      </c>
      <c r="K1355" s="32">
        <v>2.1494970000000002</v>
      </c>
      <c r="L1355" s="33">
        <v>1713</v>
      </c>
      <c r="M1355" s="32">
        <v>396</v>
      </c>
      <c r="N1355" s="32">
        <v>280</v>
      </c>
      <c r="O1355" s="32">
        <v>361</v>
      </c>
      <c r="P1355" s="32">
        <v>451</v>
      </c>
      <c r="Q1355" s="32">
        <v>225</v>
      </c>
      <c r="R1355" s="32" t="s">
        <v>225</v>
      </c>
      <c r="S1355" s="32">
        <v>8.4709699999999994</v>
      </c>
      <c r="T1355" s="32">
        <v>0</v>
      </c>
      <c r="U1355" s="32">
        <v>1.2516458779999999</v>
      </c>
      <c r="V1355" s="32">
        <v>2</v>
      </c>
      <c r="W1355" s="32">
        <v>0.81728199999999995</v>
      </c>
      <c r="X1355" s="32">
        <v>0.217114</v>
      </c>
      <c r="Y1355" s="32">
        <v>0.8</v>
      </c>
      <c r="Z1355" s="32">
        <v>0.30726399999999998</v>
      </c>
      <c r="AA1355" s="32">
        <v>34.1</v>
      </c>
      <c r="AB1355" s="32">
        <v>646</v>
      </c>
      <c r="AC1355" s="32">
        <v>31</v>
      </c>
      <c r="AD1355" s="32">
        <v>215</v>
      </c>
      <c r="AE1355" s="32" t="s">
        <v>200</v>
      </c>
      <c r="AF1355" s="32" t="s">
        <v>200</v>
      </c>
      <c r="AG1355" s="32" t="s">
        <v>200</v>
      </c>
    </row>
    <row r="1356" spans="1:33">
      <c r="A1356" s="32" t="s">
        <v>4852</v>
      </c>
      <c r="B1356" s="32" t="s">
        <v>130</v>
      </c>
      <c r="C1356" s="32" t="s">
        <v>4853</v>
      </c>
      <c r="D1356" s="32" t="s">
        <v>4854</v>
      </c>
      <c r="E1356" s="32" t="s">
        <v>4604</v>
      </c>
      <c r="F1356" s="32" t="s">
        <v>4605</v>
      </c>
      <c r="G1356" s="32" t="s">
        <v>4606</v>
      </c>
      <c r="H1356" s="32" t="s">
        <v>4607</v>
      </c>
      <c r="I1356" s="32" t="s">
        <v>198</v>
      </c>
      <c r="J1356" s="32" t="s">
        <v>199</v>
      </c>
      <c r="K1356" s="32">
        <v>2.0904370000000001</v>
      </c>
      <c r="L1356" s="33">
        <v>2097</v>
      </c>
      <c r="M1356" s="32">
        <v>518</v>
      </c>
      <c r="N1356" s="32">
        <v>360</v>
      </c>
      <c r="O1356" s="32">
        <v>550</v>
      </c>
      <c r="P1356" s="32">
        <v>464</v>
      </c>
      <c r="Q1356" s="32">
        <v>205</v>
      </c>
      <c r="R1356" s="32">
        <v>2</v>
      </c>
      <c r="S1356" s="32">
        <v>9.5202500000000008</v>
      </c>
      <c r="T1356" s="32">
        <v>2.1456300000000001</v>
      </c>
      <c r="U1356" s="32">
        <v>0.98576273699999994</v>
      </c>
      <c r="V1356" s="32">
        <v>5</v>
      </c>
      <c r="W1356" s="32">
        <v>0.82461899999999999</v>
      </c>
      <c r="X1356" s="32">
        <v>0.15354999999999999</v>
      </c>
      <c r="Y1356" s="32">
        <v>0.8</v>
      </c>
      <c r="Z1356" s="32">
        <v>0.32935199999999998</v>
      </c>
      <c r="AA1356" s="32">
        <v>36.1</v>
      </c>
      <c r="AB1356" s="32">
        <v>825</v>
      </c>
      <c r="AC1356" s="32">
        <v>49</v>
      </c>
      <c r="AD1356" s="32">
        <v>124</v>
      </c>
      <c r="AE1356" s="32">
        <v>9</v>
      </c>
      <c r="AF1356" s="32" t="s">
        <v>200</v>
      </c>
      <c r="AG1356" s="32">
        <v>5</v>
      </c>
    </row>
    <row r="1357" spans="1:33">
      <c r="A1357" s="32" t="s">
        <v>4855</v>
      </c>
      <c r="B1357" s="32" t="s">
        <v>130</v>
      </c>
      <c r="C1357" s="32" t="s">
        <v>4856</v>
      </c>
      <c r="D1357" s="32" t="s">
        <v>4857</v>
      </c>
      <c r="E1357" s="32" t="s">
        <v>4858</v>
      </c>
      <c r="F1357" s="32" t="s">
        <v>4859</v>
      </c>
      <c r="G1357" s="32" t="s">
        <v>4606</v>
      </c>
      <c r="H1357" s="32" t="s">
        <v>4607</v>
      </c>
      <c r="I1357" s="32" t="s">
        <v>198</v>
      </c>
      <c r="J1357" s="32" t="s">
        <v>199</v>
      </c>
      <c r="K1357" s="32">
        <v>2.2530950000000001</v>
      </c>
      <c r="L1357" s="33">
        <v>1923</v>
      </c>
      <c r="M1357" s="32">
        <v>497</v>
      </c>
      <c r="N1357" s="32">
        <v>313</v>
      </c>
      <c r="O1357" s="32">
        <v>438</v>
      </c>
      <c r="P1357" s="32">
        <v>444</v>
      </c>
      <c r="Q1357" s="32">
        <v>231</v>
      </c>
      <c r="R1357" s="32">
        <v>2</v>
      </c>
      <c r="S1357" s="32">
        <v>8.9309899999999995</v>
      </c>
      <c r="T1357" s="32">
        <v>2.0359699999999998</v>
      </c>
      <c r="U1357" s="32">
        <v>1.1181428440000001</v>
      </c>
      <c r="V1357" s="32">
        <v>3</v>
      </c>
      <c r="W1357" s="32">
        <v>0.83423599999999998</v>
      </c>
      <c r="X1357" s="32">
        <v>0.34324300000000002</v>
      </c>
      <c r="Y1357" s="32">
        <v>0.8</v>
      </c>
      <c r="Z1357" s="32">
        <v>0.30019200000000001</v>
      </c>
      <c r="AA1357" s="32">
        <v>31.9</v>
      </c>
      <c r="AB1357" s="32">
        <v>745</v>
      </c>
      <c r="AC1357" s="32">
        <v>29</v>
      </c>
      <c r="AD1357" s="32">
        <v>50</v>
      </c>
      <c r="AE1357" s="32" t="s">
        <v>200</v>
      </c>
      <c r="AF1357" s="32">
        <v>0</v>
      </c>
      <c r="AG1357" s="32">
        <v>0</v>
      </c>
    </row>
    <row r="1358" spans="1:33">
      <c r="A1358" s="32" t="s">
        <v>4860</v>
      </c>
      <c r="B1358" s="32" t="s">
        <v>130</v>
      </c>
      <c r="C1358" s="32" t="s">
        <v>4861</v>
      </c>
      <c r="D1358" s="32" t="s">
        <v>4862</v>
      </c>
      <c r="E1358" s="32" t="s">
        <v>4858</v>
      </c>
      <c r="F1358" s="32" t="s">
        <v>4859</v>
      </c>
      <c r="G1358" s="32" t="s">
        <v>4606</v>
      </c>
      <c r="H1358" s="32" t="s">
        <v>4607</v>
      </c>
      <c r="I1358" s="32" t="s">
        <v>198</v>
      </c>
      <c r="J1358" s="32" t="s">
        <v>199</v>
      </c>
      <c r="K1358" s="32">
        <v>1.949759</v>
      </c>
      <c r="L1358" s="33">
        <v>1844</v>
      </c>
      <c r="M1358" s="32">
        <v>380</v>
      </c>
      <c r="N1358" s="32">
        <v>299</v>
      </c>
      <c r="O1358" s="32">
        <v>428</v>
      </c>
      <c r="P1358" s="32">
        <v>458</v>
      </c>
      <c r="Q1358" s="32">
        <v>279</v>
      </c>
      <c r="R1358" s="32">
        <v>2</v>
      </c>
      <c r="S1358" s="32">
        <v>7.6673299999999998</v>
      </c>
      <c r="T1358" s="32">
        <v>3.6401300000000001</v>
      </c>
      <c r="U1358" s="32">
        <v>0.97121905799999997</v>
      </c>
      <c r="V1358" s="32">
        <v>6</v>
      </c>
      <c r="W1358" s="32">
        <v>0.80885700000000005</v>
      </c>
      <c r="X1358" s="32">
        <v>4.6422999999999999E-2</v>
      </c>
      <c r="Y1358" s="32">
        <v>0.8</v>
      </c>
      <c r="Z1358" s="32">
        <v>0.3</v>
      </c>
      <c r="AA1358" s="32">
        <v>22.6</v>
      </c>
      <c r="AB1358" s="32">
        <v>862</v>
      </c>
      <c r="AC1358" s="32">
        <v>51</v>
      </c>
      <c r="AD1358" s="32">
        <v>67</v>
      </c>
      <c r="AE1358" s="32">
        <v>0</v>
      </c>
      <c r="AF1358" s="32">
        <v>0</v>
      </c>
      <c r="AG1358" s="32" t="s">
        <v>200</v>
      </c>
    </row>
    <row r="1359" spans="1:33">
      <c r="A1359" s="32" t="s">
        <v>4863</v>
      </c>
      <c r="B1359" s="32" t="s">
        <v>130</v>
      </c>
      <c r="C1359" s="32" t="s">
        <v>4864</v>
      </c>
      <c r="D1359" s="32" t="s">
        <v>4865</v>
      </c>
      <c r="E1359" s="32" t="s">
        <v>4858</v>
      </c>
      <c r="F1359" s="32" t="s">
        <v>4859</v>
      </c>
      <c r="G1359" s="32" t="s">
        <v>4606</v>
      </c>
      <c r="H1359" s="32" t="s">
        <v>4607</v>
      </c>
      <c r="I1359" s="32" t="s">
        <v>198</v>
      </c>
      <c r="J1359" s="32" t="s">
        <v>199</v>
      </c>
      <c r="K1359" s="32">
        <v>2.0688170000000001</v>
      </c>
      <c r="L1359" s="33">
        <v>1739</v>
      </c>
      <c r="M1359" s="32">
        <v>449</v>
      </c>
      <c r="N1359" s="32">
        <v>301</v>
      </c>
      <c r="O1359" s="32">
        <v>380</v>
      </c>
      <c r="P1359" s="32">
        <v>388</v>
      </c>
      <c r="Q1359" s="32">
        <v>221</v>
      </c>
      <c r="R1359" s="32" t="s">
        <v>214</v>
      </c>
      <c r="S1359" s="32">
        <v>7.4557000000000002</v>
      </c>
      <c r="T1359" s="32">
        <v>0</v>
      </c>
      <c r="U1359" s="32">
        <v>1.104720457</v>
      </c>
      <c r="V1359" s="32">
        <v>3</v>
      </c>
      <c r="W1359" s="32">
        <v>0.80625199999999997</v>
      </c>
      <c r="X1359" s="32">
        <v>0.146902</v>
      </c>
      <c r="Y1359" s="32">
        <v>0.8</v>
      </c>
      <c r="Z1359" s="32">
        <v>0.31746999999999997</v>
      </c>
      <c r="AA1359" s="32">
        <v>30.5</v>
      </c>
      <c r="AB1359" s="32">
        <v>631</v>
      </c>
      <c r="AC1359" s="32">
        <v>31</v>
      </c>
      <c r="AD1359" s="32">
        <v>51</v>
      </c>
      <c r="AE1359" s="32">
        <v>8</v>
      </c>
      <c r="AF1359" s="32" t="s">
        <v>200</v>
      </c>
      <c r="AG1359" s="32" t="s">
        <v>200</v>
      </c>
    </row>
    <row r="1360" spans="1:33">
      <c r="A1360" s="32" t="s">
        <v>4866</v>
      </c>
      <c r="B1360" s="32" t="s">
        <v>130</v>
      </c>
      <c r="C1360" s="32" t="s">
        <v>4867</v>
      </c>
      <c r="D1360" s="32" t="s">
        <v>4868</v>
      </c>
      <c r="E1360" s="32" t="s">
        <v>4841</v>
      </c>
      <c r="F1360" s="32" t="s">
        <v>4842</v>
      </c>
      <c r="G1360" s="32" t="s">
        <v>4606</v>
      </c>
      <c r="H1360" s="32" t="s">
        <v>4607</v>
      </c>
      <c r="I1360" s="32" t="s">
        <v>198</v>
      </c>
      <c r="J1360" s="32" t="s">
        <v>199</v>
      </c>
      <c r="K1360" s="32">
        <v>2.0689690000000001</v>
      </c>
      <c r="L1360" s="33">
        <v>1798</v>
      </c>
      <c r="M1360" s="32">
        <v>418</v>
      </c>
      <c r="N1360" s="32">
        <v>308</v>
      </c>
      <c r="O1360" s="32">
        <v>395</v>
      </c>
      <c r="P1360" s="32">
        <v>441</v>
      </c>
      <c r="Q1360" s="32">
        <v>236</v>
      </c>
      <c r="R1360" s="32" t="s">
        <v>225</v>
      </c>
      <c r="S1360" s="32">
        <v>16.537700000000001</v>
      </c>
      <c r="T1360" s="32">
        <v>0</v>
      </c>
      <c r="U1360" s="32">
        <v>1.0135065969999999</v>
      </c>
      <c r="V1360" s="32">
        <v>5</v>
      </c>
      <c r="W1360" s="32">
        <v>0.80741700000000005</v>
      </c>
      <c r="X1360" s="32">
        <v>0.14476900000000001</v>
      </c>
      <c r="Y1360" s="32">
        <v>0.8</v>
      </c>
      <c r="Z1360" s="32">
        <v>0.321048</v>
      </c>
      <c r="AA1360" s="32">
        <v>31.5</v>
      </c>
      <c r="AB1360" s="32">
        <v>788</v>
      </c>
      <c r="AC1360" s="32">
        <v>38</v>
      </c>
      <c r="AD1360" s="32">
        <v>72</v>
      </c>
      <c r="AE1360" s="32">
        <v>0</v>
      </c>
      <c r="AF1360" s="32" t="s">
        <v>200</v>
      </c>
      <c r="AG1360" s="32" t="s">
        <v>200</v>
      </c>
    </row>
    <row r="1361" spans="1:33">
      <c r="A1361" s="32" t="s">
        <v>4869</v>
      </c>
      <c r="B1361" s="32" t="s">
        <v>130</v>
      </c>
      <c r="C1361" s="32" t="s">
        <v>4870</v>
      </c>
      <c r="D1361" s="32" t="s">
        <v>4871</v>
      </c>
      <c r="E1361" s="32" t="s">
        <v>4841</v>
      </c>
      <c r="F1361" s="32" t="s">
        <v>4842</v>
      </c>
      <c r="G1361" s="32" t="s">
        <v>4606</v>
      </c>
      <c r="H1361" s="32" t="s">
        <v>4607</v>
      </c>
      <c r="I1361" s="32" t="s">
        <v>198</v>
      </c>
      <c r="J1361" s="32" t="s">
        <v>199</v>
      </c>
      <c r="K1361" s="32">
        <v>2.1622029999999999</v>
      </c>
      <c r="L1361" s="33">
        <v>1869</v>
      </c>
      <c r="M1361" s="32">
        <v>415</v>
      </c>
      <c r="N1361" s="32">
        <v>302</v>
      </c>
      <c r="O1361" s="32">
        <v>439</v>
      </c>
      <c r="P1361" s="32">
        <v>456</v>
      </c>
      <c r="Q1361" s="32">
        <v>257</v>
      </c>
      <c r="R1361" s="32">
        <v>4</v>
      </c>
      <c r="S1361" s="32">
        <v>20.661899999999999</v>
      </c>
      <c r="T1361" s="32">
        <v>5.5148900000000003</v>
      </c>
      <c r="U1361" s="32">
        <v>1.075119538</v>
      </c>
      <c r="V1361" s="32">
        <v>3</v>
      </c>
      <c r="W1361" s="32">
        <v>0.81479500000000005</v>
      </c>
      <c r="X1361" s="32">
        <v>0.127135</v>
      </c>
      <c r="Y1361" s="32">
        <v>0.8</v>
      </c>
      <c r="Z1361" s="32">
        <v>0.42927900000000002</v>
      </c>
      <c r="AA1361" s="32">
        <v>34.1</v>
      </c>
      <c r="AB1361" s="32">
        <v>661</v>
      </c>
      <c r="AC1361" s="32">
        <v>33</v>
      </c>
      <c r="AD1361" s="32">
        <v>54</v>
      </c>
      <c r="AE1361" s="32">
        <v>10</v>
      </c>
      <c r="AF1361" s="32" t="s">
        <v>200</v>
      </c>
      <c r="AG1361" s="32" t="s">
        <v>200</v>
      </c>
    </row>
    <row r="1362" spans="1:33">
      <c r="A1362" s="32" t="s">
        <v>4872</v>
      </c>
      <c r="B1362" s="32" t="s">
        <v>130</v>
      </c>
      <c r="C1362" s="32" t="s">
        <v>4873</v>
      </c>
      <c r="D1362" s="32" t="s">
        <v>4874</v>
      </c>
      <c r="E1362" s="32" t="s">
        <v>4841</v>
      </c>
      <c r="F1362" s="32" t="s">
        <v>4842</v>
      </c>
      <c r="G1362" s="32" t="s">
        <v>4606</v>
      </c>
      <c r="H1362" s="32" t="s">
        <v>4607</v>
      </c>
      <c r="I1362" s="32" t="s">
        <v>198</v>
      </c>
      <c r="J1362" s="32" t="s">
        <v>199</v>
      </c>
      <c r="K1362" s="32">
        <v>2.0865719999999999</v>
      </c>
      <c r="L1362" s="33">
        <v>1784</v>
      </c>
      <c r="M1362" s="32">
        <v>398</v>
      </c>
      <c r="N1362" s="32">
        <v>321</v>
      </c>
      <c r="O1362" s="32">
        <v>367</v>
      </c>
      <c r="P1362" s="32">
        <v>471</v>
      </c>
      <c r="Q1362" s="32">
        <v>227</v>
      </c>
      <c r="R1362" s="32">
        <v>2</v>
      </c>
      <c r="S1362" s="32">
        <v>8.4332499999999992</v>
      </c>
      <c r="T1362" s="32">
        <v>3.7874699999999999</v>
      </c>
      <c r="U1362" s="32">
        <v>0.93884280099999995</v>
      </c>
      <c r="V1362" s="32">
        <v>5</v>
      </c>
      <c r="W1362" s="32">
        <v>0.81437599999999999</v>
      </c>
      <c r="X1362" s="32">
        <v>0.14702999999999999</v>
      </c>
      <c r="Y1362" s="32">
        <v>0.8</v>
      </c>
      <c r="Z1362" s="32">
        <v>0.31558000000000003</v>
      </c>
      <c r="AA1362" s="32">
        <v>36.5</v>
      </c>
      <c r="AB1362" s="32">
        <v>778</v>
      </c>
      <c r="AC1362" s="32">
        <v>30</v>
      </c>
      <c r="AD1362" s="32">
        <v>51</v>
      </c>
      <c r="AE1362" s="32" t="s">
        <v>200</v>
      </c>
      <c r="AF1362" s="32">
        <v>0</v>
      </c>
      <c r="AG1362" s="32">
        <v>5</v>
      </c>
    </row>
    <row r="1363" spans="1:33">
      <c r="A1363" s="32" t="s">
        <v>4875</v>
      </c>
      <c r="B1363" s="32" t="s">
        <v>130</v>
      </c>
      <c r="C1363" s="32" t="s">
        <v>4876</v>
      </c>
      <c r="D1363" s="32" t="s">
        <v>4877</v>
      </c>
      <c r="E1363" s="32" t="s">
        <v>4604</v>
      </c>
      <c r="F1363" s="32" t="s">
        <v>4605</v>
      </c>
      <c r="G1363" s="32" t="s">
        <v>4606</v>
      </c>
      <c r="H1363" s="32" t="s">
        <v>4607</v>
      </c>
      <c r="I1363" s="32" t="s">
        <v>198</v>
      </c>
      <c r="J1363" s="32" t="s">
        <v>199</v>
      </c>
      <c r="K1363" s="32">
        <v>2.0252620000000001</v>
      </c>
      <c r="L1363" s="33">
        <v>1623</v>
      </c>
      <c r="M1363" s="32">
        <v>396</v>
      </c>
      <c r="N1363" s="32">
        <v>300</v>
      </c>
      <c r="O1363" s="32">
        <v>368</v>
      </c>
      <c r="P1363" s="32">
        <v>372</v>
      </c>
      <c r="Q1363" s="32">
        <v>187</v>
      </c>
      <c r="R1363" s="32" t="s">
        <v>225</v>
      </c>
      <c r="S1363" s="32">
        <v>9.0007000000000001</v>
      </c>
      <c r="T1363" s="32">
        <v>0</v>
      </c>
      <c r="U1363" s="32">
        <v>1.319788513</v>
      </c>
      <c r="V1363" s="32">
        <v>2</v>
      </c>
      <c r="W1363" s="32">
        <v>0.80551899999999999</v>
      </c>
      <c r="X1363" s="32">
        <v>9.7434000000000007E-2</v>
      </c>
      <c r="Y1363" s="32">
        <v>0.8</v>
      </c>
      <c r="Z1363" s="32">
        <v>0.31564199999999998</v>
      </c>
      <c r="AA1363" s="32">
        <v>40.299999999999997</v>
      </c>
      <c r="AB1363" s="32">
        <v>557</v>
      </c>
      <c r="AC1363" s="32">
        <v>31</v>
      </c>
      <c r="AD1363" s="32">
        <v>77</v>
      </c>
      <c r="AE1363" s="32">
        <v>10</v>
      </c>
      <c r="AF1363" s="32">
        <v>0</v>
      </c>
      <c r="AG1363" s="32">
        <v>0</v>
      </c>
    </row>
    <row r="1364" spans="1:33">
      <c r="A1364" s="32" t="s">
        <v>4878</v>
      </c>
      <c r="B1364" s="32" t="s">
        <v>130</v>
      </c>
      <c r="C1364" s="32" t="s">
        <v>4879</v>
      </c>
      <c r="D1364" s="32" t="s">
        <v>4880</v>
      </c>
      <c r="E1364" s="32" t="s">
        <v>4858</v>
      </c>
      <c r="F1364" s="32" t="s">
        <v>4859</v>
      </c>
      <c r="G1364" s="32" t="s">
        <v>4606</v>
      </c>
      <c r="H1364" s="32" t="s">
        <v>4607</v>
      </c>
      <c r="I1364" s="32" t="s">
        <v>198</v>
      </c>
      <c r="J1364" s="32" t="s">
        <v>199</v>
      </c>
      <c r="K1364" s="32">
        <v>1.9767729999999999</v>
      </c>
      <c r="L1364" s="33">
        <v>1603</v>
      </c>
      <c r="M1364" s="32">
        <v>345</v>
      </c>
      <c r="N1364" s="32">
        <v>242</v>
      </c>
      <c r="O1364" s="32">
        <v>366</v>
      </c>
      <c r="P1364" s="32">
        <v>388</v>
      </c>
      <c r="Q1364" s="32">
        <v>262</v>
      </c>
      <c r="R1364" s="32" t="s">
        <v>214</v>
      </c>
      <c r="S1364" s="32">
        <v>4.0511600000000003</v>
      </c>
      <c r="T1364" s="32">
        <v>0</v>
      </c>
      <c r="U1364" s="32">
        <v>0.94117462900000004</v>
      </c>
      <c r="V1364" s="32">
        <v>7</v>
      </c>
      <c r="W1364" s="32">
        <v>0.80472699999999997</v>
      </c>
      <c r="X1364" s="32">
        <v>4.9431000000000003E-2</v>
      </c>
      <c r="Y1364" s="32">
        <v>0.8</v>
      </c>
      <c r="Z1364" s="32">
        <v>0.312612</v>
      </c>
      <c r="AA1364" s="32">
        <v>19.899999999999999</v>
      </c>
      <c r="AB1364" s="32">
        <v>877</v>
      </c>
      <c r="AC1364" s="32">
        <v>64</v>
      </c>
      <c r="AD1364" s="32">
        <v>97</v>
      </c>
      <c r="AE1364" s="32">
        <v>26</v>
      </c>
      <c r="AF1364" s="32" t="s">
        <v>200</v>
      </c>
      <c r="AG1364" s="32">
        <v>9</v>
      </c>
    </row>
    <row r="1365" spans="1:33">
      <c r="A1365" s="32" t="s">
        <v>4881</v>
      </c>
      <c r="B1365" s="32" t="s">
        <v>139</v>
      </c>
      <c r="C1365" s="32" t="s">
        <v>4882</v>
      </c>
      <c r="D1365" s="32" t="s">
        <v>4883</v>
      </c>
      <c r="E1365" s="32" t="s">
        <v>4884</v>
      </c>
      <c r="F1365" s="32" t="s">
        <v>4885</v>
      </c>
      <c r="G1365" s="32" t="s">
        <v>4886</v>
      </c>
      <c r="H1365" s="32" t="s">
        <v>4887</v>
      </c>
      <c r="I1365" s="32" t="s">
        <v>198</v>
      </c>
      <c r="J1365" s="32" t="s">
        <v>199</v>
      </c>
      <c r="K1365" s="32">
        <v>1.842778</v>
      </c>
      <c r="L1365" s="33">
        <v>1704</v>
      </c>
      <c r="M1365" s="32">
        <v>431</v>
      </c>
      <c r="N1365" s="32">
        <v>271</v>
      </c>
      <c r="O1365" s="32">
        <v>287</v>
      </c>
      <c r="P1365" s="32">
        <v>455</v>
      </c>
      <c r="Q1365" s="32">
        <v>260</v>
      </c>
      <c r="R1365" s="32" t="s">
        <v>214</v>
      </c>
      <c r="S1365" s="32">
        <v>5.9401400000000004</v>
      </c>
      <c r="T1365" s="32">
        <v>0</v>
      </c>
      <c r="U1365" s="32">
        <v>1.1982292649999999</v>
      </c>
      <c r="V1365" s="32">
        <v>3</v>
      </c>
      <c r="W1365" s="32">
        <v>0.80067299999999997</v>
      </c>
      <c r="X1365" s="32">
        <v>2.2582999999999999E-2</v>
      </c>
      <c r="Y1365" s="32">
        <v>0.9</v>
      </c>
      <c r="Z1365" s="32">
        <v>0.118225</v>
      </c>
      <c r="AA1365" s="32">
        <v>47.2</v>
      </c>
      <c r="AB1365" s="32">
        <v>781</v>
      </c>
      <c r="AC1365" s="32">
        <v>34</v>
      </c>
      <c r="AD1365" s="32">
        <v>56</v>
      </c>
      <c r="AE1365" s="32" t="s">
        <v>200</v>
      </c>
      <c r="AF1365" s="32" t="s">
        <v>200</v>
      </c>
      <c r="AG1365" s="32" t="s">
        <v>200</v>
      </c>
    </row>
    <row r="1366" spans="1:33">
      <c r="A1366" s="32" t="s">
        <v>4888</v>
      </c>
      <c r="B1366" s="32" t="s">
        <v>139</v>
      </c>
      <c r="C1366" s="32" t="s">
        <v>4889</v>
      </c>
      <c r="D1366" s="32" t="s">
        <v>4890</v>
      </c>
      <c r="E1366" s="32" t="s">
        <v>4891</v>
      </c>
      <c r="F1366" s="32" t="s">
        <v>4892</v>
      </c>
      <c r="G1366" s="32" t="s">
        <v>4886</v>
      </c>
      <c r="H1366" s="32" t="s">
        <v>4887</v>
      </c>
      <c r="I1366" s="32" t="s">
        <v>198</v>
      </c>
      <c r="J1366" s="32" t="s">
        <v>199</v>
      </c>
      <c r="K1366" s="32">
        <v>2.241501</v>
      </c>
      <c r="L1366" s="33">
        <v>1743</v>
      </c>
      <c r="M1366" s="32">
        <v>470</v>
      </c>
      <c r="N1366" s="32">
        <v>265</v>
      </c>
      <c r="O1366" s="32">
        <v>342</v>
      </c>
      <c r="P1366" s="32">
        <v>439</v>
      </c>
      <c r="Q1366" s="32">
        <v>227</v>
      </c>
      <c r="R1366" s="32" t="s">
        <v>214</v>
      </c>
      <c r="S1366" s="32">
        <v>9.2533200000000004</v>
      </c>
      <c r="T1366" s="32">
        <v>0</v>
      </c>
      <c r="U1366" s="32">
        <v>1.0930970310000001</v>
      </c>
      <c r="V1366" s="32">
        <v>3</v>
      </c>
      <c r="W1366" s="32">
        <v>0.82514900000000002</v>
      </c>
      <c r="X1366" s="32">
        <v>0.28721999999999998</v>
      </c>
      <c r="Y1366" s="32">
        <v>0.9</v>
      </c>
      <c r="Z1366" s="32">
        <v>0.23555400000000001</v>
      </c>
      <c r="AA1366" s="32">
        <v>52.4</v>
      </c>
      <c r="AB1366" s="32">
        <v>575</v>
      </c>
      <c r="AC1366" s="32">
        <v>20</v>
      </c>
      <c r="AD1366" s="32">
        <v>32</v>
      </c>
      <c r="AE1366" s="32">
        <v>0</v>
      </c>
      <c r="AF1366" s="32">
        <v>5</v>
      </c>
      <c r="AG1366" s="32" t="s">
        <v>200</v>
      </c>
    </row>
    <row r="1367" spans="1:33">
      <c r="A1367" s="32" t="s">
        <v>4893</v>
      </c>
      <c r="B1367" s="32" t="s">
        <v>139</v>
      </c>
      <c r="C1367" s="32" t="s">
        <v>4894</v>
      </c>
      <c r="D1367" s="32" t="s">
        <v>4895</v>
      </c>
      <c r="E1367" s="32" t="s">
        <v>4884</v>
      </c>
      <c r="F1367" s="32" t="s">
        <v>4885</v>
      </c>
      <c r="G1367" s="32" t="s">
        <v>4886</v>
      </c>
      <c r="H1367" s="32" t="s">
        <v>4887</v>
      </c>
      <c r="I1367" s="32" t="s">
        <v>198</v>
      </c>
      <c r="J1367" s="32" t="s">
        <v>199</v>
      </c>
      <c r="K1367" s="32">
        <v>2.1423220000000001</v>
      </c>
      <c r="L1367" s="33">
        <v>1774</v>
      </c>
      <c r="M1367" s="32">
        <v>433</v>
      </c>
      <c r="N1367" s="32">
        <v>309</v>
      </c>
      <c r="O1367" s="32">
        <v>339</v>
      </c>
      <c r="P1367" s="32">
        <v>471</v>
      </c>
      <c r="Q1367" s="32">
        <v>222</v>
      </c>
      <c r="R1367" s="32">
        <v>2</v>
      </c>
      <c r="S1367" s="32">
        <v>12.0616</v>
      </c>
      <c r="T1367" s="32">
        <v>0</v>
      </c>
      <c r="U1367" s="32">
        <v>1.069902514</v>
      </c>
      <c r="V1367" s="32">
        <v>3</v>
      </c>
      <c r="W1367" s="32">
        <v>0.811971</v>
      </c>
      <c r="X1367" s="32">
        <v>0.19031500000000001</v>
      </c>
      <c r="Y1367" s="32">
        <v>0.9</v>
      </c>
      <c r="Z1367" s="32">
        <v>0.24095800000000001</v>
      </c>
      <c r="AA1367" s="32">
        <v>52.6</v>
      </c>
      <c r="AB1367" s="32">
        <v>693</v>
      </c>
      <c r="AC1367" s="32">
        <v>28</v>
      </c>
      <c r="AD1367" s="32">
        <v>56</v>
      </c>
      <c r="AE1367" s="32" t="s">
        <v>200</v>
      </c>
      <c r="AF1367" s="32">
        <v>0</v>
      </c>
      <c r="AG1367" s="32">
        <v>6</v>
      </c>
    </row>
    <row r="1368" spans="1:33">
      <c r="A1368" s="32" t="s">
        <v>4896</v>
      </c>
      <c r="B1368" s="32" t="s">
        <v>139</v>
      </c>
      <c r="C1368" s="32" t="s">
        <v>4897</v>
      </c>
      <c r="D1368" s="32" t="s">
        <v>4898</v>
      </c>
      <c r="E1368" s="32" t="s">
        <v>4884</v>
      </c>
      <c r="F1368" s="32" t="s">
        <v>4885</v>
      </c>
      <c r="G1368" s="32" t="s">
        <v>4886</v>
      </c>
      <c r="H1368" s="32" t="s">
        <v>4887</v>
      </c>
      <c r="I1368" s="32" t="s">
        <v>198</v>
      </c>
      <c r="J1368" s="32" t="s">
        <v>199</v>
      </c>
      <c r="K1368" s="32">
        <v>2.2470370000000002</v>
      </c>
      <c r="L1368" s="33">
        <v>1732</v>
      </c>
      <c r="M1368" s="32">
        <v>481</v>
      </c>
      <c r="N1368" s="32">
        <v>300</v>
      </c>
      <c r="O1368" s="32">
        <v>369</v>
      </c>
      <c r="P1368" s="32">
        <v>385</v>
      </c>
      <c r="Q1368" s="32">
        <v>197</v>
      </c>
      <c r="R1368" s="32">
        <v>2</v>
      </c>
      <c r="S1368" s="32">
        <v>13.420199999999999</v>
      </c>
      <c r="T1368" s="32">
        <v>0</v>
      </c>
      <c r="U1368" s="32">
        <v>1.139241427</v>
      </c>
      <c r="V1368" s="32">
        <v>2</v>
      </c>
      <c r="W1368" s="32">
        <v>0.83324100000000001</v>
      </c>
      <c r="X1368" s="32">
        <v>0.22409599999999999</v>
      </c>
      <c r="Y1368" s="32">
        <v>0.9</v>
      </c>
      <c r="Z1368" s="32">
        <v>0.28997200000000001</v>
      </c>
      <c r="AA1368" s="32">
        <v>57.1</v>
      </c>
      <c r="AB1368" s="32">
        <v>590</v>
      </c>
      <c r="AC1368" s="32">
        <v>19</v>
      </c>
      <c r="AD1368" s="32">
        <v>41</v>
      </c>
      <c r="AE1368" s="32" t="s">
        <v>200</v>
      </c>
      <c r="AF1368" s="32" t="s">
        <v>200</v>
      </c>
      <c r="AG1368" s="32" t="s">
        <v>200</v>
      </c>
    </row>
    <row r="1369" spans="1:33">
      <c r="A1369" s="32" t="s">
        <v>4899</v>
      </c>
      <c r="B1369" s="32" t="s">
        <v>139</v>
      </c>
      <c r="C1369" s="32" t="s">
        <v>4900</v>
      </c>
      <c r="D1369" s="32" t="s">
        <v>4901</v>
      </c>
      <c r="E1369" s="32" t="s">
        <v>4884</v>
      </c>
      <c r="F1369" s="32" t="s">
        <v>4885</v>
      </c>
      <c r="G1369" s="32" t="s">
        <v>4886</v>
      </c>
      <c r="H1369" s="32" t="s">
        <v>4887</v>
      </c>
      <c r="I1369" s="32" t="s">
        <v>198</v>
      </c>
      <c r="J1369" s="32" t="s">
        <v>199</v>
      </c>
      <c r="K1369" s="32">
        <v>1.9402509999999999</v>
      </c>
      <c r="L1369" s="33">
        <v>1731</v>
      </c>
      <c r="M1369" s="32">
        <v>476</v>
      </c>
      <c r="N1369" s="32">
        <v>259</v>
      </c>
      <c r="O1369" s="32">
        <v>344</v>
      </c>
      <c r="P1369" s="32">
        <v>420</v>
      </c>
      <c r="Q1369" s="32">
        <v>232</v>
      </c>
      <c r="R1369" s="32" t="s">
        <v>225</v>
      </c>
      <c r="S1369" s="32">
        <v>9.2688299999999995</v>
      </c>
      <c r="T1369" s="32">
        <v>0</v>
      </c>
      <c r="U1369" s="32">
        <v>1.1278024710000001</v>
      </c>
      <c r="V1369" s="32">
        <v>4</v>
      </c>
      <c r="W1369" s="32">
        <v>0.80342100000000005</v>
      </c>
      <c r="X1369" s="32">
        <v>3.2044999999999997E-2</v>
      </c>
      <c r="Y1369" s="32">
        <v>0.9</v>
      </c>
      <c r="Z1369" s="32">
        <v>0.205233</v>
      </c>
      <c r="AA1369" s="32">
        <v>53.2</v>
      </c>
      <c r="AB1369" s="32">
        <v>703</v>
      </c>
      <c r="AC1369" s="32">
        <v>29</v>
      </c>
      <c r="AD1369" s="32">
        <v>47</v>
      </c>
      <c r="AE1369" s="32" t="s">
        <v>200</v>
      </c>
      <c r="AF1369" s="32">
        <v>0</v>
      </c>
      <c r="AG1369" s="32">
        <v>0</v>
      </c>
    </row>
    <row r="1370" spans="1:33">
      <c r="A1370" s="32" t="s">
        <v>4902</v>
      </c>
      <c r="B1370" s="32" t="s">
        <v>139</v>
      </c>
      <c r="C1370" s="32" t="s">
        <v>4903</v>
      </c>
      <c r="D1370" s="32" t="s">
        <v>4904</v>
      </c>
      <c r="E1370" s="32" t="s">
        <v>4891</v>
      </c>
      <c r="F1370" s="32" t="s">
        <v>4892</v>
      </c>
      <c r="G1370" s="32" t="s">
        <v>4886</v>
      </c>
      <c r="H1370" s="32" t="s">
        <v>4887</v>
      </c>
      <c r="I1370" s="32" t="s">
        <v>198</v>
      </c>
      <c r="J1370" s="32" t="s">
        <v>199</v>
      </c>
      <c r="K1370" s="32">
        <v>2.1278860000000002</v>
      </c>
      <c r="L1370" s="33">
        <v>1756</v>
      </c>
      <c r="M1370" s="32">
        <v>538</v>
      </c>
      <c r="N1370" s="32">
        <v>252</v>
      </c>
      <c r="O1370" s="32">
        <v>384</v>
      </c>
      <c r="P1370" s="32">
        <v>408</v>
      </c>
      <c r="Q1370" s="32">
        <v>174</v>
      </c>
      <c r="R1370" s="32">
        <v>2</v>
      </c>
      <c r="S1370" s="32">
        <v>13.405200000000001</v>
      </c>
      <c r="T1370" s="32">
        <v>0</v>
      </c>
      <c r="U1370" s="32">
        <v>1.3421303490000001</v>
      </c>
      <c r="V1370" s="32">
        <v>2</v>
      </c>
      <c r="W1370" s="32">
        <v>0.82297100000000001</v>
      </c>
      <c r="X1370" s="32">
        <v>8.3541000000000004E-2</v>
      </c>
      <c r="Y1370" s="32">
        <v>0.9</v>
      </c>
      <c r="Z1370" s="32">
        <v>0.33397700000000002</v>
      </c>
      <c r="AA1370" s="32">
        <v>55.6</v>
      </c>
      <c r="AB1370" s="32">
        <v>579</v>
      </c>
      <c r="AC1370" s="32">
        <v>17</v>
      </c>
      <c r="AD1370" s="32">
        <v>22</v>
      </c>
      <c r="AE1370" s="32">
        <v>0</v>
      </c>
      <c r="AF1370" s="32">
        <v>0</v>
      </c>
      <c r="AG1370" s="32">
        <v>0</v>
      </c>
    </row>
    <row r="1371" spans="1:33">
      <c r="A1371" s="32" t="s">
        <v>4905</v>
      </c>
      <c r="B1371" s="32" t="s">
        <v>139</v>
      </c>
      <c r="C1371" s="32" t="s">
        <v>4906</v>
      </c>
      <c r="D1371" s="32" t="s">
        <v>4907</v>
      </c>
      <c r="E1371" s="32" t="s">
        <v>4884</v>
      </c>
      <c r="F1371" s="32" t="s">
        <v>4885</v>
      </c>
      <c r="G1371" s="32" t="s">
        <v>4886</v>
      </c>
      <c r="H1371" s="32" t="s">
        <v>4887</v>
      </c>
      <c r="I1371" s="32" t="s">
        <v>198</v>
      </c>
      <c r="J1371" s="32" t="s">
        <v>199</v>
      </c>
      <c r="K1371" s="32">
        <v>2.2088990000000002</v>
      </c>
      <c r="L1371" s="33">
        <v>1604</v>
      </c>
      <c r="M1371" s="32">
        <v>498</v>
      </c>
      <c r="N1371" s="32">
        <v>293</v>
      </c>
      <c r="O1371" s="32">
        <v>337</v>
      </c>
      <c r="P1371" s="32">
        <v>359</v>
      </c>
      <c r="Q1371" s="32">
        <v>117</v>
      </c>
      <c r="R1371" s="32">
        <v>2</v>
      </c>
      <c r="S1371" s="32">
        <v>9.7423800000000007</v>
      </c>
      <c r="T1371" s="32">
        <v>0</v>
      </c>
      <c r="U1371" s="32">
        <v>1.2028363179999999</v>
      </c>
      <c r="V1371" s="32">
        <v>2</v>
      </c>
      <c r="W1371" s="32">
        <v>0.81615899999999997</v>
      </c>
      <c r="X1371" s="32">
        <v>0.179812</v>
      </c>
      <c r="Y1371" s="32">
        <v>0.9</v>
      </c>
      <c r="Z1371" s="32">
        <v>0.29574499999999998</v>
      </c>
      <c r="AA1371" s="32">
        <v>63.1</v>
      </c>
      <c r="AB1371" s="32">
        <v>468</v>
      </c>
      <c r="AC1371" s="32">
        <v>19</v>
      </c>
      <c r="AD1371" s="32">
        <v>34</v>
      </c>
      <c r="AE1371" s="32">
        <v>0</v>
      </c>
      <c r="AF1371" s="32">
        <v>0</v>
      </c>
      <c r="AG1371" s="32" t="s">
        <v>200</v>
      </c>
    </row>
    <row r="1372" spans="1:33">
      <c r="A1372" s="32" t="s">
        <v>4908</v>
      </c>
      <c r="B1372" s="32" t="s">
        <v>139</v>
      </c>
      <c r="C1372" s="32" t="s">
        <v>4909</v>
      </c>
      <c r="D1372" s="32" t="s">
        <v>4910</v>
      </c>
      <c r="E1372" s="32" t="s">
        <v>4891</v>
      </c>
      <c r="F1372" s="32" t="s">
        <v>4892</v>
      </c>
      <c r="G1372" s="32" t="s">
        <v>4886</v>
      </c>
      <c r="H1372" s="32" t="s">
        <v>4887</v>
      </c>
      <c r="I1372" s="32" t="s">
        <v>198</v>
      </c>
      <c r="J1372" s="32" t="s">
        <v>199</v>
      </c>
      <c r="K1372" s="32">
        <v>2.0210129999999999</v>
      </c>
      <c r="L1372" s="33">
        <v>1449</v>
      </c>
      <c r="M1372" s="32">
        <v>403</v>
      </c>
      <c r="N1372" s="32">
        <v>231</v>
      </c>
      <c r="O1372" s="32">
        <v>318</v>
      </c>
      <c r="P1372" s="32">
        <v>344</v>
      </c>
      <c r="Q1372" s="32">
        <v>153</v>
      </c>
      <c r="R1372" s="32">
        <v>2</v>
      </c>
      <c r="S1372" s="32">
        <v>10.2516</v>
      </c>
      <c r="T1372" s="32">
        <v>2.8560500000000002</v>
      </c>
      <c r="U1372" s="32">
        <v>1.288159278</v>
      </c>
      <c r="V1372" s="32">
        <v>2</v>
      </c>
      <c r="W1372" s="32">
        <v>0.81417700000000004</v>
      </c>
      <c r="X1372" s="32">
        <v>0</v>
      </c>
      <c r="Y1372" s="32">
        <v>0.9</v>
      </c>
      <c r="Z1372" s="32">
        <v>0.30688799999999999</v>
      </c>
      <c r="AA1372" s="32">
        <v>60.9</v>
      </c>
      <c r="AB1372" s="32">
        <v>460</v>
      </c>
      <c r="AC1372" s="32">
        <v>8</v>
      </c>
      <c r="AD1372" s="32">
        <v>23</v>
      </c>
      <c r="AE1372" s="32">
        <v>0</v>
      </c>
      <c r="AF1372" s="32" t="s">
        <v>200</v>
      </c>
      <c r="AG1372" s="32" t="s">
        <v>200</v>
      </c>
    </row>
    <row r="1373" spans="1:33">
      <c r="A1373" s="32" t="s">
        <v>4911</v>
      </c>
      <c r="B1373" s="32" t="s">
        <v>139</v>
      </c>
      <c r="C1373" s="32" t="s">
        <v>4912</v>
      </c>
      <c r="D1373" s="32" t="s">
        <v>4913</v>
      </c>
      <c r="E1373" s="32" t="s">
        <v>4914</v>
      </c>
      <c r="F1373" s="32" t="s">
        <v>4915</v>
      </c>
      <c r="G1373" s="32" t="s">
        <v>4886</v>
      </c>
      <c r="H1373" s="32" t="s">
        <v>4887</v>
      </c>
      <c r="I1373" s="32" t="s">
        <v>198</v>
      </c>
      <c r="J1373" s="32" t="s">
        <v>199</v>
      </c>
      <c r="K1373" s="32">
        <v>2.3298410000000001</v>
      </c>
      <c r="L1373" s="33">
        <v>1993</v>
      </c>
      <c r="M1373" s="32">
        <v>437</v>
      </c>
      <c r="N1373" s="32">
        <v>343</v>
      </c>
      <c r="O1373" s="32">
        <v>462</v>
      </c>
      <c r="P1373" s="32">
        <v>532</v>
      </c>
      <c r="Q1373" s="32">
        <v>219</v>
      </c>
      <c r="R1373" s="32" t="s">
        <v>225</v>
      </c>
      <c r="S1373" s="32">
        <v>10.1113</v>
      </c>
      <c r="T1373" s="32">
        <v>0</v>
      </c>
      <c r="U1373" s="32">
        <v>0.98889963299999994</v>
      </c>
      <c r="V1373" s="32">
        <v>4</v>
      </c>
      <c r="W1373" s="32">
        <v>0.84341299999999997</v>
      </c>
      <c r="X1373" s="32">
        <v>0.12619</v>
      </c>
      <c r="Y1373" s="32">
        <v>0.82053699999999996</v>
      </c>
      <c r="Z1373" s="32">
        <v>0.53852800000000001</v>
      </c>
      <c r="AA1373" s="32">
        <v>89.9</v>
      </c>
      <c r="AB1373" s="32">
        <v>676</v>
      </c>
      <c r="AC1373" s="32">
        <v>15</v>
      </c>
      <c r="AD1373" s="32">
        <v>147</v>
      </c>
      <c r="AE1373" s="32">
        <v>43</v>
      </c>
      <c r="AF1373" s="32" t="s">
        <v>200</v>
      </c>
      <c r="AG1373" s="32">
        <v>0</v>
      </c>
    </row>
    <row r="1374" spans="1:33">
      <c r="A1374" s="32" t="s">
        <v>4916</v>
      </c>
      <c r="B1374" s="32" t="s">
        <v>139</v>
      </c>
      <c r="C1374" s="32" t="s">
        <v>4917</v>
      </c>
      <c r="D1374" s="32" t="s">
        <v>4918</v>
      </c>
      <c r="E1374" s="32" t="s">
        <v>4919</v>
      </c>
      <c r="F1374" s="32" t="s">
        <v>4920</v>
      </c>
      <c r="G1374" s="32" t="s">
        <v>4795</v>
      </c>
      <c r="H1374" s="32" t="s">
        <v>4796</v>
      </c>
      <c r="I1374" s="32" t="s">
        <v>198</v>
      </c>
      <c r="J1374" s="32" t="s">
        <v>199</v>
      </c>
      <c r="K1374" s="32">
        <v>2.2207680000000001</v>
      </c>
      <c r="L1374" s="33">
        <v>1866</v>
      </c>
      <c r="M1374" s="32">
        <v>425</v>
      </c>
      <c r="N1374" s="32">
        <v>344</v>
      </c>
      <c r="O1374" s="32">
        <v>408</v>
      </c>
      <c r="P1374" s="32">
        <v>425</v>
      </c>
      <c r="Q1374" s="32">
        <v>264</v>
      </c>
      <c r="R1374" s="32">
        <v>2</v>
      </c>
      <c r="S1374" s="32">
        <v>11.4063</v>
      </c>
      <c r="T1374" s="32">
        <v>0</v>
      </c>
      <c r="U1374" s="32">
        <v>1.0230499470000001</v>
      </c>
      <c r="V1374" s="32">
        <v>3</v>
      </c>
      <c r="W1374" s="32">
        <v>0.82606400000000002</v>
      </c>
      <c r="X1374" s="32">
        <v>0.25482900000000003</v>
      </c>
      <c r="Y1374" s="32">
        <v>0.8</v>
      </c>
      <c r="Z1374" s="32">
        <v>0.32244099999999998</v>
      </c>
      <c r="AA1374" s="32">
        <v>74.900000000000006</v>
      </c>
      <c r="AB1374" s="32">
        <v>704</v>
      </c>
      <c r="AC1374" s="32">
        <v>19</v>
      </c>
      <c r="AD1374" s="32">
        <v>41</v>
      </c>
      <c r="AE1374" s="32" t="s">
        <v>200</v>
      </c>
      <c r="AF1374" s="32" t="s">
        <v>200</v>
      </c>
      <c r="AG1374" s="32">
        <v>0</v>
      </c>
    </row>
    <row r="1375" spans="1:33">
      <c r="A1375" s="32" t="s">
        <v>4921</v>
      </c>
      <c r="B1375" s="32" t="s">
        <v>139</v>
      </c>
      <c r="C1375" s="32" t="s">
        <v>4922</v>
      </c>
      <c r="D1375" s="32" t="s">
        <v>4923</v>
      </c>
      <c r="E1375" s="32" t="s">
        <v>4924</v>
      </c>
      <c r="F1375" s="32" t="s">
        <v>4925</v>
      </c>
      <c r="G1375" s="32" t="s">
        <v>4795</v>
      </c>
      <c r="H1375" s="32" t="s">
        <v>4796</v>
      </c>
      <c r="I1375" s="32" t="s">
        <v>198</v>
      </c>
      <c r="J1375" s="32" t="s">
        <v>199</v>
      </c>
      <c r="K1375" s="32">
        <v>2.7407569999999999</v>
      </c>
      <c r="L1375" s="33">
        <v>3745</v>
      </c>
      <c r="M1375" s="32">
        <v>956</v>
      </c>
      <c r="N1375" s="32">
        <v>712</v>
      </c>
      <c r="O1375" s="33">
        <v>1157</v>
      </c>
      <c r="P1375" s="32">
        <v>661</v>
      </c>
      <c r="Q1375" s="32">
        <v>259</v>
      </c>
      <c r="R1375" s="32">
        <v>3</v>
      </c>
      <c r="S1375" s="32">
        <v>24.756699999999999</v>
      </c>
      <c r="T1375" s="32">
        <v>0</v>
      </c>
      <c r="U1375" s="32">
        <v>0.73884164200000002</v>
      </c>
      <c r="V1375" s="32">
        <v>4</v>
      </c>
      <c r="W1375" s="32">
        <v>0.88062399999999996</v>
      </c>
      <c r="X1375" s="32">
        <v>0.291437</v>
      </c>
      <c r="Y1375" s="32">
        <v>0.8</v>
      </c>
      <c r="Z1375" s="32">
        <v>0.76302899999999996</v>
      </c>
      <c r="AA1375" s="32">
        <v>76</v>
      </c>
      <c r="AB1375" s="32">
        <v>3656</v>
      </c>
      <c r="AC1375" s="32">
        <v>64</v>
      </c>
      <c r="AD1375" s="32">
        <v>436</v>
      </c>
      <c r="AE1375" s="32" t="s">
        <v>200</v>
      </c>
      <c r="AF1375" s="32" t="s">
        <v>200</v>
      </c>
      <c r="AG1375" s="32" t="s">
        <v>200</v>
      </c>
    </row>
    <row r="1376" spans="1:33">
      <c r="A1376" s="32" t="s">
        <v>4790</v>
      </c>
      <c r="B1376" s="32" t="s">
        <v>139</v>
      </c>
      <c r="C1376" s="32" t="s">
        <v>4791</v>
      </c>
      <c r="D1376" s="32" t="s">
        <v>4792</v>
      </c>
      <c r="E1376" s="32" t="s">
        <v>4793</v>
      </c>
      <c r="F1376" s="32" t="s">
        <v>4794</v>
      </c>
      <c r="G1376" s="32" t="s">
        <v>4795</v>
      </c>
      <c r="H1376" s="32" t="s">
        <v>4796</v>
      </c>
      <c r="I1376" s="32" t="s">
        <v>198</v>
      </c>
      <c r="J1376" s="32" t="s">
        <v>199</v>
      </c>
      <c r="K1376" s="32">
        <v>2.639891</v>
      </c>
      <c r="L1376" s="33">
        <v>2047</v>
      </c>
      <c r="M1376" s="32">
        <v>456</v>
      </c>
      <c r="N1376" s="32">
        <v>345</v>
      </c>
      <c r="O1376" s="32">
        <v>598</v>
      </c>
      <c r="P1376" s="32">
        <v>485</v>
      </c>
      <c r="Q1376" s="32">
        <v>163</v>
      </c>
      <c r="R1376" s="32">
        <v>2</v>
      </c>
      <c r="S1376" s="32">
        <v>20.158000000000001</v>
      </c>
      <c r="T1376" s="32">
        <v>0</v>
      </c>
      <c r="U1376" s="32">
        <v>0.65934987599999995</v>
      </c>
      <c r="V1376" s="32">
        <v>5</v>
      </c>
      <c r="W1376" s="32">
        <v>0.82306299999999999</v>
      </c>
      <c r="X1376" s="32">
        <v>0.42272900000000002</v>
      </c>
      <c r="Y1376" s="32">
        <v>0.87825699999999995</v>
      </c>
      <c r="Z1376" s="32">
        <v>0.51636700000000002</v>
      </c>
      <c r="AA1376" s="32">
        <v>69.599999999999994</v>
      </c>
      <c r="AB1376" s="32">
        <v>791</v>
      </c>
      <c r="AC1376" s="32">
        <v>23</v>
      </c>
      <c r="AD1376" s="32">
        <v>130</v>
      </c>
      <c r="AE1376" s="32">
        <v>31</v>
      </c>
      <c r="AF1376" s="32" t="s">
        <v>200</v>
      </c>
      <c r="AG1376" s="32">
        <v>19</v>
      </c>
    </row>
    <row r="1377" spans="1:33">
      <c r="A1377" s="32" t="s">
        <v>4926</v>
      </c>
      <c r="B1377" s="32" t="s">
        <v>139</v>
      </c>
      <c r="C1377" s="32" t="s">
        <v>4927</v>
      </c>
      <c r="D1377" s="32" t="s">
        <v>4928</v>
      </c>
      <c r="E1377" s="32" t="s">
        <v>4924</v>
      </c>
      <c r="F1377" s="32" t="s">
        <v>4925</v>
      </c>
      <c r="G1377" s="32" t="s">
        <v>4795</v>
      </c>
      <c r="H1377" s="32" t="s">
        <v>4796</v>
      </c>
      <c r="I1377" s="32" t="s">
        <v>198</v>
      </c>
      <c r="J1377" s="32" t="s">
        <v>199</v>
      </c>
      <c r="K1377" s="32">
        <v>2.67923</v>
      </c>
      <c r="L1377" s="33">
        <v>1855</v>
      </c>
      <c r="M1377" s="32">
        <v>419</v>
      </c>
      <c r="N1377" s="32">
        <v>315</v>
      </c>
      <c r="O1377" s="32">
        <v>451</v>
      </c>
      <c r="P1377" s="32">
        <v>466</v>
      </c>
      <c r="Q1377" s="32">
        <v>204</v>
      </c>
      <c r="R1377" s="32" t="s">
        <v>225</v>
      </c>
      <c r="S1377" s="32">
        <v>9.0102899999999995</v>
      </c>
      <c r="T1377" s="32">
        <v>0</v>
      </c>
      <c r="U1377" s="32">
        <v>0.65606632200000004</v>
      </c>
      <c r="V1377" s="32">
        <v>5</v>
      </c>
      <c r="W1377" s="32">
        <v>0.83645099999999994</v>
      </c>
      <c r="X1377" s="32">
        <v>0.52454900000000004</v>
      </c>
      <c r="Y1377" s="32">
        <v>0.8</v>
      </c>
      <c r="Z1377" s="32">
        <v>0.51296600000000003</v>
      </c>
      <c r="AA1377" s="32">
        <v>75.8</v>
      </c>
      <c r="AB1377" s="32">
        <v>696</v>
      </c>
      <c r="AC1377" s="32">
        <v>13</v>
      </c>
      <c r="AD1377" s="32">
        <v>73</v>
      </c>
      <c r="AE1377" s="32">
        <v>11</v>
      </c>
      <c r="AF1377" s="32" t="s">
        <v>200</v>
      </c>
      <c r="AG1377" s="32">
        <v>0</v>
      </c>
    </row>
    <row r="1378" spans="1:33">
      <c r="A1378" s="32" t="s">
        <v>4929</v>
      </c>
      <c r="B1378" s="32" t="s">
        <v>139</v>
      </c>
      <c r="C1378" s="32" t="s">
        <v>4930</v>
      </c>
      <c r="D1378" s="32" t="s">
        <v>4931</v>
      </c>
      <c r="E1378" s="32" t="s">
        <v>4932</v>
      </c>
      <c r="F1378" s="32" t="s">
        <v>4933</v>
      </c>
      <c r="G1378" s="32" t="s">
        <v>4795</v>
      </c>
      <c r="H1378" s="32" t="s">
        <v>4796</v>
      </c>
      <c r="I1378" s="32" t="s">
        <v>198</v>
      </c>
      <c r="J1378" s="32" t="s">
        <v>199</v>
      </c>
      <c r="K1378" s="32">
        <v>2.206502</v>
      </c>
      <c r="L1378" s="33">
        <v>1841</v>
      </c>
      <c r="M1378" s="32">
        <v>373</v>
      </c>
      <c r="N1378" s="32">
        <v>289</v>
      </c>
      <c r="O1378" s="32">
        <v>480</v>
      </c>
      <c r="P1378" s="32">
        <v>426</v>
      </c>
      <c r="Q1378" s="32">
        <v>273</v>
      </c>
      <c r="R1378" s="32" t="s">
        <v>225</v>
      </c>
      <c r="S1378" s="32">
        <v>10.3766</v>
      </c>
      <c r="T1378" s="32">
        <v>0</v>
      </c>
      <c r="U1378" s="32">
        <v>0.75193419399999994</v>
      </c>
      <c r="V1378" s="32">
        <v>7</v>
      </c>
      <c r="W1378" s="32">
        <v>0.80945999999999996</v>
      </c>
      <c r="X1378" s="32">
        <v>0.25179499999999999</v>
      </c>
      <c r="Y1378" s="32">
        <v>0.9</v>
      </c>
      <c r="Z1378" s="32">
        <v>0.24413399999999999</v>
      </c>
      <c r="AA1378" s="32">
        <v>30</v>
      </c>
      <c r="AB1378" s="32">
        <v>837</v>
      </c>
      <c r="AC1378" s="32">
        <v>38</v>
      </c>
      <c r="AD1378" s="32">
        <v>71</v>
      </c>
      <c r="AE1378" s="32">
        <v>10</v>
      </c>
      <c r="AF1378" s="32" t="s">
        <v>200</v>
      </c>
      <c r="AG1378" s="32">
        <v>9</v>
      </c>
    </row>
    <row r="1379" spans="1:33">
      <c r="A1379" s="32" t="s">
        <v>4934</v>
      </c>
      <c r="B1379" s="32" t="s">
        <v>139</v>
      </c>
      <c r="C1379" s="32" t="s">
        <v>4935</v>
      </c>
      <c r="D1379" s="32" t="s">
        <v>4936</v>
      </c>
      <c r="E1379" s="32" t="s">
        <v>4919</v>
      </c>
      <c r="F1379" s="32" t="s">
        <v>4920</v>
      </c>
      <c r="G1379" s="32" t="s">
        <v>4795</v>
      </c>
      <c r="H1379" s="32" t="s">
        <v>4796</v>
      </c>
      <c r="I1379" s="32" t="s">
        <v>198</v>
      </c>
      <c r="J1379" s="32" t="s">
        <v>199</v>
      </c>
      <c r="K1379" s="32">
        <v>1.9821880000000001</v>
      </c>
      <c r="L1379" s="33">
        <v>1725</v>
      </c>
      <c r="M1379" s="32">
        <v>356</v>
      </c>
      <c r="N1379" s="32">
        <v>323</v>
      </c>
      <c r="O1379" s="32">
        <v>401</v>
      </c>
      <c r="P1379" s="32">
        <v>418</v>
      </c>
      <c r="Q1379" s="32">
        <v>227</v>
      </c>
      <c r="R1379" s="32">
        <v>2</v>
      </c>
      <c r="S1379" s="32">
        <v>10.6934</v>
      </c>
      <c r="T1379" s="32">
        <v>4.6984599999999999</v>
      </c>
      <c r="U1379" s="32">
        <v>1.0346056910000001</v>
      </c>
      <c r="V1379" s="32">
        <v>5</v>
      </c>
      <c r="W1379" s="32">
        <v>0.80156300000000003</v>
      </c>
      <c r="X1379" s="32">
        <v>2.8300000000000001E-3</v>
      </c>
      <c r="Y1379" s="32">
        <v>0.8</v>
      </c>
      <c r="Z1379" s="32">
        <v>0.377359</v>
      </c>
      <c r="AA1379" s="32">
        <v>64.900000000000006</v>
      </c>
      <c r="AB1379" s="32">
        <v>650</v>
      </c>
      <c r="AC1379" s="32">
        <v>16</v>
      </c>
      <c r="AD1379" s="32">
        <v>41</v>
      </c>
      <c r="AE1379" s="32">
        <v>0</v>
      </c>
      <c r="AF1379" s="32" t="s">
        <v>200</v>
      </c>
      <c r="AG1379" s="32" t="s">
        <v>200</v>
      </c>
    </row>
    <row r="1380" spans="1:33">
      <c r="A1380" s="32" t="s">
        <v>4937</v>
      </c>
      <c r="B1380" s="32" t="s">
        <v>139</v>
      </c>
      <c r="C1380" s="32" t="s">
        <v>4938</v>
      </c>
      <c r="D1380" s="32" t="s">
        <v>4939</v>
      </c>
      <c r="E1380" s="32" t="s">
        <v>4940</v>
      </c>
      <c r="F1380" s="32" t="s">
        <v>4941</v>
      </c>
      <c r="G1380" s="32" t="s">
        <v>4795</v>
      </c>
      <c r="H1380" s="32" t="s">
        <v>4796</v>
      </c>
      <c r="I1380" s="32" t="s">
        <v>198</v>
      </c>
      <c r="J1380" s="32" t="s">
        <v>199</v>
      </c>
      <c r="K1380" s="32">
        <v>1.9499139999999999</v>
      </c>
      <c r="L1380" s="33">
        <v>1887</v>
      </c>
      <c r="M1380" s="32">
        <v>436</v>
      </c>
      <c r="N1380" s="32">
        <v>373</v>
      </c>
      <c r="O1380" s="32">
        <v>475</v>
      </c>
      <c r="P1380" s="32">
        <v>418</v>
      </c>
      <c r="Q1380" s="32">
        <v>185</v>
      </c>
      <c r="R1380" s="32">
        <v>2</v>
      </c>
      <c r="S1380" s="32">
        <v>15.746499999999999</v>
      </c>
      <c r="T1380" s="32">
        <v>4.3896899999999999</v>
      </c>
      <c r="U1380" s="32">
        <v>1.212760874</v>
      </c>
      <c r="V1380" s="32">
        <v>3</v>
      </c>
      <c r="W1380" s="32">
        <v>0.80518100000000004</v>
      </c>
      <c r="X1380" s="32">
        <v>0</v>
      </c>
      <c r="Y1380" s="32">
        <v>0.8</v>
      </c>
      <c r="Z1380" s="32">
        <v>0.34338000000000002</v>
      </c>
      <c r="AA1380" s="32">
        <v>64.099999999999994</v>
      </c>
      <c r="AB1380" s="32">
        <v>576</v>
      </c>
      <c r="AC1380" s="32">
        <v>23</v>
      </c>
      <c r="AD1380" s="32">
        <v>52</v>
      </c>
      <c r="AE1380" s="32">
        <v>10</v>
      </c>
      <c r="AF1380" s="32" t="s">
        <v>200</v>
      </c>
      <c r="AG1380" s="32" t="s">
        <v>200</v>
      </c>
    </row>
    <row r="1381" spans="1:33">
      <c r="A1381" s="32" t="s">
        <v>4942</v>
      </c>
      <c r="B1381" s="32" t="s">
        <v>139</v>
      </c>
      <c r="C1381" s="32" t="s">
        <v>4943</v>
      </c>
      <c r="D1381" s="32" t="s">
        <v>4944</v>
      </c>
      <c r="E1381" s="32" t="s">
        <v>4919</v>
      </c>
      <c r="F1381" s="32" t="s">
        <v>4920</v>
      </c>
      <c r="G1381" s="32" t="s">
        <v>4795</v>
      </c>
      <c r="H1381" s="32" t="s">
        <v>4796</v>
      </c>
      <c r="I1381" s="32" t="s">
        <v>198</v>
      </c>
      <c r="J1381" s="32" t="s">
        <v>199</v>
      </c>
      <c r="K1381" s="32">
        <v>2.367699</v>
      </c>
      <c r="L1381" s="33">
        <v>1793</v>
      </c>
      <c r="M1381" s="32">
        <v>467</v>
      </c>
      <c r="N1381" s="32">
        <v>276</v>
      </c>
      <c r="O1381" s="32">
        <v>435</v>
      </c>
      <c r="P1381" s="32">
        <v>453</v>
      </c>
      <c r="Q1381" s="32">
        <v>162</v>
      </c>
      <c r="R1381" s="32">
        <v>2</v>
      </c>
      <c r="S1381" s="32">
        <v>13.0236</v>
      </c>
      <c r="T1381" s="32">
        <v>0</v>
      </c>
      <c r="U1381" s="32">
        <v>1.0463341260000001</v>
      </c>
      <c r="V1381" s="32">
        <v>2</v>
      </c>
      <c r="W1381" s="32">
        <v>0.83452000000000004</v>
      </c>
      <c r="X1381" s="32">
        <v>0.26020700000000002</v>
      </c>
      <c r="Y1381" s="32">
        <v>0.812442</v>
      </c>
      <c r="Z1381" s="32">
        <v>0.46047500000000002</v>
      </c>
      <c r="AA1381" s="32">
        <v>59.5</v>
      </c>
      <c r="AB1381" s="32">
        <v>590</v>
      </c>
      <c r="AC1381" s="32">
        <v>15</v>
      </c>
      <c r="AD1381" s="32">
        <v>113</v>
      </c>
      <c r="AE1381" s="32">
        <v>12</v>
      </c>
      <c r="AF1381" s="32" t="s">
        <v>200</v>
      </c>
      <c r="AG1381" s="32">
        <v>5</v>
      </c>
    </row>
    <row r="1382" spans="1:33">
      <c r="A1382" s="32" t="s">
        <v>4945</v>
      </c>
      <c r="B1382" s="32" t="s">
        <v>139</v>
      </c>
      <c r="C1382" s="32" t="s">
        <v>4946</v>
      </c>
      <c r="D1382" s="32" t="s">
        <v>4947</v>
      </c>
      <c r="E1382" s="32" t="s">
        <v>4940</v>
      </c>
      <c r="F1382" s="32" t="s">
        <v>4941</v>
      </c>
      <c r="G1382" s="32" t="s">
        <v>4795</v>
      </c>
      <c r="H1382" s="32" t="s">
        <v>4796</v>
      </c>
      <c r="I1382" s="32" t="s">
        <v>198</v>
      </c>
      <c r="J1382" s="32" t="s">
        <v>199</v>
      </c>
      <c r="K1382" s="32">
        <v>2.3333740000000001</v>
      </c>
      <c r="L1382" s="33">
        <v>2321</v>
      </c>
      <c r="M1382" s="32">
        <v>607</v>
      </c>
      <c r="N1382" s="32">
        <v>353</v>
      </c>
      <c r="O1382" s="32">
        <v>631</v>
      </c>
      <c r="P1382" s="32">
        <v>539</v>
      </c>
      <c r="Q1382" s="32">
        <v>191</v>
      </c>
      <c r="R1382" s="32">
        <v>3</v>
      </c>
      <c r="S1382" s="32">
        <v>22.489799999999999</v>
      </c>
      <c r="T1382" s="32">
        <v>0</v>
      </c>
      <c r="U1382" s="32">
        <v>1.0639171999999999</v>
      </c>
      <c r="V1382" s="32">
        <v>3</v>
      </c>
      <c r="W1382" s="32">
        <v>0.85109199999999996</v>
      </c>
      <c r="X1382" s="32">
        <v>6.0464999999999998E-2</v>
      </c>
      <c r="Y1382" s="32">
        <v>0.8</v>
      </c>
      <c r="Z1382" s="32">
        <v>0.61821499999999996</v>
      </c>
      <c r="AA1382" s="32">
        <v>75.900000000000006</v>
      </c>
      <c r="AB1382" s="32">
        <v>589</v>
      </c>
      <c r="AC1382" s="32">
        <v>12</v>
      </c>
      <c r="AD1382" s="32">
        <v>162</v>
      </c>
      <c r="AE1382" s="32">
        <v>43</v>
      </c>
      <c r="AF1382" s="32" t="s">
        <v>200</v>
      </c>
      <c r="AG1382" s="32" t="s">
        <v>200</v>
      </c>
    </row>
    <row r="1383" spans="1:33">
      <c r="A1383" s="32" t="s">
        <v>4948</v>
      </c>
      <c r="B1383" s="32" t="s">
        <v>139</v>
      </c>
      <c r="C1383" s="32" t="s">
        <v>4949</v>
      </c>
      <c r="D1383" s="32" t="s">
        <v>4950</v>
      </c>
      <c r="E1383" s="32" t="s">
        <v>4940</v>
      </c>
      <c r="F1383" s="32" t="s">
        <v>4941</v>
      </c>
      <c r="G1383" s="32" t="s">
        <v>4795</v>
      </c>
      <c r="H1383" s="32" t="s">
        <v>4796</v>
      </c>
      <c r="I1383" s="32" t="s">
        <v>198</v>
      </c>
      <c r="J1383" s="32" t="s">
        <v>199</v>
      </c>
      <c r="K1383" s="32">
        <v>2.4404159999999999</v>
      </c>
      <c r="L1383" s="33">
        <v>2040</v>
      </c>
      <c r="M1383" s="32">
        <v>498</v>
      </c>
      <c r="N1383" s="32">
        <v>356</v>
      </c>
      <c r="O1383" s="32">
        <v>555</v>
      </c>
      <c r="P1383" s="32">
        <v>444</v>
      </c>
      <c r="Q1383" s="32">
        <v>187</v>
      </c>
      <c r="R1383" s="32" t="s">
        <v>214</v>
      </c>
      <c r="S1383" s="32">
        <v>18.097799999999999</v>
      </c>
      <c r="T1383" s="32">
        <v>0</v>
      </c>
      <c r="U1383" s="32">
        <v>0.82404112299999999</v>
      </c>
      <c r="V1383" s="32">
        <v>5</v>
      </c>
      <c r="W1383" s="32">
        <v>0.84242799999999995</v>
      </c>
      <c r="X1383" s="32">
        <v>0.27735799999999999</v>
      </c>
      <c r="Y1383" s="32">
        <v>0.80095300000000003</v>
      </c>
      <c r="Z1383" s="32">
        <v>0.51858800000000005</v>
      </c>
      <c r="AA1383" s="32">
        <v>73.900000000000006</v>
      </c>
      <c r="AB1383" s="32">
        <v>739</v>
      </c>
      <c r="AC1383" s="32">
        <v>30</v>
      </c>
      <c r="AD1383" s="32">
        <v>242</v>
      </c>
      <c r="AE1383" s="32">
        <v>31</v>
      </c>
      <c r="AF1383" s="32">
        <v>5</v>
      </c>
      <c r="AG1383" s="32" t="s">
        <v>200</v>
      </c>
    </row>
    <row r="1384" spans="1:33">
      <c r="A1384" s="32" t="s">
        <v>4951</v>
      </c>
      <c r="B1384" s="32" t="s">
        <v>139</v>
      </c>
      <c r="C1384" s="32" t="s">
        <v>4952</v>
      </c>
      <c r="D1384" s="32" t="s">
        <v>4953</v>
      </c>
      <c r="E1384" s="32" t="s">
        <v>4954</v>
      </c>
      <c r="F1384" s="32" t="s">
        <v>4955</v>
      </c>
      <c r="G1384" s="32" t="s">
        <v>4795</v>
      </c>
      <c r="H1384" s="32" t="s">
        <v>4796</v>
      </c>
      <c r="I1384" s="32" t="s">
        <v>198</v>
      </c>
      <c r="J1384" s="32" t="s">
        <v>199</v>
      </c>
      <c r="K1384" s="32">
        <v>2.1676099999999998</v>
      </c>
      <c r="L1384" s="33">
        <v>1894</v>
      </c>
      <c r="M1384" s="32">
        <v>530</v>
      </c>
      <c r="N1384" s="32">
        <v>306</v>
      </c>
      <c r="O1384" s="32">
        <v>508</v>
      </c>
      <c r="P1384" s="32">
        <v>375</v>
      </c>
      <c r="Q1384" s="32">
        <v>175</v>
      </c>
      <c r="R1384" s="32" t="s">
        <v>225</v>
      </c>
      <c r="S1384" s="32">
        <v>7.0840500000000004</v>
      </c>
      <c r="T1384" s="32">
        <v>0</v>
      </c>
      <c r="U1384" s="32">
        <v>1.092334578</v>
      </c>
      <c r="V1384" s="32">
        <v>3</v>
      </c>
      <c r="W1384" s="32">
        <v>0.81909500000000002</v>
      </c>
      <c r="X1384" s="32">
        <v>0.136994</v>
      </c>
      <c r="Y1384" s="32">
        <v>0.9</v>
      </c>
      <c r="Z1384" s="32">
        <v>0.3</v>
      </c>
      <c r="AA1384" s="32">
        <v>54.2</v>
      </c>
      <c r="AB1384" s="32">
        <v>678</v>
      </c>
      <c r="AC1384" s="32">
        <v>19</v>
      </c>
      <c r="AD1384" s="32">
        <v>30</v>
      </c>
      <c r="AE1384" s="32" t="s">
        <v>200</v>
      </c>
      <c r="AF1384" s="32">
        <v>0</v>
      </c>
      <c r="AG1384" s="32">
        <v>0</v>
      </c>
    </row>
    <row r="1385" spans="1:33">
      <c r="A1385" s="32" t="s">
        <v>4956</v>
      </c>
      <c r="B1385" s="32" t="s">
        <v>139</v>
      </c>
      <c r="C1385" s="32" t="s">
        <v>4957</v>
      </c>
      <c r="D1385" s="32" t="s">
        <v>4958</v>
      </c>
      <c r="E1385" s="32" t="s">
        <v>4959</v>
      </c>
      <c r="F1385" s="32" t="s">
        <v>4960</v>
      </c>
      <c r="G1385" s="32" t="s">
        <v>4795</v>
      </c>
      <c r="H1385" s="32" t="s">
        <v>4796</v>
      </c>
      <c r="I1385" s="32" t="s">
        <v>198</v>
      </c>
      <c r="J1385" s="32" t="s">
        <v>199</v>
      </c>
      <c r="K1385" s="32">
        <v>2.036025</v>
      </c>
      <c r="L1385" s="33">
        <v>2067</v>
      </c>
      <c r="M1385" s="32">
        <v>429</v>
      </c>
      <c r="N1385" s="32">
        <v>329</v>
      </c>
      <c r="O1385" s="32">
        <v>543</v>
      </c>
      <c r="P1385" s="32">
        <v>550</v>
      </c>
      <c r="Q1385" s="32">
        <v>216</v>
      </c>
      <c r="R1385" s="32" t="s">
        <v>225</v>
      </c>
      <c r="S1385" s="32">
        <v>7.9218700000000002</v>
      </c>
      <c r="T1385" s="32">
        <v>2.0505800000000001</v>
      </c>
      <c r="U1385" s="32">
        <v>0.91009412899999997</v>
      </c>
      <c r="V1385" s="32">
        <v>6</v>
      </c>
      <c r="W1385" s="32">
        <v>0.80771300000000001</v>
      </c>
      <c r="X1385" s="32">
        <v>4.0466000000000002E-2</v>
      </c>
      <c r="Y1385" s="32">
        <v>0.9</v>
      </c>
      <c r="Z1385" s="32">
        <v>0.29864400000000002</v>
      </c>
      <c r="AA1385" s="32">
        <v>46</v>
      </c>
      <c r="AB1385" s="32">
        <v>933</v>
      </c>
      <c r="AC1385" s="32">
        <v>56</v>
      </c>
      <c r="AD1385" s="32">
        <v>49</v>
      </c>
      <c r="AE1385" s="32" t="s">
        <v>200</v>
      </c>
      <c r="AF1385" s="32">
        <v>0</v>
      </c>
      <c r="AG1385" s="32" t="s">
        <v>200</v>
      </c>
    </row>
    <row r="1386" spans="1:33">
      <c r="A1386" s="32" t="s">
        <v>4961</v>
      </c>
      <c r="B1386" s="32" t="s">
        <v>139</v>
      </c>
      <c r="C1386" s="32" t="s">
        <v>4962</v>
      </c>
      <c r="D1386" s="32" t="s">
        <v>4963</v>
      </c>
      <c r="E1386" s="32" t="s">
        <v>4954</v>
      </c>
      <c r="F1386" s="32" t="s">
        <v>4955</v>
      </c>
      <c r="G1386" s="32" t="s">
        <v>4795</v>
      </c>
      <c r="H1386" s="32" t="s">
        <v>4796</v>
      </c>
      <c r="I1386" s="32" t="s">
        <v>198</v>
      </c>
      <c r="J1386" s="32" t="s">
        <v>199</v>
      </c>
      <c r="K1386" s="32">
        <v>1.95444</v>
      </c>
      <c r="L1386" s="33">
        <v>2222</v>
      </c>
      <c r="M1386" s="32">
        <v>685</v>
      </c>
      <c r="N1386" s="32">
        <v>381</v>
      </c>
      <c r="O1386" s="32">
        <v>588</v>
      </c>
      <c r="P1386" s="32">
        <v>396</v>
      </c>
      <c r="Q1386" s="32">
        <v>172</v>
      </c>
      <c r="R1386" s="32">
        <v>2</v>
      </c>
      <c r="S1386" s="32">
        <v>7.6468600000000002</v>
      </c>
      <c r="T1386" s="32">
        <v>3.9463300000000001</v>
      </c>
      <c r="U1386" s="32">
        <v>1.220065763</v>
      </c>
      <c r="V1386" s="32">
        <v>3</v>
      </c>
      <c r="W1386" s="32">
        <v>0.80231699999999995</v>
      </c>
      <c r="X1386" s="32">
        <v>3.8000000000000002E-4</v>
      </c>
      <c r="Y1386" s="32">
        <v>0.86429900000000004</v>
      </c>
      <c r="Z1386" s="32">
        <v>0.28747600000000001</v>
      </c>
      <c r="AA1386" s="32">
        <v>66.3</v>
      </c>
      <c r="AB1386" s="32">
        <v>638</v>
      </c>
      <c r="AC1386" s="32">
        <v>11</v>
      </c>
      <c r="AD1386" s="32">
        <v>57</v>
      </c>
      <c r="AE1386" s="32">
        <v>0</v>
      </c>
      <c r="AF1386" s="32">
        <v>0</v>
      </c>
      <c r="AG1386" s="32" t="s">
        <v>200</v>
      </c>
    </row>
    <row r="1387" spans="1:33">
      <c r="A1387" s="32" t="s">
        <v>4964</v>
      </c>
      <c r="B1387" s="32" t="s">
        <v>139</v>
      </c>
      <c r="C1387" s="32" t="s">
        <v>4965</v>
      </c>
      <c r="D1387" s="32" t="s">
        <v>4966</v>
      </c>
      <c r="E1387" s="32" t="s">
        <v>4954</v>
      </c>
      <c r="F1387" s="32" t="s">
        <v>4955</v>
      </c>
      <c r="G1387" s="32" t="s">
        <v>4795</v>
      </c>
      <c r="H1387" s="32" t="s">
        <v>4796</v>
      </c>
      <c r="I1387" s="32" t="s">
        <v>198</v>
      </c>
      <c r="J1387" s="32" t="s">
        <v>199</v>
      </c>
      <c r="K1387" s="32">
        <v>2.2632729999999999</v>
      </c>
      <c r="L1387" s="33">
        <v>1965</v>
      </c>
      <c r="M1387" s="32">
        <v>579</v>
      </c>
      <c r="N1387" s="32">
        <v>321</v>
      </c>
      <c r="O1387" s="32">
        <v>441</v>
      </c>
      <c r="P1387" s="32">
        <v>455</v>
      </c>
      <c r="Q1387" s="32">
        <v>169</v>
      </c>
      <c r="R1387" s="32" t="s">
        <v>225</v>
      </c>
      <c r="S1387" s="32">
        <v>5.43771</v>
      </c>
      <c r="T1387" s="32">
        <v>0</v>
      </c>
      <c r="U1387" s="32">
        <v>1.023603958</v>
      </c>
      <c r="V1387" s="32">
        <v>3</v>
      </c>
      <c r="W1387" s="32">
        <v>0.82577299999999998</v>
      </c>
      <c r="X1387" s="32">
        <v>0.25706899999999999</v>
      </c>
      <c r="Y1387" s="32">
        <v>0.86696799999999996</v>
      </c>
      <c r="Z1387" s="32">
        <v>0.3</v>
      </c>
      <c r="AA1387" s="32">
        <v>56.8</v>
      </c>
      <c r="AB1387" s="32">
        <v>683</v>
      </c>
      <c r="AC1387" s="32">
        <v>29</v>
      </c>
      <c r="AD1387" s="32">
        <v>48</v>
      </c>
      <c r="AE1387" s="32">
        <v>0</v>
      </c>
      <c r="AF1387" s="32">
        <v>0</v>
      </c>
      <c r="AG1387" s="32" t="s">
        <v>200</v>
      </c>
    </row>
    <row r="1388" spans="1:33">
      <c r="A1388" s="32" t="s">
        <v>4967</v>
      </c>
      <c r="B1388" s="32" t="s">
        <v>139</v>
      </c>
      <c r="C1388" s="32" t="s">
        <v>4968</v>
      </c>
      <c r="D1388" s="32" t="s">
        <v>4969</v>
      </c>
      <c r="E1388" s="32" t="s">
        <v>4959</v>
      </c>
      <c r="F1388" s="32" t="s">
        <v>4960</v>
      </c>
      <c r="G1388" s="32" t="s">
        <v>4795</v>
      </c>
      <c r="H1388" s="32" t="s">
        <v>4796</v>
      </c>
      <c r="I1388" s="32" t="s">
        <v>198</v>
      </c>
      <c r="J1388" s="32" t="s">
        <v>199</v>
      </c>
      <c r="K1388" s="32">
        <v>2.157851</v>
      </c>
      <c r="L1388" s="33">
        <v>1561</v>
      </c>
      <c r="M1388" s="32">
        <v>467</v>
      </c>
      <c r="N1388" s="32">
        <v>243</v>
      </c>
      <c r="O1388" s="32">
        <v>380</v>
      </c>
      <c r="P1388" s="32">
        <v>352</v>
      </c>
      <c r="Q1388" s="32">
        <v>119</v>
      </c>
      <c r="R1388" s="32" t="s">
        <v>225</v>
      </c>
      <c r="S1388" s="32">
        <v>7.8450499999999996</v>
      </c>
      <c r="T1388" s="32">
        <v>0</v>
      </c>
      <c r="U1388" s="32">
        <v>1.3131711660000001</v>
      </c>
      <c r="V1388" s="32">
        <v>2</v>
      </c>
      <c r="W1388" s="32">
        <v>0.82621</v>
      </c>
      <c r="X1388" s="32">
        <v>0.16803799999999999</v>
      </c>
      <c r="Y1388" s="32">
        <v>0.87612299999999999</v>
      </c>
      <c r="Z1388" s="32">
        <v>0.30270900000000001</v>
      </c>
      <c r="AA1388" s="32">
        <v>60.3</v>
      </c>
      <c r="AB1388" s="32">
        <v>500</v>
      </c>
      <c r="AC1388" s="32">
        <v>12</v>
      </c>
      <c r="AD1388" s="32">
        <v>35</v>
      </c>
      <c r="AE1388" s="32" t="s">
        <v>200</v>
      </c>
      <c r="AF1388" s="32">
        <v>0</v>
      </c>
      <c r="AG1388" s="32" t="s">
        <v>200</v>
      </c>
    </row>
    <row r="1389" spans="1:33">
      <c r="A1389" s="32" t="s">
        <v>4970</v>
      </c>
      <c r="B1389" s="32" t="s">
        <v>139</v>
      </c>
      <c r="C1389" s="32" t="s">
        <v>4971</v>
      </c>
      <c r="D1389" s="32" t="s">
        <v>4972</v>
      </c>
      <c r="E1389" s="32" t="s">
        <v>4959</v>
      </c>
      <c r="F1389" s="32" t="s">
        <v>4960</v>
      </c>
      <c r="G1389" s="32" t="s">
        <v>4795</v>
      </c>
      <c r="H1389" s="32" t="s">
        <v>4796</v>
      </c>
      <c r="I1389" s="32" t="s">
        <v>198</v>
      </c>
      <c r="J1389" s="32" t="s">
        <v>199</v>
      </c>
      <c r="K1389" s="32">
        <v>2.3007330000000001</v>
      </c>
      <c r="L1389" s="33">
        <v>1769</v>
      </c>
      <c r="M1389" s="32">
        <v>435</v>
      </c>
      <c r="N1389" s="32">
        <v>254</v>
      </c>
      <c r="O1389" s="32">
        <v>450</v>
      </c>
      <c r="P1389" s="32">
        <v>461</v>
      </c>
      <c r="Q1389" s="32">
        <v>169</v>
      </c>
      <c r="R1389" s="32" t="s">
        <v>225</v>
      </c>
      <c r="S1389" s="32">
        <v>9.2146899999999992</v>
      </c>
      <c r="T1389" s="32">
        <v>0</v>
      </c>
      <c r="U1389" s="32">
        <v>0.823892862</v>
      </c>
      <c r="V1389" s="32">
        <v>5</v>
      </c>
      <c r="W1389" s="32">
        <v>0.86721599999999999</v>
      </c>
      <c r="X1389" s="32">
        <v>0.29597099999999998</v>
      </c>
      <c r="Y1389" s="32">
        <v>0.80128200000000005</v>
      </c>
      <c r="Z1389" s="32">
        <v>0.36402200000000001</v>
      </c>
      <c r="AA1389" s="32">
        <v>81.2</v>
      </c>
      <c r="AB1389" s="32">
        <v>615</v>
      </c>
      <c r="AC1389" s="32">
        <v>10</v>
      </c>
      <c r="AD1389" s="32">
        <v>70</v>
      </c>
      <c r="AE1389" s="32">
        <v>33</v>
      </c>
      <c r="AF1389" s="32" t="s">
        <v>200</v>
      </c>
      <c r="AG1389" s="32">
        <v>5</v>
      </c>
    </row>
    <row r="1390" spans="1:33">
      <c r="A1390" s="32" t="s">
        <v>4973</v>
      </c>
      <c r="B1390" s="32" t="s">
        <v>139</v>
      </c>
      <c r="C1390" s="32" t="s">
        <v>4974</v>
      </c>
      <c r="D1390" s="32" t="s">
        <v>4975</v>
      </c>
      <c r="E1390" s="32" t="s">
        <v>4824</v>
      </c>
      <c r="F1390" s="32" t="s">
        <v>4825</v>
      </c>
      <c r="G1390" s="32" t="s">
        <v>4606</v>
      </c>
      <c r="H1390" s="32" t="s">
        <v>4607</v>
      </c>
      <c r="I1390" s="32" t="s">
        <v>198</v>
      </c>
      <c r="J1390" s="32" t="s">
        <v>199</v>
      </c>
      <c r="K1390" s="32">
        <v>2.5581689999999999</v>
      </c>
      <c r="L1390" s="33">
        <v>1703</v>
      </c>
      <c r="M1390" s="32">
        <v>294</v>
      </c>
      <c r="N1390" s="32">
        <v>340</v>
      </c>
      <c r="O1390" s="32">
        <v>401</v>
      </c>
      <c r="P1390" s="32">
        <v>431</v>
      </c>
      <c r="Q1390" s="32">
        <v>237</v>
      </c>
      <c r="R1390" s="32">
        <v>2</v>
      </c>
      <c r="S1390" s="32">
        <v>10.909000000000001</v>
      </c>
      <c r="T1390" s="32">
        <v>0</v>
      </c>
      <c r="U1390" s="32">
        <v>0.80515868999999995</v>
      </c>
      <c r="V1390" s="32">
        <v>4</v>
      </c>
      <c r="W1390" s="32">
        <v>0.83490200000000003</v>
      </c>
      <c r="X1390" s="32">
        <v>0.440137</v>
      </c>
      <c r="Y1390" s="32">
        <v>0.89888199999999996</v>
      </c>
      <c r="Z1390" s="32">
        <v>0.38584800000000002</v>
      </c>
      <c r="AA1390" s="32">
        <v>80.099999999999994</v>
      </c>
      <c r="AB1390" s="32">
        <v>658</v>
      </c>
      <c r="AC1390" s="32">
        <v>18</v>
      </c>
      <c r="AD1390" s="32">
        <v>46</v>
      </c>
      <c r="AE1390" s="32">
        <v>11</v>
      </c>
      <c r="AF1390" s="32">
        <v>12</v>
      </c>
      <c r="AG1390" s="32" t="s">
        <v>200</v>
      </c>
    </row>
    <row r="1391" spans="1:33">
      <c r="A1391" s="32" t="s">
        <v>4976</v>
      </c>
      <c r="B1391" s="32" t="s">
        <v>139</v>
      </c>
      <c r="C1391" s="32" t="s">
        <v>4977</v>
      </c>
      <c r="D1391" s="32" t="s">
        <v>4978</v>
      </c>
      <c r="E1391" s="32" t="s">
        <v>4824</v>
      </c>
      <c r="F1391" s="32" t="s">
        <v>4825</v>
      </c>
      <c r="G1391" s="32" t="s">
        <v>4606</v>
      </c>
      <c r="H1391" s="32" t="s">
        <v>4607</v>
      </c>
      <c r="I1391" s="32" t="s">
        <v>198</v>
      </c>
      <c r="J1391" s="32" t="s">
        <v>199</v>
      </c>
      <c r="K1391" s="32">
        <v>2.409834</v>
      </c>
      <c r="L1391" s="33">
        <v>2073</v>
      </c>
      <c r="M1391" s="32">
        <v>466</v>
      </c>
      <c r="N1391" s="32">
        <v>374</v>
      </c>
      <c r="O1391" s="32">
        <v>544</v>
      </c>
      <c r="P1391" s="32">
        <v>479</v>
      </c>
      <c r="Q1391" s="32">
        <v>210</v>
      </c>
      <c r="R1391" s="32">
        <v>2</v>
      </c>
      <c r="S1391" s="32">
        <v>12.076700000000001</v>
      </c>
      <c r="T1391" s="32">
        <v>0</v>
      </c>
      <c r="U1391" s="32">
        <v>0.81371578200000005</v>
      </c>
      <c r="V1391" s="32">
        <v>5</v>
      </c>
      <c r="W1391" s="32">
        <v>0.81149199999999999</v>
      </c>
      <c r="X1391" s="32">
        <v>0.27785100000000001</v>
      </c>
      <c r="Y1391" s="32">
        <v>0.9</v>
      </c>
      <c r="Z1391" s="32">
        <v>0.42593799999999998</v>
      </c>
      <c r="AA1391" s="32">
        <v>83</v>
      </c>
      <c r="AB1391" s="32">
        <v>593</v>
      </c>
      <c r="AC1391" s="32">
        <v>13</v>
      </c>
      <c r="AD1391" s="32">
        <v>27</v>
      </c>
      <c r="AE1391" s="32">
        <v>6</v>
      </c>
      <c r="AF1391" s="32" t="s">
        <v>200</v>
      </c>
      <c r="AG1391" s="32" t="s">
        <v>200</v>
      </c>
    </row>
    <row r="1392" spans="1:33">
      <c r="A1392" s="32" t="s">
        <v>4821</v>
      </c>
      <c r="B1392" s="32" t="s">
        <v>139</v>
      </c>
      <c r="C1392" s="32" t="s">
        <v>4822</v>
      </c>
      <c r="D1392" s="32" t="s">
        <v>4823</v>
      </c>
      <c r="E1392" s="32" t="s">
        <v>4824</v>
      </c>
      <c r="F1392" s="32" t="s">
        <v>4825</v>
      </c>
      <c r="G1392" s="32" t="s">
        <v>4606</v>
      </c>
      <c r="H1392" s="32" t="s">
        <v>4607</v>
      </c>
      <c r="I1392" s="32" t="s">
        <v>198</v>
      </c>
      <c r="J1392" s="32" t="s">
        <v>199</v>
      </c>
      <c r="K1392" s="32">
        <v>2.5119669999999998</v>
      </c>
      <c r="L1392" s="33">
        <v>1814</v>
      </c>
      <c r="M1392" s="32">
        <v>374</v>
      </c>
      <c r="N1392" s="32">
        <v>387</v>
      </c>
      <c r="O1392" s="32">
        <v>406</v>
      </c>
      <c r="P1392" s="32">
        <v>449</v>
      </c>
      <c r="Q1392" s="32">
        <v>198</v>
      </c>
      <c r="R1392" s="32">
        <v>2</v>
      </c>
      <c r="S1392" s="32">
        <v>10.7712</v>
      </c>
      <c r="T1392" s="32">
        <v>2.3398400000000001</v>
      </c>
      <c r="U1392" s="32">
        <v>0.92752830600000002</v>
      </c>
      <c r="V1392" s="32">
        <v>3</v>
      </c>
      <c r="W1392" s="32">
        <v>0.868197</v>
      </c>
      <c r="X1392" s="32">
        <v>0.363458</v>
      </c>
      <c r="Y1392" s="32">
        <v>0.9</v>
      </c>
      <c r="Z1392" s="32">
        <v>0.37808900000000001</v>
      </c>
      <c r="AA1392" s="32">
        <v>71.5</v>
      </c>
      <c r="AB1392" s="32">
        <v>646</v>
      </c>
      <c r="AC1392" s="32">
        <v>22</v>
      </c>
      <c r="AD1392" s="32">
        <v>36</v>
      </c>
      <c r="AE1392" s="32">
        <v>8</v>
      </c>
      <c r="AF1392" s="32">
        <v>0</v>
      </c>
      <c r="AG1392" s="32" t="s">
        <v>200</v>
      </c>
    </row>
    <row r="1393" spans="1:33">
      <c r="A1393" s="32" t="s">
        <v>4979</v>
      </c>
      <c r="B1393" s="32" t="s">
        <v>139</v>
      </c>
      <c r="C1393" s="32" t="s">
        <v>4980</v>
      </c>
      <c r="D1393" s="32" t="s">
        <v>4981</v>
      </c>
      <c r="E1393" s="32" t="s">
        <v>4982</v>
      </c>
      <c r="F1393" s="32" t="s">
        <v>4983</v>
      </c>
      <c r="G1393" s="32" t="s">
        <v>4606</v>
      </c>
      <c r="H1393" s="32" t="s">
        <v>4607</v>
      </c>
      <c r="I1393" s="32" t="s">
        <v>198</v>
      </c>
      <c r="J1393" s="32" t="s">
        <v>199</v>
      </c>
      <c r="K1393" s="32">
        <v>2.736043</v>
      </c>
      <c r="L1393" s="33">
        <v>1902</v>
      </c>
      <c r="M1393" s="32">
        <v>537</v>
      </c>
      <c r="N1393" s="32">
        <v>332</v>
      </c>
      <c r="O1393" s="32">
        <v>431</v>
      </c>
      <c r="P1393" s="32">
        <v>405</v>
      </c>
      <c r="Q1393" s="32">
        <v>197</v>
      </c>
      <c r="R1393" s="32" t="s">
        <v>225</v>
      </c>
      <c r="S1393" s="32">
        <v>7.3803000000000001</v>
      </c>
      <c r="T1393" s="32">
        <v>0</v>
      </c>
      <c r="U1393" s="32">
        <v>0.97260136399999997</v>
      </c>
      <c r="V1393" s="32">
        <v>2</v>
      </c>
      <c r="W1393" s="32">
        <v>0.84383699999999995</v>
      </c>
      <c r="X1393" s="32">
        <v>0.51691699999999996</v>
      </c>
      <c r="Y1393" s="32">
        <v>0.88862200000000002</v>
      </c>
      <c r="Z1393" s="32">
        <v>0.49087799999999998</v>
      </c>
      <c r="AA1393" s="32">
        <v>61.7</v>
      </c>
      <c r="AB1393" s="32">
        <v>665</v>
      </c>
      <c r="AC1393" s="32">
        <v>10</v>
      </c>
      <c r="AD1393" s="32">
        <v>69</v>
      </c>
      <c r="AE1393" s="32">
        <v>7</v>
      </c>
      <c r="AF1393" s="32">
        <v>24</v>
      </c>
      <c r="AG1393" s="32">
        <v>10</v>
      </c>
    </row>
    <row r="1394" spans="1:33">
      <c r="A1394" s="32" t="s">
        <v>4733</v>
      </c>
      <c r="B1394" s="32" t="s">
        <v>139</v>
      </c>
      <c r="C1394" s="32" t="s">
        <v>4734</v>
      </c>
      <c r="D1394" s="32" t="s">
        <v>4735</v>
      </c>
      <c r="E1394" s="32" t="s">
        <v>4712</v>
      </c>
      <c r="F1394" s="32" t="s">
        <v>4713</v>
      </c>
      <c r="G1394" s="32" t="s">
        <v>4606</v>
      </c>
      <c r="H1394" s="32" t="s">
        <v>4607</v>
      </c>
      <c r="I1394" s="32" t="s">
        <v>198</v>
      </c>
      <c r="J1394" s="32" t="s">
        <v>199</v>
      </c>
      <c r="K1394" s="32">
        <v>2.3389609999999998</v>
      </c>
      <c r="L1394" s="33">
        <v>1785</v>
      </c>
      <c r="M1394" s="32">
        <v>358</v>
      </c>
      <c r="N1394" s="32">
        <v>309</v>
      </c>
      <c r="O1394" s="32">
        <v>469</v>
      </c>
      <c r="P1394" s="32">
        <v>406</v>
      </c>
      <c r="Q1394" s="32">
        <v>243</v>
      </c>
      <c r="R1394" s="32" t="s">
        <v>225</v>
      </c>
      <c r="S1394" s="32">
        <v>12.098699999999999</v>
      </c>
      <c r="T1394" s="32">
        <v>0</v>
      </c>
      <c r="U1394" s="32">
        <v>0.850185419</v>
      </c>
      <c r="V1394" s="32">
        <v>5</v>
      </c>
      <c r="W1394" s="32">
        <v>0.82317200000000001</v>
      </c>
      <c r="X1394" s="32">
        <v>0.29259299999999999</v>
      </c>
      <c r="Y1394" s="32">
        <v>0.9</v>
      </c>
      <c r="Z1394" s="32">
        <v>0.32525599999999999</v>
      </c>
      <c r="AA1394" s="32">
        <v>82</v>
      </c>
      <c r="AB1394" s="32">
        <v>748</v>
      </c>
      <c r="AC1394" s="32">
        <v>21</v>
      </c>
      <c r="AD1394" s="32">
        <v>41</v>
      </c>
      <c r="AE1394" s="32" t="s">
        <v>200</v>
      </c>
      <c r="AF1394" s="32">
        <v>0</v>
      </c>
      <c r="AG1394" s="32" t="s">
        <v>200</v>
      </c>
    </row>
    <row r="1395" spans="1:33">
      <c r="A1395" s="32" t="s">
        <v>4984</v>
      </c>
      <c r="B1395" s="32" t="s">
        <v>139</v>
      </c>
      <c r="C1395" s="32" t="s">
        <v>4985</v>
      </c>
      <c r="D1395" s="32" t="s">
        <v>4986</v>
      </c>
      <c r="E1395" s="32" t="s">
        <v>4982</v>
      </c>
      <c r="F1395" s="32" t="s">
        <v>4983</v>
      </c>
      <c r="G1395" s="32" t="s">
        <v>4606</v>
      </c>
      <c r="H1395" s="32" t="s">
        <v>4607</v>
      </c>
      <c r="I1395" s="32" t="s">
        <v>198</v>
      </c>
      <c r="J1395" s="32" t="s">
        <v>199</v>
      </c>
      <c r="K1395" s="32">
        <v>2.8438430000000001</v>
      </c>
      <c r="L1395" s="33">
        <v>1700</v>
      </c>
      <c r="M1395" s="32">
        <v>452</v>
      </c>
      <c r="N1395" s="32">
        <v>268</v>
      </c>
      <c r="O1395" s="32">
        <v>372</v>
      </c>
      <c r="P1395" s="32">
        <v>416</v>
      </c>
      <c r="Q1395" s="32">
        <v>192</v>
      </c>
      <c r="R1395" s="32" t="s">
        <v>225</v>
      </c>
      <c r="S1395" s="32">
        <v>9.8512599999999999</v>
      </c>
      <c r="T1395" s="32">
        <v>0</v>
      </c>
      <c r="U1395" s="32">
        <v>0.80659781399999997</v>
      </c>
      <c r="V1395" s="32">
        <v>3</v>
      </c>
      <c r="W1395" s="32">
        <v>0.86183699999999996</v>
      </c>
      <c r="X1395" s="32">
        <v>0.471746</v>
      </c>
      <c r="Y1395" s="32">
        <v>0.80843100000000001</v>
      </c>
      <c r="Z1395" s="32">
        <v>0.70307900000000001</v>
      </c>
      <c r="AA1395" s="32">
        <v>87.5</v>
      </c>
      <c r="AB1395" s="32">
        <v>570</v>
      </c>
      <c r="AC1395" s="32">
        <v>16</v>
      </c>
      <c r="AD1395" s="32">
        <v>96</v>
      </c>
      <c r="AE1395" s="32">
        <v>26</v>
      </c>
      <c r="AF1395" s="32" t="s">
        <v>200</v>
      </c>
      <c r="AG1395" s="32">
        <v>8</v>
      </c>
    </row>
    <row r="1396" spans="1:33">
      <c r="A1396" s="32" t="s">
        <v>4973</v>
      </c>
      <c r="B1396" s="32" t="s">
        <v>132</v>
      </c>
      <c r="C1396" s="32" t="s">
        <v>4974</v>
      </c>
      <c r="D1396" s="32" t="s">
        <v>4975</v>
      </c>
      <c r="E1396" s="32" t="s">
        <v>4824</v>
      </c>
      <c r="F1396" s="32" t="s">
        <v>4825</v>
      </c>
      <c r="G1396" s="32" t="s">
        <v>4606</v>
      </c>
      <c r="H1396" s="32" t="s">
        <v>4607</v>
      </c>
      <c r="I1396" s="32" t="s">
        <v>198</v>
      </c>
      <c r="J1396" s="32" t="s">
        <v>199</v>
      </c>
      <c r="K1396" s="32">
        <v>2.5581689999999999</v>
      </c>
      <c r="L1396" s="33">
        <v>1703</v>
      </c>
      <c r="M1396" s="32">
        <v>294</v>
      </c>
      <c r="N1396" s="32">
        <v>340</v>
      </c>
      <c r="O1396" s="32">
        <v>401</v>
      </c>
      <c r="P1396" s="32">
        <v>431</v>
      </c>
      <c r="Q1396" s="32">
        <v>237</v>
      </c>
      <c r="R1396" s="32">
        <v>2</v>
      </c>
      <c r="S1396" s="32">
        <v>10.909000000000001</v>
      </c>
      <c r="T1396" s="32">
        <v>0</v>
      </c>
      <c r="U1396" s="32">
        <v>0.80515868999999995</v>
      </c>
      <c r="V1396" s="32">
        <v>4</v>
      </c>
      <c r="W1396" s="32">
        <v>0.83490200000000003</v>
      </c>
      <c r="X1396" s="32">
        <v>0.440137</v>
      </c>
      <c r="Y1396" s="32">
        <v>0.89888199999999996</v>
      </c>
      <c r="Z1396" s="32">
        <v>0.38584800000000002</v>
      </c>
      <c r="AA1396" s="32">
        <v>80.099999999999994</v>
      </c>
      <c r="AB1396" s="32">
        <v>658</v>
      </c>
      <c r="AC1396" s="32">
        <v>18</v>
      </c>
      <c r="AD1396" s="32">
        <v>46</v>
      </c>
      <c r="AE1396" s="32">
        <v>11</v>
      </c>
      <c r="AF1396" s="32">
        <v>12</v>
      </c>
      <c r="AG1396" s="32" t="s">
        <v>200</v>
      </c>
    </row>
    <row r="1397" spans="1:33">
      <c r="A1397" s="32" t="s">
        <v>4976</v>
      </c>
      <c r="B1397" s="32" t="s">
        <v>132</v>
      </c>
      <c r="C1397" s="32" t="s">
        <v>4977</v>
      </c>
      <c r="D1397" s="32" t="s">
        <v>4978</v>
      </c>
      <c r="E1397" s="32" t="s">
        <v>4824</v>
      </c>
      <c r="F1397" s="32" t="s">
        <v>4825</v>
      </c>
      <c r="G1397" s="32" t="s">
        <v>4606</v>
      </c>
      <c r="H1397" s="32" t="s">
        <v>4607</v>
      </c>
      <c r="I1397" s="32" t="s">
        <v>198</v>
      </c>
      <c r="J1397" s="32" t="s">
        <v>199</v>
      </c>
      <c r="K1397" s="32">
        <v>2.409834</v>
      </c>
      <c r="L1397" s="33">
        <v>2073</v>
      </c>
      <c r="M1397" s="32">
        <v>466</v>
      </c>
      <c r="N1397" s="32">
        <v>374</v>
      </c>
      <c r="O1397" s="32">
        <v>544</v>
      </c>
      <c r="P1397" s="32">
        <v>479</v>
      </c>
      <c r="Q1397" s="32">
        <v>210</v>
      </c>
      <c r="R1397" s="32">
        <v>2</v>
      </c>
      <c r="S1397" s="32">
        <v>12.076700000000001</v>
      </c>
      <c r="T1397" s="32">
        <v>0</v>
      </c>
      <c r="U1397" s="32">
        <v>0.81371578200000005</v>
      </c>
      <c r="V1397" s="32">
        <v>5</v>
      </c>
      <c r="W1397" s="32">
        <v>0.81149199999999999</v>
      </c>
      <c r="X1397" s="32">
        <v>0.27785100000000001</v>
      </c>
      <c r="Y1397" s="32">
        <v>0.9</v>
      </c>
      <c r="Z1397" s="32">
        <v>0.42593799999999998</v>
      </c>
      <c r="AA1397" s="32">
        <v>83</v>
      </c>
      <c r="AB1397" s="32">
        <v>593</v>
      </c>
      <c r="AC1397" s="32">
        <v>13</v>
      </c>
      <c r="AD1397" s="32">
        <v>27</v>
      </c>
      <c r="AE1397" s="32">
        <v>6</v>
      </c>
      <c r="AF1397" s="32" t="s">
        <v>200</v>
      </c>
      <c r="AG1397" s="32" t="s">
        <v>200</v>
      </c>
    </row>
    <row r="1398" spans="1:33">
      <c r="A1398" s="32" t="s">
        <v>4790</v>
      </c>
      <c r="B1398" s="32" t="s">
        <v>132</v>
      </c>
      <c r="C1398" s="32" t="s">
        <v>4791</v>
      </c>
      <c r="D1398" s="32" t="s">
        <v>4792</v>
      </c>
      <c r="E1398" s="32" t="s">
        <v>4793</v>
      </c>
      <c r="F1398" s="32" t="s">
        <v>4794</v>
      </c>
      <c r="G1398" s="32" t="s">
        <v>4795</v>
      </c>
      <c r="H1398" s="32" t="s">
        <v>4796</v>
      </c>
      <c r="I1398" s="32" t="s">
        <v>198</v>
      </c>
      <c r="J1398" s="32" t="s">
        <v>199</v>
      </c>
      <c r="K1398" s="32">
        <v>2.639891</v>
      </c>
      <c r="L1398" s="33">
        <v>2047</v>
      </c>
      <c r="M1398" s="32">
        <v>456</v>
      </c>
      <c r="N1398" s="32">
        <v>345</v>
      </c>
      <c r="O1398" s="32">
        <v>598</v>
      </c>
      <c r="P1398" s="32">
        <v>485</v>
      </c>
      <c r="Q1398" s="32">
        <v>163</v>
      </c>
      <c r="R1398" s="32">
        <v>2</v>
      </c>
      <c r="S1398" s="32">
        <v>20.158000000000001</v>
      </c>
      <c r="T1398" s="32">
        <v>0</v>
      </c>
      <c r="U1398" s="32">
        <v>0.65934987599999995</v>
      </c>
      <c r="V1398" s="32">
        <v>5</v>
      </c>
      <c r="W1398" s="32">
        <v>0.82306299999999999</v>
      </c>
      <c r="X1398" s="32">
        <v>0.42272900000000002</v>
      </c>
      <c r="Y1398" s="32">
        <v>0.87825699999999995</v>
      </c>
      <c r="Z1398" s="32">
        <v>0.51636700000000002</v>
      </c>
      <c r="AA1398" s="32">
        <v>69.599999999999994</v>
      </c>
      <c r="AB1398" s="32">
        <v>791</v>
      </c>
      <c r="AC1398" s="32">
        <v>23</v>
      </c>
      <c r="AD1398" s="32">
        <v>130</v>
      </c>
      <c r="AE1398" s="32">
        <v>31</v>
      </c>
      <c r="AF1398" s="32" t="s">
        <v>200</v>
      </c>
      <c r="AG1398" s="32">
        <v>19</v>
      </c>
    </row>
    <row r="1399" spans="1:33">
      <c r="A1399" s="32" t="s">
        <v>4797</v>
      </c>
      <c r="B1399" s="32" t="s">
        <v>132</v>
      </c>
      <c r="C1399" s="32" t="s">
        <v>4798</v>
      </c>
      <c r="D1399" s="32" t="s">
        <v>4799</v>
      </c>
      <c r="E1399" s="32" t="s">
        <v>4800</v>
      </c>
      <c r="F1399" s="32" t="s">
        <v>4801</v>
      </c>
      <c r="G1399" s="32" t="s">
        <v>4795</v>
      </c>
      <c r="H1399" s="32" t="s">
        <v>4796</v>
      </c>
      <c r="I1399" s="32" t="s">
        <v>198</v>
      </c>
      <c r="J1399" s="32" t="s">
        <v>199</v>
      </c>
      <c r="K1399" s="32">
        <v>2.77765</v>
      </c>
      <c r="L1399" s="33">
        <v>2266</v>
      </c>
      <c r="M1399" s="32">
        <v>360</v>
      </c>
      <c r="N1399" s="32">
        <v>391</v>
      </c>
      <c r="O1399" s="32">
        <v>695</v>
      </c>
      <c r="P1399" s="32">
        <v>573</v>
      </c>
      <c r="Q1399" s="32">
        <v>247</v>
      </c>
      <c r="R1399" s="32" t="s">
        <v>225</v>
      </c>
      <c r="S1399" s="32">
        <v>28.723500000000001</v>
      </c>
      <c r="T1399" s="32">
        <v>0</v>
      </c>
      <c r="U1399" s="32">
        <v>0.63467351900000002</v>
      </c>
      <c r="V1399" s="32">
        <v>4</v>
      </c>
      <c r="W1399" s="32">
        <v>0.82101299999999999</v>
      </c>
      <c r="X1399" s="32">
        <v>0.31345899999999999</v>
      </c>
      <c r="Y1399" s="32">
        <v>0.87710500000000002</v>
      </c>
      <c r="Z1399" s="32">
        <v>0.76575099999999996</v>
      </c>
      <c r="AA1399" s="32">
        <v>48.2</v>
      </c>
      <c r="AB1399" s="32">
        <v>944</v>
      </c>
      <c r="AC1399" s="32">
        <v>27</v>
      </c>
      <c r="AD1399" s="32">
        <v>552</v>
      </c>
      <c r="AE1399" s="32">
        <v>305</v>
      </c>
      <c r="AF1399" s="32">
        <v>29</v>
      </c>
      <c r="AG1399" s="32">
        <v>192</v>
      </c>
    </row>
    <row r="1400" spans="1:33">
      <c r="A1400" s="32" t="s">
        <v>4987</v>
      </c>
      <c r="B1400" s="32" t="s">
        <v>132</v>
      </c>
      <c r="C1400" s="32" t="s">
        <v>4988</v>
      </c>
      <c r="D1400" s="32" t="s">
        <v>4989</v>
      </c>
      <c r="E1400" s="32" t="s">
        <v>4800</v>
      </c>
      <c r="F1400" s="32" t="s">
        <v>4801</v>
      </c>
      <c r="G1400" s="32" t="s">
        <v>4795</v>
      </c>
      <c r="H1400" s="32" t="s">
        <v>4796</v>
      </c>
      <c r="I1400" s="32" t="s">
        <v>198</v>
      </c>
      <c r="J1400" s="32" t="s">
        <v>199</v>
      </c>
      <c r="K1400" s="32">
        <v>2.6840850000000001</v>
      </c>
      <c r="L1400" s="33">
        <v>1940</v>
      </c>
      <c r="M1400" s="32">
        <v>432</v>
      </c>
      <c r="N1400" s="32">
        <v>332</v>
      </c>
      <c r="O1400" s="32">
        <v>494</v>
      </c>
      <c r="P1400" s="32">
        <v>471</v>
      </c>
      <c r="Q1400" s="32">
        <v>211</v>
      </c>
      <c r="R1400" s="32" t="s">
        <v>225</v>
      </c>
      <c r="S1400" s="32">
        <v>6.4279900000000003</v>
      </c>
      <c r="T1400" s="32">
        <v>0</v>
      </c>
      <c r="U1400" s="32">
        <v>0.65955103000000004</v>
      </c>
      <c r="V1400" s="32">
        <v>4</v>
      </c>
      <c r="W1400" s="32">
        <v>0.82657800000000003</v>
      </c>
      <c r="X1400" s="32">
        <v>0.63693999999999995</v>
      </c>
      <c r="Y1400" s="32">
        <v>0.9</v>
      </c>
      <c r="Z1400" s="32">
        <v>0.32181100000000001</v>
      </c>
      <c r="AA1400" s="32">
        <v>36.299999999999997</v>
      </c>
      <c r="AB1400" s="32">
        <v>799</v>
      </c>
      <c r="AC1400" s="32">
        <v>27</v>
      </c>
      <c r="AD1400" s="32">
        <v>76</v>
      </c>
      <c r="AE1400" s="32" t="s">
        <v>200</v>
      </c>
      <c r="AF1400" s="32">
        <v>22</v>
      </c>
      <c r="AG1400" s="32">
        <v>23</v>
      </c>
    </row>
    <row r="1401" spans="1:33">
      <c r="A1401" s="32" t="s">
        <v>4990</v>
      </c>
      <c r="B1401" s="32" t="s">
        <v>132</v>
      </c>
      <c r="C1401" s="32" t="s">
        <v>4991</v>
      </c>
      <c r="D1401" s="32" t="s">
        <v>4992</v>
      </c>
      <c r="E1401" s="32" t="s">
        <v>4800</v>
      </c>
      <c r="F1401" s="32" t="s">
        <v>4801</v>
      </c>
      <c r="G1401" s="32" t="s">
        <v>4795</v>
      </c>
      <c r="H1401" s="32" t="s">
        <v>4796</v>
      </c>
      <c r="I1401" s="32" t="s">
        <v>198</v>
      </c>
      <c r="J1401" s="32" t="s">
        <v>199</v>
      </c>
      <c r="K1401" s="32">
        <v>2.6729850000000002</v>
      </c>
      <c r="L1401" s="33">
        <v>2351</v>
      </c>
      <c r="M1401" s="32">
        <v>465</v>
      </c>
      <c r="N1401" s="32">
        <v>437</v>
      </c>
      <c r="O1401" s="32">
        <v>717</v>
      </c>
      <c r="P1401" s="32">
        <v>571</v>
      </c>
      <c r="Q1401" s="32">
        <v>161</v>
      </c>
      <c r="R1401" s="32" t="s">
        <v>225</v>
      </c>
      <c r="S1401" s="32">
        <v>19.678899999999999</v>
      </c>
      <c r="T1401" s="32">
        <v>0</v>
      </c>
      <c r="U1401" s="32">
        <v>0.67743846799999996</v>
      </c>
      <c r="V1401" s="32">
        <v>4</v>
      </c>
      <c r="W1401" s="32">
        <v>0.83552300000000002</v>
      </c>
      <c r="X1401" s="32">
        <v>0.53065799999999996</v>
      </c>
      <c r="Y1401" s="32">
        <v>0.9</v>
      </c>
      <c r="Z1401" s="32">
        <v>0.41008800000000001</v>
      </c>
      <c r="AA1401" s="32">
        <v>46.8</v>
      </c>
      <c r="AB1401" s="32">
        <v>793</v>
      </c>
      <c r="AC1401" s="32">
        <v>27</v>
      </c>
      <c r="AD1401" s="32">
        <v>91</v>
      </c>
      <c r="AE1401" s="32">
        <v>10</v>
      </c>
      <c r="AF1401" s="32">
        <v>22</v>
      </c>
      <c r="AG1401" s="32">
        <v>23</v>
      </c>
    </row>
    <row r="1402" spans="1:33">
      <c r="A1402" s="32" t="s">
        <v>4993</v>
      </c>
      <c r="B1402" s="32" t="s">
        <v>132</v>
      </c>
      <c r="C1402" s="32" t="s">
        <v>4994</v>
      </c>
      <c r="D1402" s="32" t="s">
        <v>4995</v>
      </c>
      <c r="E1402" s="32" t="s">
        <v>4793</v>
      </c>
      <c r="F1402" s="32" t="s">
        <v>4794</v>
      </c>
      <c r="G1402" s="32" t="s">
        <v>4795</v>
      </c>
      <c r="H1402" s="32" t="s">
        <v>4796</v>
      </c>
      <c r="I1402" s="32" t="s">
        <v>198</v>
      </c>
      <c r="J1402" s="32" t="s">
        <v>199</v>
      </c>
      <c r="K1402" s="32">
        <v>2.5710500000000001</v>
      </c>
      <c r="L1402" s="33">
        <v>2419</v>
      </c>
      <c r="M1402" s="32">
        <v>576</v>
      </c>
      <c r="N1402" s="32">
        <v>372</v>
      </c>
      <c r="O1402" s="32">
        <v>675</v>
      </c>
      <c r="P1402" s="32">
        <v>502</v>
      </c>
      <c r="Q1402" s="32">
        <v>294</v>
      </c>
      <c r="R1402" s="32">
        <v>2</v>
      </c>
      <c r="S1402" s="32">
        <v>15.458600000000001</v>
      </c>
      <c r="T1402" s="32">
        <v>0</v>
      </c>
      <c r="U1402" s="32">
        <v>0.73809460299999996</v>
      </c>
      <c r="V1402" s="32">
        <v>5</v>
      </c>
      <c r="W1402" s="32">
        <v>0.83570699999999998</v>
      </c>
      <c r="X1402" s="32">
        <v>0.56684000000000001</v>
      </c>
      <c r="Y1402" s="32">
        <v>0.9</v>
      </c>
      <c r="Z1402" s="32">
        <v>0.27194000000000002</v>
      </c>
      <c r="AA1402" s="32">
        <v>51.5</v>
      </c>
      <c r="AB1402" s="32">
        <v>736</v>
      </c>
      <c r="AC1402" s="32">
        <v>16</v>
      </c>
      <c r="AD1402" s="32">
        <v>78</v>
      </c>
      <c r="AE1402" s="32" t="s">
        <v>200</v>
      </c>
      <c r="AF1402" s="32">
        <v>0</v>
      </c>
      <c r="AG1402" s="32">
        <v>5</v>
      </c>
    </row>
    <row r="1403" spans="1:33">
      <c r="A1403" s="32" t="s">
        <v>4996</v>
      </c>
      <c r="B1403" s="32" t="s">
        <v>132</v>
      </c>
      <c r="C1403" s="32" t="s">
        <v>4997</v>
      </c>
      <c r="D1403" s="32" t="s">
        <v>4998</v>
      </c>
      <c r="E1403" s="32" t="s">
        <v>4793</v>
      </c>
      <c r="F1403" s="32" t="s">
        <v>4794</v>
      </c>
      <c r="G1403" s="32" t="s">
        <v>4795</v>
      </c>
      <c r="H1403" s="32" t="s">
        <v>4796</v>
      </c>
      <c r="I1403" s="32" t="s">
        <v>198</v>
      </c>
      <c r="J1403" s="32" t="s">
        <v>199</v>
      </c>
      <c r="K1403" s="32">
        <v>2.5054129999999999</v>
      </c>
      <c r="L1403" s="33">
        <v>2309</v>
      </c>
      <c r="M1403" s="32">
        <v>497</v>
      </c>
      <c r="N1403" s="32">
        <v>360</v>
      </c>
      <c r="O1403" s="32">
        <v>729</v>
      </c>
      <c r="P1403" s="32">
        <v>556</v>
      </c>
      <c r="Q1403" s="32">
        <v>167</v>
      </c>
      <c r="R1403" s="32">
        <v>2</v>
      </c>
      <c r="S1403" s="32">
        <v>20.519600000000001</v>
      </c>
      <c r="T1403" s="32">
        <v>0</v>
      </c>
      <c r="U1403" s="32">
        <v>0.74221252400000004</v>
      </c>
      <c r="V1403" s="32">
        <v>5</v>
      </c>
      <c r="W1403" s="32">
        <v>0.82117799999999996</v>
      </c>
      <c r="X1403" s="32">
        <v>0.31491000000000002</v>
      </c>
      <c r="Y1403" s="32">
        <v>0.9</v>
      </c>
      <c r="Z1403" s="32">
        <v>0.46246399999999999</v>
      </c>
      <c r="AA1403" s="32">
        <v>57.7</v>
      </c>
      <c r="AB1403" s="32">
        <v>640</v>
      </c>
      <c r="AC1403" s="32">
        <v>23</v>
      </c>
      <c r="AD1403" s="32">
        <v>30</v>
      </c>
      <c r="AE1403" s="32" t="s">
        <v>200</v>
      </c>
      <c r="AF1403" s="32">
        <v>0</v>
      </c>
      <c r="AG1403" s="32" t="s">
        <v>200</v>
      </c>
    </row>
    <row r="1404" spans="1:33">
      <c r="A1404" s="32" t="s">
        <v>4999</v>
      </c>
      <c r="B1404" s="32" t="s">
        <v>133</v>
      </c>
      <c r="C1404" s="32" t="s">
        <v>5000</v>
      </c>
      <c r="D1404" s="32" t="s">
        <v>5001</v>
      </c>
      <c r="E1404" s="32" t="s">
        <v>4579</v>
      </c>
      <c r="F1404" s="32" t="s">
        <v>4580</v>
      </c>
      <c r="G1404" s="32" t="s">
        <v>4517</v>
      </c>
      <c r="H1404" s="32" t="s">
        <v>4518</v>
      </c>
      <c r="I1404" s="32" t="s">
        <v>198</v>
      </c>
      <c r="J1404" s="32" t="s">
        <v>199</v>
      </c>
      <c r="K1404" s="32">
        <v>2.3107760000000002</v>
      </c>
      <c r="L1404" s="33">
        <v>1705</v>
      </c>
      <c r="M1404" s="32">
        <v>393</v>
      </c>
      <c r="N1404" s="32">
        <v>181</v>
      </c>
      <c r="O1404" s="32">
        <v>309</v>
      </c>
      <c r="P1404" s="32">
        <v>510</v>
      </c>
      <c r="Q1404" s="32">
        <v>312</v>
      </c>
      <c r="R1404" s="32">
        <v>2</v>
      </c>
      <c r="S1404" s="32">
        <v>9.3230299999999993</v>
      </c>
      <c r="T1404" s="32">
        <v>4.5760399999999999</v>
      </c>
      <c r="U1404" s="32">
        <v>0.59127428500000001</v>
      </c>
      <c r="V1404" s="32">
        <v>10</v>
      </c>
      <c r="W1404" s="32">
        <v>0.90430999999999995</v>
      </c>
      <c r="X1404" s="32">
        <v>0.14306199999999999</v>
      </c>
      <c r="Y1404" s="32">
        <v>0.8</v>
      </c>
      <c r="Z1404" s="32">
        <v>0.46139599999999997</v>
      </c>
      <c r="AA1404" s="32">
        <v>11.7</v>
      </c>
      <c r="AB1404" s="32">
        <v>723</v>
      </c>
      <c r="AC1404" s="32">
        <v>31</v>
      </c>
      <c r="AD1404" s="32">
        <v>16</v>
      </c>
      <c r="AE1404" s="32">
        <v>0</v>
      </c>
      <c r="AF1404" s="32">
        <v>0</v>
      </c>
      <c r="AG1404" s="32" t="s">
        <v>200</v>
      </c>
    </row>
    <row r="1405" spans="1:33">
      <c r="A1405" s="32" t="s">
        <v>5002</v>
      </c>
      <c r="B1405" s="32" t="s">
        <v>133</v>
      </c>
      <c r="C1405" s="32" t="s">
        <v>5003</v>
      </c>
      <c r="D1405" s="32" t="s">
        <v>5004</v>
      </c>
      <c r="E1405" s="32" t="s">
        <v>4579</v>
      </c>
      <c r="F1405" s="32" t="s">
        <v>4580</v>
      </c>
      <c r="G1405" s="32" t="s">
        <v>4517</v>
      </c>
      <c r="H1405" s="32" t="s">
        <v>4518</v>
      </c>
      <c r="I1405" s="32" t="s">
        <v>198</v>
      </c>
      <c r="J1405" s="32" t="s">
        <v>199</v>
      </c>
      <c r="K1405" s="32">
        <v>2.0686789999999999</v>
      </c>
      <c r="L1405" s="33">
        <v>1642</v>
      </c>
      <c r="M1405" s="32">
        <v>234</v>
      </c>
      <c r="N1405" s="32">
        <v>197</v>
      </c>
      <c r="O1405" s="32">
        <v>453</v>
      </c>
      <c r="P1405" s="32">
        <v>442</v>
      </c>
      <c r="Q1405" s="32">
        <v>316</v>
      </c>
      <c r="R1405" s="32" t="s">
        <v>225</v>
      </c>
      <c r="S1405" s="32">
        <v>12.092700000000001</v>
      </c>
      <c r="T1405" s="32">
        <v>0</v>
      </c>
      <c r="U1405" s="32">
        <v>0.76518609800000004</v>
      </c>
      <c r="V1405" s="32">
        <v>9</v>
      </c>
      <c r="W1405" s="32">
        <v>0.84271200000000002</v>
      </c>
      <c r="X1405" s="32">
        <v>0.123033</v>
      </c>
      <c r="Y1405" s="32">
        <v>0.8</v>
      </c>
      <c r="Z1405" s="32">
        <v>0.30294900000000002</v>
      </c>
      <c r="AA1405" s="32">
        <v>14</v>
      </c>
      <c r="AB1405" s="32">
        <v>678</v>
      </c>
      <c r="AC1405" s="32">
        <v>35</v>
      </c>
      <c r="AD1405" s="32">
        <v>33</v>
      </c>
      <c r="AE1405" s="32">
        <v>0</v>
      </c>
      <c r="AF1405" s="32" t="s">
        <v>200</v>
      </c>
      <c r="AG1405" s="32">
        <v>5</v>
      </c>
    </row>
    <row r="1406" spans="1:33">
      <c r="A1406" s="32" t="s">
        <v>5005</v>
      </c>
      <c r="B1406" s="32" t="s">
        <v>133</v>
      </c>
      <c r="C1406" s="32" t="s">
        <v>5006</v>
      </c>
      <c r="D1406" s="32" t="s">
        <v>5007</v>
      </c>
      <c r="E1406" s="32" t="s">
        <v>4579</v>
      </c>
      <c r="F1406" s="32" t="s">
        <v>4580</v>
      </c>
      <c r="G1406" s="32" t="s">
        <v>4517</v>
      </c>
      <c r="H1406" s="32" t="s">
        <v>4518</v>
      </c>
      <c r="I1406" s="32" t="s">
        <v>198</v>
      </c>
      <c r="J1406" s="32" t="s">
        <v>199</v>
      </c>
      <c r="K1406" s="32">
        <v>2.4605980000000001</v>
      </c>
      <c r="L1406" s="33">
        <v>1682</v>
      </c>
      <c r="M1406" s="32">
        <v>342</v>
      </c>
      <c r="N1406" s="32">
        <v>198</v>
      </c>
      <c r="O1406" s="32">
        <v>329</v>
      </c>
      <c r="P1406" s="32">
        <v>456</v>
      </c>
      <c r="Q1406" s="32">
        <v>357</v>
      </c>
      <c r="R1406" s="32">
        <v>2</v>
      </c>
      <c r="S1406" s="32">
        <v>12.8977</v>
      </c>
      <c r="T1406" s="32">
        <v>5.4862399999999996</v>
      </c>
      <c r="U1406" s="32">
        <v>0.52897313300000004</v>
      </c>
      <c r="V1406" s="32">
        <v>10</v>
      </c>
      <c r="W1406" s="32">
        <v>0.90502700000000003</v>
      </c>
      <c r="X1406" s="32">
        <v>0.21418799999999999</v>
      </c>
      <c r="Y1406" s="32">
        <v>0.8</v>
      </c>
      <c r="Z1406" s="32">
        <v>0.54864100000000005</v>
      </c>
      <c r="AA1406" s="32">
        <v>8.5</v>
      </c>
      <c r="AB1406" s="32">
        <v>685</v>
      </c>
      <c r="AC1406" s="32">
        <v>29</v>
      </c>
      <c r="AD1406" s="32">
        <v>20</v>
      </c>
      <c r="AE1406" s="32">
        <v>0</v>
      </c>
      <c r="AF1406" s="32">
        <v>0</v>
      </c>
      <c r="AG1406" s="32" t="s">
        <v>200</v>
      </c>
    </row>
    <row r="1407" spans="1:33">
      <c r="A1407" s="32" t="s">
        <v>5008</v>
      </c>
      <c r="B1407" s="32" t="s">
        <v>133</v>
      </c>
      <c r="C1407" s="32" t="s">
        <v>5009</v>
      </c>
      <c r="D1407" s="32" t="s">
        <v>5010</v>
      </c>
      <c r="E1407" s="32" t="s">
        <v>4574</v>
      </c>
      <c r="F1407" s="32" t="s">
        <v>4575</v>
      </c>
      <c r="G1407" s="32" t="s">
        <v>4517</v>
      </c>
      <c r="H1407" s="32" t="s">
        <v>4518</v>
      </c>
      <c r="I1407" s="32" t="s">
        <v>198</v>
      </c>
      <c r="J1407" s="32" t="s">
        <v>199</v>
      </c>
      <c r="K1407" s="32">
        <v>2.3339020000000001</v>
      </c>
      <c r="L1407" s="33">
        <v>2108</v>
      </c>
      <c r="M1407" s="32">
        <v>460</v>
      </c>
      <c r="N1407" s="32">
        <v>313</v>
      </c>
      <c r="O1407" s="32">
        <v>620</v>
      </c>
      <c r="P1407" s="32">
        <v>544</v>
      </c>
      <c r="Q1407" s="32">
        <v>171</v>
      </c>
      <c r="R1407" s="32" t="s">
        <v>225</v>
      </c>
      <c r="S1407" s="32">
        <v>6.2897699999999999</v>
      </c>
      <c r="T1407" s="32">
        <v>0</v>
      </c>
      <c r="U1407" s="32">
        <v>0.73763764700000001</v>
      </c>
      <c r="V1407" s="32">
        <v>6</v>
      </c>
      <c r="W1407" s="32">
        <v>0.90170600000000001</v>
      </c>
      <c r="X1407" s="32">
        <v>0.206538</v>
      </c>
      <c r="Y1407" s="32">
        <v>0.8</v>
      </c>
      <c r="Z1407" s="32">
        <v>0.42343799999999998</v>
      </c>
      <c r="AA1407" s="32">
        <v>33.700000000000003</v>
      </c>
      <c r="AB1407" s="32">
        <v>566</v>
      </c>
      <c r="AC1407" s="32">
        <v>29</v>
      </c>
      <c r="AD1407" s="32">
        <v>14</v>
      </c>
      <c r="AE1407" s="32">
        <v>0</v>
      </c>
      <c r="AF1407" s="32">
        <v>0</v>
      </c>
      <c r="AG1407" s="32" t="s">
        <v>200</v>
      </c>
    </row>
    <row r="1408" spans="1:33">
      <c r="A1408" s="32" t="s">
        <v>5011</v>
      </c>
      <c r="B1408" s="32" t="s">
        <v>133</v>
      </c>
      <c r="C1408" s="32" t="s">
        <v>5012</v>
      </c>
      <c r="D1408" s="32" t="s">
        <v>5013</v>
      </c>
      <c r="E1408" s="32" t="s">
        <v>4574</v>
      </c>
      <c r="F1408" s="32" t="s">
        <v>4575</v>
      </c>
      <c r="G1408" s="32" t="s">
        <v>4517</v>
      </c>
      <c r="H1408" s="32" t="s">
        <v>4518</v>
      </c>
      <c r="I1408" s="32" t="s">
        <v>198</v>
      </c>
      <c r="J1408" s="32" t="s">
        <v>199</v>
      </c>
      <c r="K1408" s="32">
        <v>2.2751519999999998</v>
      </c>
      <c r="L1408" s="33">
        <v>1534</v>
      </c>
      <c r="M1408" s="32">
        <v>339</v>
      </c>
      <c r="N1408" s="32">
        <v>186</v>
      </c>
      <c r="O1408" s="32">
        <v>326</v>
      </c>
      <c r="P1408" s="32">
        <v>432</v>
      </c>
      <c r="Q1408" s="32">
        <v>251</v>
      </c>
      <c r="R1408" s="32">
        <v>2</v>
      </c>
      <c r="S1408" s="32">
        <v>16.176600000000001</v>
      </c>
      <c r="T1408" s="32">
        <v>0</v>
      </c>
      <c r="U1408" s="32">
        <v>0.77260097800000005</v>
      </c>
      <c r="V1408" s="32">
        <v>7</v>
      </c>
      <c r="W1408" s="32">
        <v>0.90273800000000004</v>
      </c>
      <c r="X1408" s="32">
        <v>0.17294000000000001</v>
      </c>
      <c r="Y1408" s="32">
        <v>0.8</v>
      </c>
      <c r="Z1408" s="32">
        <v>0.39643899999999999</v>
      </c>
      <c r="AA1408" s="32">
        <v>15.6</v>
      </c>
      <c r="AB1408" s="32">
        <v>634</v>
      </c>
      <c r="AC1408" s="32">
        <v>49</v>
      </c>
      <c r="AD1408" s="32">
        <v>11</v>
      </c>
      <c r="AE1408" s="32">
        <v>0</v>
      </c>
      <c r="AF1408" s="32">
        <v>0</v>
      </c>
      <c r="AG1408" s="32" t="s">
        <v>200</v>
      </c>
    </row>
    <row r="1409" spans="1:33">
      <c r="A1409" s="32" t="s">
        <v>5014</v>
      </c>
      <c r="B1409" s="32" t="s">
        <v>134</v>
      </c>
      <c r="C1409" s="32" t="s">
        <v>5015</v>
      </c>
      <c r="D1409" s="32" t="s">
        <v>5016</v>
      </c>
      <c r="E1409" s="32" t="s">
        <v>5017</v>
      </c>
      <c r="F1409" s="32" t="s">
        <v>5018</v>
      </c>
      <c r="G1409" s="32" t="s">
        <v>4606</v>
      </c>
      <c r="H1409" s="32" t="s">
        <v>4607</v>
      </c>
      <c r="I1409" s="32" t="s">
        <v>198</v>
      </c>
      <c r="J1409" s="32" t="s">
        <v>199</v>
      </c>
      <c r="K1409" s="32">
        <v>2.3662290000000001</v>
      </c>
      <c r="L1409" s="33">
        <v>1557</v>
      </c>
      <c r="M1409" s="32">
        <v>279</v>
      </c>
      <c r="N1409" s="32">
        <v>292</v>
      </c>
      <c r="O1409" s="32">
        <v>342</v>
      </c>
      <c r="P1409" s="32">
        <v>430</v>
      </c>
      <c r="Q1409" s="32">
        <v>214</v>
      </c>
      <c r="R1409" s="32" t="s">
        <v>225</v>
      </c>
      <c r="S1409" s="32">
        <v>9.6457899999999999</v>
      </c>
      <c r="T1409" s="32">
        <v>0</v>
      </c>
      <c r="U1409" s="32">
        <v>0.69794097799999999</v>
      </c>
      <c r="V1409" s="32">
        <v>7</v>
      </c>
      <c r="W1409" s="32">
        <v>0.91243700000000005</v>
      </c>
      <c r="X1409" s="32">
        <v>0.214534</v>
      </c>
      <c r="Y1409" s="32">
        <v>0.8</v>
      </c>
      <c r="Z1409" s="32">
        <v>0.43932900000000003</v>
      </c>
      <c r="AA1409" s="32">
        <v>20.9</v>
      </c>
      <c r="AB1409" s="32">
        <v>595</v>
      </c>
      <c r="AC1409" s="32">
        <v>34</v>
      </c>
      <c r="AD1409" s="32">
        <v>25</v>
      </c>
      <c r="AE1409" s="32">
        <v>0</v>
      </c>
      <c r="AF1409" s="32">
        <v>0</v>
      </c>
      <c r="AG1409" s="32">
        <v>5</v>
      </c>
    </row>
    <row r="1410" spans="1:33">
      <c r="A1410" s="32" t="s">
        <v>5019</v>
      </c>
      <c r="B1410" s="32" t="s">
        <v>134</v>
      </c>
      <c r="C1410" s="32" t="s">
        <v>5020</v>
      </c>
      <c r="D1410" s="32" t="s">
        <v>5021</v>
      </c>
      <c r="E1410" s="32" t="s">
        <v>5017</v>
      </c>
      <c r="F1410" s="32" t="s">
        <v>5018</v>
      </c>
      <c r="G1410" s="32" t="s">
        <v>4606</v>
      </c>
      <c r="H1410" s="32" t="s">
        <v>4607</v>
      </c>
      <c r="I1410" s="32" t="s">
        <v>198</v>
      </c>
      <c r="J1410" s="32" t="s">
        <v>199</v>
      </c>
      <c r="K1410" s="32">
        <v>2.1535500000000001</v>
      </c>
      <c r="L1410" s="33">
        <v>1427</v>
      </c>
      <c r="M1410" s="32">
        <v>289</v>
      </c>
      <c r="N1410" s="32">
        <v>214</v>
      </c>
      <c r="O1410" s="32">
        <v>244</v>
      </c>
      <c r="P1410" s="32">
        <v>398</v>
      </c>
      <c r="Q1410" s="32">
        <v>282</v>
      </c>
      <c r="R1410" s="32">
        <v>2</v>
      </c>
      <c r="S1410" s="32">
        <v>10.9099</v>
      </c>
      <c r="T1410" s="32">
        <v>2.1619899999999999</v>
      </c>
      <c r="U1410" s="32">
        <v>0.83098495999999999</v>
      </c>
      <c r="V1410" s="32">
        <v>8</v>
      </c>
      <c r="W1410" s="32">
        <v>0.90140500000000001</v>
      </c>
      <c r="X1410" s="32">
        <v>0.13797200000000001</v>
      </c>
      <c r="Y1410" s="32">
        <v>0.8</v>
      </c>
      <c r="Z1410" s="32">
        <v>0.30865999999999999</v>
      </c>
      <c r="AA1410" s="32">
        <v>19.2</v>
      </c>
      <c r="AB1410" s="32">
        <v>629</v>
      </c>
      <c r="AC1410" s="32">
        <v>59</v>
      </c>
      <c r="AD1410" s="32">
        <v>29</v>
      </c>
      <c r="AE1410" s="32" t="s">
        <v>200</v>
      </c>
      <c r="AF1410" s="32" t="s">
        <v>200</v>
      </c>
      <c r="AG1410" s="32">
        <v>8</v>
      </c>
    </row>
    <row r="1411" spans="1:33">
      <c r="A1411" s="32" t="s">
        <v>5022</v>
      </c>
      <c r="B1411" s="32" t="s">
        <v>134</v>
      </c>
      <c r="C1411" s="32" t="s">
        <v>5023</v>
      </c>
      <c r="D1411" s="32" t="s">
        <v>5024</v>
      </c>
      <c r="E1411" s="32" t="s">
        <v>5025</v>
      </c>
      <c r="F1411" s="32" t="s">
        <v>5026</v>
      </c>
      <c r="G1411" s="32" t="s">
        <v>4606</v>
      </c>
      <c r="H1411" s="32" t="s">
        <v>4607</v>
      </c>
      <c r="I1411" s="32" t="s">
        <v>198</v>
      </c>
      <c r="J1411" s="32" t="s">
        <v>199</v>
      </c>
      <c r="K1411" s="32">
        <v>2.1393049999999998</v>
      </c>
      <c r="L1411" s="33">
        <v>1728</v>
      </c>
      <c r="M1411" s="32">
        <v>321</v>
      </c>
      <c r="N1411" s="32">
        <v>192</v>
      </c>
      <c r="O1411" s="32">
        <v>309</v>
      </c>
      <c r="P1411" s="32">
        <v>490</v>
      </c>
      <c r="Q1411" s="32">
        <v>416</v>
      </c>
      <c r="R1411" s="32">
        <v>2</v>
      </c>
      <c r="S1411" s="32">
        <v>8.1696500000000007</v>
      </c>
      <c r="T1411" s="32">
        <v>2.2343199999999999</v>
      </c>
      <c r="U1411" s="32">
        <v>0.79877648000000001</v>
      </c>
      <c r="V1411" s="32">
        <v>8</v>
      </c>
      <c r="W1411" s="32">
        <v>0.90276299999999998</v>
      </c>
      <c r="X1411" s="32">
        <v>8.7857000000000005E-2</v>
      </c>
      <c r="Y1411" s="32">
        <v>0.8</v>
      </c>
      <c r="Z1411" s="32">
        <v>0.34062500000000001</v>
      </c>
      <c r="AA1411" s="32">
        <v>15.9</v>
      </c>
      <c r="AB1411" s="32">
        <v>830</v>
      </c>
      <c r="AC1411" s="32">
        <v>35</v>
      </c>
      <c r="AD1411" s="32">
        <v>36</v>
      </c>
      <c r="AE1411" s="32" t="s">
        <v>200</v>
      </c>
      <c r="AF1411" s="32" t="s">
        <v>200</v>
      </c>
      <c r="AG1411" s="32" t="s">
        <v>200</v>
      </c>
    </row>
    <row r="1412" spans="1:33">
      <c r="A1412" s="32" t="s">
        <v>5027</v>
      </c>
      <c r="B1412" s="32" t="s">
        <v>134</v>
      </c>
      <c r="C1412" s="32" t="s">
        <v>5028</v>
      </c>
      <c r="D1412" s="32" t="s">
        <v>5029</v>
      </c>
      <c r="E1412" s="32" t="s">
        <v>5030</v>
      </c>
      <c r="F1412" s="32" t="s">
        <v>5031</v>
      </c>
      <c r="G1412" s="32" t="s">
        <v>4606</v>
      </c>
      <c r="H1412" s="32" t="s">
        <v>4607</v>
      </c>
      <c r="I1412" s="32" t="s">
        <v>198</v>
      </c>
      <c r="J1412" s="32" t="s">
        <v>199</v>
      </c>
      <c r="K1412" s="32">
        <v>2.5354990000000002</v>
      </c>
      <c r="L1412" s="33">
        <v>2014</v>
      </c>
      <c r="M1412" s="32">
        <v>393</v>
      </c>
      <c r="N1412" s="32">
        <v>307</v>
      </c>
      <c r="O1412" s="32">
        <v>509</v>
      </c>
      <c r="P1412" s="32">
        <v>476</v>
      </c>
      <c r="Q1412" s="32">
        <v>329</v>
      </c>
      <c r="R1412" s="32">
        <v>2</v>
      </c>
      <c r="S1412" s="32">
        <v>18.1204</v>
      </c>
      <c r="T1412" s="32">
        <v>0</v>
      </c>
      <c r="U1412" s="32">
        <v>0.58950644100000005</v>
      </c>
      <c r="V1412" s="32">
        <v>8</v>
      </c>
      <c r="W1412" s="32">
        <v>0.92551499999999998</v>
      </c>
      <c r="X1412" s="32">
        <v>0.34800599999999998</v>
      </c>
      <c r="Y1412" s="32">
        <v>0.8</v>
      </c>
      <c r="Z1412" s="32">
        <v>0.46395500000000001</v>
      </c>
      <c r="AA1412" s="32">
        <v>15</v>
      </c>
      <c r="AB1412" s="32">
        <v>627</v>
      </c>
      <c r="AC1412" s="32">
        <v>33</v>
      </c>
      <c r="AD1412" s="32">
        <v>11</v>
      </c>
      <c r="AE1412" s="32">
        <v>0</v>
      </c>
      <c r="AF1412" s="32">
        <v>0</v>
      </c>
      <c r="AG1412" s="32">
        <v>9</v>
      </c>
    </row>
    <row r="1413" spans="1:33">
      <c r="A1413" s="32" t="s">
        <v>5032</v>
      </c>
      <c r="B1413" s="32" t="s">
        <v>134</v>
      </c>
      <c r="C1413" s="32" t="s">
        <v>5033</v>
      </c>
      <c r="D1413" s="32" t="s">
        <v>5034</v>
      </c>
      <c r="E1413" s="32" t="s">
        <v>5017</v>
      </c>
      <c r="F1413" s="32" t="s">
        <v>5018</v>
      </c>
      <c r="G1413" s="32" t="s">
        <v>4606</v>
      </c>
      <c r="H1413" s="32" t="s">
        <v>4607</v>
      </c>
      <c r="I1413" s="32" t="s">
        <v>198</v>
      </c>
      <c r="J1413" s="32" t="s">
        <v>199</v>
      </c>
      <c r="K1413" s="32">
        <v>2.2010890000000001</v>
      </c>
      <c r="L1413" s="33">
        <v>1325</v>
      </c>
      <c r="M1413" s="32">
        <v>232</v>
      </c>
      <c r="N1413" s="32">
        <v>171</v>
      </c>
      <c r="O1413" s="32">
        <v>254</v>
      </c>
      <c r="P1413" s="32">
        <v>429</v>
      </c>
      <c r="Q1413" s="32">
        <v>239</v>
      </c>
      <c r="R1413" s="32" t="s">
        <v>225</v>
      </c>
      <c r="S1413" s="32">
        <v>5.4122000000000003</v>
      </c>
      <c r="T1413" s="32">
        <v>0</v>
      </c>
      <c r="U1413" s="32">
        <v>0.68346608200000003</v>
      </c>
      <c r="V1413" s="32">
        <v>10</v>
      </c>
      <c r="W1413" s="32">
        <v>0.90637599999999996</v>
      </c>
      <c r="X1413" s="32">
        <v>9.7806000000000004E-2</v>
      </c>
      <c r="Y1413" s="32">
        <v>0.8</v>
      </c>
      <c r="Z1413" s="32">
        <v>0.41743799999999998</v>
      </c>
      <c r="AA1413" s="32">
        <v>15.8</v>
      </c>
      <c r="AB1413" s="32">
        <v>539</v>
      </c>
      <c r="AC1413" s="32">
        <v>23</v>
      </c>
      <c r="AD1413" s="32">
        <v>18</v>
      </c>
      <c r="AE1413" s="32">
        <v>0</v>
      </c>
      <c r="AF1413" s="32">
        <v>0</v>
      </c>
      <c r="AG1413" s="32" t="s">
        <v>200</v>
      </c>
    </row>
    <row r="1414" spans="1:33">
      <c r="A1414" s="32" t="s">
        <v>5035</v>
      </c>
      <c r="B1414" s="32" t="s">
        <v>134</v>
      </c>
      <c r="C1414" s="32" t="s">
        <v>5036</v>
      </c>
      <c r="D1414" s="32" t="s">
        <v>5037</v>
      </c>
      <c r="E1414" s="32" t="s">
        <v>5017</v>
      </c>
      <c r="F1414" s="32" t="s">
        <v>5018</v>
      </c>
      <c r="G1414" s="32" t="s">
        <v>4606</v>
      </c>
      <c r="H1414" s="32" t="s">
        <v>4607</v>
      </c>
      <c r="I1414" s="32" t="s">
        <v>198</v>
      </c>
      <c r="J1414" s="32" t="s">
        <v>199</v>
      </c>
      <c r="K1414" s="32">
        <v>2.1185010000000002</v>
      </c>
      <c r="L1414" s="33">
        <v>1573</v>
      </c>
      <c r="M1414" s="32">
        <v>370</v>
      </c>
      <c r="N1414" s="32">
        <v>297</v>
      </c>
      <c r="O1414" s="32">
        <v>324</v>
      </c>
      <c r="P1414" s="32">
        <v>381</v>
      </c>
      <c r="Q1414" s="32">
        <v>201</v>
      </c>
      <c r="R1414" s="32" t="s">
        <v>214</v>
      </c>
      <c r="S1414" s="32">
        <v>9.2457899999999995</v>
      </c>
      <c r="T1414" s="32">
        <v>0</v>
      </c>
      <c r="U1414" s="32">
        <v>1.125197856</v>
      </c>
      <c r="V1414" s="32">
        <v>3</v>
      </c>
      <c r="W1414" s="32">
        <v>0.90238600000000002</v>
      </c>
      <c r="X1414" s="32">
        <v>0.132159</v>
      </c>
      <c r="Y1414" s="32">
        <v>0.8</v>
      </c>
      <c r="Z1414" s="32">
        <v>0.29232399999999997</v>
      </c>
      <c r="AA1414" s="32">
        <v>31.7</v>
      </c>
      <c r="AB1414" s="32">
        <v>436</v>
      </c>
      <c r="AC1414" s="32">
        <v>27</v>
      </c>
      <c r="AD1414" s="32">
        <v>43</v>
      </c>
      <c r="AE1414" s="32">
        <v>0</v>
      </c>
      <c r="AF1414" s="32">
        <v>0</v>
      </c>
      <c r="AG1414" s="32">
        <v>5</v>
      </c>
    </row>
    <row r="1415" spans="1:33">
      <c r="A1415" s="32" t="s">
        <v>5027</v>
      </c>
      <c r="B1415" s="32" t="s">
        <v>135</v>
      </c>
      <c r="C1415" s="32" t="s">
        <v>5028</v>
      </c>
      <c r="D1415" s="32" t="s">
        <v>5029</v>
      </c>
      <c r="E1415" s="32" t="s">
        <v>5030</v>
      </c>
      <c r="F1415" s="32" t="s">
        <v>5031</v>
      </c>
      <c r="G1415" s="32" t="s">
        <v>4606</v>
      </c>
      <c r="H1415" s="32" t="s">
        <v>4607</v>
      </c>
      <c r="I1415" s="32" t="s">
        <v>198</v>
      </c>
      <c r="J1415" s="32" t="s">
        <v>199</v>
      </c>
      <c r="K1415" s="32">
        <v>2.5354990000000002</v>
      </c>
      <c r="L1415" s="33">
        <v>2014</v>
      </c>
      <c r="M1415" s="32">
        <v>393</v>
      </c>
      <c r="N1415" s="32">
        <v>307</v>
      </c>
      <c r="O1415" s="32">
        <v>509</v>
      </c>
      <c r="P1415" s="32">
        <v>476</v>
      </c>
      <c r="Q1415" s="32">
        <v>329</v>
      </c>
      <c r="R1415" s="32">
        <v>2</v>
      </c>
      <c r="S1415" s="32">
        <v>18.1204</v>
      </c>
      <c r="T1415" s="32">
        <v>0</v>
      </c>
      <c r="U1415" s="32">
        <v>0.58950644100000005</v>
      </c>
      <c r="V1415" s="32">
        <v>8</v>
      </c>
      <c r="W1415" s="32">
        <v>0.92551499999999998</v>
      </c>
      <c r="X1415" s="32">
        <v>0.34800599999999998</v>
      </c>
      <c r="Y1415" s="32">
        <v>0.8</v>
      </c>
      <c r="Z1415" s="32">
        <v>0.46395500000000001</v>
      </c>
      <c r="AA1415" s="32">
        <v>15</v>
      </c>
      <c r="AB1415" s="32">
        <v>627</v>
      </c>
      <c r="AC1415" s="32">
        <v>33</v>
      </c>
      <c r="AD1415" s="32">
        <v>11</v>
      </c>
      <c r="AE1415" s="32">
        <v>0</v>
      </c>
      <c r="AF1415" s="32">
        <v>0</v>
      </c>
      <c r="AG1415" s="32">
        <v>9</v>
      </c>
    </row>
    <row r="1416" spans="1:33">
      <c r="A1416" s="32" t="s">
        <v>5038</v>
      </c>
      <c r="B1416" s="32" t="s">
        <v>135</v>
      </c>
      <c r="C1416" s="32" t="s">
        <v>5039</v>
      </c>
      <c r="D1416" s="32" t="s">
        <v>5040</v>
      </c>
      <c r="E1416" s="32" t="s">
        <v>5025</v>
      </c>
      <c r="F1416" s="32" t="s">
        <v>5026</v>
      </c>
      <c r="G1416" s="32" t="s">
        <v>4606</v>
      </c>
      <c r="H1416" s="32" t="s">
        <v>4607</v>
      </c>
      <c r="I1416" s="32" t="s">
        <v>198</v>
      </c>
      <c r="J1416" s="32" t="s">
        <v>199</v>
      </c>
      <c r="K1416" s="32">
        <v>2.2100900000000001</v>
      </c>
      <c r="L1416" s="33">
        <v>1658</v>
      </c>
      <c r="M1416" s="32">
        <v>322</v>
      </c>
      <c r="N1416" s="32">
        <v>321</v>
      </c>
      <c r="O1416" s="32">
        <v>325</v>
      </c>
      <c r="P1416" s="32">
        <v>463</v>
      </c>
      <c r="Q1416" s="32">
        <v>227</v>
      </c>
      <c r="R1416" s="32">
        <v>2</v>
      </c>
      <c r="S1416" s="32">
        <v>9.7421600000000002</v>
      </c>
      <c r="T1416" s="32">
        <v>3.1728700000000001</v>
      </c>
      <c r="U1416" s="32">
        <v>0.95944027600000004</v>
      </c>
      <c r="V1416" s="32">
        <v>4</v>
      </c>
      <c r="W1416" s="32">
        <v>0.90720699999999999</v>
      </c>
      <c r="X1416" s="32">
        <v>0.118214</v>
      </c>
      <c r="Y1416" s="32">
        <v>0.8</v>
      </c>
      <c r="Z1416" s="32">
        <v>0.38838499999999998</v>
      </c>
      <c r="AA1416" s="32">
        <v>25.3</v>
      </c>
      <c r="AB1416" s="32">
        <v>562</v>
      </c>
      <c r="AC1416" s="32">
        <v>21</v>
      </c>
      <c r="AD1416" s="32">
        <v>19</v>
      </c>
      <c r="AE1416" s="32">
        <v>0</v>
      </c>
      <c r="AF1416" s="32">
        <v>0</v>
      </c>
      <c r="AG1416" s="32" t="s">
        <v>200</v>
      </c>
    </row>
    <row r="1417" spans="1:33">
      <c r="A1417" s="32" t="s">
        <v>5014</v>
      </c>
      <c r="B1417" s="32" t="s">
        <v>135</v>
      </c>
      <c r="C1417" s="32" t="s">
        <v>5015</v>
      </c>
      <c r="D1417" s="32" t="s">
        <v>5016</v>
      </c>
      <c r="E1417" s="32" t="s">
        <v>5017</v>
      </c>
      <c r="F1417" s="32" t="s">
        <v>5018</v>
      </c>
      <c r="G1417" s="32" t="s">
        <v>4606</v>
      </c>
      <c r="H1417" s="32" t="s">
        <v>4607</v>
      </c>
      <c r="I1417" s="32" t="s">
        <v>198</v>
      </c>
      <c r="J1417" s="32" t="s">
        <v>199</v>
      </c>
      <c r="K1417" s="32">
        <v>2.3662290000000001</v>
      </c>
      <c r="L1417" s="33">
        <v>1557</v>
      </c>
      <c r="M1417" s="32">
        <v>279</v>
      </c>
      <c r="N1417" s="32">
        <v>292</v>
      </c>
      <c r="O1417" s="32">
        <v>342</v>
      </c>
      <c r="P1417" s="32">
        <v>430</v>
      </c>
      <c r="Q1417" s="32">
        <v>214</v>
      </c>
      <c r="R1417" s="32" t="s">
        <v>225</v>
      </c>
      <c r="S1417" s="32">
        <v>9.6457899999999999</v>
      </c>
      <c r="T1417" s="32">
        <v>0</v>
      </c>
      <c r="U1417" s="32">
        <v>0.69794097799999999</v>
      </c>
      <c r="V1417" s="32">
        <v>7</v>
      </c>
      <c r="W1417" s="32">
        <v>0.91243700000000005</v>
      </c>
      <c r="X1417" s="32">
        <v>0.214534</v>
      </c>
      <c r="Y1417" s="32">
        <v>0.8</v>
      </c>
      <c r="Z1417" s="32">
        <v>0.43932900000000003</v>
      </c>
      <c r="AA1417" s="32">
        <v>20.9</v>
      </c>
      <c r="AB1417" s="32">
        <v>595</v>
      </c>
      <c r="AC1417" s="32">
        <v>34</v>
      </c>
      <c r="AD1417" s="32">
        <v>25</v>
      </c>
      <c r="AE1417" s="32">
        <v>0</v>
      </c>
      <c r="AF1417" s="32">
        <v>0</v>
      </c>
      <c r="AG1417" s="32">
        <v>5</v>
      </c>
    </row>
    <row r="1418" spans="1:33">
      <c r="A1418" s="32" t="s">
        <v>5041</v>
      </c>
      <c r="B1418" s="32" t="s">
        <v>135</v>
      </c>
      <c r="C1418" s="32" t="s">
        <v>5042</v>
      </c>
      <c r="D1418" s="32" t="s">
        <v>5043</v>
      </c>
      <c r="E1418" s="32" t="s">
        <v>5025</v>
      </c>
      <c r="F1418" s="32" t="s">
        <v>5026</v>
      </c>
      <c r="G1418" s="32" t="s">
        <v>4606</v>
      </c>
      <c r="H1418" s="32" t="s">
        <v>4607</v>
      </c>
      <c r="I1418" s="32" t="s">
        <v>198</v>
      </c>
      <c r="J1418" s="32" t="s">
        <v>199</v>
      </c>
      <c r="K1418" s="32">
        <v>2.7947519999999999</v>
      </c>
      <c r="L1418" s="33">
        <v>1460</v>
      </c>
      <c r="M1418" s="32">
        <v>267</v>
      </c>
      <c r="N1418" s="32">
        <v>236</v>
      </c>
      <c r="O1418" s="32">
        <v>423</v>
      </c>
      <c r="P1418" s="32">
        <v>340</v>
      </c>
      <c r="Q1418" s="32">
        <v>194</v>
      </c>
      <c r="R1418" s="32">
        <v>3</v>
      </c>
      <c r="S1418" s="32">
        <v>17.836300000000001</v>
      </c>
      <c r="T1418" s="32">
        <v>8.8363300000000002</v>
      </c>
      <c r="U1418" s="32">
        <v>0.70358996500000004</v>
      </c>
      <c r="V1418" s="32">
        <v>4</v>
      </c>
      <c r="W1418" s="32">
        <v>0.92274100000000003</v>
      </c>
      <c r="X1418" s="32">
        <v>0.362178</v>
      </c>
      <c r="Y1418" s="32">
        <v>0.8</v>
      </c>
      <c r="Z1418" s="32">
        <v>0.73852899999999999</v>
      </c>
      <c r="AA1418" s="32">
        <v>21.7</v>
      </c>
      <c r="AB1418" s="32">
        <v>385</v>
      </c>
      <c r="AC1418" s="32">
        <v>15</v>
      </c>
      <c r="AD1418" s="32">
        <v>24</v>
      </c>
      <c r="AE1418" s="32">
        <v>0</v>
      </c>
      <c r="AF1418" s="32">
        <v>0</v>
      </c>
      <c r="AG1418" s="32" t="s">
        <v>200</v>
      </c>
    </row>
    <row r="1419" spans="1:33">
      <c r="A1419" s="32" t="s">
        <v>5044</v>
      </c>
      <c r="B1419" s="32" t="s">
        <v>135</v>
      </c>
      <c r="C1419" s="32" t="s">
        <v>5045</v>
      </c>
      <c r="D1419" s="32" t="s">
        <v>5046</v>
      </c>
      <c r="E1419" s="32" t="s">
        <v>5025</v>
      </c>
      <c r="F1419" s="32" t="s">
        <v>5026</v>
      </c>
      <c r="G1419" s="32" t="s">
        <v>4606</v>
      </c>
      <c r="H1419" s="32" t="s">
        <v>4607</v>
      </c>
      <c r="I1419" s="32" t="s">
        <v>198</v>
      </c>
      <c r="J1419" s="32" t="s">
        <v>199</v>
      </c>
      <c r="K1419" s="32">
        <v>2.5848589999999998</v>
      </c>
      <c r="L1419" s="33">
        <v>1879</v>
      </c>
      <c r="M1419" s="32">
        <v>309</v>
      </c>
      <c r="N1419" s="32">
        <v>331</v>
      </c>
      <c r="O1419" s="32">
        <v>558</v>
      </c>
      <c r="P1419" s="32">
        <v>474</v>
      </c>
      <c r="Q1419" s="32">
        <v>207</v>
      </c>
      <c r="R1419" s="32">
        <v>2</v>
      </c>
      <c r="S1419" s="32">
        <v>15.711499999999999</v>
      </c>
      <c r="T1419" s="32">
        <v>2.6915399999999998</v>
      </c>
      <c r="U1419" s="32">
        <v>0.55327973100000005</v>
      </c>
      <c r="V1419" s="32">
        <v>7</v>
      </c>
      <c r="W1419" s="32">
        <v>0.91214799999999996</v>
      </c>
      <c r="X1419" s="32">
        <v>0.23066</v>
      </c>
      <c r="Y1419" s="32">
        <v>0.8</v>
      </c>
      <c r="Z1419" s="32">
        <v>0.64531000000000005</v>
      </c>
      <c r="AA1419" s="32">
        <v>18.399999999999999</v>
      </c>
      <c r="AB1419" s="32">
        <v>586</v>
      </c>
      <c r="AC1419" s="32">
        <v>20</v>
      </c>
      <c r="AD1419" s="32">
        <v>24</v>
      </c>
      <c r="AE1419" s="32">
        <v>0</v>
      </c>
      <c r="AF1419" s="32" t="s">
        <v>200</v>
      </c>
      <c r="AG1419" s="32" t="s">
        <v>200</v>
      </c>
    </row>
    <row r="1420" spans="1:33">
      <c r="A1420" s="32" t="s">
        <v>5047</v>
      </c>
      <c r="B1420" s="32" t="s">
        <v>135</v>
      </c>
      <c r="C1420" s="32" t="s">
        <v>5048</v>
      </c>
      <c r="D1420" s="32" t="s">
        <v>5049</v>
      </c>
      <c r="E1420" s="32" t="s">
        <v>5025</v>
      </c>
      <c r="F1420" s="32" t="s">
        <v>5026</v>
      </c>
      <c r="G1420" s="32" t="s">
        <v>4606</v>
      </c>
      <c r="H1420" s="32" t="s">
        <v>4607</v>
      </c>
      <c r="I1420" s="32" t="s">
        <v>198</v>
      </c>
      <c r="J1420" s="32" t="s">
        <v>199</v>
      </c>
      <c r="K1420" s="32">
        <v>2.355426</v>
      </c>
      <c r="L1420" s="33">
        <v>1671</v>
      </c>
      <c r="M1420" s="32">
        <v>398</v>
      </c>
      <c r="N1420" s="32">
        <v>278</v>
      </c>
      <c r="O1420" s="32">
        <v>367</v>
      </c>
      <c r="P1420" s="32">
        <v>427</v>
      </c>
      <c r="Q1420" s="32">
        <v>201</v>
      </c>
      <c r="R1420" s="32" t="s">
        <v>225</v>
      </c>
      <c r="S1420" s="32">
        <v>11.4192</v>
      </c>
      <c r="T1420" s="32">
        <v>0</v>
      </c>
      <c r="U1420" s="32">
        <v>0.66678568599999999</v>
      </c>
      <c r="V1420" s="32">
        <v>7</v>
      </c>
      <c r="W1420" s="32">
        <v>0.90697700000000003</v>
      </c>
      <c r="X1420" s="32">
        <v>0.183529</v>
      </c>
      <c r="Y1420" s="32">
        <v>0.8</v>
      </c>
      <c r="Z1420" s="32">
        <v>0.47499999999999998</v>
      </c>
      <c r="AA1420" s="32">
        <v>12.5</v>
      </c>
      <c r="AB1420" s="32">
        <v>602</v>
      </c>
      <c r="AC1420" s="32">
        <v>46</v>
      </c>
      <c r="AD1420" s="32">
        <v>21</v>
      </c>
      <c r="AE1420" s="32" t="s">
        <v>200</v>
      </c>
      <c r="AF1420" s="32">
        <v>0</v>
      </c>
      <c r="AG1420" s="32" t="s">
        <v>200</v>
      </c>
    </row>
    <row r="1421" spans="1:33">
      <c r="A1421" s="32" t="s">
        <v>5050</v>
      </c>
      <c r="B1421" s="32" t="s">
        <v>135</v>
      </c>
      <c r="C1421" s="32" t="s">
        <v>5051</v>
      </c>
      <c r="D1421" s="32" t="s">
        <v>5052</v>
      </c>
      <c r="E1421" s="32" t="s">
        <v>5053</v>
      </c>
      <c r="F1421" s="32" t="s">
        <v>5054</v>
      </c>
      <c r="G1421" s="32" t="s">
        <v>4606</v>
      </c>
      <c r="H1421" s="32" t="s">
        <v>4607</v>
      </c>
      <c r="I1421" s="32" t="s">
        <v>198</v>
      </c>
      <c r="J1421" s="32" t="s">
        <v>199</v>
      </c>
      <c r="K1421" s="32">
        <v>2.5726260000000001</v>
      </c>
      <c r="L1421" s="33">
        <v>1689</v>
      </c>
      <c r="M1421" s="32">
        <v>278</v>
      </c>
      <c r="N1421" s="32">
        <v>265</v>
      </c>
      <c r="O1421" s="32">
        <v>505</v>
      </c>
      <c r="P1421" s="32">
        <v>440</v>
      </c>
      <c r="Q1421" s="32">
        <v>201</v>
      </c>
      <c r="R1421" s="32">
        <v>3</v>
      </c>
      <c r="S1421" s="32">
        <v>18.751000000000001</v>
      </c>
      <c r="T1421" s="32">
        <v>10.344799999999999</v>
      </c>
      <c r="U1421" s="32">
        <v>0.58891285999999998</v>
      </c>
      <c r="V1421" s="32">
        <v>7</v>
      </c>
      <c r="W1421" s="32">
        <v>0.91396599999999995</v>
      </c>
      <c r="X1421" s="32">
        <v>0.28534300000000001</v>
      </c>
      <c r="Y1421" s="32">
        <v>0.8</v>
      </c>
      <c r="Z1421" s="32">
        <v>0.56654300000000002</v>
      </c>
      <c r="AA1421" s="32">
        <v>18.399999999999999</v>
      </c>
      <c r="AB1421" s="32">
        <v>504</v>
      </c>
      <c r="AC1421" s="32">
        <v>21</v>
      </c>
      <c r="AD1421" s="32">
        <v>14</v>
      </c>
      <c r="AE1421" s="32" t="s">
        <v>200</v>
      </c>
      <c r="AF1421" s="32">
        <v>0</v>
      </c>
      <c r="AG1421" s="32" t="s">
        <v>200</v>
      </c>
    </row>
    <row r="1422" spans="1:33">
      <c r="A1422" s="32" t="s">
        <v>5055</v>
      </c>
      <c r="B1422" s="32" t="s">
        <v>135</v>
      </c>
      <c r="C1422" s="32" t="s">
        <v>5056</v>
      </c>
      <c r="D1422" s="32" t="s">
        <v>5057</v>
      </c>
      <c r="E1422" s="32" t="s">
        <v>5017</v>
      </c>
      <c r="F1422" s="32" t="s">
        <v>5018</v>
      </c>
      <c r="G1422" s="32" t="s">
        <v>4606</v>
      </c>
      <c r="H1422" s="32" t="s">
        <v>4607</v>
      </c>
      <c r="I1422" s="32" t="s">
        <v>198</v>
      </c>
      <c r="J1422" s="32" t="s">
        <v>199</v>
      </c>
      <c r="K1422" s="32">
        <v>2.3965000000000001</v>
      </c>
      <c r="L1422" s="33">
        <v>1622</v>
      </c>
      <c r="M1422" s="32">
        <v>311</v>
      </c>
      <c r="N1422" s="32">
        <v>226</v>
      </c>
      <c r="O1422" s="32">
        <v>343</v>
      </c>
      <c r="P1422" s="32">
        <v>457</v>
      </c>
      <c r="Q1422" s="32">
        <v>285</v>
      </c>
      <c r="R1422" s="32">
        <v>3</v>
      </c>
      <c r="S1422" s="32">
        <v>17.506599999999999</v>
      </c>
      <c r="T1422" s="32">
        <v>1.9488399999999999</v>
      </c>
      <c r="U1422" s="32">
        <v>0.81322929799999999</v>
      </c>
      <c r="V1422" s="32">
        <v>5</v>
      </c>
      <c r="W1422" s="32">
        <v>0.91149999999999998</v>
      </c>
      <c r="X1422" s="32">
        <v>0.17871300000000001</v>
      </c>
      <c r="Y1422" s="32">
        <v>0.8</v>
      </c>
      <c r="Z1422" s="32">
        <v>0.5</v>
      </c>
      <c r="AA1422" s="32">
        <v>24.3</v>
      </c>
      <c r="AB1422" s="32">
        <v>525</v>
      </c>
      <c r="AC1422" s="32">
        <v>17</v>
      </c>
      <c r="AD1422" s="32">
        <v>19</v>
      </c>
      <c r="AE1422" s="32">
        <v>0</v>
      </c>
      <c r="AF1422" s="32">
        <v>0</v>
      </c>
      <c r="AG1422" s="32" t="s">
        <v>200</v>
      </c>
    </row>
    <row r="1423" spans="1:33">
      <c r="A1423" s="32" t="s">
        <v>5058</v>
      </c>
      <c r="B1423" s="32" t="s">
        <v>135</v>
      </c>
      <c r="C1423" s="32" t="s">
        <v>5059</v>
      </c>
      <c r="D1423" s="32" t="s">
        <v>5060</v>
      </c>
      <c r="E1423" s="32" t="s">
        <v>5017</v>
      </c>
      <c r="F1423" s="32" t="s">
        <v>5018</v>
      </c>
      <c r="G1423" s="32" t="s">
        <v>4606</v>
      </c>
      <c r="H1423" s="32" t="s">
        <v>4607</v>
      </c>
      <c r="I1423" s="32" t="s">
        <v>198</v>
      </c>
      <c r="J1423" s="32" t="s">
        <v>199</v>
      </c>
      <c r="K1423" s="32">
        <v>2.4209619999999998</v>
      </c>
      <c r="L1423" s="33">
        <v>1460</v>
      </c>
      <c r="M1423" s="32">
        <v>264</v>
      </c>
      <c r="N1423" s="32">
        <v>275</v>
      </c>
      <c r="O1423" s="32">
        <v>282</v>
      </c>
      <c r="P1423" s="32">
        <v>428</v>
      </c>
      <c r="Q1423" s="32">
        <v>211</v>
      </c>
      <c r="R1423" s="32">
        <v>3</v>
      </c>
      <c r="S1423" s="32">
        <v>17.103899999999999</v>
      </c>
      <c r="T1423" s="32">
        <v>3.8546</v>
      </c>
      <c r="U1423" s="32">
        <v>0.63754841699999998</v>
      </c>
      <c r="V1423" s="32">
        <v>8</v>
      </c>
      <c r="W1423" s="32">
        <v>0.91076900000000005</v>
      </c>
      <c r="X1423" s="32">
        <v>0.23885700000000001</v>
      </c>
      <c r="Y1423" s="32">
        <v>0.8</v>
      </c>
      <c r="Z1423" s="32">
        <v>0.46672999999999998</v>
      </c>
      <c r="AA1423" s="32">
        <v>15.6</v>
      </c>
      <c r="AB1423" s="32">
        <v>517</v>
      </c>
      <c r="AC1423" s="32">
        <v>26</v>
      </c>
      <c r="AD1423" s="32">
        <v>15</v>
      </c>
      <c r="AE1423" s="32">
        <v>0</v>
      </c>
      <c r="AF1423" s="32">
        <v>0</v>
      </c>
      <c r="AG1423" s="32">
        <v>5</v>
      </c>
    </row>
    <row r="1424" spans="1:33">
      <c r="A1424" s="32" t="s">
        <v>5061</v>
      </c>
      <c r="B1424" s="32" t="s">
        <v>135</v>
      </c>
      <c r="C1424" s="32" t="s">
        <v>5062</v>
      </c>
      <c r="D1424" s="32" t="s">
        <v>5063</v>
      </c>
      <c r="E1424" s="32" t="s">
        <v>5053</v>
      </c>
      <c r="F1424" s="32" t="s">
        <v>5054</v>
      </c>
      <c r="G1424" s="32" t="s">
        <v>4606</v>
      </c>
      <c r="H1424" s="32" t="s">
        <v>4607</v>
      </c>
      <c r="I1424" s="32" t="s">
        <v>198</v>
      </c>
      <c r="J1424" s="32" t="s">
        <v>199</v>
      </c>
      <c r="K1424" s="32">
        <v>2.8018459999999998</v>
      </c>
      <c r="L1424" s="33">
        <v>2068</v>
      </c>
      <c r="M1424" s="32">
        <v>353</v>
      </c>
      <c r="N1424" s="32">
        <v>400</v>
      </c>
      <c r="O1424" s="32">
        <v>634</v>
      </c>
      <c r="P1424" s="32">
        <v>467</v>
      </c>
      <c r="Q1424" s="32">
        <v>214</v>
      </c>
      <c r="R1424" s="32">
        <v>4</v>
      </c>
      <c r="S1424" s="32">
        <v>22.3279</v>
      </c>
      <c r="T1424" s="32">
        <v>1.7289399999999999</v>
      </c>
      <c r="U1424" s="32">
        <v>0.56735669399999999</v>
      </c>
      <c r="V1424" s="32">
        <v>6</v>
      </c>
      <c r="W1424" s="32">
        <v>0.91702600000000001</v>
      </c>
      <c r="X1424" s="32">
        <v>0.39093699999999998</v>
      </c>
      <c r="Y1424" s="32">
        <v>0.8</v>
      </c>
      <c r="Z1424" s="32">
        <v>0.69446200000000002</v>
      </c>
      <c r="AA1424" s="32">
        <v>28.8</v>
      </c>
      <c r="AB1424" s="32">
        <v>489</v>
      </c>
      <c r="AC1424" s="32">
        <v>62</v>
      </c>
      <c r="AD1424" s="32">
        <v>58</v>
      </c>
      <c r="AE1424" s="32">
        <v>0</v>
      </c>
      <c r="AF1424" s="32">
        <v>0</v>
      </c>
      <c r="AG1424" s="32" t="s">
        <v>200</v>
      </c>
    </row>
    <row r="1425" spans="1:33">
      <c r="A1425" s="32" t="s">
        <v>5064</v>
      </c>
      <c r="B1425" s="32" t="s">
        <v>135</v>
      </c>
      <c r="C1425" s="32" t="s">
        <v>5065</v>
      </c>
      <c r="D1425" s="32" t="s">
        <v>5066</v>
      </c>
      <c r="E1425" s="32" t="s">
        <v>5053</v>
      </c>
      <c r="F1425" s="32" t="s">
        <v>5054</v>
      </c>
      <c r="G1425" s="32" t="s">
        <v>4606</v>
      </c>
      <c r="H1425" s="32" t="s">
        <v>4607</v>
      </c>
      <c r="I1425" s="32" t="s">
        <v>198</v>
      </c>
      <c r="J1425" s="32" t="s">
        <v>199</v>
      </c>
      <c r="K1425" s="32">
        <v>2.4396949999999999</v>
      </c>
      <c r="L1425" s="33">
        <v>1735</v>
      </c>
      <c r="M1425" s="32">
        <v>261</v>
      </c>
      <c r="N1425" s="32">
        <v>335</v>
      </c>
      <c r="O1425" s="32">
        <v>526</v>
      </c>
      <c r="P1425" s="32">
        <v>371</v>
      </c>
      <c r="Q1425" s="32">
        <v>242</v>
      </c>
      <c r="R1425" s="32">
        <v>4</v>
      </c>
      <c r="S1425" s="32">
        <v>23.1892</v>
      </c>
      <c r="T1425" s="32">
        <v>14.475300000000001</v>
      </c>
      <c r="U1425" s="32">
        <v>0.66960841100000001</v>
      </c>
      <c r="V1425" s="32">
        <v>7</v>
      </c>
      <c r="W1425" s="32">
        <v>0.905802</v>
      </c>
      <c r="X1425" s="32">
        <v>0.21154999999999999</v>
      </c>
      <c r="Y1425" s="32">
        <v>0.8</v>
      </c>
      <c r="Z1425" s="32">
        <v>0.51561999999999997</v>
      </c>
      <c r="AA1425" s="32">
        <v>20.6</v>
      </c>
      <c r="AB1425" s="32">
        <v>490</v>
      </c>
      <c r="AC1425" s="32">
        <v>28</v>
      </c>
      <c r="AD1425" s="32">
        <v>34</v>
      </c>
      <c r="AE1425" s="32" t="s">
        <v>200</v>
      </c>
      <c r="AF1425" s="32">
        <v>0</v>
      </c>
      <c r="AG1425" s="32" t="s">
        <v>200</v>
      </c>
    </row>
    <row r="1426" spans="1:33">
      <c r="A1426" s="32" t="s">
        <v>5067</v>
      </c>
      <c r="B1426" s="32" t="s">
        <v>136</v>
      </c>
      <c r="C1426" s="32" t="s">
        <v>5068</v>
      </c>
      <c r="D1426" s="32" t="s">
        <v>5069</v>
      </c>
      <c r="E1426" s="32" t="s">
        <v>5070</v>
      </c>
      <c r="F1426" s="32" t="s">
        <v>5071</v>
      </c>
      <c r="G1426" s="32" t="s">
        <v>5072</v>
      </c>
      <c r="H1426" s="32" t="s">
        <v>5073</v>
      </c>
      <c r="I1426" s="32" t="s">
        <v>198</v>
      </c>
      <c r="J1426" s="32" t="s">
        <v>199</v>
      </c>
      <c r="K1426" s="32">
        <v>3.1020080000000001</v>
      </c>
      <c r="L1426" s="33">
        <v>1307</v>
      </c>
      <c r="M1426" s="32">
        <v>159</v>
      </c>
      <c r="N1426" s="32">
        <v>317</v>
      </c>
      <c r="O1426" s="32">
        <v>297</v>
      </c>
      <c r="P1426" s="32">
        <v>242</v>
      </c>
      <c r="Q1426" s="32">
        <v>292</v>
      </c>
      <c r="R1426" s="32" t="s">
        <v>302</v>
      </c>
      <c r="S1426" s="32">
        <v>53.815899999999999</v>
      </c>
      <c r="T1426" s="32">
        <v>26.113199999999999</v>
      </c>
      <c r="U1426" s="32">
        <v>0.35451813799999998</v>
      </c>
      <c r="V1426" s="32">
        <v>7</v>
      </c>
      <c r="W1426" s="32">
        <v>0.92048200000000002</v>
      </c>
      <c r="X1426" s="32">
        <v>0.45590599999999998</v>
      </c>
      <c r="Y1426" s="32">
        <v>0.8</v>
      </c>
      <c r="Z1426" s="32">
        <v>0.91235100000000002</v>
      </c>
      <c r="AA1426" s="32">
        <v>43.8</v>
      </c>
      <c r="AB1426" s="32">
        <v>167</v>
      </c>
      <c r="AC1426" s="32">
        <v>7</v>
      </c>
      <c r="AD1426" s="32">
        <v>9</v>
      </c>
      <c r="AE1426" s="32">
        <v>0</v>
      </c>
      <c r="AF1426" s="32">
        <v>0</v>
      </c>
      <c r="AG1426" s="32">
        <v>0</v>
      </c>
    </row>
    <row r="1427" spans="1:33">
      <c r="A1427" s="32" t="s">
        <v>5074</v>
      </c>
      <c r="B1427" s="32" t="s">
        <v>136</v>
      </c>
      <c r="C1427" s="32" t="s">
        <v>5075</v>
      </c>
      <c r="D1427" s="32" t="s">
        <v>5076</v>
      </c>
      <c r="E1427" s="32" t="s">
        <v>5070</v>
      </c>
      <c r="F1427" s="32" t="s">
        <v>5071</v>
      </c>
      <c r="G1427" s="32" t="s">
        <v>5072</v>
      </c>
      <c r="H1427" s="32" t="s">
        <v>5073</v>
      </c>
      <c r="I1427" s="32" t="s">
        <v>198</v>
      </c>
      <c r="J1427" s="32" t="s">
        <v>199</v>
      </c>
      <c r="K1427" s="32">
        <v>2.7697669999999999</v>
      </c>
      <c r="L1427" s="33">
        <v>1191</v>
      </c>
      <c r="M1427" s="32">
        <v>173</v>
      </c>
      <c r="N1427" s="32">
        <v>255</v>
      </c>
      <c r="O1427" s="32">
        <v>269</v>
      </c>
      <c r="P1427" s="32">
        <v>328</v>
      </c>
      <c r="Q1427" s="32">
        <v>166</v>
      </c>
      <c r="R1427" s="32" t="s">
        <v>302</v>
      </c>
      <c r="S1427" s="32">
        <v>31.103100000000001</v>
      </c>
      <c r="T1427" s="32">
        <v>21.651</v>
      </c>
      <c r="U1427" s="32">
        <v>0.93816100999999996</v>
      </c>
      <c r="V1427" s="32">
        <v>2</v>
      </c>
      <c r="W1427" s="32">
        <v>0.91395300000000002</v>
      </c>
      <c r="X1427" s="32">
        <v>4.0952000000000002E-2</v>
      </c>
      <c r="Y1427" s="32">
        <v>0.8</v>
      </c>
      <c r="Z1427" s="32">
        <v>1</v>
      </c>
      <c r="AA1427" s="32">
        <v>45.4</v>
      </c>
      <c r="AB1427" s="32">
        <v>182</v>
      </c>
      <c r="AC1427" s="32">
        <v>24</v>
      </c>
      <c r="AD1427" s="32">
        <v>7</v>
      </c>
      <c r="AE1427" s="32">
        <v>0</v>
      </c>
      <c r="AF1427" s="32">
        <v>0</v>
      </c>
      <c r="AG1427" s="32">
        <v>0</v>
      </c>
    </row>
    <row r="1428" spans="1:33">
      <c r="A1428" s="32" t="s">
        <v>5077</v>
      </c>
      <c r="B1428" s="32" t="s">
        <v>136</v>
      </c>
      <c r="C1428" s="32" t="s">
        <v>5078</v>
      </c>
      <c r="D1428" s="32" t="s">
        <v>5079</v>
      </c>
      <c r="E1428" s="32" t="s">
        <v>5070</v>
      </c>
      <c r="F1428" s="32" t="s">
        <v>5071</v>
      </c>
      <c r="G1428" s="32" t="s">
        <v>5072</v>
      </c>
      <c r="H1428" s="32" t="s">
        <v>5073</v>
      </c>
      <c r="I1428" s="32" t="s">
        <v>198</v>
      </c>
      <c r="J1428" s="32" t="s">
        <v>199</v>
      </c>
      <c r="K1428" s="32">
        <v>3.0429819999999999</v>
      </c>
      <c r="L1428" s="33">
        <v>1768</v>
      </c>
      <c r="M1428" s="32">
        <v>146</v>
      </c>
      <c r="N1428" s="32">
        <v>528</v>
      </c>
      <c r="O1428" s="32">
        <v>614</v>
      </c>
      <c r="P1428" s="32">
        <v>344</v>
      </c>
      <c r="Q1428" s="32">
        <v>136</v>
      </c>
      <c r="R1428" s="32">
        <v>5</v>
      </c>
      <c r="S1428" s="32">
        <v>29.6877</v>
      </c>
      <c r="T1428" s="32">
        <v>16.918700000000001</v>
      </c>
      <c r="U1428" s="32">
        <v>0.42247868100000002</v>
      </c>
      <c r="V1428" s="32">
        <v>6</v>
      </c>
      <c r="W1428" s="32">
        <v>0.93654999999999999</v>
      </c>
      <c r="X1428" s="32">
        <v>0.28224900000000003</v>
      </c>
      <c r="Y1428" s="32">
        <v>0.8</v>
      </c>
      <c r="Z1428" s="32">
        <v>1</v>
      </c>
      <c r="AA1428" s="32">
        <v>38.1</v>
      </c>
      <c r="AB1428" s="32">
        <v>274</v>
      </c>
      <c r="AC1428" s="32">
        <v>31</v>
      </c>
      <c r="AD1428" s="32">
        <v>13</v>
      </c>
      <c r="AE1428" s="32">
        <v>0</v>
      </c>
      <c r="AF1428" s="32" t="s">
        <v>200</v>
      </c>
      <c r="AG1428" s="32" t="s">
        <v>200</v>
      </c>
    </row>
    <row r="1429" spans="1:33">
      <c r="A1429" s="32" t="s">
        <v>5080</v>
      </c>
      <c r="B1429" s="32" t="s">
        <v>136</v>
      </c>
      <c r="C1429" s="32" t="s">
        <v>5081</v>
      </c>
      <c r="D1429" s="32" t="s">
        <v>5082</v>
      </c>
      <c r="E1429" s="32" t="s">
        <v>5070</v>
      </c>
      <c r="F1429" s="32" t="s">
        <v>5071</v>
      </c>
      <c r="G1429" s="32" t="s">
        <v>5072</v>
      </c>
      <c r="H1429" s="32" t="s">
        <v>5073</v>
      </c>
      <c r="I1429" s="32" t="s">
        <v>198</v>
      </c>
      <c r="J1429" s="32" t="s">
        <v>199</v>
      </c>
      <c r="K1429" s="32">
        <v>2.8191069999999998</v>
      </c>
      <c r="L1429" s="33">
        <v>1631</v>
      </c>
      <c r="M1429" s="32">
        <v>179</v>
      </c>
      <c r="N1429" s="32">
        <v>391</v>
      </c>
      <c r="O1429" s="32">
        <v>409</v>
      </c>
      <c r="P1429" s="32">
        <v>412</v>
      </c>
      <c r="Q1429" s="32">
        <v>240</v>
      </c>
      <c r="R1429" s="32" t="s">
        <v>302</v>
      </c>
      <c r="S1429" s="32">
        <v>46.262</v>
      </c>
      <c r="T1429" s="32">
        <v>16.6264</v>
      </c>
      <c r="U1429" s="32">
        <v>0.48034127399999998</v>
      </c>
      <c r="V1429" s="32">
        <v>7</v>
      </c>
      <c r="W1429" s="32">
        <v>0.91315100000000005</v>
      </c>
      <c r="X1429" s="32">
        <v>0.215725</v>
      </c>
      <c r="Y1429" s="32">
        <v>0.8</v>
      </c>
      <c r="Z1429" s="32">
        <v>0.89142200000000005</v>
      </c>
      <c r="AA1429" s="32">
        <v>39.5</v>
      </c>
      <c r="AB1429" s="32">
        <v>300</v>
      </c>
      <c r="AC1429" s="32">
        <v>23</v>
      </c>
      <c r="AD1429" s="32">
        <v>13</v>
      </c>
      <c r="AE1429" s="32" t="s">
        <v>200</v>
      </c>
      <c r="AF1429" s="32" t="s">
        <v>200</v>
      </c>
      <c r="AG1429" s="32" t="s">
        <v>200</v>
      </c>
    </row>
    <row r="1430" spans="1:33">
      <c r="A1430" s="32" t="s">
        <v>5083</v>
      </c>
      <c r="B1430" s="32" t="s">
        <v>136</v>
      </c>
      <c r="C1430" s="32" t="s">
        <v>5084</v>
      </c>
      <c r="D1430" s="32" t="s">
        <v>5085</v>
      </c>
      <c r="E1430" s="32" t="s">
        <v>5070</v>
      </c>
      <c r="F1430" s="32" t="s">
        <v>5071</v>
      </c>
      <c r="G1430" s="32" t="s">
        <v>5072</v>
      </c>
      <c r="H1430" s="32" t="s">
        <v>5073</v>
      </c>
      <c r="I1430" s="32" t="s">
        <v>198</v>
      </c>
      <c r="J1430" s="32" t="s">
        <v>199</v>
      </c>
      <c r="K1430" s="32">
        <v>2.8923420000000002</v>
      </c>
      <c r="L1430" s="33">
        <v>1471</v>
      </c>
      <c r="M1430" s="32">
        <v>182</v>
      </c>
      <c r="N1430" s="32">
        <v>402</v>
      </c>
      <c r="O1430" s="32">
        <v>411</v>
      </c>
      <c r="P1430" s="32">
        <v>319</v>
      </c>
      <c r="Q1430" s="32">
        <v>157</v>
      </c>
      <c r="R1430" s="32" t="s">
        <v>302</v>
      </c>
      <c r="S1430" s="32">
        <v>31.480799999999999</v>
      </c>
      <c r="T1430" s="32">
        <v>22.975999999999999</v>
      </c>
      <c r="U1430" s="32">
        <v>0.486486688</v>
      </c>
      <c r="V1430" s="32">
        <v>6</v>
      </c>
      <c r="W1430" s="32">
        <v>0.92387399999999997</v>
      </c>
      <c r="X1430" s="32">
        <v>0.20177</v>
      </c>
      <c r="Y1430" s="32">
        <v>0.8</v>
      </c>
      <c r="Z1430" s="32">
        <v>0.94887900000000003</v>
      </c>
      <c r="AA1430" s="32">
        <v>33.200000000000003</v>
      </c>
      <c r="AB1430" s="32">
        <v>288</v>
      </c>
      <c r="AC1430" s="32">
        <v>27</v>
      </c>
      <c r="AD1430" s="32">
        <v>9</v>
      </c>
      <c r="AE1430" s="32">
        <v>0</v>
      </c>
      <c r="AF1430" s="32" t="s">
        <v>200</v>
      </c>
      <c r="AG1430" s="32" t="s">
        <v>200</v>
      </c>
    </row>
    <row r="1431" spans="1:33">
      <c r="A1431" s="32" t="s">
        <v>5086</v>
      </c>
      <c r="B1431" s="32" t="s">
        <v>136</v>
      </c>
      <c r="C1431" s="32" t="s">
        <v>5087</v>
      </c>
      <c r="D1431" s="32" t="s">
        <v>5088</v>
      </c>
      <c r="E1431" s="32" t="s">
        <v>5089</v>
      </c>
      <c r="F1431" s="32" t="s">
        <v>5090</v>
      </c>
      <c r="G1431" s="32" t="s">
        <v>5072</v>
      </c>
      <c r="H1431" s="32" t="s">
        <v>5073</v>
      </c>
      <c r="I1431" s="32" t="s">
        <v>198</v>
      </c>
      <c r="J1431" s="32" t="s">
        <v>199</v>
      </c>
      <c r="K1431" s="32">
        <v>2.5628120000000001</v>
      </c>
      <c r="L1431" s="33">
        <v>1358</v>
      </c>
      <c r="M1431" s="32">
        <v>185</v>
      </c>
      <c r="N1431" s="32">
        <v>378</v>
      </c>
      <c r="O1431" s="32">
        <v>357</v>
      </c>
      <c r="P1431" s="32">
        <v>304</v>
      </c>
      <c r="Q1431" s="32">
        <v>134</v>
      </c>
      <c r="R1431" s="32">
        <v>4</v>
      </c>
      <c r="S1431" s="32">
        <v>26.2578</v>
      </c>
      <c r="T1431" s="32">
        <v>0</v>
      </c>
      <c r="U1431" s="32">
        <v>0.69361554800000003</v>
      </c>
      <c r="V1431" s="32">
        <v>5</v>
      </c>
      <c r="W1431" s="32">
        <v>0.91655299999999995</v>
      </c>
      <c r="X1431" s="32">
        <v>8.8940000000000005E-2</v>
      </c>
      <c r="Y1431" s="32">
        <v>0.8</v>
      </c>
      <c r="Z1431" s="32">
        <v>0.763073</v>
      </c>
      <c r="AA1431" s="32">
        <v>23.4</v>
      </c>
      <c r="AB1431" s="32">
        <v>298</v>
      </c>
      <c r="AC1431" s="32">
        <v>16</v>
      </c>
      <c r="AD1431" s="32" t="s">
        <v>200</v>
      </c>
      <c r="AE1431" s="32">
        <v>0</v>
      </c>
      <c r="AF1431" s="32">
        <v>0</v>
      </c>
      <c r="AG1431" s="32" t="s">
        <v>200</v>
      </c>
    </row>
    <row r="1432" spans="1:33">
      <c r="A1432" s="32" t="s">
        <v>5091</v>
      </c>
      <c r="B1432" s="32" t="s">
        <v>136</v>
      </c>
      <c r="C1432" s="32" t="s">
        <v>5092</v>
      </c>
      <c r="D1432" s="32" t="s">
        <v>5093</v>
      </c>
      <c r="E1432" s="32" t="s">
        <v>5094</v>
      </c>
      <c r="F1432" s="32" t="s">
        <v>5095</v>
      </c>
      <c r="G1432" s="32" t="s">
        <v>5072</v>
      </c>
      <c r="H1432" s="32" t="s">
        <v>5073</v>
      </c>
      <c r="I1432" s="32" t="s">
        <v>198</v>
      </c>
      <c r="J1432" s="32" t="s">
        <v>199</v>
      </c>
      <c r="K1432" s="32">
        <v>2.8526099999999999</v>
      </c>
      <c r="L1432" s="33">
        <v>1247</v>
      </c>
      <c r="M1432" s="32">
        <v>236</v>
      </c>
      <c r="N1432" s="32">
        <v>273</v>
      </c>
      <c r="O1432" s="32">
        <v>301</v>
      </c>
      <c r="P1432" s="32">
        <v>297</v>
      </c>
      <c r="Q1432" s="32">
        <v>140</v>
      </c>
      <c r="R1432" s="32" t="s">
        <v>302</v>
      </c>
      <c r="S1432" s="32">
        <v>45.971699999999998</v>
      </c>
      <c r="T1432" s="32">
        <v>26.387599999999999</v>
      </c>
      <c r="U1432" s="32">
        <v>0.80820213900000004</v>
      </c>
      <c r="V1432" s="32">
        <v>2</v>
      </c>
      <c r="W1432" s="32">
        <v>0.93493999999999999</v>
      </c>
      <c r="X1432" s="32">
        <v>0.28825899999999999</v>
      </c>
      <c r="Y1432" s="32">
        <v>0.8</v>
      </c>
      <c r="Z1432" s="32">
        <v>0.86788600000000005</v>
      </c>
      <c r="AA1432" s="32">
        <v>40.4</v>
      </c>
      <c r="AB1432" s="32">
        <v>2612</v>
      </c>
      <c r="AC1432" s="32">
        <v>78</v>
      </c>
      <c r="AD1432" s="32">
        <v>120</v>
      </c>
      <c r="AE1432" s="32">
        <v>0</v>
      </c>
      <c r="AF1432" s="32">
        <v>0</v>
      </c>
      <c r="AG1432" s="32" t="s">
        <v>200</v>
      </c>
    </row>
    <row r="1433" spans="1:33">
      <c r="A1433" s="32" t="s">
        <v>5096</v>
      </c>
      <c r="B1433" s="32" t="s">
        <v>136</v>
      </c>
      <c r="C1433" s="32" t="s">
        <v>5097</v>
      </c>
      <c r="D1433" s="32" t="s">
        <v>5098</v>
      </c>
      <c r="E1433" s="32" t="s">
        <v>5094</v>
      </c>
      <c r="F1433" s="32" t="s">
        <v>5095</v>
      </c>
      <c r="G1433" s="32" t="s">
        <v>5072</v>
      </c>
      <c r="H1433" s="32" t="s">
        <v>5073</v>
      </c>
      <c r="I1433" s="32" t="s">
        <v>198</v>
      </c>
      <c r="J1433" s="32" t="s">
        <v>199</v>
      </c>
      <c r="K1433" s="32">
        <v>3.0355560000000001</v>
      </c>
      <c r="L1433" s="33">
        <v>1313</v>
      </c>
      <c r="M1433" s="32">
        <v>155</v>
      </c>
      <c r="N1433" s="32">
        <v>304</v>
      </c>
      <c r="O1433" s="32">
        <v>358</v>
      </c>
      <c r="P1433" s="32">
        <v>344</v>
      </c>
      <c r="Q1433" s="32">
        <v>152</v>
      </c>
      <c r="R1433" s="32" t="s">
        <v>302</v>
      </c>
      <c r="S1433" s="32">
        <v>43.158299999999997</v>
      </c>
      <c r="T1433" s="32">
        <v>23.5855</v>
      </c>
      <c r="U1433" s="32">
        <v>0.73784174899999999</v>
      </c>
      <c r="V1433" s="32">
        <v>3</v>
      </c>
      <c r="W1433" s="32">
        <v>0.93644400000000005</v>
      </c>
      <c r="X1433" s="32">
        <v>0.49797799999999998</v>
      </c>
      <c r="Y1433" s="32">
        <v>0.8</v>
      </c>
      <c r="Z1433" s="32">
        <v>0.80448399999999998</v>
      </c>
      <c r="AA1433" s="32">
        <v>34.799999999999997</v>
      </c>
      <c r="AB1433" s="32">
        <v>270</v>
      </c>
      <c r="AC1433" s="32">
        <v>21</v>
      </c>
      <c r="AD1433" s="32">
        <v>27</v>
      </c>
      <c r="AE1433" s="32" t="s">
        <v>200</v>
      </c>
      <c r="AF1433" s="32">
        <v>0</v>
      </c>
      <c r="AG1433" s="32" t="s">
        <v>200</v>
      </c>
    </row>
    <row r="1434" spans="1:33">
      <c r="A1434" s="32" t="s">
        <v>5099</v>
      </c>
      <c r="B1434" s="32" t="s">
        <v>136</v>
      </c>
      <c r="C1434" s="32" t="s">
        <v>5100</v>
      </c>
      <c r="D1434" s="32" t="s">
        <v>5101</v>
      </c>
      <c r="E1434" s="32" t="s">
        <v>5094</v>
      </c>
      <c r="F1434" s="32" t="s">
        <v>5095</v>
      </c>
      <c r="G1434" s="32" t="s">
        <v>5072</v>
      </c>
      <c r="H1434" s="32" t="s">
        <v>5073</v>
      </c>
      <c r="I1434" s="32" t="s">
        <v>198</v>
      </c>
      <c r="J1434" s="32" t="s">
        <v>199</v>
      </c>
      <c r="K1434" s="32">
        <v>3.0468790000000001</v>
      </c>
      <c r="L1434" s="33">
        <v>1715</v>
      </c>
      <c r="M1434" s="32">
        <v>285</v>
      </c>
      <c r="N1434" s="32">
        <v>335</v>
      </c>
      <c r="O1434" s="32">
        <v>541</v>
      </c>
      <c r="P1434" s="32">
        <v>341</v>
      </c>
      <c r="Q1434" s="32">
        <v>213</v>
      </c>
      <c r="R1434" s="32" t="s">
        <v>668</v>
      </c>
      <c r="S1434" s="32">
        <v>61.658999999999999</v>
      </c>
      <c r="T1434" s="32">
        <v>24.0763</v>
      </c>
      <c r="U1434" s="32">
        <v>0.54384183900000005</v>
      </c>
      <c r="V1434" s="32">
        <v>4</v>
      </c>
      <c r="W1434" s="32">
        <v>0.92313299999999998</v>
      </c>
      <c r="X1434" s="32">
        <v>0.35505599999999998</v>
      </c>
      <c r="Y1434" s="32">
        <v>0.8</v>
      </c>
      <c r="Z1434" s="32">
        <v>0.96052000000000004</v>
      </c>
      <c r="AA1434" s="32">
        <v>32.200000000000003</v>
      </c>
      <c r="AB1434" s="32">
        <v>392</v>
      </c>
      <c r="AC1434" s="32">
        <v>33</v>
      </c>
      <c r="AD1434" s="32">
        <v>42</v>
      </c>
      <c r="AE1434" s="32">
        <v>5</v>
      </c>
      <c r="AF1434" s="32">
        <v>0</v>
      </c>
      <c r="AG1434" s="32" t="s">
        <v>200</v>
      </c>
    </row>
    <row r="1435" spans="1:33">
      <c r="A1435" s="32" t="s">
        <v>5102</v>
      </c>
      <c r="B1435" s="32" t="s">
        <v>136</v>
      </c>
      <c r="C1435" s="32" t="s">
        <v>5103</v>
      </c>
      <c r="D1435" s="32" t="s">
        <v>5104</v>
      </c>
      <c r="E1435" s="32" t="s">
        <v>5094</v>
      </c>
      <c r="F1435" s="32" t="s">
        <v>5095</v>
      </c>
      <c r="G1435" s="32" t="s">
        <v>5072</v>
      </c>
      <c r="H1435" s="32" t="s">
        <v>5073</v>
      </c>
      <c r="I1435" s="32" t="s">
        <v>198</v>
      </c>
      <c r="J1435" s="32" t="s">
        <v>199</v>
      </c>
      <c r="K1435" s="32">
        <v>3.0201549999999999</v>
      </c>
      <c r="L1435" s="33">
        <v>1466</v>
      </c>
      <c r="M1435" s="32">
        <v>255</v>
      </c>
      <c r="N1435" s="32">
        <v>267</v>
      </c>
      <c r="O1435" s="32">
        <v>385</v>
      </c>
      <c r="P1435" s="32">
        <v>339</v>
      </c>
      <c r="Q1435" s="32">
        <v>220</v>
      </c>
      <c r="R1435" s="32" t="s">
        <v>302</v>
      </c>
      <c r="S1435" s="32">
        <v>57.486800000000002</v>
      </c>
      <c r="T1435" s="32">
        <v>24.6891</v>
      </c>
      <c r="U1435" s="32">
        <v>0.87514323699999996</v>
      </c>
      <c r="V1435" s="32">
        <v>2</v>
      </c>
      <c r="W1435" s="32">
        <v>0.91963799999999996</v>
      </c>
      <c r="X1435" s="32">
        <v>0.35869000000000001</v>
      </c>
      <c r="Y1435" s="32">
        <v>0.8</v>
      </c>
      <c r="Z1435" s="32">
        <v>0.92842599999999997</v>
      </c>
      <c r="AA1435" s="32">
        <v>39.299999999999997</v>
      </c>
      <c r="AB1435" s="32">
        <v>241</v>
      </c>
      <c r="AC1435" s="32">
        <v>22</v>
      </c>
      <c r="AD1435" s="32">
        <v>18</v>
      </c>
      <c r="AE1435" s="32">
        <v>0</v>
      </c>
      <c r="AF1435" s="32" t="s">
        <v>200</v>
      </c>
      <c r="AG1435" s="32">
        <v>5</v>
      </c>
    </row>
    <row r="1436" spans="1:33">
      <c r="A1436" s="32" t="s">
        <v>5105</v>
      </c>
      <c r="B1436" s="32" t="s">
        <v>136</v>
      </c>
      <c r="C1436" s="32" t="s">
        <v>5106</v>
      </c>
      <c r="D1436" s="32" t="s">
        <v>5107</v>
      </c>
      <c r="E1436" s="32" t="s">
        <v>5094</v>
      </c>
      <c r="F1436" s="32" t="s">
        <v>5095</v>
      </c>
      <c r="G1436" s="32" t="s">
        <v>5072</v>
      </c>
      <c r="H1436" s="32" t="s">
        <v>5073</v>
      </c>
      <c r="I1436" s="32" t="s">
        <v>198</v>
      </c>
      <c r="J1436" s="32" t="s">
        <v>199</v>
      </c>
      <c r="K1436" s="32">
        <v>2.9548390000000002</v>
      </c>
      <c r="L1436" s="33">
        <v>1712</v>
      </c>
      <c r="M1436" s="32">
        <v>316</v>
      </c>
      <c r="N1436" s="32">
        <v>376</v>
      </c>
      <c r="O1436" s="32">
        <v>408</v>
      </c>
      <c r="P1436" s="32">
        <v>375</v>
      </c>
      <c r="Q1436" s="32">
        <v>237</v>
      </c>
      <c r="R1436" s="32" t="s">
        <v>302</v>
      </c>
      <c r="S1436" s="32">
        <v>52.306600000000003</v>
      </c>
      <c r="T1436" s="32">
        <v>21.991599999999998</v>
      </c>
      <c r="U1436" s="32">
        <v>0.68199019599999999</v>
      </c>
      <c r="V1436" s="32">
        <v>2</v>
      </c>
      <c r="W1436" s="32">
        <v>0.93225800000000003</v>
      </c>
      <c r="X1436" s="32">
        <v>0.356543</v>
      </c>
      <c r="Y1436" s="32">
        <v>0.8</v>
      </c>
      <c r="Z1436" s="32">
        <v>0.89605900000000005</v>
      </c>
      <c r="AA1436" s="32">
        <v>35.9</v>
      </c>
      <c r="AB1436" s="32">
        <v>270</v>
      </c>
      <c r="AC1436" s="32">
        <v>23</v>
      </c>
      <c r="AD1436" s="32">
        <v>28</v>
      </c>
      <c r="AE1436" s="32">
        <v>0</v>
      </c>
      <c r="AF1436" s="32">
        <v>0</v>
      </c>
      <c r="AG1436" s="32" t="s">
        <v>200</v>
      </c>
    </row>
    <row r="1437" spans="1:33">
      <c r="A1437" s="32" t="s">
        <v>5108</v>
      </c>
      <c r="B1437" s="32" t="s">
        <v>136</v>
      </c>
      <c r="C1437" s="32" t="s">
        <v>5109</v>
      </c>
      <c r="D1437" s="32" t="s">
        <v>5110</v>
      </c>
      <c r="E1437" s="32" t="s">
        <v>5089</v>
      </c>
      <c r="F1437" s="32" t="s">
        <v>5090</v>
      </c>
      <c r="G1437" s="32" t="s">
        <v>5072</v>
      </c>
      <c r="H1437" s="32" t="s">
        <v>5073</v>
      </c>
      <c r="I1437" s="32" t="s">
        <v>198</v>
      </c>
      <c r="J1437" s="32" t="s">
        <v>199</v>
      </c>
      <c r="K1437" s="32">
        <v>2.5949420000000001</v>
      </c>
      <c r="L1437" s="33">
        <v>1371</v>
      </c>
      <c r="M1437" s="32">
        <v>125</v>
      </c>
      <c r="N1437" s="32">
        <v>346</v>
      </c>
      <c r="O1437" s="32">
        <v>489</v>
      </c>
      <c r="P1437" s="32">
        <v>272</v>
      </c>
      <c r="Q1437" s="32">
        <v>139</v>
      </c>
      <c r="R1437" s="32">
        <v>5</v>
      </c>
      <c r="S1437" s="32">
        <v>29.714700000000001</v>
      </c>
      <c r="T1437" s="32">
        <v>15.1814</v>
      </c>
      <c r="U1437" s="32">
        <v>0.71214292999999995</v>
      </c>
      <c r="V1437" s="32">
        <v>5</v>
      </c>
      <c r="W1437" s="32">
        <v>0.92373499999999997</v>
      </c>
      <c r="X1437" s="32">
        <v>8.8888999999999996E-2</v>
      </c>
      <c r="Y1437" s="32">
        <v>0.8</v>
      </c>
      <c r="Z1437" s="32">
        <v>0.80196800000000001</v>
      </c>
      <c r="AA1437" s="32">
        <v>29.8</v>
      </c>
      <c r="AB1437" s="32">
        <v>264</v>
      </c>
      <c r="AC1437" s="32">
        <v>18</v>
      </c>
      <c r="AD1437" s="32">
        <v>7</v>
      </c>
      <c r="AE1437" s="32">
        <v>0</v>
      </c>
      <c r="AF1437" s="32" t="s">
        <v>200</v>
      </c>
      <c r="AG1437" s="32">
        <v>0</v>
      </c>
    </row>
    <row r="1438" spans="1:33">
      <c r="A1438" s="32" t="s">
        <v>5111</v>
      </c>
      <c r="B1438" s="32" t="s">
        <v>136</v>
      </c>
      <c r="C1438" s="32" t="s">
        <v>5112</v>
      </c>
      <c r="D1438" s="32" t="s">
        <v>5113</v>
      </c>
      <c r="E1438" s="32" t="s">
        <v>5114</v>
      </c>
      <c r="F1438" s="32" t="s">
        <v>5115</v>
      </c>
      <c r="G1438" s="32" t="s">
        <v>5072</v>
      </c>
      <c r="H1438" s="32" t="s">
        <v>5073</v>
      </c>
      <c r="I1438" s="32" t="s">
        <v>198</v>
      </c>
      <c r="J1438" s="32" t="s">
        <v>199</v>
      </c>
      <c r="K1438" s="32">
        <v>2.7792020000000002</v>
      </c>
      <c r="L1438" s="33">
        <v>1748</v>
      </c>
      <c r="M1438" s="32">
        <v>379</v>
      </c>
      <c r="N1438" s="32">
        <v>393</v>
      </c>
      <c r="O1438" s="32">
        <v>392</v>
      </c>
      <c r="P1438" s="32">
        <v>429</v>
      </c>
      <c r="Q1438" s="32">
        <v>155</v>
      </c>
      <c r="R1438" s="32">
        <v>5</v>
      </c>
      <c r="S1438" s="32">
        <v>36.430599999999998</v>
      </c>
      <c r="T1438" s="32">
        <v>8.9035700000000002</v>
      </c>
      <c r="U1438" s="32">
        <v>0.92256622399999999</v>
      </c>
      <c r="V1438" s="32">
        <v>2</v>
      </c>
      <c r="W1438" s="32">
        <v>0.92457999999999996</v>
      </c>
      <c r="X1438" s="32">
        <v>9.6465999999999996E-2</v>
      </c>
      <c r="Y1438" s="32">
        <v>0.8</v>
      </c>
      <c r="Z1438" s="32">
        <v>0.96137799999999995</v>
      </c>
      <c r="AA1438" s="32">
        <v>49.5</v>
      </c>
      <c r="AB1438" s="32">
        <v>306</v>
      </c>
      <c r="AC1438" s="32">
        <v>29</v>
      </c>
      <c r="AD1438" s="32">
        <v>20</v>
      </c>
      <c r="AE1438" s="32">
        <v>0</v>
      </c>
      <c r="AF1438" s="32">
        <v>0</v>
      </c>
      <c r="AG1438" s="32" t="s">
        <v>200</v>
      </c>
    </row>
    <row r="1439" spans="1:33">
      <c r="A1439" s="32" t="s">
        <v>5116</v>
      </c>
      <c r="B1439" s="32" t="s">
        <v>136</v>
      </c>
      <c r="C1439" s="32" t="s">
        <v>5117</v>
      </c>
      <c r="D1439" s="32" t="s">
        <v>5118</v>
      </c>
      <c r="E1439" s="32" t="s">
        <v>5089</v>
      </c>
      <c r="F1439" s="32" t="s">
        <v>5090</v>
      </c>
      <c r="G1439" s="32" t="s">
        <v>5072</v>
      </c>
      <c r="H1439" s="32" t="s">
        <v>5073</v>
      </c>
      <c r="I1439" s="32" t="s">
        <v>198</v>
      </c>
      <c r="J1439" s="32" t="s">
        <v>199</v>
      </c>
      <c r="K1439" s="32">
        <v>2.9705879999999998</v>
      </c>
      <c r="L1439" s="33">
        <v>1736</v>
      </c>
      <c r="M1439" s="32">
        <v>145</v>
      </c>
      <c r="N1439" s="32">
        <v>531</v>
      </c>
      <c r="O1439" s="32">
        <v>630</v>
      </c>
      <c r="P1439" s="32">
        <v>319</v>
      </c>
      <c r="Q1439" s="32">
        <v>111</v>
      </c>
      <c r="R1439" s="32">
        <v>5</v>
      </c>
      <c r="S1439" s="32">
        <v>24.682600000000001</v>
      </c>
      <c r="T1439" s="32">
        <v>20.340800000000002</v>
      </c>
      <c r="U1439" s="32">
        <v>0.501044245</v>
      </c>
      <c r="V1439" s="32">
        <v>5</v>
      </c>
      <c r="W1439" s="32">
        <v>0.97009800000000002</v>
      </c>
      <c r="X1439" s="32">
        <v>0.24757299999999999</v>
      </c>
      <c r="Y1439" s="32">
        <v>0.8</v>
      </c>
      <c r="Z1439" s="32">
        <v>0.99082099999999995</v>
      </c>
      <c r="AA1439" s="32">
        <v>32.799999999999997</v>
      </c>
      <c r="AB1439" s="32">
        <v>207</v>
      </c>
      <c r="AC1439" s="32">
        <v>26</v>
      </c>
      <c r="AD1439" s="32">
        <v>16</v>
      </c>
      <c r="AE1439" s="32">
        <v>0</v>
      </c>
      <c r="AF1439" s="32">
        <v>0</v>
      </c>
      <c r="AG1439" s="32" t="s">
        <v>200</v>
      </c>
    </row>
    <row r="1440" spans="1:33">
      <c r="A1440" s="32" t="s">
        <v>5119</v>
      </c>
      <c r="B1440" s="32" t="s">
        <v>136</v>
      </c>
      <c r="C1440" s="32" t="s">
        <v>5120</v>
      </c>
      <c r="D1440" s="32" t="s">
        <v>5121</v>
      </c>
      <c r="E1440" s="32" t="s">
        <v>5122</v>
      </c>
      <c r="F1440" s="32" t="s">
        <v>5123</v>
      </c>
      <c r="G1440" s="32" t="s">
        <v>5072</v>
      </c>
      <c r="H1440" s="32" t="s">
        <v>5073</v>
      </c>
      <c r="I1440" s="32" t="s">
        <v>198</v>
      </c>
      <c r="J1440" s="32" t="s">
        <v>199</v>
      </c>
      <c r="K1440" s="32">
        <v>2.6524559999999999</v>
      </c>
      <c r="L1440" s="33">
        <v>1641</v>
      </c>
      <c r="M1440" s="32">
        <v>248</v>
      </c>
      <c r="N1440" s="32">
        <v>363</v>
      </c>
      <c r="O1440" s="32">
        <v>546</v>
      </c>
      <c r="P1440" s="32">
        <v>339</v>
      </c>
      <c r="Q1440" s="32">
        <v>145</v>
      </c>
      <c r="R1440" s="32">
        <v>5</v>
      </c>
      <c r="S1440" s="32">
        <v>29.341200000000001</v>
      </c>
      <c r="T1440" s="32">
        <v>11.5343</v>
      </c>
      <c r="U1440" s="32">
        <v>0.81621440999999995</v>
      </c>
      <c r="V1440" s="32">
        <v>4</v>
      </c>
      <c r="W1440" s="32">
        <v>0.92824600000000002</v>
      </c>
      <c r="X1440" s="32">
        <v>0.36818200000000001</v>
      </c>
      <c r="Y1440" s="32">
        <v>0.8</v>
      </c>
      <c r="Z1440" s="32">
        <v>0.55638299999999996</v>
      </c>
      <c r="AA1440" s="32">
        <v>28.7</v>
      </c>
      <c r="AB1440" s="32">
        <v>372</v>
      </c>
      <c r="AC1440" s="32">
        <v>21</v>
      </c>
      <c r="AD1440" s="32">
        <v>21</v>
      </c>
      <c r="AE1440" s="32">
        <v>0</v>
      </c>
      <c r="AF1440" s="32" t="s">
        <v>200</v>
      </c>
      <c r="AG1440" s="32" t="s">
        <v>200</v>
      </c>
    </row>
    <row r="1441" spans="1:33">
      <c r="A1441" s="32" t="s">
        <v>5124</v>
      </c>
      <c r="B1441" s="32" t="s">
        <v>136</v>
      </c>
      <c r="C1441" s="32" t="s">
        <v>5125</v>
      </c>
      <c r="D1441" s="32" t="s">
        <v>5126</v>
      </c>
      <c r="E1441" s="32" t="s">
        <v>5122</v>
      </c>
      <c r="F1441" s="32" t="s">
        <v>5123</v>
      </c>
      <c r="G1441" s="32" t="s">
        <v>5072</v>
      </c>
      <c r="H1441" s="32" t="s">
        <v>5073</v>
      </c>
      <c r="I1441" s="32" t="s">
        <v>198</v>
      </c>
      <c r="J1441" s="32" t="s">
        <v>199</v>
      </c>
      <c r="K1441" s="32">
        <v>2.6570079999999998</v>
      </c>
      <c r="L1441" s="33">
        <v>1319</v>
      </c>
      <c r="M1441" s="32">
        <v>237</v>
      </c>
      <c r="N1441" s="32">
        <v>217</v>
      </c>
      <c r="O1441" s="32">
        <v>312</v>
      </c>
      <c r="P1441" s="32">
        <v>372</v>
      </c>
      <c r="Q1441" s="32">
        <v>181</v>
      </c>
      <c r="R1441" s="32">
        <v>4</v>
      </c>
      <c r="S1441" s="32">
        <v>23.2471</v>
      </c>
      <c r="T1441" s="32">
        <v>5.7051800000000004</v>
      </c>
      <c r="U1441" s="32">
        <v>0.67751437999999997</v>
      </c>
      <c r="V1441" s="32">
        <v>5</v>
      </c>
      <c r="W1441" s="32">
        <v>0.92178000000000004</v>
      </c>
      <c r="X1441" s="32">
        <v>0.363842</v>
      </c>
      <c r="Y1441" s="32">
        <v>0.8</v>
      </c>
      <c r="Z1441" s="32">
        <v>0.574102</v>
      </c>
      <c r="AA1441" s="32">
        <v>27.3</v>
      </c>
      <c r="AB1441" s="32">
        <v>470</v>
      </c>
      <c r="AC1441" s="32">
        <v>20</v>
      </c>
      <c r="AD1441" s="32">
        <v>15</v>
      </c>
      <c r="AE1441" s="32" t="s">
        <v>200</v>
      </c>
      <c r="AF1441" s="32" t="s">
        <v>200</v>
      </c>
      <c r="AG1441" s="32" t="s">
        <v>200</v>
      </c>
    </row>
    <row r="1442" spans="1:33">
      <c r="A1442" s="32" t="s">
        <v>5027</v>
      </c>
      <c r="B1442" s="32" t="s">
        <v>136</v>
      </c>
      <c r="C1442" s="32" t="s">
        <v>5028</v>
      </c>
      <c r="D1442" s="32" t="s">
        <v>5029</v>
      </c>
      <c r="E1442" s="32" t="s">
        <v>5030</v>
      </c>
      <c r="F1442" s="32" t="s">
        <v>5031</v>
      </c>
      <c r="G1442" s="32" t="s">
        <v>4606</v>
      </c>
      <c r="H1442" s="32" t="s">
        <v>4607</v>
      </c>
      <c r="I1442" s="32" t="s">
        <v>198</v>
      </c>
      <c r="J1442" s="32" t="s">
        <v>199</v>
      </c>
      <c r="K1442" s="32">
        <v>2.5354990000000002</v>
      </c>
      <c r="L1442" s="33">
        <v>2014</v>
      </c>
      <c r="M1442" s="32">
        <v>393</v>
      </c>
      <c r="N1442" s="32">
        <v>307</v>
      </c>
      <c r="O1442" s="32">
        <v>509</v>
      </c>
      <c r="P1442" s="32">
        <v>476</v>
      </c>
      <c r="Q1442" s="32">
        <v>329</v>
      </c>
      <c r="R1442" s="32">
        <v>2</v>
      </c>
      <c r="S1442" s="32">
        <v>18.1204</v>
      </c>
      <c r="T1442" s="32">
        <v>0</v>
      </c>
      <c r="U1442" s="32">
        <v>0.58950644100000005</v>
      </c>
      <c r="V1442" s="32">
        <v>8</v>
      </c>
      <c r="W1442" s="32">
        <v>0.92551499999999998</v>
      </c>
      <c r="X1442" s="32">
        <v>0.34800599999999998</v>
      </c>
      <c r="Y1442" s="32">
        <v>0.8</v>
      </c>
      <c r="Z1442" s="32">
        <v>0.46395500000000001</v>
      </c>
      <c r="AA1442" s="32">
        <v>15</v>
      </c>
      <c r="AB1442" s="32">
        <v>627</v>
      </c>
      <c r="AC1442" s="32">
        <v>33</v>
      </c>
      <c r="AD1442" s="32">
        <v>11</v>
      </c>
      <c r="AE1442" s="32">
        <v>0</v>
      </c>
      <c r="AF1442" s="32">
        <v>0</v>
      </c>
      <c r="AG1442" s="32">
        <v>9</v>
      </c>
    </row>
    <row r="1443" spans="1:33">
      <c r="A1443" s="32" t="s">
        <v>5127</v>
      </c>
      <c r="B1443" s="32" t="s">
        <v>136</v>
      </c>
      <c r="C1443" s="32" t="s">
        <v>5128</v>
      </c>
      <c r="D1443" s="32" t="s">
        <v>5129</v>
      </c>
      <c r="E1443" s="32" t="s">
        <v>5030</v>
      </c>
      <c r="F1443" s="32" t="s">
        <v>5031</v>
      </c>
      <c r="G1443" s="32" t="s">
        <v>4606</v>
      </c>
      <c r="H1443" s="32" t="s">
        <v>4607</v>
      </c>
      <c r="I1443" s="32" t="s">
        <v>198</v>
      </c>
      <c r="J1443" s="32" t="s">
        <v>199</v>
      </c>
      <c r="K1443" s="32">
        <v>2.384719</v>
      </c>
      <c r="L1443" s="33">
        <v>1657</v>
      </c>
      <c r="M1443" s="32">
        <v>246</v>
      </c>
      <c r="N1443" s="32">
        <v>297</v>
      </c>
      <c r="O1443" s="32">
        <v>439</v>
      </c>
      <c r="P1443" s="32">
        <v>473</v>
      </c>
      <c r="Q1443" s="32">
        <v>202</v>
      </c>
      <c r="R1443" s="32">
        <v>4</v>
      </c>
      <c r="S1443" s="32">
        <v>25.292000000000002</v>
      </c>
      <c r="T1443" s="32">
        <v>11.8538</v>
      </c>
      <c r="U1443" s="32">
        <v>0.71791776200000001</v>
      </c>
      <c r="V1443" s="32">
        <v>7</v>
      </c>
      <c r="W1443" s="32">
        <v>0.90876400000000002</v>
      </c>
      <c r="X1443" s="32">
        <v>0.18310499999999999</v>
      </c>
      <c r="Y1443" s="32">
        <v>0.8</v>
      </c>
      <c r="Z1443" s="32">
        <v>0.49616300000000002</v>
      </c>
      <c r="AA1443" s="32">
        <v>18.100000000000001</v>
      </c>
      <c r="AB1443" s="32">
        <v>418</v>
      </c>
      <c r="AC1443" s="32">
        <v>14</v>
      </c>
      <c r="AD1443" s="32">
        <v>52</v>
      </c>
      <c r="AE1443" s="32">
        <v>0</v>
      </c>
      <c r="AF1443" s="32" t="s">
        <v>200</v>
      </c>
      <c r="AG1443" s="32" t="s">
        <v>200</v>
      </c>
    </row>
    <row r="1444" spans="1:33">
      <c r="A1444" s="32" t="s">
        <v>5032</v>
      </c>
      <c r="B1444" s="32" t="s">
        <v>136</v>
      </c>
      <c r="C1444" s="32" t="s">
        <v>5033</v>
      </c>
      <c r="D1444" s="32" t="s">
        <v>5034</v>
      </c>
      <c r="E1444" s="32" t="s">
        <v>5017</v>
      </c>
      <c r="F1444" s="32" t="s">
        <v>5018</v>
      </c>
      <c r="G1444" s="32" t="s">
        <v>4606</v>
      </c>
      <c r="H1444" s="32" t="s">
        <v>4607</v>
      </c>
      <c r="I1444" s="32" t="s">
        <v>198</v>
      </c>
      <c r="J1444" s="32" t="s">
        <v>199</v>
      </c>
      <c r="K1444" s="32">
        <v>2.2010890000000001</v>
      </c>
      <c r="L1444" s="33">
        <v>1325</v>
      </c>
      <c r="M1444" s="32">
        <v>232</v>
      </c>
      <c r="N1444" s="32">
        <v>171</v>
      </c>
      <c r="O1444" s="32">
        <v>254</v>
      </c>
      <c r="P1444" s="32">
        <v>429</v>
      </c>
      <c r="Q1444" s="32">
        <v>239</v>
      </c>
      <c r="R1444" s="32" t="s">
        <v>225</v>
      </c>
      <c r="S1444" s="32">
        <v>5.4122000000000003</v>
      </c>
      <c r="T1444" s="32">
        <v>0</v>
      </c>
      <c r="U1444" s="32">
        <v>0.68346608200000003</v>
      </c>
      <c r="V1444" s="32">
        <v>10</v>
      </c>
      <c r="W1444" s="32">
        <v>0.90637599999999996</v>
      </c>
      <c r="X1444" s="32">
        <v>9.7806000000000004E-2</v>
      </c>
      <c r="Y1444" s="32">
        <v>0.8</v>
      </c>
      <c r="Z1444" s="32">
        <v>0.41743799999999998</v>
      </c>
      <c r="AA1444" s="32">
        <v>15.8</v>
      </c>
      <c r="AB1444" s="32">
        <v>539</v>
      </c>
      <c r="AC1444" s="32">
        <v>23</v>
      </c>
      <c r="AD1444" s="32">
        <v>18</v>
      </c>
      <c r="AE1444" s="32">
        <v>0</v>
      </c>
      <c r="AF1444" s="32">
        <v>0</v>
      </c>
      <c r="AG1444" s="32" t="s">
        <v>200</v>
      </c>
    </row>
    <row r="1445" spans="1:33">
      <c r="A1445" s="32" t="s">
        <v>5130</v>
      </c>
      <c r="B1445" s="32" t="s">
        <v>136</v>
      </c>
      <c r="C1445" s="32" t="s">
        <v>5131</v>
      </c>
      <c r="D1445" s="32" t="s">
        <v>5132</v>
      </c>
      <c r="E1445" s="32" t="s">
        <v>5030</v>
      </c>
      <c r="F1445" s="32" t="s">
        <v>5031</v>
      </c>
      <c r="G1445" s="32" t="s">
        <v>4606</v>
      </c>
      <c r="H1445" s="32" t="s">
        <v>4607</v>
      </c>
      <c r="I1445" s="32" t="s">
        <v>198</v>
      </c>
      <c r="J1445" s="32" t="s">
        <v>199</v>
      </c>
      <c r="K1445" s="32">
        <v>2.4790350000000001</v>
      </c>
      <c r="L1445" s="33">
        <v>1727</v>
      </c>
      <c r="M1445" s="32">
        <v>344</v>
      </c>
      <c r="N1445" s="32">
        <v>289</v>
      </c>
      <c r="O1445" s="32">
        <v>399</v>
      </c>
      <c r="P1445" s="32">
        <v>460</v>
      </c>
      <c r="Q1445" s="32">
        <v>235</v>
      </c>
      <c r="R1445" s="32">
        <v>3</v>
      </c>
      <c r="S1445" s="32">
        <v>19.977499999999999</v>
      </c>
      <c r="T1445" s="32">
        <v>0</v>
      </c>
      <c r="U1445" s="32">
        <v>0.586711596</v>
      </c>
      <c r="V1445" s="32">
        <v>9</v>
      </c>
      <c r="W1445" s="32">
        <v>0.917798</v>
      </c>
      <c r="X1445" s="32">
        <v>0.261654</v>
      </c>
      <c r="Y1445" s="32">
        <v>0.8</v>
      </c>
      <c r="Z1445" s="32">
        <v>0.50317199999999995</v>
      </c>
      <c r="AA1445" s="32">
        <v>17.899999999999999</v>
      </c>
      <c r="AB1445" s="32">
        <v>578</v>
      </c>
      <c r="AC1445" s="32">
        <v>35</v>
      </c>
      <c r="AD1445" s="32">
        <v>43</v>
      </c>
      <c r="AE1445" s="32">
        <v>29</v>
      </c>
      <c r="AF1445" s="32" t="s">
        <v>200</v>
      </c>
      <c r="AG1445" s="32" t="s">
        <v>200</v>
      </c>
    </row>
    <row r="1446" spans="1:33">
      <c r="A1446" s="32" t="s">
        <v>5055</v>
      </c>
      <c r="B1446" s="32" t="s">
        <v>136</v>
      </c>
      <c r="C1446" s="32" t="s">
        <v>5056</v>
      </c>
      <c r="D1446" s="32" t="s">
        <v>5057</v>
      </c>
      <c r="E1446" s="32" t="s">
        <v>5017</v>
      </c>
      <c r="F1446" s="32" t="s">
        <v>5018</v>
      </c>
      <c r="G1446" s="32" t="s">
        <v>4606</v>
      </c>
      <c r="H1446" s="32" t="s">
        <v>4607</v>
      </c>
      <c r="I1446" s="32" t="s">
        <v>198</v>
      </c>
      <c r="J1446" s="32" t="s">
        <v>199</v>
      </c>
      <c r="K1446" s="32">
        <v>2.3965000000000001</v>
      </c>
      <c r="L1446" s="33">
        <v>1622</v>
      </c>
      <c r="M1446" s="32">
        <v>311</v>
      </c>
      <c r="N1446" s="32">
        <v>226</v>
      </c>
      <c r="O1446" s="32">
        <v>343</v>
      </c>
      <c r="P1446" s="32">
        <v>457</v>
      </c>
      <c r="Q1446" s="32">
        <v>285</v>
      </c>
      <c r="R1446" s="32">
        <v>3</v>
      </c>
      <c r="S1446" s="32">
        <v>17.506599999999999</v>
      </c>
      <c r="T1446" s="32">
        <v>1.9488399999999999</v>
      </c>
      <c r="U1446" s="32">
        <v>0.81322929799999999</v>
      </c>
      <c r="V1446" s="32">
        <v>5</v>
      </c>
      <c r="W1446" s="32">
        <v>0.91149999999999998</v>
      </c>
      <c r="X1446" s="32">
        <v>0.17871300000000001</v>
      </c>
      <c r="Y1446" s="32">
        <v>0.8</v>
      </c>
      <c r="Z1446" s="32">
        <v>0.5</v>
      </c>
      <c r="AA1446" s="32">
        <v>24.3</v>
      </c>
      <c r="AB1446" s="32">
        <v>525</v>
      </c>
      <c r="AC1446" s="32">
        <v>17</v>
      </c>
      <c r="AD1446" s="32">
        <v>19</v>
      </c>
      <c r="AE1446" s="32">
        <v>0</v>
      </c>
      <c r="AF1446" s="32">
        <v>0</v>
      </c>
      <c r="AG1446" s="32" t="s">
        <v>200</v>
      </c>
    </row>
    <row r="1447" spans="1:33">
      <c r="A1447" s="32" t="s">
        <v>4881</v>
      </c>
      <c r="B1447" s="32" t="s">
        <v>137</v>
      </c>
      <c r="C1447" s="32" t="s">
        <v>4882</v>
      </c>
      <c r="D1447" s="32" t="s">
        <v>4883</v>
      </c>
      <c r="E1447" s="32" t="s">
        <v>4884</v>
      </c>
      <c r="F1447" s="32" t="s">
        <v>4885</v>
      </c>
      <c r="G1447" s="32" t="s">
        <v>4886</v>
      </c>
      <c r="H1447" s="32" t="s">
        <v>4887</v>
      </c>
      <c r="I1447" s="32" t="s">
        <v>198</v>
      </c>
      <c r="J1447" s="32" t="s">
        <v>199</v>
      </c>
      <c r="K1447" s="32">
        <v>1.842778</v>
      </c>
      <c r="L1447" s="33">
        <v>1704</v>
      </c>
      <c r="M1447" s="32">
        <v>431</v>
      </c>
      <c r="N1447" s="32">
        <v>271</v>
      </c>
      <c r="O1447" s="32">
        <v>287</v>
      </c>
      <c r="P1447" s="32">
        <v>455</v>
      </c>
      <c r="Q1447" s="32">
        <v>260</v>
      </c>
      <c r="R1447" s="32" t="s">
        <v>214</v>
      </c>
      <c r="S1447" s="32">
        <v>5.9401400000000004</v>
      </c>
      <c r="T1447" s="32">
        <v>0</v>
      </c>
      <c r="U1447" s="32">
        <v>1.1982292649999999</v>
      </c>
      <c r="V1447" s="32">
        <v>3</v>
      </c>
      <c r="W1447" s="32">
        <v>0.80067299999999997</v>
      </c>
      <c r="X1447" s="32">
        <v>2.2582999999999999E-2</v>
      </c>
      <c r="Y1447" s="32">
        <v>0.9</v>
      </c>
      <c r="Z1447" s="32">
        <v>0.118225</v>
      </c>
      <c r="AA1447" s="32">
        <v>47.2</v>
      </c>
      <c r="AB1447" s="32">
        <v>781</v>
      </c>
      <c r="AC1447" s="32">
        <v>34</v>
      </c>
      <c r="AD1447" s="32">
        <v>56</v>
      </c>
      <c r="AE1447" s="32" t="s">
        <v>200</v>
      </c>
      <c r="AF1447" s="32" t="s">
        <v>200</v>
      </c>
      <c r="AG1447" s="32" t="s">
        <v>200</v>
      </c>
    </row>
    <row r="1448" spans="1:33">
      <c r="A1448" s="32" t="s">
        <v>4893</v>
      </c>
      <c r="B1448" s="32" t="s">
        <v>137</v>
      </c>
      <c r="C1448" s="32" t="s">
        <v>4894</v>
      </c>
      <c r="D1448" s="32" t="s">
        <v>4895</v>
      </c>
      <c r="E1448" s="32" t="s">
        <v>4884</v>
      </c>
      <c r="F1448" s="32" t="s">
        <v>4885</v>
      </c>
      <c r="G1448" s="32" t="s">
        <v>4886</v>
      </c>
      <c r="H1448" s="32" t="s">
        <v>4887</v>
      </c>
      <c r="I1448" s="32" t="s">
        <v>198</v>
      </c>
      <c r="J1448" s="32" t="s">
        <v>199</v>
      </c>
      <c r="K1448" s="32">
        <v>2.1423220000000001</v>
      </c>
      <c r="L1448" s="33">
        <v>1774</v>
      </c>
      <c r="M1448" s="32">
        <v>433</v>
      </c>
      <c r="N1448" s="32">
        <v>309</v>
      </c>
      <c r="O1448" s="32">
        <v>339</v>
      </c>
      <c r="P1448" s="32">
        <v>471</v>
      </c>
      <c r="Q1448" s="32">
        <v>222</v>
      </c>
      <c r="R1448" s="32">
        <v>2</v>
      </c>
      <c r="S1448" s="32">
        <v>12.0616</v>
      </c>
      <c r="T1448" s="32">
        <v>0</v>
      </c>
      <c r="U1448" s="32">
        <v>1.069902514</v>
      </c>
      <c r="V1448" s="32">
        <v>3</v>
      </c>
      <c r="W1448" s="32">
        <v>0.811971</v>
      </c>
      <c r="X1448" s="32">
        <v>0.19031500000000001</v>
      </c>
      <c r="Y1448" s="32">
        <v>0.9</v>
      </c>
      <c r="Z1448" s="32">
        <v>0.24095800000000001</v>
      </c>
      <c r="AA1448" s="32">
        <v>52.6</v>
      </c>
      <c r="AB1448" s="32">
        <v>693</v>
      </c>
      <c r="AC1448" s="32">
        <v>28</v>
      </c>
      <c r="AD1448" s="32">
        <v>56</v>
      </c>
      <c r="AE1448" s="32" t="s">
        <v>200</v>
      </c>
      <c r="AF1448" s="32">
        <v>0</v>
      </c>
      <c r="AG1448" s="32">
        <v>6</v>
      </c>
    </row>
    <row r="1449" spans="1:33">
      <c r="A1449" s="32" t="s">
        <v>4899</v>
      </c>
      <c r="B1449" s="32" t="s">
        <v>137</v>
      </c>
      <c r="C1449" s="32" t="s">
        <v>4900</v>
      </c>
      <c r="D1449" s="32" t="s">
        <v>4901</v>
      </c>
      <c r="E1449" s="32" t="s">
        <v>4884</v>
      </c>
      <c r="F1449" s="32" t="s">
        <v>4885</v>
      </c>
      <c r="G1449" s="32" t="s">
        <v>4886</v>
      </c>
      <c r="H1449" s="32" t="s">
        <v>4887</v>
      </c>
      <c r="I1449" s="32" t="s">
        <v>198</v>
      </c>
      <c r="J1449" s="32" t="s">
        <v>199</v>
      </c>
      <c r="K1449" s="32">
        <v>1.9402509999999999</v>
      </c>
      <c r="L1449" s="33">
        <v>1731</v>
      </c>
      <c r="M1449" s="32">
        <v>476</v>
      </c>
      <c r="N1449" s="32">
        <v>259</v>
      </c>
      <c r="O1449" s="32">
        <v>344</v>
      </c>
      <c r="P1449" s="32">
        <v>420</v>
      </c>
      <c r="Q1449" s="32">
        <v>232</v>
      </c>
      <c r="R1449" s="32" t="s">
        <v>225</v>
      </c>
      <c r="S1449" s="32">
        <v>9.2688299999999995</v>
      </c>
      <c r="T1449" s="32">
        <v>0</v>
      </c>
      <c r="U1449" s="32">
        <v>1.1278024710000001</v>
      </c>
      <c r="V1449" s="32">
        <v>4</v>
      </c>
      <c r="W1449" s="32">
        <v>0.80342100000000005</v>
      </c>
      <c r="X1449" s="32">
        <v>3.2044999999999997E-2</v>
      </c>
      <c r="Y1449" s="32">
        <v>0.9</v>
      </c>
      <c r="Z1449" s="32">
        <v>0.205233</v>
      </c>
      <c r="AA1449" s="32">
        <v>53.2</v>
      </c>
      <c r="AB1449" s="32">
        <v>703</v>
      </c>
      <c r="AC1449" s="32">
        <v>29</v>
      </c>
      <c r="AD1449" s="32">
        <v>47</v>
      </c>
      <c r="AE1449" s="32" t="s">
        <v>200</v>
      </c>
      <c r="AF1449" s="32">
        <v>0</v>
      </c>
      <c r="AG1449" s="32">
        <v>0</v>
      </c>
    </row>
    <row r="1450" spans="1:33">
      <c r="A1450" s="32" t="s">
        <v>5133</v>
      </c>
      <c r="B1450" s="32" t="s">
        <v>137</v>
      </c>
      <c r="C1450" s="32" t="s">
        <v>5134</v>
      </c>
      <c r="D1450" s="32" t="s">
        <v>5135</v>
      </c>
      <c r="E1450" s="32" t="s">
        <v>5136</v>
      </c>
      <c r="F1450" s="32" t="s">
        <v>5137</v>
      </c>
      <c r="G1450" s="32" t="s">
        <v>4795</v>
      </c>
      <c r="H1450" s="32" t="s">
        <v>4796</v>
      </c>
      <c r="I1450" s="32" t="s">
        <v>198</v>
      </c>
      <c r="J1450" s="32" t="s">
        <v>199</v>
      </c>
      <c r="K1450" s="32">
        <v>2.0706639999999998</v>
      </c>
      <c r="L1450" s="33">
        <v>1536</v>
      </c>
      <c r="M1450" s="32">
        <v>366</v>
      </c>
      <c r="N1450" s="32">
        <v>240</v>
      </c>
      <c r="O1450" s="32">
        <v>368</v>
      </c>
      <c r="P1450" s="32">
        <v>389</v>
      </c>
      <c r="Q1450" s="32">
        <v>173</v>
      </c>
      <c r="R1450" s="32" t="s">
        <v>214</v>
      </c>
      <c r="S1450" s="32">
        <v>3.7883599999999999</v>
      </c>
      <c r="T1450" s="32">
        <v>0</v>
      </c>
      <c r="U1450" s="32">
        <v>0.80559740000000002</v>
      </c>
      <c r="V1450" s="32">
        <v>9</v>
      </c>
      <c r="W1450" s="32">
        <v>0.80048600000000003</v>
      </c>
      <c r="X1450" s="32">
        <v>0.17443400000000001</v>
      </c>
      <c r="Y1450" s="32">
        <v>0.9</v>
      </c>
      <c r="Z1450" s="32">
        <v>0.2</v>
      </c>
      <c r="AA1450" s="32">
        <v>30</v>
      </c>
      <c r="AB1450" s="32">
        <v>690</v>
      </c>
      <c r="AC1450" s="32">
        <v>16</v>
      </c>
      <c r="AD1450" s="32">
        <v>64</v>
      </c>
      <c r="AE1450" s="32" t="s">
        <v>200</v>
      </c>
      <c r="AF1450" s="32" t="s">
        <v>200</v>
      </c>
      <c r="AG1450" s="32" t="s">
        <v>200</v>
      </c>
    </row>
    <row r="1451" spans="1:33">
      <c r="A1451" s="32" t="s">
        <v>5138</v>
      </c>
      <c r="B1451" s="32" t="s">
        <v>137</v>
      </c>
      <c r="C1451" s="32" t="s">
        <v>5139</v>
      </c>
      <c r="D1451" s="32" t="s">
        <v>5140</v>
      </c>
      <c r="E1451" s="32" t="s">
        <v>5136</v>
      </c>
      <c r="F1451" s="32" t="s">
        <v>5137</v>
      </c>
      <c r="G1451" s="32" t="s">
        <v>4795</v>
      </c>
      <c r="H1451" s="32" t="s">
        <v>4796</v>
      </c>
      <c r="I1451" s="32" t="s">
        <v>198</v>
      </c>
      <c r="J1451" s="32" t="s">
        <v>199</v>
      </c>
      <c r="K1451" s="32">
        <v>2.4232659999999999</v>
      </c>
      <c r="L1451" s="33">
        <v>1519</v>
      </c>
      <c r="M1451" s="32">
        <v>316</v>
      </c>
      <c r="N1451" s="32">
        <v>259</v>
      </c>
      <c r="O1451" s="32">
        <v>347</v>
      </c>
      <c r="P1451" s="32">
        <v>388</v>
      </c>
      <c r="Q1451" s="32">
        <v>209</v>
      </c>
      <c r="R1451" s="32">
        <v>2</v>
      </c>
      <c r="S1451" s="32">
        <v>11.8543</v>
      </c>
      <c r="T1451" s="32">
        <v>0</v>
      </c>
      <c r="U1451" s="32">
        <v>0.61421516300000001</v>
      </c>
      <c r="V1451" s="32">
        <v>8</v>
      </c>
      <c r="W1451" s="32">
        <v>0.83030999999999999</v>
      </c>
      <c r="X1451" s="32">
        <v>0.464756</v>
      </c>
      <c r="Y1451" s="32">
        <v>0.9</v>
      </c>
      <c r="Z1451" s="32">
        <v>0.24140900000000001</v>
      </c>
      <c r="AA1451" s="32">
        <v>35</v>
      </c>
      <c r="AB1451" s="32">
        <v>719</v>
      </c>
      <c r="AC1451" s="32">
        <v>15</v>
      </c>
      <c r="AD1451" s="32">
        <v>42</v>
      </c>
      <c r="AE1451" s="32">
        <v>0</v>
      </c>
      <c r="AF1451" s="32">
        <v>0</v>
      </c>
      <c r="AG1451" s="32">
        <v>0</v>
      </c>
    </row>
    <row r="1452" spans="1:33">
      <c r="A1452" s="32" t="s">
        <v>5141</v>
      </c>
      <c r="B1452" s="32" t="s">
        <v>137</v>
      </c>
      <c r="C1452" s="32" t="s">
        <v>5142</v>
      </c>
      <c r="D1452" s="32" t="s">
        <v>5143</v>
      </c>
      <c r="E1452" s="32" t="s">
        <v>5136</v>
      </c>
      <c r="F1452" s="32" t="s">
        <v>5137</v>
      </c>
      <c r="G1452" s="32" t="s">
        <v>4795</v>
      </c>
      <c r="H1452" s="32" t="s">
        <v>4796</v>
      </c>
      <c r="I1452" s="32" t="s">
        <v>198</v>
      </c>
      <c r="J1452" s="32" t="s">
        <v>199</v>
      </c>
      <c r="K1452" s="32">
        <v>2.0779230000000002</v>
      </c>
      <c r="L1452" s="33">
        <v>1905</v>
      </c>
      <c r="M1452" s="32">
        <v>530</v>
      </c>
      <c r="N1452" s="32">
        <v>300</v>
      </c>
      <c r="O1452" s="32">
        <v>417</v>
      </c>
      <c r="P1452" s="32">
        <v>357</v>
      </c>
      <c r="Q1452" s="32">
        <v>301</v>
      </c>
      <c r="R1452" s="32" t="s">
        <v>214</v>
      </c>
      <c r="S1452" s="32">
        <v>3.02054</v>
      </c>
      <c r="T1452" s="32">
        <v>0</v>
      </c>
      <c r="U1452" s="32">
        <v>0.99528222899999996</v>
      </c>
      <c r="V1452" s="32">
        <v>5</v>
      </c>
      <c r="W1452" s="32">
        <v>0.81015800000000004</v>
      </c>
      <c r="X1452" s="32">
        <v>0.22287899999999999</v>
      </c>
      <c r="Y1452" s="32">
        <v>0.9</v>
      </c>
      <c r="Z1452" s="32">
        <v>0.15021699999999999</v>
      </c>
      <c r="AA1452" s="32">
        <v>29</v>
      </c>
      <c r="AB1452" s="32">
        <v>761</v>
      </c>
      <c r="AC1452" s="32">
        <v>18</v>
      </c>
      <c r="AD1452" s="32">
        <v>90</v>
      </c>
      <c r="AE1452" s="32" t="s">
        <v>200</v>
      </c>
      <c r="AF1452" s="32" t="s">
        <v>200</v>
      </c>
      <c r="AG1452" s="32">
        <v>14</v>
      </c>
    </row>
    <row r="1453" spans="1:33">
      <c r="A1453" s="32" t="s">
        <v>5144</v>
      </c>
      <c r="B1453" s="32" t="s">
        <v>137</v>
      </c>
      <c r="C1453" s="32" t="s">
        <v>5145</v>
      </c>
      <c r="D1453" s="32" t="s">
        <v>5146</v>
      </c>
      <c r="E1453" s="32" t="s">
        <v>5147</v>
      </c>
      <c r="F1453" s="32" t="s">
        <v>5148</v>
      </c>
      <c r="G1453" s="32" t="s">
        <v>4795</v>
      </c>
      <c r="H1453" s="32" t="s">
        <v>4796</v>
      </c>
      <c r="I1453" s="32" t="s">
        <v>198</v>
      </c>
      <c r="J1453" s="32" t="s">
        <v>199</v>
      </c>
      <c r="K1453" s="32">
        <v>2.081385</v>
      </c>
      <c r="L1453" s="33">
        <v>1497</v>
      </c>
      <c r="M1453" s="32">
        <v>253</v>
      </c>
      <c r="N1453" s="32">
        <v>231</v>
      </c>
      <c r="O1453" s="32">
        <v>282</v>
      </c>
      <c r="P1453" s="32">
        <v>422</v>
      </c>
      <c r="Q1453" s="32">
        <v>309</v>
      </c>
      <c r="R1453" s="32" t="s">
        <v>214</v>
      </c>
      <c r="S1453" s="32">
        <v>4.42272</v>
      </c>
      <c r="T1453" s="32">
        <v>0</v>
      </c>
      <c r="U1453" s="32">
        <v>0.79144420500000001</v>
      </c>
      <c r="V1453" s="32">
        <v>8</v>
      </c>
      <c r="W1453" s="32">
        <v>0.804373</v>
      </c>
      <c r="X1453" s="32">
        <v>0.27855200000000002</v>
      </c>
      <c r="Y1453" s="32">
        <v>0.87284300000000004</v>
      </c>
      <c r="Z1453" s="32">
        <v>0.123853</v>
      </c>
      <c r="AA1453" s="32">
        <v>36.9</v>
      </c>
      <c r="AB1453" s="32">
        <v>898</v>
      </c>
      <c r="AC1453" s="32">
        <v>18</v>
      </c>
      <c r="AD1453" s="32">
        <v>89</v>
      </c>
      <c r="AE1453" s="32">
        <v>13</v>
      </c>
      <c r="AF1453" s="32" t="s">
        <v>200</v>
      </c>
      <c r="AG1453" s="32" t="s">
        <v>200</v>
      </c>
    </row>
    <row r="1454" spans="1:33">
      <c r="A1454" s="32" t="s">
        <v>5149</v>
      </c>
      <c r="B1454" s="32" t="s">
        <v>137</v>
      </c>
      <c r="C1454" s="32" t="s">
        <v>5150</v>
      </c>
      <c r="D1454" s="32" t="s">
        <v>5151</v>
      </c>
      <c r="E1454" s="32" t="s">
        <v>5147</v>
      </c>
      <c r="F1454" s="32" t="s">
        <v>5148</v>
      </c>
      <c r="G1454" s="32" t="s">
        <v>4795</v>
      </c>
      <c r="H1454" s="32" t="s">
        <v>4796</v>
      </c>
      <c r="I1454" s="32" t="s">
        <v>198</v>
      </c>
      <c r="J1454" s="32" t="s">
        <v>199</v>
      </c>
      <c r="K1454" s="32">
        <v>2.1699099999999998</v>
      </c>
      <c r="L1454" s="33">
        <v>1529</v>
      </c>
      <c r="M1454" s="32">
        <v>234</v>
      </c>
      <c r="N1454" s="32">
        <v>237</v>
      </c>
      <c r="O1454" s="32">
        <v>211</v>
      </c>
      <c r="P1454" s="32">
        <v>484</v>
      </c>
      <c r="Q1454" s="32">
        <v>363</v>
      </c>
      <c r="R1454" s="32">
        <v>2</v>
      </c>
      <c r="S1454" s="32">
        <v>10.8561</v>
      </c>
      <c r="T1454" s="32">
        <v>0</v>
      </c>
      <c r="U1454" s="32">
        <v>0.71744316100000005</v>
      </c>
      <c r="V1454" s="32">
        <v>9</v>
      </c>
      <c r="W1454" s="32">
        <v>0.811832</v>
      </c>
      <c r="X1454" s="32">
        <v>0.242257</v>
      </c>
      <c r="Y1454" s="32">
        <v>0.9</v>
      </c>
      <c r="Z1454" s="32">
        <v>0.21040300000000001</v>
      </c>
      <c r="AA1454" s="32">
        <v>27.6</v>
      </c>
      <c r="AB1454" s="32">
        <v>835</v>
      </c>
      <c r="AC1454" s="32">
        <v>20</v>
      </c>
      <c r="AD1454" s="32">
        <v>74</v>
      </c>
      <c r="AE1454" s="32" t="s">
        <v>200</v>
      </c>
      <c r="AF1454" s="32" t="s">
        <v>200</v>
      </c>
      <c r="AG1454" s="32" t="s">
        <v>200</v>
      </c>
    </row>
    <row r="1455" spans="1:33">
      <c r="A1455" s="32" t="s">
        <v>5152</v>
      </c>
      <c r="B1455" s="32" t="s">
        <v>137</v>
      </c>
      <c r="C1455" s="32" t="s">
        <v>5153</v>
      </c>
      <c r="D1455" s="32" t="s">
        <v>5154</v>
      </c>
      <c r="E1455" s="32" t="s">
        <v>5155</v>
      </c>
      <c r="F1455" s="32" t="s">
        <v>5156</v>
      </c>
      <c r="G1455" s="32" t="s">
        <v>4795</v>
      </c>
      <c r="H1455" s="32" t="s">
        <v>4796</v>
      </c>
      <c r="I1455" s="32" t="s">
        <v>198</v>
      </c>
      <c r="J1455" s="32" t="s">
        <v>199</v>
      </c>
      <c r="K1455" s="32">
        <v>2.1612239999999998</v>
      </c>
      <c r="L1455" s="33">
        <v>1591</v>
      </c>
      <c r="M1455" s="32">
        <v>334</v>
      </c>
      <c r="N1455" s="32">
        <v>191</v>
      </c>
      <c r="O1455" s="32">
        <v>356</v>
      </c>
      <c r="P1455" s="32">
        <v>485</v>
      </c>
      <c r="Q1455" s="32">
        <v>225</v>
      </c>
      <c r="R1455" s="32" t="s">
        <v>225</v>
      </c>
      <c r="S1455" s="32">
        <v>12.262600000000001</v>
      </c>
      <c r="T1455" s="32">
        <v>0</v>
      </c>
      <c r="U1455" s="32">
        <v>0.69808175500000003</v>
      </c>
      <c r="V1455" s="32">
        <v>9</v>
      </c>
      <c r="W1455" s="32">
        <v>0.80863799999999997</v>
      </c>
      <c r="X1455" s="32">
        <v>0.26654</v>
      </c>
      <c r="Y1455" s="32">
        <v>0.9</v>
      </c>
      <c r="Z1455" s="32">
        <v>0.18415799999999999</v>
      </c>
      <c r="AA1455" s="32">
        <v>16.8</v>
      </c>
      <c r="AB1455" s="32">
        <v>815</v>
      </c>
      <c r="AC1455" s="32">
        <v>37</v>
      </c>
      <c r="AD1455" s="32">
        <v>73</v>
      </c>
      <c r="AE1455" s="32" t="s">
        <v>200</v>
      </c>
      <c r="AF1455" s="32" t="s">
        <v>200</v>
      </c>
      <c r="AG1455" s="32" t="s">
        <v>200</v>
      </c>
    </row>
    <row r="1456" spans="1:33">
      <c r="A1456" s="32" t="s">
        <v>5157</v>
      </c>
      <c r="B1456" s="32" t="s">
        <v>137</v>
      </c>
      <c r="C1456" s="32" t="s">
        <v>5158</v>
      </c>
      <c r="D1456" s="32" t="s">
        <v>5159</v>
      </c>
      <c r="E1456" s="32" t="s">
        <v>5160</v>
      </c>
      <c r="F1456" s="32" t="s">
        <v>5161</v>
      </c>
      <c r="G1456" s="32" t="s">
        <v>4795</v>
      </c>
      <c r="H1456" s="32" t="s">
        <v>4796</v>
      </c>
      <c r="I1456" s="32" t="s">
        <v>198</v>
      </c>
      <c r="J1456" s="32" t="s">
        <v>199</v>
      </c>
      <c r="K1456" s="32">
        <v>2.2146089999999998</v>
      </c>
      <c r="L1456" s="33">
        <v>1732</v>
      </c>
      <c r="M1456" s="32">
        <v>402</v>
      </c>
      <c r="N1456" s="32">
        <v>265</v>
      </c>
      <c r="O1456" s="32">
        <v>436</v>
      </c>
      <c r="P1456" s="32">
        <v>424</v>
      </c>
      <c r="Q1456" s="32">
        <v>205</v>
      </c>
      <c r="R1456" s="32" t="s">
        <v>214</v>
      </c>
      <c r="S1456" s="32">
        <v>9.2633700000000001</v>
      </c>
      <c r="T1456" s="32">
        <v>0</v>
      </c>
      <c r="U1456" s="32">
        <v>0.79064063900000003</v>
      </c>
      <c r="V1456" s="32">
        <v>8</v>
      </c>
      <c r="W1456" s="32">
        <v>0.80383000000000004</v>
      </c>
      <c r="X1456" s="32">
        <v>0.16778899999999999</v>
      </c>
      <c r="Y1456" s="32">
        <v>0.9</v>
      </c>
      <c r="Z1456" s="32">
        <v>0.34220200000000001</v>
      </c>
      <c r="AA1456" s="32">
        <v>26.1</v>
      </c>
      <c r="AB1456" s="32">
        <v>752</v>
      </c>
      <c r="AC1456" s="32">
        <v>32</v>
      </c>
      <c r="AD1456" s="32">
        <v>53</v>
      </c>
      <c r="AE1456" s="32" t="s">
        <v>200</v>
      </c>
      <c r="AF1456" s="32">
        <v>0</v>
      </c>
      <c r="AG1456" s="32" t="s">
        <v>200</v>
      </c>
    </row>
    <row r="1457" spans="1:33">
      <c r="A1457" s="32" t="s">
        <v>4929</v>
      </c>
      <c r="B1457" s="32" t="s">
        <v>137</v>
      </c>
      <c r="C1457" s="32" t="s">
        <v>4930</v>
      </c>
      <c r="D1457" s="32" t="s">
        <v>4931</v>
      </c>
      <c r="E1457" s="32" t="s">
        <v>4932</v>
      </c>
      <c r="F1457" s="32" t="s">
        <v>4933</v>
      </c>
      <c r="G1457" s="32" t="s">
        <v>4795</v>
      </c>
      <c r="H1457" s="32" t="s">
        <v>4796</v>
      </c>
      <c r="I1457" s="32" t="s">
        <v>198</v>
      </c>
      <c r="J1457" s="32" t="s">
        <v>199</v>
      </c>
      <c r="K1457" s="32">
        <v>2.206502</v>
      </c>
      <c r="L1457" s="33">
        <v>1841</v>
      </c>
      <c r="M1457" s="32">
        <v>373</v>
      </c>
      <c r="N1457" s="32">
        <v>289</v>
      </c>
      <c r="O1457" s="32">
        <v>480</v>
      </c>
      <c r="P1457" s="32">
        <v>426</v>
      </c>
      <c r="Q1457" s="32">
        <v>273</v>
      </c>
      <c r="R1457" s="32" t="s">
        <v>225</v>
      </c>
      <c r="S1457" s="32">
        <v>10.3766</v>
      </c>
      <c r="T1457" s="32">
        <v>0</v>
      </c>
      <c r="U1457" s="32">
        <v>0.75193419399999994</v>
      </c>
      <c r="V1457" s="32">
        <v>7</v>
      </c>
      <c r="W1457" s="32">
        <v>0.80945999999999996</v>
      </c>
      <c r="X1457" s="32">
        <v>0.25179499999999999</v>
      </c>
      <c r="Y1457" s="32">
        <v>0.9</v>
      </c>
      <c r="Z1457" s="32">
        <v>0.24413399999999999</v>
      </c>
      <c r="AA1457" s="32">
        <v>30</v>
      </c>
      <c r="AB1457" s="32">
        <v>837</v>
      </c>
      <c r="AC1457" s="32">
        <v>38</v>
      </c>
      <c r="AD1457" s="32">
        <v>71</v>
      </c>
      <c r="AE1457" s="32">
        <v>10</v>
      </c>
      <c r="AF1457" s="32" t="s">
        <v>200</v>
      </c>
      <c r="AG1457" s="32">
        <v>9</v>
      </c>
    </row>
    <row r="1458" spans="1:33">
      <c r="A1458" s="32" t="s">
        <v>5162</v>
      </c>
      <c r="B1458" s="32" t="s">
        <v>137</v>
      </c>
      <c r="C1458" s="32" t="s">
        <v>5163</v>
      </c>
      <c r="D1458" s="32" t="s">
        <v>5164</v>
      </c>
      <c r="E1458" s="32" t="s">
        <v>5147</v>
      </c>
      <c r="F1458" s="32" t="s">
        <v>5148</v>
      </c>
      <c r="G1458" s="32" t="s">
        <v>4795</v>
      </c>
      <c r="H1458" s="32" t="s">
        <v>4796</v>
      </c>
      <c r="I1458" s="32" t="s">
        <v>198</v>
      </c>
      <c r="J1458" s="32" t="s">
        <v>199</v>
      </c>
      <c r="K1458" s="32">
        <v>2.2814960000000002</v>
      </c>
      <c r="L1458" s="33">
        <v>1918</v>
      </c>
      <c r="M1458" s="32">
        <v>355</v>
      </c>
      <c r="N1458" s="32">
        <v>278</v>
      </c>
      <c r="O1458" s="32">
        <v>356</v>
      </c>
      <c r="P1458" s="32">
        <v>539</v>
      </c>
      <c r="Q1458" s="32">
        <v>390</v>
      </c>
      <c r="R1458" s="32" t="s">
        <v>225</v>
      </c>
      <c r="S1458" s="32">
        <v>20.992100000000001</v>
      </c>
      <c r="T1458" s="32">
        <v>0</v>
      </c>
      <c r="U1458" s="32">
        <v>0.639527332</v>
      </c>
      <c r="V1458" s="32">
        <v>9</v>
      </c>
      <c r="W1458" s="32">
        <v>0.81099399999999999</v>
      </c>
      <c r="X1458" s="32">
        <v>0.33890799999999999</v>
      </c>
      <c r="Y1458" s="32">
        <v>0.9</v>
      </c>
      <c r="Z1458" s="32">
        <v>0.23170299999999999</v>
      </c>
      <c r="AA1458" s="32">
        <v>27.6</v>
      </c>
      <c r="AB1458" s="32">
        <v>982</v>
      </c>
      <c r="AC1458" s="32">
        <v>25</v>
      </c>
      <c r="AD1458" s="32">
        <v>66</v>
      </c>
      <c r="AE1458" s="32">
        <v>0</v>
      </c>
      <c r="AF1458" s="32" t="s">
        <v>200</v>
      </c>
      <c r="AG1458" s="32" t="s">
        <v>200</v>
      </c>
    </row>
    <row r="1459" spans="1:33">
      <c r="A1459" s="32" t="s">
        <v>5165</v>
      </c>
      <c r="B1459" s="32" t="s">
        <v>137</v>
      </c>
      <c r="C1459" s="32" t="s">
        <v>5166</v>
      </c>
      <c r="D1459" s="32" t="s">
        <v>5167</v>
      </c>
      <c r="E1459" s="32" t="s">
        <v>5147</v>
      </c>
      <c r="F1459" s="32" t="s">
        <v>5148</v>
      </c>
      <c r="G1459" s="32" t="s">
        <v>4795</v>
      </c>
      <c r="H1459" s="32" t="s">
        <v>4796</v>
      </c>
      <c r="I1459" s="32" t="s">
        <v>198</v>
      </c>
      <c r="J1459" s="32" t="s">
        <v>199</v>
      </c>
      <c r="K1459" s="32">
        <v>2.269342</v>
      </c>
      <c r="L1459" s="33">
        <v>1363</v>
      </c>
      <c r="M1459" s="32">
        <v>219</v>
      </c>
      <c r="N1459" s="32">
        <v>178</v>
      </c>
      <c r="O1459" s="32">
        <v>208</v>
      </c>
      <c r="P1459" s="32">
        <v>412</v>
      </c>
      <c r="Q1459" s="32">
        <v>346</v>
      </c>
      <c r="R1459" s="32">
        <v>2</v>
      </c>
      <c r="S1459" s="32">
        <v>13.466100000000001</v>
      </c>
      <c r="T1459" s="32">
        <v>2.02867</v>
      </c>
      <c r="U1459" s="32">
        <v>0.713093333</v>
      </c>
      <c r="V1459" s="32">
        <v>7</v>
      </c>
      <c r="W1459" s="32">
        <v>0.82499999999999996</v>
      </c>
      <c r="X1459" s="32">
        <v>0.32318799999999998</v>
      </c>
      <c r="Y1459" s="32">
        <v>0.9</v>
      </c>
      <c r="Z1459" s="32">
        <v>0.22361800000000001</v>
      </c>
      <c r="AA1459" s="32">
        <v>27</v>
      </c>
      <c r="AB1459" s="32">
        <v>728</v>
      </c>
      <c r="AC1459" s="32">
        <v>18</v>
      </c>
      <c r="AD1459" s="32">
        <v>78</v>
      </c>
      <c r="AE1459" s="32" t="s">
        <v>200</v>
      </c>
      <c r="AF1459" s="32">
        <v>0</v>
      </c>
      <c r="AG1459" s="32" t="s">
        <v>200</v>
      </c>
    </row>
    <row r="1460" spans="1:33">
      <c r="A1460" s="32" t="s">
        <v>5168</v>
      </c>
      <c r="B1460" s="32" t="s">
        <v>138</v>
      </c>
      <c r="C1460" s="32" t="s">
        <v>5169</v>
      </c>
      <c r="D1460" s="32" t="s">
        <v>5170</v>
      </c>
      <c r="E1460" s="32" t="s">
        <v>5171</v>
      </c>
      <c r="F1460" s="32" t="s">
        <v>5172</v>
      </c>
      <c r="G1460" s="32" t="s">
        <v>5173</v>
      </c>
      <c r="H1460" s="32" t="s">
        <v>5174</v>
      </c>
      <c r="I1460" s="32" t="s">
        <v>198</v>
      </c>
      <c r="J1460" s="32" t="s">
        <v>199</v>
      </c>
      <c r="K1460" s="32">
        <v>2.6868310000000002</v>
      </c>
      <c r="L1460" s="33">
        <v>1902</v>
      </c>
      <c r="M1460" s="32">
        <v>431</v>
      </c>
      <c r="N1460" s="32">
        <v>335</v>
      </c>
      <c r="O1460" s="32">
        <v>632</v>
      </c>
      <c r="P1460" s="32">
        <v>355</v>
      </c>
      <c r="Q1460" s="32">
        <v>149</v>
      </c>
      <c r="R1460" s="32">
        <v>3</v>
      </c>
      <c r="S1460" s="32">
        <v>21.687899999999999</v>
      </c>
      <c r="T1460" s="32">
        <v>0</v>
      </c>
      <c r="U1460" s="32">
        <v>0.75595843399999996</v>
      </c>
      <c r="V1460" s="32">
        <v>4</v>
      </c>
      <c r="W1460" s="32">
        <v>0.90339800000000003</v>
      </c>
      <c r="X1460" s="32">
        <v>0.12582599999999999</v>
      </c>
      <c r="Y1460" s="32">
        <v>0.81085700000000005</v>
      </c>
      <c r="Z1460" s="32">
        <v>0.84480999999999995</v>
      </c>
      <c r="AA1460" s="32">
        <v>66.900000000000006</v>
      </c>
      <c r="AB1460" s="32">
        <v>602</v>
      </c>
      <c r="AC1460" s="32">
        <v>32</v>
      </c>
      <c r="AD1460" s="32">
        <v>112</v>
      </c>
      <c r="AE1460" s="32">
        <v>17</v>
      </c>
      <c r="AF1460" s="32">
        <v>13</v>
      </c>
      <c r="AG1460" s="32">
        <v>6</v>
      </c>
    </row>
    <row r="1461" spans="1:33">
      <c r="A1461" s="32" t="s">
        <v>5175</v>
      </c>
      <c r="B1461" s="32" t="s">
        <v>138</v>
      </c>
      <c r="C1461" s="32" t="s">
        <v>5176</v>
      </c>
      <c r="D1461" s="32" t="s">
        <v>5177</v>
      </c>
      <c r="E1461" s="32" t="s">
        <v>5178</v>
      </c>
      <c r="F1461" s="32" t="s">
        <v>5179</v>
      </c>
      <c r="G1461" s="32" t="s">
        <v>4886</v>
      </c>
      <c r="H1461" s="32" t="s">
        <v>4887</v>
      </c>
      <c r="I1461" s="32" t="s">
        <v>198</v>
      </c>
      <c r="J1461" s="32" t="s">
        <v>199</v>
      </c>
      <c r="K1461" s="32">
        <v>2.2172149999999999</v>
      </c>
      <c r="L1461" s="33">
        <v>1609</v>
      </c>
      <c r="M1461" s="32">
        <v>347</v>
      </c>
      <c r="N1461" s="32">
        <v>212</v>
      </c>
      <c r="O1461" s="32">
        <v>288</v>
      </c>
      <c r="P1461" s="32">
        <v>491</v>
      </c>
      <c r="Q1461" s="32">
        <v>271</v>
      </c>
      <c r="R1461" s="32" t="s">
        <v>225</v>
      </c>
      <c r="S1461" s="32">
        <v>6.1904899999999996</v>
      </c>
      <c r="T1461" s="32">
        <v>2.6430799999999999</v>
      </c>
      <c r="U1461" s="32">
        <v>0.68288038600000001</v>
      </c>
      <c r="V1461" s="32">
        <v>9</v>
      </c>
      <c r="W1461" s="32">
        <v>0.9</v>
      </c>
      <c r="X1461" s="32">
        <v>8.5641999999999996E-2</v>
      </c>
      <c r="Y1461" s="32">
        <v>0.88194600000000001</v>
      </c>
      <c r="Z1461" s="32">
        <v>0.35661599999999999</v>
      </c>
      <c r="AA1461" s="32">
        <v>20.399999999999999</v>
      </c>
      <c r="AB1461" s="32">
        <v>622</v>
      </c>
      <c r="AC1461" s="32">
        <v>33</v>
      </c>
      <c r="AD1461" s="32">
        <v>59</v>
      </c>
      <c r="AE1461" s="32" t="s">
        <v>200</v>
      </c>
      <c r="AF1461" s="32" t="s">
        <v>200</v>
      </c>
      <c r="AG1461" s="32" t="s">
        <v>200</v>
      </c>
    </row>
    <row r="1462" spans="1:33">
      <c r="A1462" s="32" t="s">
        <v>5180</v>
      </c>
      <c r="B1462" s="32" t="s">
        <v>138</v>
      </c>
      <c r="C1462" s="32" t="s">
        <v>5181</v>
      </c>
      <c r="D1462" s="32" t="s">
        <v>5182</v>
      </c>
      <c r="E1462" s="32" t="s">
        <v>5183</v>
      </c>
      <c r="F1462" s="32" t="s">
        <v>5184</v>
      </c>
      <c r="G1462" s="32" t="s">
        <v>4886</v>
      </c>
      <c r="H1462" s="32" t="s">
        <v>4887</v>
      </c>
      <c r="I1462" s="32" t="s">
        <v>198</v>
      </c>
      <c r="J1462" s="32" t="s">
        <v>199</v>
      </c>
      <c r="K1462" s="32">
        <v>2.1989390000000002</v>
      </c>
      <c r="L1462" s="33">
        <v>1814</v>
      </c>
      <c r="M1462" s="32">
        <v>367</v>
      </c>
      <c r="N1462" s="32">
        <v>294</v>
      </c>
      <c r="O1462" s="32">
        <v>400</v>
      </c>
      <c r="P1462" s="32">
        <v>488</v>
      </c>
      <c r="Q1462" s="32">
        <v>265</v>
      </c>
      <c r="R1462" s="32">
        <v>3</v>
      </c>
      <c r="S1462" s="32">
        <v>24.2074</v>
      </c>
      <c r="T1462" s="32">
        <v>6.0459199999999997</v>
      </c>
      <c r="U1462" s="32">
        <v>0.96733671200000004</v>
      </c>
      <c r="V1462" s="32">
        <v>5</v>
      </c>
      <c r="W1462" s="32">
        <v>0.89628600000000003</v>
      </c>
      <c r="X1462" s="32">
        <v>8.2777000000000003E-2</v>
      </c>
      <c r="Y1462" s="32">
        <v>0.9</v>
      </c>
      <c r="Z1462" s="32">
        <v>0.32897199999999999</v>
      </c>
      <c r="AA1462" s="32">
        <v>55.8</v>
      </c>
      <c r="AB1462" s="32">
        <v>708</v>
      </c>
      <c r="AC1462" s="32">
        <v>39</v>
      </c>
      <c r="AD1462" s="32">
        <v>56</v>
      </c>
      <c r="AE1462" s="32" t="s">
        <v>200</v>
      </c>
      <c r="AF1462" s="32">
        <v>0</v>
      </c>
      <c r="AG1462" s="32" t="s">
        <v>200</v>
      </c>
    </row>
    <row r="1463" spans="1:33">
      <c r="A1463" s="32" t="s">
        <v>5185</v>
      </c>
      <c r="B1463" s="32" t="s">
        <v>138</v>
      </c>
      <c r="C1463" s="32" t="s">
        <v>5186</v>
      </c>
      <c r="D1463" s="32" t="s">
        <v>5187</v>
      </c>
      <c r="E1463" s="32" t="s">
        <v>5188</v>
      </c>
      <c r="F1463" s="32" t="s">
        <v>5189</v>
      </c>
      <c r="G1463" s="32" t="s">
        <v>4886</v>
      </c>
      <c r="H1463" s="32" t="s">
        <v>4887</v>
      </c>
      <c r="I1463" s="32" t="s">
        <v>198</v>
      </c>
      <c r="J1463" s="32" t="s">
        <v>199</v>
      </c>
      <c r="K1463" s="32">
        <v>2.2344780000000002</v>
      </c>
      <c r="L1463" s="33">
        <v>1570</v>
      </c>
      <c r="M1463" s="32">
        <v>358</v>
      </c>
      <c r="N1463" s="32">
        <v>258</v>
      </c>
      <c r="O1463" s="32">
        <v>290</v>
      </c>
      <c r="P1463" s="32">
        <v>375</v>
      </c>
      <c r="Q1463" s="32">
        <v>289</v>
      </c>
      <c r="R1463" s="32">
        <v>2</v>
      </c>
      <c r="S1463" s="32">
        <v>15.1294</v>
      </c>
      <c r="T1463" s="32">
        <v>0</v>
      </c>
      <c r="U1463" s="32">
        <v>1.073076277</v>
      </c>
      <c r="V1463" s="32">
        <v>3</v>
      </c>
      <c r="W1463" s="32">
        <v>0.84438599999999997</v>
      </c>
      <c r="X1463" s="32">
        <v>0.20346700000000001</v>
      </c>
      <c r="Y1463" s="32">
        <v>0.9</v>
      </c>
      <c r="Z1463" s="32">
        <v>0.28822799999999998</v>
      </c>
      <c r="AA1463" s="32">
        <v>52.9</v>
      </c>
      <c r="AB1463" s="32">
        <v>531</v>
      </c>
      <c r="AC1463" s="32">
        <v>20</v>
      </c>
      <c r="AD1463" s="32">
        <v>39</v>
      </c>
      <c r="AE1463" s="32">
        <v>0</v>
      </c>
      <c r="AF1463" s="32" t="s">
        <v>200</v>
      </c>
      <c r="AG1463" s="32">
        <v>7</v>
      </c>
    </row>
    <row r="1464" spans="1:33">
      <c r="A1464" s="32" t="s">
        <v>5190</v>
      </c>
      <c r="B1464" s="32" t="s">
        <v>138</v>
      </c>
      <c r="C1464" s="32" t="s">
        <v>5191</v>
      </c>
      <c r="D1464" s="32" t="s">
        <v>5192</v>
      </c>
      <c r="E1464" s="32" t="s">
        <v>5188</v>
      </c>
      <c r="F1464" s="32" t="s">
        <v>5189</v>
      </c>
      <c r="G1464" s="32" t="s">
        <v>4886</v>
      </c>
      <c r="H1464" s="32" t="s">
        <v>4887</v>
      </c>
      <c r="I1464" s="32" t="s">
        <v>198</v>
      </c>
      <c r="J1464" s="32" t="s">
        <v>199</v>
      </c>
      <c r="K1464" s="32">
        <v>2.2742460000000002</v>
      </c>
      <c r="L1464" s="33">
        <v>1732</v>
      </c>
      <c r="M1464" s="32">
        <v>472</v>
      </c>
      <c r="N1464" s="32">
        <v>260</v>
      </c>
      <c r="O1464" s="32">
        <v>374</v>
      </c>
      <c r="P1464" s="32">
        <v>386</v>
      </c>
      <c r="Q1464" s="32">
        <v>240</v>
      </c>
      <c r="R1464" s="32" t="s">
        <v>225</v>
      </c>
      <c r="S1464" s="32">
        <v>8.8517499999999991</v>
      </c>
      <c r="T1464" s="32">
        <v>0</v>
      </c>
      <c r="U1464" s="32">
        <v>1.034779399</v>
      </c>
      <c r="V1464" s="32">
        <v>2</v>
      </c>
      <c r="W1464" s="32">
        <v>0.84062499999999996</v>
      </c>
      <c r="X1464" s="32">
        <v>0.228571</v>
      </c>
      <c r="Y1464" s="32">
        <v>0.9</v>
      </c>
      <c r="Z1464" s="32">
        <v>0.31443900000000002</v>
      </c>
      <c r="AA1464" s="32">
        <v>57.5</v>
      </c>
      <c r="AB1464" s="32">
        <v>707</v>
      </c>
      <c r="AC1464" s="32">
        <v>27</v>
      </c>
      <c r="AD1464" s="32">
        <v>50</v>
      </c>
      <c r="AE1464" s="32">
        <v>0</v>
      </c>
      <c r="AF1464" s="32" t="s">
        <v>200</v>
      </c>
      <c r="AG1464" s="32" t="s">
        <v>200</v>
      </c>
    </row>
    <row r="1465" spans="1:33">
      <c r="A1465" s="32" t="s">
        <v>5193</v>
      </c>
      <c r="B1465" s="32" t="s">
        <v>138</v>
      </c>
      <c r="C1465" s="32" t="s">
        <v>5194</v>
      </c>
      <c r="D1465" s="32" t="s">
        <v>5195</v>
      </c>
      <c r="E1465" s="32" t="s">
        <v>5188</v>
      </c>
      <c r="F1465" s="32" t="s">
        <v>5189</v>
      </c>
      <c r="G1465" s="32" t="s">
        <v>4886</v>
      </c>
      <c r="H1465" s="32" t="s">
        <v>4887</v>
      </c>
      <c r="I1465" s="32" t="s">
        <v>198</v>
      </c>
      <c r="J1465" s="32" t="s">
        <v>199</v>
      </c>
      <c r="K1465" s="32">
        <v>2.3157770000000002</v>
      </c>
      <c r="L1465" s="33">
        <v>1631</v>
      </c>
      <c r="M1465" s="32">
        <v>383</v>
      </c>
      <c r="N1465" s="32">
        <v>237</v>
      </c>
      <c r="O1465" s="32">
        <v>343</v>
      </c>
      <c r="P1465" s="32">
        <v>397</v>
      </c>
      <c r="Q1465" s="32">
        <v>271</v>
      </c>
      <c r="R1465" s="32" t="s">
        <v>225</v>
      </c>
      <c r="S1465" s="32">
        <v>10.3545</v>
      </c>
      <c r="T1465" s="32">
        <v>0</v>
      </c>
      <c r="U1465" s="32">
        <v>0.96583022500000004</v>
      </c>
      <c r="V1465" s="32">
        <v>4</v>
      </c>
      <c r="W1465" s="32">
        <v>0.84895600000000004</v>
      </c>
      <c r="X1465" s="32">
        <v>0.24310100000000001</v>
      </c>
      <c r="Y1465" s="32">
        <v>0.9</v>
      </c>
      <c r="Z1465" s="32">
        <v>0.33264100000000002</v>
      </c>
      <c r="AA1465" s="32">
        <v>49.4</v>
      </c>
      <c r="AB1465" s="32">
        <v>658</v>
      </c>
      <c r="AC1465" s="32">
        <v>28</v>
      </c>
      <c r="AD1465" s="32">
        <v>65</v>
      </c>
      <c r="AE1465" s="32">
        <v>0</v>
      </c>
      <c r="AF1465" s="32" t="s">
        <v>200</v>
      </c>
      <c r="AG1465" s="32">
        <v>6</v>
      </c>
    </row>
    <row r="1466" spans="1:33">
      <c r="A1466" s="32" t="s">
        <v>5196</v>
      </c>
      <c r="B1466" s="32" t="s">
        <v>138</v>
      </c>
      <c r="C1466" s="32" t="s">
        <v>5197</v>
      </c>
      <c r="D1466" s="32" t="s">
        <v>5198</v>
      </c>
      <c r="E1466" s="32" t="s">
        <v>5199</v>
      </c>
      <c r="F1466" s="32" t="s">
        <v>5200</v>
      </c>
      <c r="G1466" s="32" t="s">
        <v>4886</v>
      </c>
      <c r="H1466" s="32" t="s">
        <v>4887</v>
      </c>
      <c r="I1466" s="32" t="s">
        <v>198</v>
      </c>
      <c r="J1466" s="32" t="s">
        <v>199</v>
      </c>
      <c r="K1466" s="32">
        <v>2.4188990000000001</v>
      </c>
      <c r="L1466" s="33">
        <v>1691</v>
      </c>
      <c r="M1466" s="32">
        <v>411</v>
      </c>
      <c r="N1466" s="32">
        <v>260</v>
      </c>
      <c r="O1466" s="32">
        <v>479</v>
      </c>
      <c r="P1466" s="32">
        <v>361</v>
      </c>
      <c r="Q1466" s="32">
        <v>180</v>
      </c>
      <c r="R1466" s="32" t="s">
        <v>214</v>
      </c>
      <c r="S1466" s="32">
        <v>7.7703600000000002</v>
      </c>
      <c r="T1466" s="32">
        <v>0</v>
      </c>
      <c r="U1466" s="32">
        <v>0.77533430400000003</v>
      </c>
      <c r="V1466" s="32">
        <v>5</v>
      </c>
      <c r="W1466" s="32">
        <v>0.83534200000000003</v>
      </c>
      <c r="X1466" s="32">
        <v>0.18510799999999999</v>
      </c>
      <c r="Y1466" s="32">
        <v>0.9</v>
      </c>
      <c r="Z1466" s="32">
        <v>0.49247400000000002</v>
      </c>
      <c r="AA1466" s="32">
        <v>47</v>
      </c>
      <c r="AB1466" s="32">
        <v>639</v>
      </c>
      <c r="AC1466" s="32">
        <v>20</v>
      </c>
      <c r="AD1466" s="32">
        <v>165</v>
      </c>
      <c r="AE1466" s="32">
        <v>21</v>
      </c>
      <c r="AF1466" s="32">
        <v>0</v>
      </c>
      <c r="AG1466" s="32">
        <v>8</v>
      </c>
    </row>
    <row r="1467" spans="1:33">
      <c r="A1467" s="32" t="s">
        <v>5201</v>
      </c>
      <c r="B1467" s="32" t="s">
        <v>138</v>
      </c>
      <c r="C1467" s="32" t="s">
        <v>5202</v>
      </c>
      <c r="D1467" s="32" t="s">
        <v>5203</v>
      </c>
      <c r="E1467" s="32" t="s">
        <v>5199</v>
      </c>
      <c r="F1467" s="32" t="s">
        <v>5200</v>
      </c>
      <c r="G1467" s="32" t="s">
        <v>4886</v>
      </c>
      <c r="H1467" s="32" t="s">
        <v>4887</v>
      </c>
      <c r="I1467" s="32" t="s">
        <v>198</v>
      </c>
      <c r="J1467" s="32" t="s">
        <v>199</v>
      </c>
      <c r="K1467" s="32">
        <v>2.358069</v>
      </c>
      <c r="L1467" s="33">
        <v>1752</v>
      </c>
      <c r="M1467" s="32">
        <v>303</v>
      </c>
      <c r="N1467" s="32">
        <v>282</v>
      </c>
      <c r="O1467" s="32">
        <v>408</v>
      </c>
      <c r="P1467" s="32">
        <v>452</v>
      </c>
      <c r="Q1467" s="32">
        <v>307</v>
      </c>
      <c r="R1467" s="32">
        <v>2</v>
      </c>
      <c r="S1467" s="32">
        <v>16.684000000000001</v>
      </c>
      <c r="T1467" s="32">
        <v>0</v>
      </c>
      <c r="U1467" s="32">
        <v>0.75585363000000005</v>
      </c>
      <c r="V1467" s="32">
        <v>6</v>
      </c>
      <c r="W1467" s="32">
        <v>0.860483</v>
      </c>
      <c r="X1467" s="32">
        <v>0.176121</v>
      </c>
      <c r="Y1467" s="32">
        <v>0.9</v>
      </c>
      <c r="Z1467" s="32">
        <v>0.42399199999999998</v>
      </c>
      <c r="AA1467" s="32">
        <v>51.4</v>
      </c>
      <c r="AB1467" s="32">
        <v>728</v>
      </c>
      <c r="AC1467" s="32">
        <v>32</v>
      </c>
      <c r="AD1467" s="32">
        <v>68</v>
      </c>
      <c r="AE1467" s="32" t="s">
        <v>200</v>
      </c>
      <c r="AF1467" s="32">
        <v>0</v>
      </c>
      <c r="AG1467" s="32" t="s">
        <v>200</v>
      </c>
    </row>
    <row r="1468" spans="1:33">
      <c r="A1468" s="32" t="s">
        <v>5204</v>
      </c>
      <c r="B1468" s="32" t="s">
        <v>138</v>
      </c>
      <c r="C1468" s="32" t="s">
        <v>5205</v>
      </c>
      <c r="D1468" s="32" t="s">
        <v>5206</v>
      </c>
      <c r="E1468" s="32" t="s">
        <v>5199</v>
      </c>
      <c r="F1468" s="32" t="s">
        <v>5200</v>
      </c>
      <c r="G1468" s="32" t="s">
        <v>4886</v>
      </c>
      <c r="H1468" s="32" t="s">
        <v>4887</v>
      </c>
      <c r="I1468" s="32" t="s">
        <v>198</v>
      </c>
      <c r="J1468" s="32" t="s">
        <v>199</v>
      </c>
      <c r="K1468" s="32">
        <v>2.492613</v>
      </c>
      <c r="L1468" s="33">
        <v>2008</v>
      </c>
      <c r="M1468" s="32">
        <v>459</v>
      </c>
      <c r="N1468" s="32">
        <v>300</v>
      </c>
      <c r="O1468" s="32">
        <v>407</v>
      </c>
      <c r="P1468" s="32">
        <v>472</v>
      </c>
      <c r="Q1468" s="32">
        <v>370</v>
      </c>
      <c r="R1468" s="32">
        <v>2</v>
      </c>
      <c r="S1468" s="32">
        <v>16.272600000000001</v>
      </c>
      <c r="T1468" s="32">
        <v>0</v>
      </c>
      <c r="U1468" s="32">
        <v>0.90555377400000003</v>
      </c>
      <c r="V1468" s="32">
        <v>3</v>
      </c>
      <c r="W1468" s="32">
        <v>0.89044999999999996</v>
      </c>
      <c r="X1468" s="32">
        <v>0.30523499999999998</v>
      </c>
      <c r="Y1468" s="32">
        <v>0.9</v>
      </c>
      <c r="Z1468" s="32">
        <v>0.39721499999999998</v>
      </c>
      <c r="AA1468" s="32">
        <v>51.6</v>
      </c>
      <c r="AB1468" s="32">
        <v>632</v>
      </c>
      <c r="AC1468" s="32">
        <v>28</v>
      </c>
      <c r="AD1468" s="32">
        <v>55</v>
      </c>
      <c r="AE1468" s="32">
        <v>0</v>
      </c>
      <c r="AF1468" s="32" t="s">
        <v>200</v>
      </c>
      <c r="AG1468" s="32" t="s">
        <v>200</v>
      </c>
    </row>
    <row r="1469" spans="1:33">
      <c r="A1469" s="32" t="s">
        <v>5207</v>
      </c>
      <c r="B1469" s="32" t="s">
        <v>138</v>
      </c>
      <c r="C1469" s="32" t="s">
        <v>5208</v>
      </c>
      <c r="D1469" s="32" t="s">
        <v>5209</v>
      </c>
      <c r="E1469" s="32" t="s">
        <v>5183</v>
      </c>
      <c r="F1469" s="32" t="s">
        <v>5184</v>
      </c>
      <c r="G1469" s="32" t="s">
        <v>4886</v>
      </c>
      <c r="H1469" s="32" t="s">
        <v>4887</v>
      </c>
      <c r="I1469" s="32" t="s">
        <v>198</v>
      </c>
      <c r="J1469" s="32" t="s">
        <v>199</v>
      </c>
      <c r="K1469" s="32">
        <v>2.264713</v>
      </c>
      <c r="L1469" s="33">
        <v>1612</v>
      </c>
      <c r="M1469" s="32">
        <v>381</v>
      </c>
      <c r="N1469" s="32">
        <v>198</v>
      </c>
      <c r="O1469" s="32">
        <v>315</v>
      </c>
      <c r="P1469" s="32">
        <v>406</v>
      </c>
      <c r="Q1469" s="32">
        <v>312</v>
      </c>
      <c r="R1469" s="32" t="s">
        <v>225</v>
      </c>
      <c r="S1469" s="32">
        <v>17.178799999999999</v>
      </c>
      <c r="T1469" s="32">
        <v>0</v>
      </c>
      <c r="U1469" s="32">
        <v>0.82469318199999997</v>
      </c>
      <c r="V1469" s="32">
        <v>5</v>
      </c>
      <c r="W1469" s="32">
        <v>0.86620699999999995</v>
      </c>
      <c r="X1469" s="32">
        <v>0.18578</v>
      </c>
      <c r="Y1469" s="32">
        <v>0.9</v>
      </c>
      <c r="Z1469" s="32">
        <v>0.31668600000000002</v>
      </c>
      <c r="AA1469" s="32">
        <v>40.799999999999997</v>
      </c>
      <c r="AB1469" s="32">
        <v>766</v>
      </c>
      <c r="AC1469" s="32">
        <v>39</v>
      </c>
      <c r="AD1469" s="32">
        <v>66</v>
      </c>
      <c r="AE1469" s="32">
        <v>0</v>
      </c>
      <c r="AF1469" s="32" t="s">
        <v>200</v>
      </c>
      <c r="AG1469" s="32">
        <v>8</v>
      </c>
    </row>
    <row r="1470" spans="1:33">
      <c r="A1470" s="32" t="s">
        <v>5210</v>
      </c>
      <c r="B1470" s="32" t="s">
        <v>138</v>
      </c>
      <c r="C1470" s="32" t="s">
        <v>5211</v>
      </c>
      <c r="D1470" s="32" t="s">
        <v>5212</v>
      </c>
      <c r="E1470" s="32" t="s">
        <v>5199</v>
      </c>
      <c r="F1470" s="32" t="s">
        <v>5200</v>
      </c>
      <c r="G1470" s="32" t="s">
        <v>4886</v>
      </c>
      <c r="H1470" s="32" t="s">
        <v>4887</v>
      </c>
      <c r="I1470" s="32" t="s">
        <v>198</v>
      </c>
      <c r="J1470" s="32" t="s">
        <v>199</v>
      </c>
      <c r="K1470" s="32">
        <v>2.5118999999999998</v>
      </c>
      <c r="L1470" s="33">
        <v>1570</v>
      </c>
      <c r="M1470" s="32">
        <v>327</v>
      </c>
      <c r="N1470" s="32">
        <v>268</v>
      </c>
      <c r="O1470" s="32">
        <v>372</v>
      </c>
      <c r="P1470" s="32">
        <v>390</v>
      </c>
      <c r="Q1470" s="32">
        <v>213</v>
      </c>
      <c r="R1470" s="32">
        <v>3</v>
      </c>
      <c r="S1470" s="32">
        <v>20.2593</v>
      </c>
      <c r="T1470" s="32">
        <v>6.8014200000000002</v>
      </c>
      <c r="U1470" s="32">
        <v>0.66049652199999997</v>
      </c>
      <c r="V1470" s="32">
        <v>5</v>
      </c>
      <c r="W1470" s="32">
        <v>0.83169000000000004</v>
      </c>
      <c r="X1470" s="32">
        <v>0.119001</v>
      </c>
      <c r="Y1470" s="32">
        <v>0.9</v>
      </c>
      <c r="Z1470" s="32">
        <v>0.65345200000000003</v>
      </c>
      <c r="AA1470" s="32">
        <v>51.5</v>
      </c>
      <c r="AB1470" s="32">
        <v>598</v>
      </c>
      <c r="AC1470" s="32">
        <v>15</v>
      </c>
      <c r="AD1470" s="32">
        <v>126</v>
      </c>
      <c r="AE1470" s="32">
        <v>89</v>
      </c>
      <c r="AF1470" s="32">
        <v>10</v>
      </c>
      <c r="AG1470" s="32">
        <v>16</v>
      </c>
    </row>
    <row r="1471" spans="1:33">
      <c r="A1471" s="32" t="s">
        <v>5213</v>
      </c>
      <c r="B1471" s="32" t="s">
        <v>138</v>
      </c>
      <c r="C1471" s="32" t="s">
        <v>5214</v>
      </c>
      <c r="D1471" s="32" t="s">
        <v>5215</v>
      </c>
      <c r="E1471" s="32" t="s">
        <v>5216</v>
      </c>
      <c r="F1471" s="32" t="s">
        <v>5217</v>
      </c>
      <c r="G1471" s="32" t="s">
        <v>4886</v>
      </c>
      <c r="H1471" s="32" t="s">
        <v>4887</v>
      </c>
      <c r="I1471" s="32" t="s">
        <v>198</v>
      </c>
      <c r="J1471" s="32" t="s">
        <v>199</v>
      </c>
      <c r="K1471" s="32">
        <v>2.8587929999999999</v>
      </c>
      <c r="L1471" s="33">
        <v>1970</v>
      </c>
      <c r="M1471" s="32">
        <v>361</v>
      </c>
      <c r="N1471" s="32">
        <v>364</v>
      </c>
      <c r="O1471" s="32">
        <v>598</v>
      </c>
      <c r="P1471" s="32">
        <v>384</v>
      </c>
      <c r="Q1471" s="32">
        <v>263</v>
      </c>
      <c r="R1471" s="32">
        <v>3</v>
      </c>
      <c r="S1471" s="32">
        <v>21.882300000000001</v>
      </c>
      <c r="T1471" s="32">
        <v>0</v>
      </c>
      <c r="U1471" s="32">
        <v>0.52875703299999999</v>
      </c>
      <c r="V1471" s="32">
        <v>6</v>
      </c>
      <c r="W1471" s="32">
        <v>0.92018200000000006</v>
      </c>
      <c r="X1471" s="32">
        <v>0.35217700000000002</v>
      </c>
      <c r="Y1471" s="32">
        <v>0.80246099999999998</v>
      </c>
      <c r="Z1471" s="32">
        <v>0.774725</v>
      </c>
      <c r="AA1471" s="32">
        <v>47.8</v>
      </c>
      <c r="AB1471" s="32">
        <v>806</v>
      </c>
      <c r="AC1471" s="32">
        <v>41</v>
      </c>
      <c r="AD1471" s="32">
        <v>97</v>
      </c>
      <c r="AE1471" s="32">
        <v>5</v>
      </c>
      <c r="AF1471" s="32">
        <v>12</v>
      </c>
      <c r="AG1471" s="32">
        <v>5</v>
      </c>
    </row>
    <row r="1472" spans="1:33">
      <c r="A1472" s="32" t="s">
        <v>5218</v>
      </c>
      <c r="B1472" s="32" t="s">
        <v>138</v>
      </c>
      <c r="C1472" s="32" t="s">
        <v>5219</v>
      </c>
      <c r="D1472" s="32" t="s">
        <v>5220</v>
      </c>
      <c r="E1472" s="32" t="s">
        <v>5178</v>
      </c>
      <c r="F1472" s="32" t="s">
        <v>5179</v>
      </c>
      <c r="G1472" s="32" t="s">
        <v>4886</v>
      </c>
      <c r="H1472" s="32" t="s">
        <v>4887</v>
      </c>
      <c r="I1472" s="32" t="s">
        <v>198</v>
      </c>
      <c r="J1472" s="32" t="s">
        <v>199</v>
      </c>
      <c r="K1472" s="32">
        <v>2.2799999999999998</v>
      </c>
      <c r="L1472" s="33">
        <v>1440</v>
      </c>
      <c r="M1472" s="32">
        <v>307</v>
      </c>
      <c r="N1472" s="32">
        <v>180</v>
      </c>
      <c r="O1472" s="32">
        <v>234</v>
      </c>
      <c r="P1472" s="32">
        <v>386</v>
      </c>
      <c r="Q1472" s="32">
        <v>333</v>
      </c>
      <c r="R1472" s="32">
        <v>2</v>
      </c>
      <c r="S1472" s="32">
        <v>11.411</v>
      </c>
      <c r="T1472" s="32">
        <v>2.33989</v>
      </c>
      <c r="U1472" s="32">
        <v>0.63803524700000003</v>
      </c>
      <c r="V1472" s="32">
        <v>9</v>
      </c>
      <c r="W1472" s="32">
        <v>0.90394399999999997</v>
      </c>
      <c r="X1472" s="32">
        <v>4.7376000000000001E-2</v>
      </c>
      <c r="Y1472" s="32">
        <v>0.81476800000000005</v>
      </c>
      <c r="Z1472" s="32">
        <v>0.52183100000000004</v>
      </c>
      <c r="AA1472" s="32">
        <v>29.1</v>
      </c>
      <c r="AB1472" s="32">
        <v>679</v>
      </c>
      <c r="AC1472" s="32">
        <v>16</v>
      </c>
      <c r="AD1472" s="32">
        <v>23</v>
      </c>
      <c r="AE1472" s="32">
        <v>0</v>
      </c>
      <c r="AF1472" s="32">
        <v>0</v>
      </c>
      <c r="AG1472" s="32" t="s">
        <v>200</v>
      </c>
    </row>
    <row r="1473" spans="1:33">
      <c r="A1473" s="32" t="s">
        <v>5221</v>
      </c>
      <c r="B1473" s="32" t="s">
        <v>138</v>
      </c>
      <c r="C1473" s="32" t="s">
        <v>5222</v>
      </c>
      <c r="D1473" s="32" t="s">
        <v>5223</v>
      </c>
      <c r="E1473" s="32" t="s">
        <v>5178</v>
      </c>
      <c r="F1473" s="32" t="s">
        <v>5179</v>
      </c>
      <c r="G1473" s="32" t="s">
        <v>4886</v>
      </c>
      <c r="H1473" s="32" t="s">
        <v>4887</v>
      </c>
      <c r="I1473" s="32" t="s">
        <v>198</v>
      </c>
      <c r="J1473" s="32" t="s">
        <v>199</v>
      </c>
      <c r="K1473" s="32">
        <v>2.3241719999999999</v>
      </c>
      <c r="L1473" s="33">
        <v>1513</v>
      </c>
      <c r="M1473" s="32">
        <v>364</v>
      </c>
      <c r="N1473" s="32">
        <v>175</v>
      </c>
      <c r="O1473" s="32">
        <v>268</v>
      </c>
      <c r="P1473" s="32">
        <v>385</v>
      </c>
      <c r="Q1473" s="32">
        <v>321</v>
      </c>
      <c r="R1473" s="32">
        <v>2</v>
      </c>
      <c r="S1473" s="32">
        <v>20.5427</v>
      </c>
      <c r="T1473" s="32">
        <v>0</v>
      </c>
      <c r="U1473" s="32">
        <v>0.62794222600000005</v>
      </c>
      <c r="V1473" s="32">
        <v>9</v>
      </c>
      <c r="W1473" s="32">
        <v>0.90490800000000005</v>
      </c>
      <c r="X1473" s="32">
        <v>0.13880000000000001</v>
      </c>
      <c r="Y1473" s="32">
        <v>0.85243899999999995</v>
      </c>
      <c r="Z1473" s="32">
        <v>0.43329299999999998</v>
      </c>
      <c r="AA1473" s="32">
        <v>21.3</v>
      </c>
      <c r="AB1473" s="32">
        <v>584</v>
      </c>
      <c r="AC1473" s="32">
        <v>20</v>
      </c>
      <c r="AD1473" s="32">
        <v>18</v>
      </c>
      <c r="AE1473" s="32">
        <v>0</v>
      </c>
      <c r="AF1473" s="32" t="s">
        <v>200</v>
      </c>
      <c r="AG1473" s="32" t="s">
        <v>200</v>
      </c>
    </row>
    <row r="1474" spans="1:33">
      <c r="A1474" s="32" t="s">
        <v>5224</v>
      </c>
      <c r="B1474" s="32" t="s">
        <v>138</v>
      </c>
      <c r="C1474" s="32" t="s">
        <v>5225</v>
      </c>
      <c r="D1474" s="32" t="s">
        <v>5226</v>
      </c>
      <c r="E1474" s="32" t="s">
        <v>5227</v>
      </c>
      <c r="F1474" s="32" t="s">
        <v>5228</v>
      </c>
      <c r="G1474" s="32" t="s">
        <v>4886</v>
      </c>
      <c r="H1474" s="32" t="s">
        <v>4887</v>
      </c>
      <c r="I1474" s="32" t="s">
        <v>198</v>
      </c>
      <c r="J1474" s="32" t="s">
        <v>199</v>
      </c>
      <c r="K1474" s="32">
        <v>2.2890640000000002</v>
      </c>
      <c r="L1474" s="33">
        <v>1488</v>
      </c>
      <c r="M1474" s="32">
        <v>431</v>
      </c>
      <c r="N1474" s="32">
        <v>273</v>
      </c>
      <c r="O1474" s="32">
        <v>262</v>
      </c>
      <c r="P1474" s="32">
        <v>355</v>
      </c>
      <c r="Q1474" s="32">
        <v>167</v>
      </c>
      <c r="R1474" s="32" t="s">
        <v>214</v>
      </c>
      <c r="S1474" s="32">
        <v>7.3210800000000003</v>
      </c>
      <c r="T1474" s="32">
        <v>0</v>
      </c>
      <c r="U1474" s="32">
        <v>1.187972421</v>
      </c>
      <c r="V1474" s="32">
        <v>2</v>
      </c>
      <c r="W1474" s="32">
        <v>0.81463399999999997</v>
      </c>
      <c r="X1474" s="32">
        <v>0.28920200000000001</v>
      </c>
      <c r="Y1474" s="32">
        <v>0.9</v>
      </c>
      <c r="Z1474" s="32">
        <v>0.285445</v>
      </c>
      <c r="AA1474" s="32">
        <v>53.2</v>
      </c>
      <c r="AB1474" s="32">
        <v>485</v>
      </c>
      <c r="AC1474" s="32">
        <v>22</v>
      </c>
      <c r="AD1474" s="32">
        <v>33</v>
      </c>
      <c r="AE1474" s="32">
        <v>0</v>
      </c>
      <c r="AF1474" s="32">
        <v>0</v>
      </c>
      <c r="AG1474" s="32">
        <v>0</v>
      </c>
    </row>
    <row r="1475" spans="1:33">
      <c r="A1475" s="32" t="s">
        <v>5229</v>
      </c>
      <c r="B1475" s="32" t="s">
        <v>138</v>
      </c>
      <c r="C1475" s="32" t="s">
        <v>5230</v>
      </c>
      <c r="D1475" s="32" t="s">
        <v>5231</v>
      </c>
      <c r="E1475" s="32" t="s">
        <v>5227</v>
      </c>
      <c r="F1475" s="32" t="s">
        <v>5228</v>
      </c>
      <c r="G1475" s="32" t="s">
        <v>4886</v>
      </c>
      <c r="H1475" s="32" t="s">
        <v>4887</v>
      </c>
      <c r="I1475" s="32" t="s">
        <v>198</v>
      </c>
      <c r="J1475" s="32" t="s">
        <v>199</v>
      </c>
      <c r="K1475" s="32">
        <v>2.2256459999999998</v>
      </c>
      <c r="L1475" s="33">
        <v>2044</v>
      </c>
      <c r="M1475" s="32">
        <v>501</v>
      </c>
      <c r="N1475" s="32">
        <v>314</v>
      </c>
      <c r="O1475" s="32">
        <v>463</v>
      </c>
      <c r="P1475" s="32">
        <v>444</v>
      </c>
      <c r="Q1475" s="32">
        <v>322</v>
      </c>
      <c r="R1475" s="32">
        <v>2</v>
      </c>
      <c r="S1475" s="32">
        <v>16.314900000000002</v>
      </c>
      <c r="T1475" s="32">
        <v>0</v>
      </c>
      <c r="U1475" s="32">
        <v>0.98253161899999997</v>
      </c>
      <c r="V1475" s="32">
        <v>4</v>
      </c>
      <c r="W1475" s="32">
        <v>0.82781800000000005</v>
      </c>
      <c r="X1475" s="32">
        <v>0.17752599999999999</v>
      </c>
      <c r="Y1475" s="32">
        <v>0.9</v>
      </c>
      <c r="Z1475" s="32">
        <v>0.31754900000000003</v>
      </c>
      <c r="AA1475" s="32">
        <v>47.6</v>
      </c>
      <c r="AB1475" s="32">
        <v>773</v>
      </c>
      <c r="AC1475" s="32">
        <v>40</v>
      </c>
      <c r="AD1475" s="32">
        <v>65</v>
      </c>
      <c r="AE1475" s="32">
        <v>11</v>
      </c>
      <c r="AF1475" s="32" t="s">
        <v>200</v>
      </c>
      <c r="AG1475" s="32" t="s">
        <v>200</v>
      </c>
    </row>
    <row r="1476" spans="1:33">
      <c r="A1476" s="32" t="s">
        <v>5232</v>
      </c>
      <c r="B1476" s="32" t="s">
        <v>138</v>
      </c>
      <c r="C1476" s="32" t="s">
        <v>5233</v>
      </c>
      <c r="D1476" s="32" t="s">
        <v>5234</v>
      </c>
      <c r="E1476" s="32" t="s">
        <v>5235</v>
      </c>
      <c r="F1476" s="32" t="s">
        <v>5236</v>
      </c>
      <c r="G1476" s="32" t="s">
        <v>4886</v>
      </c>
      <c r="H1476" s="32" t="s">
        <v>4887</v>
      </c>
      <c r="I1476" s="32" t="s">
        <v>198</v>
      </c>
      <c r="J1476" s="32" t="s">
        <v>199</v>
      </c>
      <c r="K1476" s="32">
        <v>2.2321520000000001</v>
      </c>
      <c r="L1476" s="33">
        <v>1829</v>
      </c>
      <c r="M1476" s="32">
        <v>406</v>
      </c>
      <c r="N1476" s="32">
        <v>277</v>
      </c>
      <c r="O1476" s="32">
        <v>420</v>
      </c>
      <c r="P1476" s="32">
        <v>484</v>
      </c>
      <c r="Q1476" s="32">
        <v>242</v>
      </c>
      <c r="R1476" s="32">
        <v>3</v>
      </c>
      <c r="S1476" s="32">
        <v>21.184999999999999</v>
      </c>
      <c r="T1476" s="32">
        <v>0</v>
      </c>
      <c r="U1476" s="32">
        <v>0.88102654199999997</v>
      </c>
      <c r="V1476" s="32">
        <v>4</v>
      </c>
      <c r="W1476" s="32">
        <v>0.81837300000000002</v>
      </c>
      <c r="X1476" s="32">
        <v>0.12934200000000001</v>
      </c>
      <c r="Y1476" s="32">
        <v>0.9</v>
      </c>
      <c r="Z1476" s="32">
        <v>0.38285200000000003</v>
      </c>
      <c r="AA1476" s="32">
        <v>46.3</v>
      </c>
      <c r="AB1476" s="32">
        <v>745</v>
      </c>
      <c r="AC1476" s="32">
        <v>20</v>
      </c>
      <c r="AD1476" s="32">
        <v>266</v>
      </c>
      <c r="AE1476" s="32">
        <v>27</v>
      </c>
      <c r="AF1476" s="32">
        <v>5</v>
      </c>
      <c r="AG1476" s="32">
        <v>10</v>
      </c>
    </row>
    <row r="1477" spans="1:33">
      <c r="A1477" s="32" t="s">
        <v>5237</v>
      </c>
      <c r="B1477" s="32" t="s">
        <v>138</v>
      </c>
      <c r="C1477" s="32" t="s">
        <v>5238</v>
      </c>
      <c r="D1477" s="32" t="s">
        <v>5239</v>
      </c>
      <c r="E1477" s="32" t="s">
        <v>5235</v>
      </c>
      <c r="F1477" s="32" t="s">
        <v>5236</v>
      </c>
      <c r="G1477" s="32" t="s">
        <v>4886</v>
      </c>
      <c r="H1477" s="32" t="s">
        <v>4887</v>
      </c>
      <c r="I1477" s="32" t="s">
        <v>198</v>
      </c>
      <c r="J1477" s="32" t="s">
        <v>199</v>
      </c>
      <c r="K1477" s="32">
        <v>2.284411</v>
      </c>
      <c r="L1477" s="33">
        <v>1778</v>
      </c>
      <c r="M1477" s="32">
        <v>406</v>
      </c>
      <c r="N1477" s="32">
        <v>251</v>
      </c>
      <c r="O1477" s="32">
        <v>480</v>
      </c>
      <c r="P1477" s="32">
        <v>423</v>
      </c>
      <c r="Q1477" s="32">
        <v>218</v>
      </c>
      <c r="R1477" s="32">
        <v>3</v>
      </c>
      <c r="S1477" s="32">
        <v>20.585799999999999</v>
      </c>
      <c r="T1477" s="32">
        <v>2.5720700000000001</v>
      </c>
      <c r="U1477" s="32">
        <v>0.91712359499999996</v>
      </c>
      <c r="V1477" s="32">
        <v>4</v>
      </c>
      <c r="W1477" s="32">
        <v>0.83637300000000003</v>
      </c>
      <c r="X1477" s="32">
        <v>0.18229699999999999</v>
      </c>
      <c r="Y1477" s="32">
        <v>0.9</v>
      </c>
      <c r="Z1477" s="32">
        <v>0.36078199999999999</v>
      </c>
      <c r="AA1477" s="32">
        <v>51.9</v>
      </c>
      <c r="AB1477" s="32">
        <v>662</v>
      </c>
      <c r="AC1477" s="32">
        <v>44</v>
      </c>
      <c r="AD1477" s="32">
        <v>64</v>
      </c>
      <c r="AE1477" s="32" t="s">
        <v>200</v>
      </c>
      <c r="AF1477" s="32">
        <v>0</v>
      </c>
      <c r="AG1477" s="32">
        <v>12</v>
      </c>
    </row>
    <row r="1478" spans="1:33">
      <c r="A1478" s="32" t="s">
        <v>5240</v>
      </c>
      <c r="B1478" s="32" t="s">
        <v>138</v>
      </c>
      <c r="C1478" s="32" t="s">
        <v>5241</v>
      </c>
      <c r="D1478" s="32" t="s">
        <v>5242</v>
      </c>
      <c r="E1478" s="32" t="s">
        <v>4891</v>
      </c>
      <c r="F1478" s="32" t="s">
        <v>4892</v>
      </c>
      <c r="G1478" s="32" t="s">
        <v>4886</v>
      </c>
      <c r="H1478" s="32" t="s">
        <v>4887</v>
      </c>
      <c r="I1478" s="32" t="s">
        <v>198</v>
      </c>
      <c r="J1478" s="32" t="s">
        <v>199</v>
      </c>
      <c r="K1478" s="32">
        <v>2.2690160000000001</v>
      </c>
      <c r="L1478" s="33">
        <v>1687</v>
      </c>
      <c r="M1478" s="32">
        <v>438</v>
      </c>
      <c r="N1478" s="32">
        <v>286</v>
      </c>
      <c r="O1478" s="32">
        <v>399</v>
      </c>
      <c r="P1478" s="32">
        <v>402</v>
      </c>
      <c r="Q1478" s="32">
        <v>162</v>
      </c>
      <c r="R1478" s="32">
        <v>2</v>
      </c>
      <c r="S1478" s="32">
        <v>12.1287</v>
      </c>
      <c r="T1478" s="32">
        <v>0</v>
      </c>
      <c r="U1478" s="32">
        <v>1.0772256010000001</v>
      </c>
      <c r="V1478" s="32">
        <v>2</v>
      </c>
      <c r="W1478" s="32">
        <v>0.83311000000000002</v>
      </c>
      <c r="X1478" s="32">
        <v>0.214699</v>
      </c>
      <c r="Y1478" s="32">
        <v>0.9</v>
      </c>
      <c r="Z1478" s="32">
        <v>0.32347100000000001</v>
      </c>
      <c r="AA1478" s="32">
        <v>55.1</v>
      </c>
      <c r="AB1478" s="32">
        <v>514</v>
      </c>
      <c r="AC1478" s="32">
        <v>21</v>
      </c>
      <c r="AD1478" s="32">
        <v>31</v>
      </c>
      <c r="AE1478" s="32">
        <v>0</v>
      </c>
      <c r="AF1478" s="32">
        <v>0</v>
      </c>
      <c r="AG1478" s="32" t="s">
        <v>200</v>
      </c>
    </row>
    <row r="1479" spans="1:33">
      <c r="A1479" s="32" t="s">
        <v>4888</v>
      </c>
      <c r="B1479" s="32" t="s">
        <v>138</v>
      </c>
      <c r="C1479" s="32" t="s">
        <v>4889</v>
      </c>
      <c r="D1479" s="32" t="s">
        <v>4890</v>
      </c>
      <c r="E1479" s="32" t="s">
        <v>4891</v>
      </c>
      <c r="F1479" s="32" t="s">
        <v>4892</v>
      </c>
      <c r="G1479" s="32" t="s">
        <v>4886</v>
      </c>
      <c r="H1479" s="32" t="s">
        <v>4887</v>
      </c>
      <c r="I1479" s="32" t="s">
        <v>198</v>
      </c>
      <c r="J1479" s="32" t="s">
        <v>199</v>
      </c>
      <c r="K1479" s="32">
        <v>2.241501</v>
      </c>
      <c r="L1479" s="33">
        <v>1743</v>
      </c>
      <c r="M1479" s="32">
        <v>470</v>
      </c>
      <c r="N1479" s="32">
        <v>265</v>
      </c>
      <c r="O1479" s="32">
        <v>342</v>
      </c>
      <c r="P1479" s="32">
        <v>439</v>
      </c>
      <c r="Q1479" s="32">
        <v>227</v>
      </c>
      <c r="R1479" s="32" t="s">
        <v>214</v>
      </c>
      <c r="S1479" s="32">
        <v>9.2533200000000004</v>
      </c>
      <c r="T1479" s="32">
        <v>0</v>
      </c>
      <c r="U1479" s="32">
        <v>1.0930970310000001</v>
      </c>
      <c r="V1479" s="32">
        <v>3</v>
      </c>
      <c r="W1479" s="32">
        <v>0.82514900000000002</v>
      </c>
      <c r="X1479" s="32">
        <v>0.28721999999999998</v>
      </c>
      <c r="Y1479" s="32">
        <v>0.9</v>
      </c>
      <c r="Z1479" s="32">
        <v>0.23555400000000001</v>
      </c>
      <c r="AA1479" s="32">
        <v>52.4</v>
      </c>
      <c r="AB1479" s="32">
        <v>575</v>
      </c>
      <c r="AC1479" s="32">
        <v>20</v>
      </c>
      <c r="AD1479" s="32">
        <v>32</v>
      </c>
      <c r="AE1479" s="32">
        <v>0</v>
      </c>
      <c r="AF1479" s="32">
        <v>5</v>
      </c>
      <c r="AG1479" s="32" t="s">
        <v>200</v>
      </c>
    </row>
    <row r="1480" spans="1:33">
      <c r="A1480" s="32" t="s">
        <v>4896</v>
      </c>
      <c r="B1480" s="32" t="s">
        <v>138</v>
      </c>
      <c r="C1480" s="32" t="s">
        <v>4897</v>
      </c>
      <c r="D1480" s="32" t="s">
        <v>4898</v>
      </c>
      <c r="E1480" s="32" t="s">
        <v>4884</v>
      </c>
      <c r="F1480" s="32" t="s">
        <v>4885</v>
      </c>
      <c r="G1480" s="32" t="s">
        <v>4886</v>
      </c>
      <c r="H1480" s="32" t="s">
        <v>4887</v>
      </c>
      <c r="I1480" s="32" t="s">
        <v>198</v>
      </c>
      <c r="J1480" s="32" t="s">
        <v>199</v>
      </c>
      <c r="K1480" s="32">
        <v>2.2470370000000002</v>
      </c>
      <c r="L1480" s="33">
        <v>1732</v>
      </c>
      <c r="M1480" s="32">
        <v>481</v>
      </c>
      <c r="N1480" s="32">
        <v>300</v>
      </c>
      <c r="O1480" s="32">
        <v>369</v>
      </c>
      <c r="P1480" s="32">
        <v>385</v>
      </c>
      <c r="Q1480" s="32">
        <v>197</v>
      </c>
      <c r="R1480" s="32">
        <v>2</v>
      </c>
      <c r="S1480" s="32">
        <v>13.420199999999999</v>
      </c>
      <c r="T1480" s="32">
        <v>0</v>
      </c>
      <c r="U1480" s="32">
        <v>1.139241427</v>
      </c>
      <c r="V1480" s="32">
        <v>2</v>
      </c>
      <c r="W1480" s="32">
        <v>0.83324100000000001</v>
      </c>
      <c r="X1480" s="32">
        <v>0.22409599999999999</v>
      </c>
      <c r="Y1480" s="32">
        <v>0.9</v>
      </c>
      <c r="Z1480" s="32">
        <v>0.28997200000000001</v>
      </c>
      <c r="AA1480" s="32">
        <v>57.1</v>
      </c>
      <c r="AB1480" s="32">
        <v>590</v>
      </c>
      <c r="AC1480" s="32">
        <v>19</v>
      </c>
      <c r="AD1480" s="32">
        <v>41</v>
      </c>
      <c r="AE1480" s="32" t="s">
        <v>200</v>
      </c>
      <c r="AF1480" s="32" t="s">
        <v>200</v>
      </c>
      <c r="AG1480" s="32" t="s">
        <v>200</v>
      </c>
    </row>
    <row r="1481" spans="1:33">
      <c r="A1481" s="32" t="s">
        <v>5243</v>
      </c>
      <c r="B1481" s="32" t="s">
        <v>138</v>
      </c>
      <c r="C1481" s="32" t="s">
        <v>5244</v>
      </c>
      <c r="D1481" s="32" t="s">
        <v>5245</v>
      </c>
      <c r="E1481" s="32" t="s">
        <v>5246</v>
      </c>
      <c r="F1481" s="32" t="s">
        <v>5247</v>
      </c>
      <c r="G1481" s="32" t="s">
        <v>4886</v>
      </c>
      <c r="H1481" s="32" t="s">
        <v>4887</v>
      </c>
      <c r="I1481" s="32" t="s">
        <v>198</v>
      </c>
      <c r="J1481" s="32" t="s">
        <v>199</v>
      </c>
      <c r="K1481" s="32">
        <v>2.1492040000000001</v>
      </c>
      <c r="L1481" s="33">
        <v>1731</v>
      </c>
      <c r="M1481" s="32">
        <v>353</v>
      </c>
      <c r="N1481" s="32">
        <v>322</v>
      </c>
      <c r="O1481" s="32">
        <v>441</v>
      </c>
      <c r="P1481" s="32">
        <v>409</v>
      </c>
      <c r="Q1481" s="32">
        <v>206</v>
      </c>
      <c r="R1481" s="32" t="s">
        <v>225</v>
      </c>
      <c r="S1481" s="32">
        <v>7.55837</v>
      </c>
      <c r="T1481" s="32">
        <v>0</v>
      </c>
      <c r="U1481" s="32">
        <v>0.84285326900000002</v>
      </c>
      <c r="V1481" s="32">
        <v>7</v>
      </c>
      <c r="W1481" s="32">
        <v>0.90043399999999996</v>
      </c>
      <c r="X1481" s="32">
        <v>2.0409999999999998E-3</v>
      </c>
      <c r="Y1481" s="32">
        <v>0.80568499999999998</v>
      </c>
      <c r="Z1481" s="32">
        <v>0.44020300000000001</v>
      </c>
      <c r="AA1481" s="32">
        <v>65.900000000000006</v>
      </c>
      <c r="AB1481" s="32">
        <v>649</v>
      </c>
      <c r="AC1481" s="32">
        <v>32</v>
      </c>
      <c r="AD1481" s="32">
        <v>101</v>
      </c>
      <c r="AE1481" s="32" t="s">
        <v>200</v>
      </c>
      <c r="AF1481" s="32" t="s">
        <v>200</v>
      </c>
      <c r="AG1481" s="32" t="s">
        <v>200</v>
      </c>
    </row>
    <row r="1482" spans="1:33">
      <c r="A1482" s="32" t="s">
        <v>5248</v>
      </c>
      <c r="B1482" s="32" t="s">
        <v>138</v>
      </c>
      <c r="C1482" s="32" t="s">
        <v>5249</v>
      </c>
      <c r="D1482" s="32" t="s">
        <v>5250</v>
      </c>
      <c r="E1482" s="32" t="s">
        <v>5251</v>
      </c>
      <c r="F1482" s="32" t="s">
        <v>5252</v>
      </c>
      <c r="G1482" s="32" t="s">
        <v>4886</v>
      </c>
      <c r="H1482" s="32" t="s">
        <v>4887</v>
      </c>
      <c r="I1482" s="32" t="s">
        <v>198</v>
      </c>
      <c r="J1482" s="32" t="s">
        <v>199</v>
      </c>
      <c r="K1482" s="32">
        <v>2.2497780000000001</v>
      </c>
      <c r="L1482" s="33">
        <v>2314</v>
      </c>
      <c r="M1482" s="32">
        <v>495</v>
      </c>
      <c r="N1482" s="32">
        <v>347</v>
      </c>
      <c r="O1482" s="32">
        <v>696</v>
      </c>
      <c r="P1482" s="32">
        <v>492</v>
      </c>
      <c r="Q1482" s="32">
        <v>284</v>
      </c>
      <c r="R1482" s="32">
        <v>2</v>
      </c>
      <c r="S1482" s="32">
        <v>14.061999999999999</v>
      </c>
      <c r="T1482" s="32">
        <v>0</v>
      </c>
      <c r="U1482" s="32">
        <v>0.90065384000000004</v>
      </c>
      <c r="V1482" s="32">
        <v>5</v>
      </c>
      <c r="W1482" s="32">
        <v>0.86013300000000004</v>
      </c>
      <c r="X1482" s="32">
        <v>2.5403999999999999E-2</v>
      </c>
      <c r="Y1482" s="32">
        <v>0.89763499999999996</v>
      </c>
      <c r="Z1482" s="32">
        <v>0.46693699999999999</v>
      </c>
      <c r="AA1482" s="32">
        <v>49.4</v>
      </c>
      <c r="AB1482" s="32">
        <v>754</v>
      </c>
      <c r="AC1482" s="32">
        <v>39</v>
      </c>
      <c r="AD1482" s="32">
        <v>102</v>
      </c>
      <c r="AE1482" s="32">
        <v>18</v>
      </c>
      <c r="AF1482" s="32" t="s">
        <v>200</v>
      </c>
      <c r="AG1482" s="32">
        <v>18</v>
      </c>
    </row>
    <row r="1483" spans="1:33">
      <c r="A1483" s="32" t="s">
        <v>5253</v>
      </c>
      <c r="B1483" s="32" t="s">
        <v>138</v>
      </c>
      <c r="C1483" s="32" t="s">
        <v>5254</v>
      </c>
      <c r="D1483" s="32" t="s">
        <v>5255</v>
      </c>
      <c r="E1483" s="32" t="s">
        <v>5246</v>
      </c>
      <c r="F1483" s="32" t="s">
        <v>5247</v>
      </c>
      <c r="G1483" s="32" t="s">
        <v>4886</v>
      </c>
      <c r="H1483" s="32" t="s">
        <v>4887</v>
      </c>
      <c r="I1483" s="32" t="s">
        <v>198</v>
      </c>
      <c r="J1483" s="32" t="s">
        <v>199</v>
      </c>
      <c r="K1483" s="32">
        <v>2.3910130000000001</v>
      </c>
      <c r="L1483" s="33">
        <v>1767</v>
      </c>
      <c r="M1483" s="32">
        <v>390</v>
      </c>
      <c r="N1483" s="32">
        <v>333</v>
      </c>
      <c r="O1483" s="32">
        <v>376</v>
      </c>
      <c r="P1483" s="32">
        <v>449</v>
      </c>
      <c r="Q1483" s="32">
        <v>219</v>
      </c>
      <c r="R1483" s="32" t="s">
        <v>225</v>
      </c>
      <c r="S1483" s="32">
        <v>11.7149</v>
      </c>
      <c r="T1483" s="32">
        <v>0</v>
      </c>
      <c r="U1483" s="32">
        <v>0.76952373900000004</v>
      </c>
      <c r="V1483" s="32">
        <v>6</v>
      </c>
      <c r="W1483" s="32">
        <v>0.9</v>
      </c>
      <c r="X1483" s="32">
        <v>5.3330000000000001E-3</v>
      </c>
      <c r="Y1483" s="32">
        <v>0.83877199999999996</v>
      </c>
      <c r="Z1483" s="32">
        <v>0.64585700000000001</v>
      </c>
      <c r="AA1483" s="32">
        <v>67.7</v>
      </c>
      <c r="AB1483" s="32">
        <v>589</v>
      </c>
      <c r="AC1483" s="32">
        <v>24</v>
      </c>
      <c r="AD1483" s="32">
        <v>33</v>
      </c>
      <c r="AE1483" s="32" t="s">
        <v>200</v>
      </c>
      <c r="AF1483" s="32" t="s">
        <v>200</v>
      </c>
      <c r="AG1483" s="32" t="s">
        <v>200</v>
      </c>
    </row>
    <row r="1484" spans="1:33">
      <c r="A1484" s="32" t="s">
        <v>5256</v>
      </c>
      <c r="B1484" s="32" t="s">
        <v>138</v>
      </c>
      <c r="C1484" s="32" t="s">
        <v>5257</v>
      </c>
      <c r="D1484" s="32" t="s">
        <v>5258</v>
      </c>
      <c r="E1484" s="32" t="s">
        <v>5251</v>
      </c>
      <c r="F1484" s="32" t="s">
        <v>5252</v>
      </c>
      <c r="G1484" s="32" t="s">
        <v>4886</v>
      </c>
      <c r="H1484" s="32" t="s">
        <v>4887</v>
      </c>
      <c r="I1484" s="32" t="s">
        <v>198</v>
      </c>
      <c r="J1484" s="32" t="s">
        <v>199</v>
      </c>
      <c r="K1484" s="32">
        <v>2.2418529999999999</v>
      </c>
      <c r="L1484" s="33">
        <v>1851</v>
      </c>
      <c r="M1484" s="32">
        <v>414</v>
      </c>
      <c r="N1484" s="32">
        <v>256</v>
      </c>
      <c r="O1484" s="32">
        <v>399</v>
      </c>
      <c r="P1484" s="32">
        <v>481</v>
      </c>
      <c r="Q1484" s="32">
        <v>301</v>
      </c>
      <c r="R1484" s="32">
        <v>2</v>
      </c>
      <c r="S1484" s="32">
        <v>11.938800000000001</v>
      </c>
      <c r="T1484" s="32">
        <v>1.78667</v>
      </c>
      <c r="U1484" s="32">
        <v>0.75042663799999998</v>
      </c>
      <c r="V1484" s="32">
        <v>7</v>
      </c>
      <c r="W1484" s="32">
        <v>0.88242799999999999</v>
      </c>
      <c r="X1484" s="32">
        <v>7.6115000000000002E-2</v>
      </c>
      <c r="Y1484" s="32">
        <v>0.9</v>
      </c>
      <c r="Z1484" s="32">
        <v>0.384102</v>
      </c>
      <c r="AA1484" s="32">
        <v>44.1</v>
      </c>
      <c r="AB1484" s="32">
        <v>699</v>
      </c>
      <c r="AC1484" s="32">
        <v>45</v>
      </c>
      <c r="AD1484" s="32">
        <v>68</v>
      </c>
      <c r="AE1484" s="32" t="s">
        <v>200</v>
      </c>
      <c r="AF1484" s="32" t="s">
        <v>200</v>
      </c>
      <c r="AG1484" s="32" t="s">
        <v>200</v>
      </c>
    </row>
    <row r="1485" spans="1:33">
      <c r="A1485" s="32" t="s">
        <v>5259</v>
      </c>
      <c r="B1485" s="32" t="s">
        <v>138</v>
      </c>
      <c r="C1485" s="32" t="s">
        <v>5260</v>
      </c>
      <c r="D1485" s="32" t="s">
        <v>5261</v>
      </c>
      <c r="E1485" s="32" t="s">
        <v>5251</v>
      </c>
      <c r="F1485" s="32" t="s">
        <v>5252</v>
      </c>
      <c r="G1485" s="32" t="s">
        <v>4886</v>
      </c>
      <c r="H1485" s="32" t="s">
        <v>4887</v>
      </c>
      <c r="I1485" s="32" t="s">
        <v>198</v>
      </c>
      <c r="J1485" s="32" t="s">
        <v>199</v>
      </c>
      <c r="K1485" s="32">
        <v>2.595666</v>
      </c>
      <c r="L1485" s="33">
        <v>1779</v>
      </c>
      <c r="M1485" s="32">
        <v>313</v>
      </c>
      <c r="N1485" s="32">
        <v>303</v>
      </c>
      <c r="O1485" s="32">
        <v>450</v>
      </c>
      <c r="P1485" s="32">
        <v>452</v>
      </c>
      <c r="Q1485" s="32">
        <v>261</v>
      </c>
      <c r="R1485" s="32" t="s">
        <v>225</v>
      </c>
      <c r="S1485" s="32">
        <v>13.7866</v>
      </c>
      <c r="T1485" s="32">
        <v>0</v>
      </c>
      <c r="U1485" s="32">
        <v>0.65375602700000002</v>
      </c>
      <c r="V1485" s="32">
        <v>5</v>
      </c>
      <c r="W1485" s="32">
        <v>0.90877600000000003</v>
      </c>
      <c r="X1485" s="32">
        <v>0.26938600000000001</v>
      </c>
      <c r="Y1485" s="32">
        <v>0.87673199999999996</v>
      </c>
      <c r="Z1485" s="32">
        <v>0.53701900000000002</v>
      </c>
      <c r="AA1485" s="32">
        <v>46</v>
      </c>
      <c r="AB1485" s="32">
        <v>876</v>
      </c>
      <c r="AC1485" s="32">
        <v>33</v>
      </c>
      <c r="AD1485" s="32">
        <v>201</v>
      </c>
      <c r="AE1485" s="32">
        <v>10</v>
      </c>
      <c r="AF1485" s="32">
        <v>5</v>
      </c>
      <c r="AG1485" s="32">
        <v>13</v>
      </c>
    </row>
    <row r="1486" spans="1:33">
      <c r="A1486" s="32" t="s">
        <v>5262</v>
      </c>
      <c r="B1486" s="32" t="s">
        <v>138</v>
      </c>
      <c r="C1486" s="32" t="s">
        <v>5263</v>
      </c>
      <c r="D1486" s="32" t="s">
        <v>5264</v>
      </c>
      <c r="E1486" s="32" t="s">
        <v>5251</v>
      </c>
      <c r="F1486" s="32" t="s">
        <v>5252</v>
      </c>
      <c r="G1486" s="32" t="s">
        <v>4886</v>
      </c>
      <c r="H1486" s="32" t="s">
        <v>4887</v>
      </c>
      <c r="I1486" s="32" t="s">
        <v>198</v>
      </c>
      <c r="J1486" s="32" t="s">
        <v>199</v>
      </c>
      <c r="K1486" s="32">
        <v>2.541096</v>
      </c>
      <c r="L1486" s="33">
        <v>1576</v>
      </c>
      <c r="M1486" s="32">
        <v>336</v>
      </c>
      <c r="N1486" s="32">
        <v>222</v>
      </c>
      <c r="O1486" s="32">
        <v>440</v>
      </c>
      <c r="P1486" s="32">
        <v>346</v>
      </c>
      <c r="Q1486" s="32">
        <v>232</v>
      </c>
      <c r="R1486" s="32">
        <v>3</v>
      </c>
      <c r="S1486" s="32">
        <v>14.249499999999999</v>
      </c>
      <c r="T1486" s="32">
        <v>3.38415</v>
      </c>
      <c r="U1486" s="32">
        <v>0.713231438</v>
      </c>
      <c r="V1486" s="32">
        <v>5</v>
      </c>
      <c r="W1486" s="32">
        <v>0.91172900000000001</v>
      </c>
      <c r="X1486" s="32">
        <v>0.27982899999999999</v>
      </c>
      <c r="Y1486" s="32">
        <v>0.9</v>
      </c>
      <c r="Z1486" s="32">
        <v>0.44250200000000001</v>
      </c>
      <c r="AA1486" s="32">
        <v>44.3</v>
      </c>
      <c r="AB1486" s="32">
        <v>550</v>
      </c>
      <c r="AC1486" s="32">
        <v>27</v>
      </c>
      <c r="AD1486" s="32">
        <v>42</v>
      </c>
      <c r="AE1486" s="32" t="s">
        <v>200</v>
      </c>
      <c r="AF1486" s="32" t="s">
        <v>200</v>
      </c>
      <c r="AG1486" s="32" t="s">
        <v>200</v>
      </c>
    </row>
    <row r="1487" spans="1:33">
      <c r="A1487" s="32" t="s">
        <v>5265</v>
      </c>
      <c r="B1487" s="32" t="s">
        <v>138</v>
      </c>
      <c r="C1487" s="32" t="s">
        <v>5266</v>
      </c>
      <c r="D1487" s="32" t="s">
        <v>5267</v>
      </c>
      <c r="E1487" s="32" t="s">
        <v>5199</v>
      </c>
      <c r="F1487" s="32" t="s">
        <v>5200</v>
      </c>
      <c r="G1487" s="32" t="s">
        <v>4886</v>
      </c>
      <c r="H1487" s="32" t="s">
        <v>4887</v>
      </c>
      <c r="I1487" s="32" t="s">
        <v>198</v>
      </c>
      <c r="J1487" s="32" t="s">
        <v>199</v>
      </c>
      <c r="K1487" s="32">
        <v>2.2002730000000001</v>
      </c>
      <c r="L1487" s="33">
        <v>1392</v>
      </c>
      <c r="M1487" s="32">
        <v>282</v>
      </c>
      <c r="N1487" s="32">
        <v>218</v>
      </c>
      <c r="O1487" s="32">
        <v>319</v>
      </c>
      <c r="P1487" s="32">
        <v>383</v>
      </c>
      <c r="Q1487" s="32">
        <v>190</v>
      </c>
      <c r="R1487" s="32">
        <v>2</v>
      </c>
      <c r="S1487" s="32">
        <v>17.356400000000001</v>
      </c>
      <c r="T1487" s="32">
        <v>0</v>
      </c>
      <c r="U1487" s="32">
        <v>1.1169849839999999</v>
      </c>
      <c r="V1487" s="32">
        <v>2</v>
      </c>
      <c r="W1487" s="32">
        <v>0.86510399999999998</v>
      </c>
      <c r="X1487" s="32">
        <v>0.13020200000000001</v>
      </c>
      <c r="Y1487" s="32">
        <v>0.9</v>
      </c>
      <c r="Z1487" s="32">
        <v>0.31331500000000001</v>
      </c>
      <c r="AA1487" s="32">
        <v>54.2</v>
      </c>
      <c r="AB1487" s="32">
        <v>686</v>
      </c>
      <c r="AC1487" s="32">
        <v>27</v>
      </c>
      <c r="AD1487" s="32">
        <v>39</v>
      </c>
      <c r="AE1487" s="32">
        <v>0</v>
      </c>
      <c r="AF1487" s="32">
        <v>0</v>
      </c>
      <c r="AG1487" s="32" t="s">
        <v>200</v>
      </c>
    </row>
    <row r="1488" spans="1:33">
      <c r="A1488" s="32" t="s">
        <v>1358</v>
      </c>
      <c r="B1488" s="32" t="s">
        <v>63</v>
      </c>
      <c r="C1488" s="32" t="s">
        <v>1359</v>
      </c>
      <c r="D1488" s="32" t="s">
        <v>1360</v>
      </c>
      <c r="E1488" s="32" t="s">
        <v>1361</v>
      </c>
      <c r="F1488" s="32" t="s">
        <v>1362</v>
      </c>
      <c r="G1488" s="32" t="s">
        <v>300</v>
      </c>
      <c r="H1488" s="32" t="s">
        <v>301</v>
      </c>
      <c r="I1488" s="32" t="s">
        <v>198</v>
      </c>
      <c r="J1488" s="32" t="s">
        <v>199</v>
      </c>
      <c r="K1488" s="32">
        <v>3.1704349999999999</v>
      </c>
      <c r="L1488" s="33">
        <v>2378</v>
      </c>
      <c r="M1488" s="32">
        <v>648</v>
      </c>
      <c r="N1488" s="32">
        <v>563</v>
      </c>
      <c r="O1488" s="32">
        <v>811</v>
      </c>
      <c r="P1488" s="32">
        <v>277</v>
      </c>
      <c r="Q1488" s="32">
        <v>79</v>
      </c>
      <c r="R1488" s="32">
        <v>4</v>
      </c>
      <c r="S1488" s="32">
        <v>23.306999999999999</v>
      </c>
      <c r="T1488" s="32">
        <v>10.424200000000001</v>
      </c>
      <c r="U1488" s="32">
        <v>0.65766641299999995</v>
      </c>
      <c r="V1488" s="32">
        <v>2</v>
      </c>
      <c r="W1488" s="32">
        <v>0.96782599999999996</v>
      </c>
      <c r="X1488" s="32">
        <v>0.56758600000000003</v>
      </c>
      <c r="Y1488" s="32">
        <v>0.63545600000000002</v>
      </c>
      <c r="Z1488" s="32">
        <v>1</v>
      </c>
      <c r="AA1488" s="32">
        <v>72.099999999999994</v>
      </c>
      <c r="AB1488" s="32">
        <v>340</v>
      </c>
      <c r="AC1488" s="32">
        <v>18</v>
      </c>
      <c r="AD1488" s="32">
        <v>31</v>
      </c>
      <c r="AE1488" s="32">
        <v>0</v>
      </c>
      <c r="AF1488" s="32" t="s">
        <v>200</v>
      </c>
      <c r="AG1488" s="32" t="s">
        <v>200</v>
      </c>
    </row>
    <row r="1489" spans="1:33">
      <c r="A1489" s="32" t="s">
        <v>1336</v>
      </c>
      <c r="B1489" s="32" t="s">
        <v>63</v>
      </c>
      <c r="C1489" s="32" t="s">
        <v>1337</v>
      </c>
      <c r="D1489" s="32" t="s">
        <v>1338</v>
      </c>
      <c r="E1489" s="32" t="s">
        <v>1339</v>
      </c>
      <c r="F1489" s="32" t="s">
        <v>1340</v>
      </c>
      <c r="G1489" s="32" t="s">
        <v>300</v>
      </c>
      <c r="H1489" s="32" t="s">
        <v>301</v>
      </c>
      <c r="I1489" s="32" t="s">
        <v>198</v>
      </c>
      <c r="J1489" s="32" t="s">
        <v>199</v>
      </c>
      <c r="K1489" s="32">
        <v>2.910819</v>
      </c>
      <c r="L1489" s="33">
        <v>1190</v>
      </c>
      <c r="M1489" s="32">
        <v>356</v>
      </c>
      <c r="N1489" s="32">
        <v>206</v>
      </c>
      <c r="O1489" s="32">
        <v>307</v>
      </c>
      <c r="P1489" s="32">
        <v>229</v>
      </c>
      <c r="Q1489" s="32">
        <v>92</v>
      </c>
      <c r="R1489" s="32">
        <v>2</v>
      </c>
      <c r="S1489" s="32">
        <v>18.209499999999998</v>
      </c>
      <c r="T1489" s="32">
        <v>2.8018700000000001</v>
      </c>
      <c r="U1489" s="32">
        <v>0.89883703100000001</v>
      </c>
      <c r="V1489" s="32">
        <v>2</v>
      </c>
      <c r="W1489" s="32">
        <v>0.93421100000000001</v>
      </c>
      <c r="X1489" s="32">
        <v>0.37142900000000001</v>
      </c>
      <c r="Y1489" s="32">
        <v>0.6</v>
      </c>
      <c r="Z1489" s="32">
        <v>1</v>
      </c>
      <c r="AA1489" s="32">
        <v>65.599999999999994</v>
      </c>
      <c r="AB1489" s="32">
        <v>197</v>
      </c>
      <c r="AC1489" s="32">
        <v>12</v>
      </c>
      <c r="AD1489" s="32">
        <v>6</v>
      </c>
      <c r="AE1489" s="32">
        <v>0</v>
      </c>
      <c r="AF1489" s="32">
        <v>0</v>
      </c>
      <c r="AG1489" s="32" t="s">
        <v>200</v>
      </c>
    </row>
    <row r="1490" spans="1:33">
      <c r="A1490" s="32" t="s">
        <v>5268</v>
      </c>
      <c r="B1490" s="32" t="s">
        <v>63</v>
      </c>
      <c r="C1490" s="32" t="s">
        <v>5269</v>
      </c>
      <c r="D1490" s="32" t="s">
        <v>5270</v>
      </c>
      <c r="E1490" s="32" t="s">
        <v>1339</v>
      </c>
      <c r="F1490" s="32" t="s">
        <v>1340</v>
      </c>
      <c r="G1490" s="32" t="s">
        <v>300</v>
      </c>
      <c r="H1490" s="32" t="s">
        <v>301</v>
      </c>
      <c r="I1490" s="32" t="s">
        <v>198</v>
      </c>
      <c r="J1490" s="32" t="s">
        <v>199</v>
      </c>
      <c r="K1490" s="32">
        <v>2.6614990000000001</v>
      </c>
      <c r="L1490" s="33">
        <v>2206</v>
      </c>
      <c r="M1490" s="32">
        <v>526</v>
      </c>
      <c r="N1490" s="32">
        <v>474</v>
      </c>
      <c r="O1490" s="32">
        <v>490</v>
      </c>
      <c r="P1490" s="32">
        <v>459</v>
      </c>
      <c r="Q1490" s="32">
        <v>257</v>
      </c>
      <c r="R1490" s="32">
        <v>3</v>
      </c>
      <c r="S1490" s="32">
        <v>16.8188</v>
      </c>
      <c r="T1490" s="32">
        <v>11.2323</v>
      </c>
      <c r="U1490" s="32">
        <v>1.260561641</v>
      </c>
      <c r="V1490" s="32">
        <v>2</v>
      </c>
      <c r="W1490" s="32">
        <v>0.911111</v>
      </c>
      <c r="X1490" s="32">
        <v>0.13089000000000001</v>
      </c>
      <c r="Y1490" s="32">
        <v>0.6</v>
      </c>
      <c r="Z1490" s="32">
        <v>1</v>
      </c>
      <c r="AA1490" s="32">
        <v>61.6</v>
      </c>
      <c r="AB1490" s="32">
        <v>256</v>
      </c>
      <c r="AC1490" s="32">
        <v>11</v>
      </c>
      <c r="AD1490" s="32">
        <v>28</v>
      </c>
      <c r="AE1490" s="32" t="s">
        <v>200</v>
      </c>
      <c r="AF1490" s="32">
        <v>0</v>
      </c>
      <c r="AG1490" s="32">
        <v>7</v>
      </c>
    </row>
    <row r="1491" spans="1:33">
      <c r="A1491" s="32" t="s">
        <v>5271</v>
      </c>
      <c r="B1491" s="32" t="s">
        <v>63</v>
      </c>
      <c r="C1491" s="32" t="s">
        <v>5272</v>
      </c>
      <c r="D1491" s="32" t="s">
        <v>5273</v>
      </c>
      <c r="E1491" s="32" t="s">
        <v>1347</v>
      </c>
      <c r="F1491" s="32" t="s">
        <v>1348</v>
      </c>
      <c r="G1491" s="32" t="s">
        <v>300</v>
      </c>
      <c r="H1491" s="32" t="s">
        <v>301</v>
      </c>
      <c r="I1491" s="32" t="s">
        <v>198</v>
      </c>
      <c r="J1491" s="32" t="s">
        <v>199</v>
      </c>
      <c r="K1491" s="32">
        <v>2.7086239999999999</v>
      </c>
      <c r="L1491" s="33">
        <v>2120</v>
      </c>
      <c r="M1491" s="32">
        <v>581</v>
      </c>
      <c r="N1491" s="32">
        <v>568</v>
      </c>
      <c r="O1491" s="32">
        <v>492</v>
      </c>
      <c r="P1491" s="32">
        <v>377</v>
      </c>
      <c r="Q1491" s="32">
        <v>102</v>
      </c>
      <c r="R1491" s="32">
        <v>2</v>
      </c>
      <c r="S1491" s="32">
        <v>16.985700000000001</v>
      </c>
      <c r="T1491" s="32">
        <v>1.94415</v>
      </c>
      <c r="U1491" s="32">
        <v>1.1965040149999999</v>
      </c>
      <c r="V1491" s="32">
        <v>1</v>
      </c>
      <c r="W1491" s="32">
        <v>0.90829199999999999</v>
      </c>
      <c r="X1491" s="32">
        <v>0.18178800000000001</v>
      </c>
      <c r="Y1491" s="32">
        <v>0.600329</v>
      </c>
      <c r="Z1491" s="32">
        <v>1</v>
      </c>
      <c r="AA1491" s="32">
        <v>78</v>
      </c>
      <c r="AB1491" s="32">
        <v>378</v>
      </c>
      <c r="AC1491" s="32">
        <v>17</v>
      </c>
      <c r="AD1491" s="32">
        <v>29</v>
      </c>
      <c r="AE1491" s="32" t="s">
        <v>200</v>
      </c>
      <c r="AF1491" s="32">
        <v>0</v>
      </c>
      <c r="AG1491" s="32" t="s">
        <v>200</v>
      </c>
    </row>
    <row r="1492" spans="1:33">
      <c r="A1492" s="32" t="s">
        <v>1341</v>
      </c>
      <c r="B1492" s="32" t="s">
        <v>63</v>
      </c>
      <c r="C1492" s="32" t="s">
        <v>1342</v>
      </c>
      <c r="D1492" s="32" t="s">
        <v>1343</v>
      </c>
      <c r="E1492" s="32" t="s">
        <v>1339</v>
      </c>
      <c r="F1492" s="32" t="s">
        <v>1340</v>
      </c>
      <c r="G1492" s="32" t="s">
        <v>300</v>
      </c>
      <c r="H1492" s="32" t="s">
        <v>301</v>
      </c>
      <c r="I1492" s="32" t="s">
        <v>198</v>
      </c>
      <c r="J1492" s="32" t="s">
        <v>199</v>
      </c>
      <c r="K1492" s="32">
        <v>2.8271709999999999</v>
      </c>
      <c r="L1492" s="33">
        <v>2764</v>
      </c>
      <c r="M1492" s="32">
        <v>734</v>
      </c>
      <c r="N1492" s="32">
        <v>569</v>
      </c>
      <c r="O1492" s="32">
        <v>761</v>
      </c>
      <c r="P1492" s="32">
        <v>495</v>
      </c>
      <c r="Q1492" s="32">
        <v>205</v>
      </c>
      <c r="R1492" s="32">
        <v>4</v>
      </c>
      <c r="S1492" s="32">
        <v>23.468599999999999</v>
      </c>
      <c r="T1492" s="32">
        <v>14.5464</v>
      </c>
      <c r="U1492" s="32">
        <v>1.166613755</v>
      </c>
      <c r="V1492" s="32">
        <v>2</v>
      </c>
      <c r="W1492" s="32">
        <v>0.92520999999999998</v>
      </c>
      <c r="X1492" s="32">
        <v>0.28146100000000002</v>
      </c>
      <c r="Y1492" s="32">
        <v>0.6</v>
      </c>
      <c r="Z1492" s="32">
        <v>1</v>
      </c>
      <c r="AA1492" s="32">
        <v>61.1</v>
      </c>
      <c r="AB1492" s="32">
        <v>342</v>
      </c>
      <c r="AC1492" s="32">
        <v>18</v>
      </c>
      <c r="AD1492" s="32">
        <v>14</v>
      </c>
      <c r="AE1492" s="32">
        <v>0</v>
      </c>
      <c r="AF1492" s="32" t="s">
        <v>200</v>
      </c>
      <c r="AG1492" s="32" t="s">
        <v>200</v>
      </c>
    </row>
    <row r="1493" spans="1:33">
      <c r="A1493" s="32" t="s">
        <v>322</v>
      </c>
      <c r="B1493" s="32" t="s">
        <v>63</v>
      </c>
      <c r="C1493" s="32" t="s">
        <v>323</v>
      </c>
      <c r="D1493" s="32" t="s">
        <v>324</v>
      </c>
      <c r="E1493" s="32" t="s">
        <v>325</v>
      </c>
      <c r="F1493" s="32" t="s">
        <v>326</v>
      </c>
      <c r="G1493" s="32" t="s">
        <v>300</v>
      </c>
      <c r="H1493" s="32" t="s">
        <v>301</v>
      </c>
      <c r="I1493" s="32" t="s">
        <v>198</v>
      </c>
      <c r="J1493" s="32" t="s">
        <v>199</v>
      </c>
      <c r="K1493" s="32">
        <v>2.7319279999999999</v>
      </c>
      <c r="L1493" s="33">
        <v>3496</v>
      </c>
      <c r="M1493" s="32">
        <v>783</v>
      </c>
      <c r="N1493" s="32">
        <v>788</v>
      </c>
      <c r="O1493" s="33">
        <v>1244</v>
      </c>
      <c r="P1493" s="32">
        <v>519</v>
      </c>
      <c r="Q1493" s="32">
        <v>162</v>
      </c>
      <c r="R1493" s="32">
        <v>4</v>
      </c>
      <c r="S1493" s="32">
        <v>33.829599999999999</v>
      </c>
      <c r="T1493" s="32">
        <v>2.1593399999999998</v>
      </c>
      <c r="U1493" s="32">
        <v>1.0148660709999999</v>
      </c>
      <c r="V1493" s="32">
        <v>2</v>
      </c>
      <c r="W1493" s="32">
        <v>0.92750999999999995</v>
      </c>
      <c r="X1493" s="32">
        <v>0.20769199999999999</v>
      </c>
      <c r="Y1493" s="32">
        <v>0.6</v>
      </c>
      <c r="Z1493" s="32">
        <v>1</v>
      </c>
      <c r="AA1493" s="32">
        <v>61.2</v>
      </c>
      <c r="AB1493" s="32">
        <v>466</v>
      </c>
      <c r="AC1493" s="32">
        <v>18</v>
      </c>
      <c r="AD1493" s="32">
        <v>15</v>
      </c>
      <c r="AE1493" s="32">
        <v>0</v>
      </c>
      <c r="AF1493" s="32">
        <v>0</v>
      </c>
      <c r="AG1493" s="32" t="s">
        <v>200</v>
      </c>
    </row>
    <row r="1494" spans="1:33">
      <c r="A1494" s="32" t="s">
        <v>5274</v>
      </c>
      <c r="B1494" s="32" t="s">
        <v>63</v>
      </c>
      <c r="C1494" s="32" t="s">
        <v>5275</v>
      </c>
      <c r="D1494" s="32" t="s">
        <v>5276</v>
      </c>
      <c r="E1494" s="32" t="s">
        <v>325</v>
      </c>
      <c r="F1494" s="32" t="s">
        <v>326</v>
      </c>
      <c r="G1494" s="32" t="s">
        <v>300</v>
      </c>
      <c r="H1494" s="32" t="s">
        <v>301</v>
      </c>
      <c r="I1494" s="32" t="s">
        <v>198</v>
      </c>
      <c r="J1494" s="32" t="s">
        <v>199</v>
      </c>
      <c r="K1494" s="32">
        <v>2.6174390000000001</v>
      </c>
      <c r="L1494" s="33">
        <v>3595</v>
      </c>
      <c r="M1494" s="32">
        <v>941</v>
      </c>
      <c r="N1494" s="32">
        <v>854</v>
      </c>
      <c r="O1494" s="32">
        <v>992</v>
      </c>
      <c r="P1494" s="32">
        <v>608</v>
      </c>
      <c r="Q1494" s="32">
        <v>200</v>
      </c>
      <c r="R1494" s="32">
        <v>3</v>
      </c>
      <c r="S1494" s="32">
        <v>22.553999999999998</v>
      </c>
      <c r="T1494" s="32">
        <v>5.3664100000000001</v>
      </c>
      <c r="U1494" s="32">
        <v>1.0531214499999999</v>
      </c>
      <c r="V1494" s="32">
        <v>3</v>
      </c>
      <c r="W1494" s="32">
        <v>0.91501100000000002</v>
      </c>
      <c r="X1494" s="32">
        <v>0.100659</v>
      </c>
      <c r="Y1494" s="32">
        <v>0.6</v>
      </c>
      <c r="Z1494" s="32">
        <v>1</v>
      </c>
      <c r="AA1494" s="32">
        <v>58.9</v>
      </c>
      <c r="AB1494" s="32">
        <v>473</v>
      </c>
      <c r="AC1494" s="32">
        <v>24</v>
      </c>
      <c r="AD1494" s="32">
        <v>20</v>
      </c>
      <c r="AE1494" s="32" t="s">
        <v>200</v>
      </c>
      <c r="AF1494" s="32">
        <v>0</v>
      </c>
      <c r="AG1494" s="32">
        <v>7</v>
      </c>
    </row>
    <row r="1495" spans="1:33">
      <c r="A1495" s="32" t="s">
        <v>2047</v>
      </c>
      <c r="B1495" s="32" t="s">
        <v>63</v>
      </c>
      <c r="C1495" s="32" t="s">
        <v>2048</v>
      </c>
      <c r="D1495" s="32" t="s">
        <v>2049</v>
      </c>
      <c r="E1495" s="32" t="s">
        <v>325</v>
      </c>
      <c r="F1495" s="32" t="s">
        <v>326</v>
      </c>
      <c r="G1495" s="32" t="s">
        <v>300</v>
      </c>
      <c r="H1495" s="32" t="s">
        <v>301</v>
      </c>
      <c r="I1495" s="32" t="s">
        <v>198</v>
      </c>
      <c r="J1495" s="32" t="s">
        <v>199</v>
      </c>
      <c r="K1495" s="32">
        <v>2.9332539999999998</v>
      </c>
      <c r="L1495" s="33">
        <v>1916</v>
      </c>
      <c r="M1495" s="32">
        <v>448</v>
      </c>
      <c r="N1495" s="32">
        <v>400</v>
      </c>
      <c r="O1495" s="32">
        <v>531</v>
      </c>
      <c r="P1495" s="32">
        <v>352</v>
      </c>
      <c r="Q1495" s="32">
        <v>185</v>
      </c>
      <c r="R1495" s="32">
        <v>3</v>
      </c>
      <c r="S1495" s="32">
        <v>22.793299999999999</v>
      </c>
      <c r="T1495" s="32">
        <v>7.3841000000000001</v>
      </c>
      <c r="U1495" s="32">
        <v>0.96940461700000002</v>
      </c>
      <c r="V1495" s="32">
        <v>2</v>
      </c>
      <c r="W1495" s="32">
        <v>0.94346799999999997</v>
      </c>
      <c r="X1495" s="32">
        <v>0.31990400000000002</v>
      </c>
      <c r="Y1495" s="32">
        <v>0.65261899999999995</v>
      </c>
      <c r="Z1495" s="32">
        <v>1</v>
      </c>
      <c r="AA1495" s="32">
        <v>63.2</v>
      </c>
      <c r="AB1495" s="32">
        <v>265</v>
      </c>
      <c r="AC1495" s="32">
        <v>12</v>
      </c>
      <c r="AD1495" s="32" t="s">
        <v>200</v>
      </c>
      <c r="AE1495" s="32" t="s">
        <v>200</v>
      </c>
      <c r="AF1495" s="32">
        <v>0</v>
      </c>
      <c r="AG1495" s="32" t="s">
        <v>200</v>
      </c>
    </row>
    <row r="1496" spans="1:33">
      <c r="A1496" s="32" t="s">
        <v>2050</v>
      </c>
      <c r="B1496" s="32" t="s">
        <v>63</v>
      </c>
      <c r="C1496" s="32" t="s">
        <v>2051</v>
      </c>
      <c r="D1496" s="32" t="s">
        <v>2052</v>
      </c>
      <c r="E1496" s="32" t="s">
        <v>325</v>
      </c>
      <c r="F1496" s="32" t="s">
        <v>326</v>
      </c>
      <c r="G1496" s="32" t="s">
        <v>300</v>
      </c>
      <c r="H1496" s="32" t="s">
        <v>301</v>
      </c>
      <c r="I1496" s="32" t="s">
        <v>198</v>
      </c>
      <c r="J1496" s="32" t="s">
        <v>199</v>
      </c>
      <c r="K1496" s="32">
        <v>2.792141</v>
      </c>
      <c r="L1496" s="33">
        <v>2414</v>
      </c>
      <c r="M1496" s="32">
        <v>729</v>
      </c>
      <c r="N1496" s="32">
        <v>512</v>
      </c>
      <c r="O1496" s="32">
        <v>634</v>
      </c>
      <c r="P1496" s="32">
        <v>375</v>
      </c>
      <c r="Q1496" s="32">
        <v>164</v>
      </c>
      <c r="R1496" s="32">
        <v>4</v>
      </c>
      <c r="S1496" s="32">
        <v>21.882400000000001</v>
      </c>
      <c r="T1496" s="32">
        <v>10.2028</v>
      </c>
      <c r="U1496" s="32">
        <v>1.0419497230000001</v>
      </c>
      <c r="V1496" s="32">
        <v>3</v>
      </c>
      <c r="W1496" s="32">
        <v>0.92276400000000003</v>
      </c>
      <c r="X1496" s="32">
        <v>0.26047700000000001</v>
      </c>
      <c r="Y1496" s="32">
        <v>0.62299499999999997</v>
      </c>
      <c r="Z1496" s="32">
        <v>1</v>
      </c>
      <c r="AA1496" s="32">
        <v>66.8</v>
      </c>
      <c r="AB1496" s="32">
        <v>331</v>
      </c>
      <c r="AC1496" s="32">
        <v>7</v>
      </c>
      <c r="AD1496" s="32">
        <v>7</v>
      </c>
      <c r="AE1496" s="32">
        <v>0</v>
      </c>
      <c r="AF1496" s="32" t="s">
        <v>200</v>
      </c>
      <c r="AG1496" s="32" t="s">
        <v>200</v>
      </c>
    </row>
    <row r="1497" spans="1:33">
      <c r="A1497" s="32" t="s">
        <v>5277</v>
      </c>
      <c r="B1497" s="32" t="s">
        <v>63</v>
      </c>
      <c r="C1497" s="32" t="s">
        <v>5278</v>
      </c>
      <c r="D1497" s="32" t="s">
        <v>5279</v>
      </c>
      <c r="E1497" s="32" t="s">
        <v>1361</v>
      </c>
      <c r="F1497" s="32" t="s">
        <v>1362</v>
      </c>
      <c r="G1497" s="32" t="s">
        <v>300</v>
      </c>
      <c r="H1497" s="32" t="s">
        <v>301</v>
      </c>
      <c r="I1497" s="32" t="s">
        <v>198</v>
      </c>
      <c r="J1497" s="32" t="s">
        <v>199</v>
      </c>
      <c r="K1497" s="32">
        <v>2.9531770000000002</v>
      </c>
      <c r="L1497" s="33">
        <v>2856</v>
      </c>
      <c r="M1497" s="32">
        <v>488</v>
      </c>
      <c r="N1497" s="33">
        <v>1100</v>
      </c>
      <c r="O1497" s="32">
        <v>897</v>
      </c>
      <c r="P1497" s="32">
        <v>296</v>
      </c>
      <c r="Q1497" s="32">
        <v>75</v>
      </c>
      <c r="R1497" s="32">
        <v>3</v>
      </c>
      <c r="S1497" s="32">
        <v>28.8459</v>
      </c>
      <c r="T1497" s="32">
        <v>0</v>
      </c>
      <c r="U1497" s="32">
        <v>0.54088234099999999</v>
      </c>
      <c r="V1497" s="32">
        <v>6</v>
      </c>
      <c r="W1497" s="32">
        <v>0.92909699999999995</v>
      </c>
      <c r="X1497" s="32">
        <v>0.43533300000000003</v>
      </c>
      <c r="Y1497" s="32">
        <v>0.6</v>
      </c>
      <c r="Z1497" s="32">
        <v>1</v>
      </c>
      <c r="AA1497" s="32">
        <v>58.4</v>
      </c>
      <c r="AB1497" s="32">
        <v>233</v>
      </c>
      <c r="AC1497" s="32">
        <v>26</v>
      </c>
      <c r="AD1497" s="32">
        <v>51</v>
      </c>
      <c r="AE1497" s="32">
        <v>54</v>
      </c>
      <c r="AF1497" s="32">
        <v>7</v>
      </c>
      <c r="AG1497" s="32">
        <v>27</v>
      </c>
    </row>
    <row r="1498" spans="1:33">
      <c r="A1498" s="32" t="s">
        <v>5280</v>
      </c>
      <c r="B1498" s="32" t="s">
        <v>140</v>
      </c>
      <c r="C1498" s="32" t="s">
        <v>5281</v>
      </c>
      <c r="D1498" s="32" t="s">
        <v>5282</v>
      </c>
      <c r="E1498" s="32" t="s">
        <v>5283</v>
      </c>
      <c r="F1498" s="32" t="s">
        <v>5284</v>
      </c>
      <c r="G1498" s="32" t="s">
        <v>4886</v>
      </c>
      <c r="H1498" s="32" t="s">
        <v>4887</v>
      </c>
      <c r="I1498" s="32" t="s">
        <v>198</v>
      </c>
      <c r="J1498" s="32" t="s">
        <v>199</v>
      </c>
      <c r="K1498" s="32">
        <v>2.472486</v>
      </c>
      <c r="L1498" s="33">
        <v>1910</v>
      </c>
      <c r="M1498" s="32">
        <v>271</v>
      </c>
      <c r="N1498" s="32">
        <v>423</v>
      </c>
      <c r="O1498" s="32">
        <v>480</v>
      </c>
      <c r="P1498" s="32">
        <v>383</v>
      </c>
      <c r="Q1498" s="32">
        <v>353</v>
      </c>
      <c r="R1498" s="32">
        <v>3</v>
      </c>
      <c r="S1498" s="32">
        <v>22.401</v>
      </c>
      <c r="T1498" s="32">
        <v>3.7359300000000002</v>
      </c>
      <c r="U1498" s="32">
        <v>0.65762620299999996</v>
      </c>
      <c r="V1498" s="32">
        <v>7</v>
      </c>
      <c r="W1498" s="32">
        <v>0.90667299999999995</v>
      </c>
      <c r="X1498" s="32">
        <v>0.15323000000000001</v>
      </c>
      <c r="Y1498" s="32">
        <v>0.8</v>
      </c>
      <c r="Z1498" s="32">
        <v>0.61041999999999996</v>
      </c>
      <c r="AA1498" s="32">
        <v>37.700000000000003</v>
      </c>
      <c r="AB1498" s="32">
        <v>710</v>
      </c>
      <c r="AC1498" s="32">
        <v>32</v>
      </c>
      <c r="AD1498" s="32">
        <v>39</v>
      </c>
      <c r="AE1498" s="32">
        <v>0</v>
      </c>
      <c r="AF1498" s="32">
        <v>0</v>
      </c>
      <c r="AG1498" s="32" t="s">
        <v>200</v>
      </c>
    </row>
    <row r="1499" spans="1:33">
      <c r="A1499" s="32" t="s">
        <v>5285</v>
      </c>
      <c r="B1499" s="32" t="s">
        <v>140</v>
      </c>
      <c r="C1499" s="32" t="s">
        <v>5286</v>
      </c>
      <c r="D1499" s="32" t="s">
        <v>5287</v>
      </c>
      <c r="E1499" s="32" t="s">
        <v>5288</v>
      </c>
      <c r="F1499" s="32" t="s">
        <v>5289</v>
      </c>
      <c r="G1499" s="32" t="s">
        <v>4886</v>
      </c>
      <c r="H1499" s="32" t="s">
        <v>4887</v>
      </c>
      <c r="I1499" s="32" t="s">
        <v>198</v>
      </c>
      <c r="J1499" s="32" t="s">
        <v>199</v>
      </c>
      <c r="K1499" s="32">
        <v>2.1509</v>
      </c>
      <c r="L1499" s="33">
        <v>1517</v>
      </c>
      <c r="M1499" s="32">
        <v>271</v>
      </c>
      <c r="N1499" s="32">
        <v>260</v>
      </c>
      <c r="O1499" s="32">
        <v>338</v>
      </c>
      <c r="P1499" s="32">
        <v>386</v>
      </c>
      <c r="Q1499" s="32">
        <v>262</v>
      </c>
      <c r="R1499" s="32" t="s">
        <v>225</v>
      </c>
      <c r="S1499" s="32">
        <v>12.073</v>
      </c>
      <c r="T1499" s="32">
        <v>1.55986</v>
      </c>
      <c r="U1499" s="32">
        <v>0.94096051400000003</v>
      </c>
      <c r="V1499" s="32">
        <v>4</v>
      </c>
      <c r="W1499" s="32">
        <v>0.90065499999999998</v>
      </c>
      <c r="X1499" s="32">
        <v>1.7462999999999999E-2</v>
      </c>
      <c r="Y1499" s="32">
        <v>0.8</v>
      </c>
      <c r="Z1499" s="32">
        <v>0.43421100000000001</v>
      </c>
      <c r="AA1499" s="32">
        <v>34.5</v>
      </c>
      <c r="AB1499" s="32">
        <v>535</v>
      </c>
      <c r="AC1499" s="32">
        <v>27</v>
      </c>
      <c r="AD1499" s="32">
        <v>40</v>
      </c>
      <c r="AE1499" s="32" t="s">
        <v>200</v>
      </c>
      <c r="AF1499" s="32" t="s">
        <v>200</v>
      </c>
      <c r="AG1499" s="32" t="s">
        <v>200</v>
      </c>
    </row>
    <row r="1500" spans="1:33">
      <c r="A1500" s="32" t="s">
        <v>5290</v>
      </c>
      <c r="B1500" s="32" t="s">
        <v>140</v>
      </c>
      <c r="C1500" s="32" t="s">
        <v>5291</v>
      </c>
      <c r="D1500" s="32" t="s">
        <v>5292</v>
      </c>
      <c r="E1500" s="32" t="s">
        <v>5283</v>
      </c>
      <c r="F1500" s="32" t="s">
        <v>5284</v>
      </c>
      <c r="G1500" s="32" t="s">
        <v>4886</v>
      </c>
      <c r="H1500" s="32" t="s">
        <v>4887</v>
      </c>
      <c r="I1500" s="32" t="s">
        <v>198</v>
      </c>
      <c r="J1500" s="32" t="s">
        <v>199</v>
      </c>
      <c r="K1500" s="32">
        <v>2.4709940000000001</v>
      </c>
      <c r="L1500" s="33">
        <v>1372</v>
      </c>
      <c r="M1500" s="32">
        <v>191</v>
      </c>
      <c r="N1500" s="32">
        <v>269</v>
      </c>
      <c r="O1500" s="32">
        <v>411</v>
      </c>
      <c r="P1500" s="32">
        <v>333</v>
      </c>
      <c r="Q1500" s="32">
        <v>168</v>
      </c>
      <c r="R1500" s="32">
        <v>4</v>
      </c>
      <c r="S1500" s="32">
        <v>29.758600000000001</v>
      </c>
      <c r="T1500" s="32">
        <v>1.8627</v>
      </c>
      <c r="U1500" s="32">
        <v>0.82358282500000002</v>
      </c>
      <c r="V1500" s="32">
        <v>4</v>
      </c>
      <c r="W1500" s="32">
        <v>0.90994200000000003</v>
      </c>
      <c r="X1500" s="32">
        <v>0.29837599999999997</v>
      </c>
      <c r="Y1500" s="32">
        <v>0.8</v>
      </c>
      <c r="Z1500" s="32">
        <v>0.46834700000000001</v>
      </c>
      <c r="AA1500" s="32">
        <v>35.700000000000003</v>
      </c>
      <c r="AB1500" s="32">
        <v>360</v>
      </c>
      <c r="AC1500" s="32">
        <v>16</v>
      </c>
      <c r="AD1500" s="32">
        <v>24</v>
      </c>
      <c r="AE1500" s="32">
        <v>0</v>
      </c>
      <c r="AF1500" s="32">
        <v>0</v>
      </c>
      <c r="AG1500" s="32" t="s">
        <v>200</v>
      </c>
    </row>
    <row r="1501" spans="1:33">
      <c r="A1501" s="32" t="s">
        <v>5293</v>
      </c>
      <c r="B1501" s="32" t="s">
        <v>140</v>
      </c>
      <c r="C1501" s="32" t="s">
        <v>5294</v>
      </c>
      <c r="D1501" s="32" t="s">
        <v>5295</v>
      </c>
      <c r="E1501" s="32" t="s">
        <v>5296</v>
      </c>
      <c r="F1501" s="32" t="s">
        <v>5297</v>
      </c>
      <c r="G1501" s="32" t="s">
        <v>4886</v>
      </c>
      <c r="H1501" s="32" t="s">
        <v>4887</v>
      </c>
      <c r="I1501" s="32" t="s">
        <v>198</v>
      </c>
      <c r="J1501" s="32" t="s">
        <v>199</v>
      </c>
      <c r="K1501" s="32">
        <v>2.6646830000000001</v>
      </c>
      <c r="L1501" s="33">
        <v>1690</v>
      </c>
      <c r="M1501" s="32">
        <v>240</v>
      </c>
      <c r="N1501" s="32">
        <v>363</v>
      </c>
      <c r="O1501" s="32">
        <v>605</v>
      </c>
      <c r="P1501" s="32">
        <v>320</v>
      </c>
      <c r="Q1501" s="32">
        <v>162</v>
      </c>
      <c r="R1501" s="32" t="s">
        <v>302</v>
      </c>
      <c r="S1501" s="32">
        <v>44.207999999999998</v>
      </c>
      <c r="T1501" s="32">
        <v>7.3605700000000001</v>
      </c>
      <c r="U1501" s="32">
        <v>0.58277676099999998</v>
      </c>
      <c r="V1501" s="32">
        <v>7</v>
      </c>
      <c r="W1501" s="32">
        <v>0.91772299999999996</v>
      </c>
      <c r="X1501" s="32">
        <v>0.43780999999999998</v>
      </c>
      <c r="Y1501" s="32">
        <v>0.8</v>
      </c>
      <c r="Z1501" s="32">
        <v>0.50621000000000005</v>
      </c>
      <c r="AA1501" s="32">
        <v>30.7</v>
      </c>
      <c r="AB1501" s="32">
        <v>382</v>
      </c>
      <c r="AC1501" s="32">
        <v>25</v>
      </c>
      <c r="AD1501" s="32">
        <v>43</v>
      </c>
      <c r="AE1501" s="32">
        <v>0</v>
      </c>
      <c r="AF1501" s="32">
        <v>0</v>
      </c>
      <c r="AG1501" s="32" t="s">
        <v>200</v>
      </c>
    </row>
    <row r="1502" spans="1:33">
      <c r="A1502" s="32" t="s">
        <v>5298</v>
      </c>
      <c r="B1502" s="32" t="s">
        <v>140</v>
      </c>
      <c r="C1502" s="32" t="s">
        <v>5299</v>
      </c>
      <c r="D1502" s="32" t="s">
        <v>5300</v>
      </c>
      <c r="E1502" s="32" t="s">
        <v>5288</v>
      </c>
      <c r="F1502" s="32" t="s">
        <v>5289</v>
      </c>
      <c r="G1502" s="32" t="s">
        <v>4886</v>
      </c>
      <c r="H1502" s="32" t="s">
        <v>4887</v>
      </c>
      <c r="I1502" s="32" t="s">
        <v>198</v>
      </c>
      <c r="J1502" s="32" t="s">
        <v>199</v>
      </c>
      <c r="K1502" s="32">
        <v>2.282184</v>
      </c>
      <c r="L1502" s="33">
        <v>1520</v>
      </c>
      <c r="M1502" s="32">
        <v>185</v>
      </c>
      <c r="N1502" s="32">
        <v>321</v>
      </c>
      <c r="O1502" s="32">
        <v>380</v>
      </c>
      <c r="P1502" s="32">
        <v>376</v>
      </c>
      <c r="Q1502" s="32">
        <v>258</v>
      </c>
      <c r="R1502" s="32" t="s">
        <v>225</v>
      </c>
      <c r="S1502" s="32">
        <v>24.404399999999999</v>
      </c>
      <c r="T1502" s="32">
        <v>0</v>
      </c>
      <c r="U1502" s="32">
        <v>0.77978298499999998</v>
      </c>
      <c r="V1502" s="32">
        <v>6</v>
      </c>
      <c r="W1502" s="32">
        <v>0.90114899999999998</v>
      </c>
      <c r="X1502" s="32">
        <v>6.5796999999999994E-2</v>
      </c>
      <c r="Y1502" s="32">
        <v>0.8</v>
      </c>
      <c r="Z1502" s="32">
        <v>0.50961299999999998</v>
      </c>
      <c r="AA1502" s="32">
        <v>20.5</v>
      </c>
      <c r="AB1502" s="32">
        <v>529</v>
      </c>
      <c r="AC1502" s="32">
        <v>20</v>
      </c>
      <c r="AD1502" s="32">
        <v>16</v>
      </c>
      <c r="AE1502" s="32">
        <v>0</v>
      </c>
      <c r="AF1502" s="32">
        <v>0</v>
      </c>
      <c r="AG1502" s="32" t="s">
        <v>200</v>
      </c>
    </row>
    <row r="1503" spans="1:33">
      <c r="A1503" s="32" t="s">
        <v>5301</v>
      </c>
      <c r="B1503" s="32" t="s">
        <v>140</v>
      </c>
      <c r="C1503" s="32" t="s">
        <v>5302</v>
      </c>
      <c r="D1503" s="32" t="s">
        <v>5303</v>
      </c>
      <c r="E1503" s="32" t="s">
        <v>5296</v>
      </c>
      <c r="F1503" s="32" t="s">
        <v>5297</v>
      </c>
      <c r="G1503" s="32" t="s">
        <v>4886</v>
      </c>
      <c r="H1503" s="32" t="s">
        <v>4887</v>
      </c>
      <c r="I1503" s="32" t="s">
        <v>198</v>
      </c>
      <c r="J1503" s="32" t="s">
        <v>199</v>
      </c>
      <c r="K1503" s="32">
        <v>2.3266309999999999</v>
      </c>
      <c r="L1503" s="33">
        <v>1692</v>
      </c>
      <c r="M1503" s="32">
        <v>329</v>
      </c>
      <c r="N1503" s="32">
        <v>311</v>
      </c>
      <c r="O1503" s="32">
        <v>344</v>
      </c>
      <c r="P1503" s="32">
        <v>450</v>
      </c>
      <c r="Q1503" s="32">
        <v>258</v>
      </c>
      <c r="R1503" s="32">
        <v>2</v>
      </c>
      <c r="S1503" s="32">
        <v>19.386900000000001</v>
      </c>
      <c r="T1503" s="32">
        <v>4.101</v>
      </c>
      <c r="U1503" s="32">
        <v>0.63101236500000002</v>
      </c>
      <c r="V1503" s="32">
        <v>8</v>
      </c>
      <c r="W1503" s="32">
        <v>0.90429000000000004</v>
      </c>
      <c r="X1503" s="32">
        <v>0.13183500000000001</v>
      </c>
      <c r="Y1503" s="32">
        <v>0.8</v>
      </c>
      <c r="Z1503" s="32">
        <v>0.49319000000000002</v>
      </c>
      <c r="AA1503" s="32">
        <v>49.1</v>
      </c>
      <c r="AB1503" s="32">
        <v>663</v>
      </c>
      <c r="AC1503" s="32">
        <v>18</v>
      </c>
      <c r="AD1503" s="32">
        <v>20</v>
      </c>
      <c r="AE1503" s="32">
        <v>0</v>
      </c>
      <c r="AF1503" s="32">
        <v>0</v>
      </c>
      <c r="AG1503" s="32" t="s">
        <v>200</v>
      </c>
    </row>
    <row r="1504" spans="1:33">
      <c r="A1504" s="32" t="s">
        <v>5304</v>
      </c>
      <c r="B1504" s="32" t="s">
        <v>140</v>
      </c>
      <c r="C1504" s="32" t="s">
        <v>5305</v>
      </c>
      <c r="D1504" s="32" t="s">
        <v>5306</v>
      </c>
      <c r="E1504" s="32" t="s">
        <v>5296</v>
      </c>
      <c r="F1504" s="32" t="s">
        <v>5297</v>
      </c>
      <c r="G1504" s="32" t="s">
        <v>4886</v>
      </c>
      <c r="H1504" s="32" t="s">
        <v>4887</v>
      </c>
      <c r="I1504" s="32" t="s">
        <v>198</v>
      </c>
      <c r="J1504" s="32" t="s">
        <v>199</v>
      </c>
      <c r="K1504" s="32">
        <v>2.2576130000000001</v>
      </c>
      <c r="L1504" s="33">
        <v>2026</v>
      </c>
      <c r="M1504" s="32">
        <v>439</v>
      </c>
      <c r="N1504" s="32">
        <v>349</v>
      </c>
      <c r="O1504" s="32">
        <v>596</v>
      </c>
      <c r="P1504" s="32">
        <v>408</v>
      </c>
      <c r="Q1504" s="32">
        <v>234</v>
      </c>
      <c r="R1504" s="32">
        <v>4</v>
      </c>
      <c r="S1504" s="32">
        <v>41.470300000000002</v>
      </c>
      <c r="T1504" s="32">
        <v>0</v>
      </c>
      <c r="U1504" s="32">
        <v>0.82217138199999995</v>
      </c>
      <c r="V1504" s="32">
        <v>5</v>
      </c>
      <c r="W1504" s="32">
        <v>0.90473199999999998</v>
      </c>
      <c r="X1504" s="32">
        <v>0.17244899999999999</v>
      </c>
      <c r="Y1504" s="32">
        <v>0.8</v>
      </c>
      <c r="Z1504" s="32">
        <v>0.37476799999999999</v>
      </c>
      <c r="AA1504" s="32">
        <v>34.799999999999997</v>
      </c>
      <c r="AB1504" s="32">
        <v>489</v>
      </c>
      <c r="AC1504" s="32">
        <v>33</v>
      </c>
      <c r="AD1504" s="32">
        <v>14</v>
      </c>
      <c r="AE1504" s="32">
        <v>0</v>
      </c>
      <c r="AF1504" s="32">
        <v>0</v>
      </c>
      <c r="AG1504" s="32" t="s">
        <v>200</v>
      </c>
    </row>
    <row r="1505" spans="1:33">
      <c r="A1505" s="32" t="s">
        <v>5213</v>
      </c>
      <c r="B1505" s="32" t="s">
        <v>140</v>
      </c>
      <c r="C1505" s="32" t="s">
        <v>5214</v>
      </c>
      <c r="D1505" s="32" t="s">
        <v>5215</v>
      </c>
      <c r="E1505" s="32" t="s">
        <v>5216</v>
      </c>
      <c r="F1505" s="32" t="s">
        <v>5217</v>
      </c>
      <c r="G1505" s="32" t="s">
        <v>4886</v>
      </c>
      <c r="H1505" s="32" t="s">
        <v>4887</v>
      </c>
      <c r="I1505" s="32" t="s">
        <v>198</v>
      </c>
      <c r="J1505" s="32" t="s">
        <v>199</v>
      </c>
      <c r="K1505" s="32">
        <v>2.8587929999999999</v>
      </c>
      <c r="L1505" s="33">
        <v>1970</v>
      </c>
      <c r="M1505" s="32">
        <v>361</v>
      </c>
      <c r="N1505" s="32">
        <v>364</v>
      </c>
      <c r="O1505" s="32">
        <v>598</v>
      </c>
      <c r="P1505" s="32">
        <v>384</v>
      </c>
      <c r="Q1505" s="32">
        <v>263</v>
      </c>
      <c r="R1505" s="32">
        <v>3</v>
      </c>
      <c r="S1505" s="32">
        <v>21.882300000000001</v>
      </c>
      <c r="T1505" s="32">
        <v>0</v>
      </c>
      <c r="U1505" s="32">
        <v>0.52875703299999999</v>
      </c>
      <c r="V1505" s="32">
        <v>6</v>
      </c>
      <c r="W1505" s="32">
        <v>0.92018200000000006</v>
      </c>
      <c r="X1505" s="32">
        <v>0.35217700000000002</v>
      </c>
      <c r="Y1505" s="32">
        <v>0.80246099999999998</v>
      </c>
      <c r="Z1505" s="32">
        <v>0.774725</v>
      </c>
      <c r="AA1505" s="32">
        <v>47.8</v>
      </c>
      <c r="AB1505" s="32">
        <v>806</v>
      </c>
      <c r="AC1505" s="32">
        <v>41</v>
      </c>
      <c r="AD1505" s="32">
        <v>97</v>
      </c>
      <c r="AE1505" s="32">
        <v>5</v>
      </c>
      <c r="AF1505" s="32">
        <v>12</v>
      </c>
      <c r="AG1505" s="32">
        <v>5</v>
      </c>
    </row>
    <row r="1506" spans="1:33">
      <c r="A1506" s="32" t="s">
        <v>5307</v>
      </c>
      <c r="B1506" s="32" t="s">
        <v>140</v>
      </c>
      <c r="C1506" s="32" t="s">
        <v>5308</v>
      </c>
      <c r="D1506" s="32" t="s">
        <v>5309</v>
      </c>
      <c r="E1506" s="32" t="s">
        <v>5216</v>
      </c>
      <c r="F1506" s="32" t="s">
        <v>5217</v>
      </c>
      <c r="G1506" s="32" t="s">
        <v>4886</v>
      </c>
      <c r="H1506" s="32" t="s">
        <v>4887</v>
      </c>
      <c r="I1506" s="32" t="s">
        <v>198</v>
      </c>
      <c r="J1506" s="32" t="s">
        <v>199</v>
      </c>
      <c r="K1506" s="32">
        <v>2.7283430000000002</v>
      </c>
      <c r="L1506" s="33">
        <v>2040</v>
      </c>
      <c r="M1506" s="32">
        <v>407</v>
      </c>
      <c r="N1506" s="32">
        <v>356</v>
      </c>
      <c r="O1506" s="32">
        <v>558</v>
      </c>
      <c r="P1506" s="32">
        <v>461</v>
      </c>
      <c r="Q1506" s="32">
        <v>258</v>
      </c>
      <c r="R1506" s="32">
        <v>4</v>
      </c>
      <c r="S1506" s="32">
        <v>22.191400000000002</v>
      </c>
      <c r="T1506" s="32">
        <v>12.648400000000001</v>
      </c>
      <c r="U1506" s="32">
        <v>0.63142627500000004</v>
      </c>
      <c r="V1506" s="32">
        <v>4</v>
      </c>
      <c r="W1506" s="32">
        <v>0.915933</v>
      </c>
      <c r="X1506" s="32">
        <v>0.30286600000000002</v>
      </c>
      <c r="Y1506" s="32">
        <v>0.8</v>
      </c>
      <c r="Z1506" s="32">
        <v>0.71797900000000003</v>
      </c>
      <c r="AA1506" s="32">
        <v>52.9</v>
      </c>
      <c r="AB1506" s="32">
        <v>628</v>
      </c>
      <c r="AC1506" s="32">
        <v>27</v>
      </c>
      <c r="AD1506" s="32">
        <v>55</v>
      </c>
      <c r="AE1506" s="32" t="s">
        <v>200</v>
      </c>
      <c r="AF1506" s="32">
        <v>0</v>
      </c>
      <c r="AG1506" s="32" t="s">
        <v>200</v>
      </c>
    </row>
    <row r="1507" spans="1:33">
      <c r="A1507" s="32" t="s">
        <v>5310</v>
      </c>
      <c r="B1507" s="32" t="s">
        <v>140</v>
      </c>
      <c r="C1507" s="32" t="s">
        <v>5311</v>
      </c>
      <c r="D1507" s="32" t="s">
        <v>5312</v>
      </c>
      <c r="E1507" s="32" t="s">
        <v>5216</v>
      </c>
      <c r="F1507" s="32" t="s">
        <v>5217</v>
      </c>
      <c r="G1507" s="32" t="s">
        <v>4886</v>
      </c>
      <c r="H1507" s="32" t="s">
        <v>4887</v>
      </c>
      <c r="I1507" s="32" t="s">
        <v>198</v>
      </c>
      <c r="J1507" s="32" t="s">
        <v>199</v>
      </c>
      <c r="K1507" s="32">
        <v>2.3470309999999999</v>
      </c>
      <c r="L1507" s="33">
        <v>1848</v>
      </c>
      <c r="M1507" s="32">
        <v>479</v>
      </c>
      <c r="N1507" s="32">
        <v>258</v>
      </c>
      <c r="O1507" s="32">
        <v>478</v>
      </c>
      <c r="P1507" s="32">
        <v>396</v>
      </c>
      <c r="Q1507" s="32">
        <v>237</v>
      </c>
      <c r="R1507" s="32">
        <v>2</v>
      </c>
      <c r="S1507" s="32">
        <v>19.5322</v>
      </c>
      <c r="T1507" s="32">
        <v>0</v>
      </c>
      <c r="U1507" s="32">
        <v>0.69800061800000002</v>
      </c>
      <c r="V1507" s="32">
        <v>7</v>
      </c>
      <c r="W1507" s="32">
        <v>0.90306500000000001</v>
      </c>
      <c r="X1507" s="32">
        <v>0.141843</v>
      </c>
      <c r="Y1507" s="32">
        <v>0.8</v>
      </c>
      <c r="Z1507" s="32">
        <v>0.500583</v>
      </c>
      <c r="AA1507" s="32">
        <v>40.5</v>
      </c>
      <c r="AB1507" s="32">
        <v>596</v>
      </c>
      <c r="AC1507" s="32">
        <v>14</v>
      </c>
      <c r="AD1507" s="32">
        <v>23</v>
      </c>
      <c r="AE1507" s="32">
        <v>0</v>
      </c>
      <c r="AF1507" s="32">
        <v>0</v>
      </c>
      <c r="AG1507" s="32" t="s">
        <v>200</v>
      </c>
    </row>
    <row r="1508" spans="1:33">
      <c r="A1508" s="32" t="s">
        <v>5313</v>
      </c>
      <c r="B1508" s="32" t="s">
        <v>140</v>
      </c>
      <c r="C1508" s="32" t="s">
        <v>5314</v>
      </c>
      <c r="D1508" s="32" t="s">
        <v>5315</v>
      </c>
      <c r="E1508" s="32" t="s">
        <v>4680</v>
      </c>
      <c r="F1508" s="32" t="s">
        <v>4681</v>
      </c>
      <c r="G1508" s="32" t="s">
        <v>4606</v>
      </c>
      <c r="H1508" s="32" t="s">
        <v>4607</v>
      </c>
      <c r="I1508" s="32" t="s">
        <v>198</v>
      </c>
      <c r="J1508" s="32" t="s">
        <v>199</v>
      </c>
      <c r="K1508" s="32">
        <v>2.4364140000000001</v>
      </c>
      <c r="L1508" s="33">
        <v>1409</v>
      </c>
      <c r="M1508" s="32">
        <v>295</v>
      </c>
      <c r="N1508" s="32">
        <v>266</v>
      </c>
      <c r="O1508" s="32">
        <v>296</v>
      </c>
      <c r="P1508" s="32">
        <v>362</v>
      </c>
      <c r="Q1508" s="32">
        <v>190</v>
      </c>
      <c r="R1508" s="32" t="s">
        <v>225</v>
      </c>
      <c r="S1508" s="32">
        <v>16.2392</v>
      </c>
      <c r="T1508" s="32">
        <v>0</v>
      </c>
      <c r="U1508" s="32">
        <v>0.96499869299999996</v>
      </c>
      <c r="V1508" s="32">
        <v>3</v>
      </c>
      <c r="W1508" s="32">
        <v>0.90479699999999996</v>
      </c>
      <c r="X1508" s="32">
        <v>0.35992099999999999</v>
      </c>
      <c r="Y1508" s="32">
        <v>0.8</v>
      </c>
      <c r="Z1508" s="32">
        <v>0.36564600000000003</v>
      </c>
      <c r="AA1508" s="32">
        <v>32.6</v>
      </c>
      <c r="AB1508" s="32">
        <v>442</v>
      </c>
      <c r="AC1508" s="32">
        <v>30</v>
      </c>
      <c r="AD1508" s="32">
        <v>32</v>
      </c>
      <c r="AE1508" s="32" t="s">
        <v>200</v>
      </c>
      <c r="AF1508" s="32" t="s">
        <v>200</v>
      </c>
      <c r="AG1508" s="32">
        <v>6</v>
      </c>
    </row>
    <row r="1509" spans="1:33">
      <c r="A1509" s="32" t="s">
        <v>4687</v>
      </c>
      <c r="B1509" s="32" t="s">
        <v>140</v>
      </c>
      <c r="C1509" s="32" t="s">
        <v>4688</v>
      </c>
      <c r="D1509" s="32" t="s">
        <v>4689</v>
      </c>
      <c r="E1509" s="32" t="s">
        <v>4680</v>
      </c>
      <c r="F1509" s="32" t="s">
        <v>4681</v>
      </c>
      <c r="G1509" s="32" t="s">
        <v>4606</v>
      </c>
      <c r="H1509" s="32" t="s">
        <v>4607</v>
      </c>
      <c r="I1509" s="32" t="s">
        <v>198</v>
      </c>
      <c r="J1509" s="32" t="s">
        <v>199</v>
      </c>
      <c r="K1509" s="32">
        <v>2.9333960000000001</v>
      </c>
      <c r="L1509" s="33">
        <v>3109</v>
      </c>
      <c r="M1509" s="32">
        <v>714</v>
      </c>
      <c r="N1509" s="32">
        <v>504</v>
      </c>
      <c r="O1509" s="32">
        <v>849</v>
      </c>
      <c r="P1509" s="32">
        <v>753</v>
      </c>
      <c r="Q1509" s="32">
        <v>289</v>
      </c>
      <c r="R1509" s="32">
        <v>2</v>
      </c>
      <c r="S1509" s="32">
        <v>17.633700000000001</v>
      </c>
      <c r="T1509" s="32">
        <v>0</v>
      </c>
      <c r="U1509" s="32">
        <v>0.76019309099999999</v>
      </c>
      <c r="V1509" s="32">
        <v>2</v>
      </c>
      <c r="W1509" s="32">
        <v>0.91828399999999999</v>
      </c>
      <c r="X1509" s="32">
        <v>0.56954899999999997</v>
      </c>
      <c r="Y1509" s="32">
        <v>0.8</v>
      </c>
      <c r="Z1509" s="32">
        <v>0.644791</v>
      </c>
      <c r="AA1509" s="32">
        <v>47</v>
      </c>
      <c r="AB1509" s="32">
        <v>976</v>
      </c>
      <c r="AC1509" s="32">
        <v>52</v>
      </c>
      <c r="AD1509" s="32">
        <v>35</v>
      </c>
      <c r="AE1509" s="32">
        <v>0</v>
      </c>
      <c r="AF1509" s="32">
        <v>0</v>
      </c>
      <c r="AG1509" s="32">
        <v>5</v>
      </c>
    </row>
    <row r="1510" spans="1:33">
      <c r="A1510" s="32" t="s">
        <v>5041</v>
      </c>
      <c r="B1510" s="32" t="s">
        <v>140</v>
      </c>
      <c r="C1510" s="32" t="s">
        <v>5042</v>
      </c>
      <c r="D1510" s="32" t="s">
        <v>5043</v>
      </c>
      <c r="E1510" s="32" t="s">
        <v>5025</v>
      </c>
      <c r="F1510" s="32" t="s">
        <v>5026</v>
      </c>
      <c r="G1510" s="32" t="s">
        <v>4606</v>
      </c>
      <c r="H1510" s="32" t="s">
        <v>4607</v>
      </c>
      <c r="I1510" s="32" t="s">
        <v>198</v>
      </c>
      <c r="J1510" s="32" t="s">
        <v>199</v>
      </c>
      <c r="K1510" s="32">
        <v>2.7947519999999999</v>
      </c>
      <c r="L1510" s="33">
        <v>1460</v>
      </c>
      <c r="M1510" s="32">
        <v>267</v>
      </c>
      <c r="N1510" s="32">
        <v>236</v>
      </c>
      <c r="O1510" s="32">
        <v>423</v>
      </c>
      <c r="P1510" s="32">
        <v>340</v>
      </c>
      <c r="Q1510" s="32">
        <v>194</v>
      </c>
      <c r="R1510" s="32">
        <v>3</v>
      </c>
      <c r="S1510" s="32">
        <v>17.836300000000001</v>
      </c>
      <c r="T1510" s="32">
        <v>8.8363300000000002</v>
      </c>
      <c r="U1510" s="32">
        <v>0.70358996500000004</v>
      </c>
      <c r="V1510" s="32">
        <v>4</v>
      </c>
      <c r="W1510" s="32">
        <v>0.92274100000000003</v>
      </c>
      <c r="X1510" s="32">
        <v>0.362178</v>
      </c>
      <c r="Y1510" s="32">
        <v>0.8</v>
      </c>
      <c r="Z1510" s="32">
        <v>0.73852899999999999</v>
      </c>
      <c r="AA1510" s="32">
        <v>21.7</v>
      </c>
      <c r="AB1510" s="32">
        <v>385</v>
      </c>
      <c r="AC1510" s="32">
        <v>15</v>
      </c>
      <c r="AD1510" s="32">
        <v>24</v>
      </c>
      <c r="AE1510" s="32">
        <v>0</v>
      </c>
      <c r="AF1510" s="32">
        <v>0</v>
      </c>
      <c r="AG1510" s="32" t="s">
        <v>200</v>
      </c>
    </row>
    <row r="1511" spans="1:33">
      <c r="A1511" s="32" t="s">
        <v>5044</v>
      </c>
      <c r="B1511" s="32" t="s">
        <v>140</v>
      </c>
      <c r="C1511" s="32" t="s">
        <v>5045</v>
      </c>
      <c r="D1511" s="32" t="s">
        <v>5046</v>
      </c>
      <c r="E1511" s="32" t="s">
        <v>5025</v>
      </c>
      <c r="F1511" s="32" t="s">
        <v>5026</v>
      </c>
      <c r="G1511" s="32" t="s">
        <v>4606</v>
      </c>
      <c r="H1511" s="32" t="s">
        <v>4607</v>
      </c>
      <c r="I1511" s="32" t="s">
        <v>198</v>
      </c>
      <c r="J1511" s="32" t="s">
        <v>199</v>
      </c>
      <c r="K1511" s="32">
        <v>2.5848589999999998</v>
      </c>
      <c r="L1511" s="33">
        <v>1879</v>
      </c>
      <c r="M1511" s="32">
        <v>309</v>
      </c>
      <c r="N1511" s="32">
        <v>331</v>
      </c>
      <c r="O1511" s="32">
        <v>558</v>
      </c>
      <c r="P1511" s="32">
        <v>474</v>
      </c>
      <c r="Q1511" s="32">
        <v>207</v>
      </c>
      <c r="R1511" s="32">
        <v>2</v>
      </c>
      <c r="S1511" s="32">
        <v>15.711499999999999</v>
      </c>
      <c r="T1511" s="32">
        <v>2.6915399999999998</v>
      </c>
      <c r="U1511" s="32">
        <v>0.55327973100000005</v>
      </c>
      <c r="V1511" s="32">
        <v>7</v>
      </c>
      <c r="W1511" s="32">
        <v>0.91214799999999996</v>
      </c>
      <c r="X1511" s="32">
        <v>0.23066</v>
      </c>
      <c r="Y1511" s="32">
        <v>0.8</v>
      </c>
      <c r="Z1511" s="32">
        <v>0.64531000000000005</v>
      </c>
      <c r="AA1511" s="32">
        <v>18.399999999999999</v>
      </c>
      <c r="AB1511" s="32">
        <v>586</v>
      </c>
      <c r="AC1511" s="32">
        <v>20</v>
      </c>
      <c r="AD1511" s="32">
        <v>24</v>
      </c>
      <c r="AE1511" s="32">
        <v>0</v>
      </c>
      <c r="AF1511" s="32" t="s">
        <v>200</v>
      </c>
      <c r="AG1511" s="32" t="s">
        <v>200</v>
      </c>
    </row>
    <row r="1512" spans="1:33">
      <c r="A1512" s="32" t="s">
        <v>5316</v>
      </c>
      <c r="B1512" s="32" t="s">
        <v>140</v>
      </c>
      <c r="C1512" s="32" t="s">
        <v>5317</v>
      </c>
      <c r="D1512" s="32" t="s">
        <v>5318</v>
      </c>
      <c r="E1512" s="32" t="s">
        <v>5053</v>
      </c>
      <c r="F1512" s="32" t="s">
        <v>5054</v>
      </c>
      <c r="G1512" s="32" t="s">
        <v>4606</v>
      </c>
      <c r="H1512" s="32" t="s">
        <v>4607</v>
      </c>
      <c r="I1512" s="32" t="s">
        <v>198</v>
      </c>
      <c r="J1512" s="32" t="s">
        <v>199</v>
      </c>
      <c r="K1512" s="32">
        <v>2.584724</v>
      </c>
      <c r="L1512" s="33">
        <v>1625</v>
      </c>
      <c r="M1512" s="32">
        <v>206</v>
      </c>
      <c r="N1512" s="32">
        <v>437</v>
      </c>
      <c r="O1512" s="32">
        <v>390</v>
      </c>
      <c r="P1512" s="32">
        <v>372</v>
      </c>
      <c r="Q1512" s="32">
        <v>220</v>
      </c>
      <c r="R1512" s="32">
        <v>3</v>
      </c>
      <c r="S1512" s="32">
        <v>21.253900000000002</v>
      </c>
      <c r="T1512" s="32">
        <v>1.72374</v>
      </c>
      <c r="U1512" s="32">
        <v>0.58556329699999998</v>
      </c>
      <c r="V1512" s="32">
        <v>8</v>
      </c>
      <c r="W1512" s="32">
        <v>0.90678899999999996</v>
      </c>
      <c r="X1512" s="32">
        <v>0.19717499999999999</v>
      </c>
      <c r="Y1512" s="32">
        <v>0.8</v>
      </c>
      <c r="Z1512" s="32">
        <v>0.69108899999999995</v>
      </c>
      <c r="AA1512" s="32">
        <v>34</v>
      </c>
      <c r="AB1512" s="32">
        <v>491</v>
      </c>
      <c r="AC1512" s="32">
        <v>24</v>
      </c>
      <c r="AD1512" s="32">
        <v>121</v>
      </c>
      <c r="AE1512" s="32">
        <v>42</v>
      </c>
      <c r="AF1512" s="32" t="s">
        <v>200</v>
      </c>
      <c r="AG1512" s="32">
        <v>6</v>
      </c>
    </row>
    <row r="1513" spans="1:33">
      <c r="A1513" s="32" t="s">
        <v>5061</v>
      </c>
      <c r="B1513" s="32" t="s">
        <v>140</v>
      </c>
      <c r="C1513" s="32" t="s">
        <v>5062</v>
      </c>
      <c r="D1513" s="32" t="s">
        <v>5063</v>
      </c>
      <c r="E1513" s="32" t="s">
        <v>5053</v>
      </c>
      <c r="F1513" s="32" t="s">
        <v>5054</v>
      </c>
      <c r="G1513" s="32" t="s">
        <v>4606</v>
      </c>
      <c r="H1513" s="32" t="s">
        <v>4607</v>
      </c>
      <c r="I1513" s="32" t="s">
        <v>198</v>
      </c>
      <c r="J1513" s="32" t="s">
        <v>199</v>
      </c>
      <c r="K1513" s="32">
        <v>2.8018459999999998</v>
      </c>
      <c r="L1513" s="33">
        <v>2068</v>
      </c>
      <c r="M1513" s="32">
        <v>353</v>
      </c>
      <c r="N1513" s="32">
        <v>400</v>
      </c>
      <c r="O1513" s="32">
        <v>634</v>
      </c>
      <c r="P1513" s="32">
        <v>467</v>
      </c>
      <c r="Q1513" s="32">
        <v>214</v>
      </c>
      <c r="R1513" s="32">
        <v>4</v>
      </c>
      <c r="S1513" s="32">
        <v>22.3279</v>
      </c>
      <c r="T1513" s="32">
        <v>1.7289399999999999</v>
      </c>
      <c r="U1513" s="32">
        <v>0.56735669399999999</v>
      </c>
      <c r="V1513" s="32">
        <v>6</v>
      </c>
      <c r="W1513" s="32">
        <v>0.91702600000000001</v>
      </c>
      <c r="X1513" s="32">
        <v>0.39093699999999998</v>
      </c>
      <c r="Y1513" s="32">
        <v>0.8</v>
      </c>
      <c r="Z1513" s="32">
        <v>0.69446200000000002</v>
      </c>
      <c r="AA1513" s="32">
        <v>28.8</v>
      </c>
      <c r="AB1513" s="32">
        <v>489</v>
      </c>
      <c r="AC1513" s="32">
        <v>62</v>
      </c>
      <c r="AD1513" s="32">
        <v>58</v>
      </c>
      <c r="AE1513" s="32">
        <v>0</v>
      </c>
      <c r="AF1513" s="32">
        <v>0</v>
      </c>
      <c r="AG1513" s="32" t="s">
        <v>200</v>
      </c>
    </row>
    <row r="1514" spans="1:33">
      <c r="A1514" s="32" t="s">
        <v>5319</v>
      </c>
      <c r="B1514" s="32" t="s">
        <v>89</v>
      </c>
      <c r="C1514" s="32" t="s">
        <v>5320</v>
      </c>
      <c r="D1514" s="32" t="s">
        <v>5321</v>
      </c>
      <c r="E1514" s="32" t="s">
        <v>5322</v>
      </c>
      <c r="F1514" s="32" t="s">
        <v>5323</v>
      </c>
      <c r="G1514" s="32" t="s">
        <v>4886</v>
      </c>
      <c r="H1514" s="32" t="s">
        <v>4887</v>
      </c>
      <c r="I1514" s="32" t="s">
        <v>198</v>
      </c>
      <c r="J1514" s="32" t="s">
        <v>199</v>
      </c>
      <c r="K1514" s="32">
        <v>2.6918959999999998</v>
      </c>
      <c r="L1514" s="33">
        <v>1759</v>
      </c>
      <c r="M1514" s="32">
        <v>390</v>
      </c>
      <c r="N1514" s="32">
        <v>309</v>
      </c>
      <c r="O1514" s="32">
        <v>428</v>
      </c>
      <c r="P1514" s="32">
        <v>393</v>
      </c>
      <c r="Q1514" s="32">
        <v>239</v>
      </c>
      <c r="R1514" s="32">
        <v>3</v>
      </c>
      <c r="S1514" s="32">
        <v>22.379300000000001</v>
      </c>
      <c r="T1514" s="32">
        <v>4.9256000000000002</v>
      </c>
      <c r="U1514" s="32">
        <v>1.0482278330000001</v>
      </c>
      <c r="V1514" s="32">
        <v>2</v>
      </c>
      <c r="W1514" s="32">
        <v>0.93212700000000004</v>
      </c>
      <c r="X1514" s="32">
        <v>0.29411799999999999</v>
      </c>
      <c r="Y1514" s="32">
        <v>0.8</v>
      </c>
      <c r="Z1514" s="32">
        <v>0.67227899999999996</v>
      </c>
      <c r="AA1514" s="32">
        <v>50</v>
      </c>
      <c r="AB1514" s="32">
        <v>418</v>
      </c>
      <c r="AC1514" s="32">
        <v>24</v>
      </c>
      <c r="AD1514" s="32">
        <v>42</v>
      </c>
      <c r="AE1514" s="32" t="s">
        <v>200</v>
      </c>
      <c r="AF1514" s="32" t="s">
        <v>200</v>
      </c>
      <c r="AG1514" s="32" t="s">
        <v>200</v>
      </c>
    </row>
    <row r="1515" spans="1:33">
      <c r="A1515" s="32" t="s">
        <v>5324</v>
      </c>
      <c r="B1515" s="32" t="s">
        <v>89</v>
      </c>
      <c r="C1515" s="32" t="s">
        <v>5325</v>
      </c>
      <c r="D1515" s="32" t="s">
        <v>5326</v>
      </c>
      <c r="E1515" s="32" t="s">
        <v>5322</v>
      </c>
      <c r="F1515" s="32" t="s">
        <v>5323</v>
      </c>
      <c r="G1515" s="32" t="s">
        <v>4886</v>
      </c>
      <c r="H1515" s="32" t="s">
        <v>4887</v>
      </c>
      <c r="I1515" s="32" t="s">
        <v>198</v>
      </c>
      <c r="J1515" s="32" t="s">
        <v>199</v>
      </c>
      <c r="K1515" s="32">
        <v>3.0152559999999999</v>
      </c>
      <c r="L1515" s="33">
        <v>4405</v>
      </c>
      <c r="M1515" s="32">
        <v>498</v>
      </c>
      <c r="N1515" s="33">
        <v>2137</v>
      </c>
      <c r="O1515" s="33">
        <v>1090</v>
      </c>
      <c r="P1515" s="32">
        <v>511</v>
      </c>
      <c r="Q1515" s="32">
        <v>169</v>
      </c>
      <c r="R1515" s="32">
        <v>4</v>
      </c>
      <c r="S1515" s="32">
        <v>26.5655</v>
      </c>
      <c r="T1515" s="32">
        <v>2.0850200000000001</v>
      </c>
      <c r="U1515" s="32">
        <v>0.62709834600000003</v>
      </c>
      <c r="V1515" s="32">
        <v>4</v>
      </c>
      <c r="W1515" s="32">
        <v>0.93864199999999998</v>
      </c>
      <c r="X1515" s="32">
        <v>0.39527000000000001</v>
      </c>
      <c r="Y1515" s="32">
        <v>0.8</v>
      </c>
      <c r="Z1515" s="32">
        <v>0.88626499999999997</v>
      </c>
      <c r="AA1515" s="32">
        <v>54.6</v>
      </c>
      <c r="AB1515" s="32">
        <v>497</v>
      </c>
      <c r="AC1515" s="32">
        <v>36</v>
      </c>
      <c r="AD1515" s="32">
        <v>70</v>
      </c>
      <c r="AE1515" s="32" t="s">
        <v>200</v>
      </c>
      <c r="AF1515" s="32" t="s">
        <v>200</v>
      </c>
      <c r="AG1515" s="32" t="s">
        <v>200</v>
      </c>
    </row>
    <row r="1516" spans="1:33">
      <c r="A1516" s="32" t="s">
        <v>5327</v>
      </c>
      <c r="B1516" s="32" t="s">
        <v>89</v>
      </c>
      <c r="C1516" s="32" t="s">
        <v>5328</v>
      </c>
      <c r="D1516" s="32" t="s">
        <v>5329</v>
      </c>
      <c r="E1516" s="32" t="s">
        <v>5330</v>
      </c>
      <c r="F1516" s="32" t="s">
        <v>5331</v>
      </c>
      <c r="G1516" s="32" t="s">
        <v>4886</v>
      </c>
      <c r="H1516" s="32" t="s">
        <v>4887</v>
      </c>
      <c r="I1516" s="32" t="s">
        <v>198</v>
      </c>
      <c r="J1516" s="32" t="s">
        <v>199</v>
      </c>
      <c r="K1516" s="32">
        <v>2.4689649999999999</v>
      </c>
      <c r="L1516" s="33">
        <v>1673</v>
      </c>
      <c r="M1516" s="32">
        <v>234</v>
      </c>
      <c r="N1516" s="32">
        <v>444</v>
      </c>
      <c r="O1516" s="32">
        <v>423</v>
      </c>
      <c r="P1516" s="32">
        <v>356</v>
      </c>
      <c r="Q1516" s="32">
        <v>216</v>
      </c>
      <c r="R1516" s="32">
        <v>5</v>
      </c>
      <c r="S1516" s="32">
        <v>29.042400000000001</v>
      </c>
      <c r="T1516" s="32">
        <v>16.039300000000001</v>
      </c>
      <c r="U1516" s="32">
        <v>0.89302004400000001</v>
      </c>
      <c r="V1516" s="32">
        <v>5</v>
      </c>
      <c r="W1516" s="32">
        <v>0.90844800000000003</v>
      </c>
      <c r="X1516" s="32">
        <v>8.6063000000000001E-2</v>
      </c>
      <c r="Y1516" s="32">
        <v>0.8</v>
      </c>
      <c r="Z1516" s="32">
        <v>0.66961800000000005</v>
      </c>
      <c r="AA1516" s="32">
        <v>51.6</v>
      </c>
      <c r="AB1516" s="32">
        <v>348</v>
      </c>
      <c r="AC1516" s="32">
        <v>30</v>
      </c>
      <c r="AD1516" s="32">
        <v>32</v>
      </c>
      <c r="AE1516" s="32">
        <v>0</v>
      </c>
      <c r="AF1516" s="32" t="s">
        <v>200</v>
      </c>
      <c r="AG1516" s="32" t="s">
        <v>200</v>
      </c>
    </row>
    <row r="1517" spans="1:33">
      <c r="A1517" s="32" t="s">
        <v>5332</v>
      </c>
      <c r="B1517" s="32" t="s">
        <v>89</v>
      </c>
      <c r="C1517" s="32" t="s">
        <v>5333</v>
      </c>
      <c r="D1517" s="32" t="s">
        <v>5334</v>
      </c>
      <c r="E1517" s="32" t="s">
        <v>5330</v>
      </c>
      <c r="F1517" s="32" t="s">
        <v>5331</v>
      </c>
      <c r="G1517" s="32" t="s">
        <v>4886</v>
      </c>
      <c r="H1517" s="32" t="s">
        <v>4887</v>
      </c>
      <c r="I1517" s="32" t="s">
        <v>198</v>
      </c>
      <c r="J1517" s="32" t="s">
        <v>199</v>
      </c>
      <c r="K1517" s="32">
        <v>2.3591039999999999</v>
      </c>
      <c r="L1517" s="33">
        <v>1615</v>
      </c>
      <c r="M1517" s="32">
        <v>248</v>
      </c>
      <c r="N1517" s="32">
        <v>474</v>
      </c>
      <c r="O1517" s="32">
        <v>407</v>
      </c>
      <c r="P1517" s="32">
        <v>289</v>
      </c>
      <c r="Q1517" s="32">
        <v>197</v>
      </c>
      <c r="R1517" s="32">
        <v>2</v>
      </c>
      <c r="S1517" s="32">
        <v>21.9741</v>
      </c>
      <c r="T1517" s="32">
        <v>0</v>
      </c>
      <c r="U1517" s="32">
        <v>0.89452007099999997</v>
      </c>
      <c r="V1517" s="32">
        <v>4</v>
      </c>
      <c r="W1517" s="32">
        <v>0.91372900000000001</v>
      </c>
      <c r="X1517" s="32">
        <v>0.15751699999999999</v>
      </c>
      <c r="Y1517" s="32">
        <v>0.8</v>
      </c>
      <c r="Z1517" s="32">
        <v>0.49202299999999999</v>
      </c>
      <c r="AA1517" s="32">
        <v>48.6</v>
      </c>
      <c r="AB1517" s="32">
        <v>362</v>
      </c>
      <c r="AC1517" s="32">
        <v>39</v>
      </c>
      <c r="AD1517" s="32">
        <v>25</v>
      </c>
      <c r="AE1517" s="32" t="s">
        <v>200</v>
      </c>
      <c r="AF1517" s="32">
        <v>0</v>
      </c>
      <c r="AG1517" s="32" t="s">
        <v>200</v>
      </c>
    </row>
    <row r="1518" spans="1:33">
      <c r="A1518" s="32" t="s">
        <v>5335</v>
      </c>
      <c r="B1518" s="32" t="s">
        <v>89</v>
      </c>
      <c r="C1518" s="32" t="s">
        <v>5336</v>
      </c>
      <c r="D1518" s="32" t="s">
        <v>5337</v>
      </c>
      <c r="E1518" s="32" t="s">
        <v>5330</v>
      </c>
      <c r="F1518" s="32" t="s">
        <v>5331</v>
      </c>
      <c r="G1518" s="32" t="s">
        <v>4886</v>
      </c>
      <c r="H1518" s="32" t="s">
        <v>4887</v>
      </c>
      <c r="I1518" s="32" t="s">
        <v>198</v>
      </c>
      <c r="J1518" s="32" t="s">
        <v>199</v>
      </c>
      <c r="K1518" s="32">
        <v>2.257692</v>
      </c>
      <c r="L1518" s="33">
        <v>1398</v>
      </c>
      <c r="M1518" s="32">
        <v>263</v>
      </c>
      <c r="N1518" s="32">
        <v>274</v>
      </c>
      <c r="O1518" s="32">
        <v>310</v>
      </c>
      <c r="P1518" s="32">
        <v>360</v>
      </c>
      <c r="Q1518" s="32">
        <v>191</v>
      </c>
      <c r="R1518" s="32" t="s">
        <v>225</v>
      </c>
      <c r="S1518" s="32">
        <v>7.31881</v>
      </c>
      <c r="T1518" s="32">
        <v>2.1080899999999998</v>
      </c>
      <c r="U1518" s="32">
        <v>0.98385205200000003</v>
      </c>
      <c r="V1518" s="32">
        <v>3</v>
      </c>
      <c r="W1518" s="32">
        <v>0.90668899999999997</v>
      </c>
      <c r="X1518" s="32">
        <v>0.114676</v>
      </c>
      <c r="Y1518" s="32">
        <v>0.8</v>
      </c>
      <c r="Z1518" s="32">
        <v>0.44350800000000001</v>
      </c>
      <c r="AA1518" s="32">
        <v>48.1</v>
      </c>
      <c r="AB1518" s="32">
        <v>442</v>
      </c>
      <c r="AC1518" s="32">
        <v>51</v>
      </c>
      <c r="AD1518" s="32">
        <v>31</v>
      </c>
      <c r="AE1518" s="32">
        <v>0</v>
      </c>
      <c r="AF1518" s="32" t="s">
        <v>200</v>
      </c>
      <c r="AG1518" s="32" t="s">
        <v>200</v>
      </c>
    </row>
    <row r="1519" spans="1:33">
      <c r="A1519" s="32" t="s">
        <v>5338</v>
      </c>
      <c r="B1519" s="32" t="s">
        <v>89</v>
      </c>
      <c r="C1519" s="32" t="s">
        <v>5339</v>
      </c>
      <c r="D1519" s="32" t="s">
        <v>5340</v>
      </c>
      <c r="E1519" s="32" t="s">
        <v>5330</v>
      </c>
      <c r="F1519" s="32" t="s">
        <v>5331</v>
      </c>
      <c r="G1519" s="32" t="s">
        <v>4886</v>
      </c>
      <c r="H1519" s="32" t="s">
        <v>4887</v>
      </c>
      <c r="I1519" s="32" t="s">
        <v>198</v>
      </c>
      <c r="J1519" s="32" t="s">
        <v>199</v>
      </c>
      <c r="K1519" s="32">
        <v>2.3406099999999999</v>
      </c>
      <c r="L1519" s="33">
        <v>2482</v>
      </c>
      <c r="M1519" s="32">
        <v>653</v>
      </c>
      <c r="N1519" s="32">
        <v>488</v>
      </c>
      <c r="O1519" s="32">
        <v>613</v>
      </c>
      <c r="P1519" s="32">
        <v>522</v>
      </c>
      <c r="Q1519" s="32">
        <v>206</v>
      </c>
      <c r="R1519" s="32">
        <v>3</v>
      </c>
      <c r="S1519" s="32">
        <v>26.68</v>
      </c>
      <c r="T1519" s="32">
        <v>3.1736599999999999</v>
      </c>
      <c r="U1519" s="32">
        <v>1.0278178979999999</v>
      </c>
      <c r="V1519" s="32">
        <v>4</v>
      </c>
      <c r="W1519" s="32">
        <v>0.91894100000000001</v>
      </c>
      <c r="X1519" s="32">
        <v>0.12038500000000001</v>
      </c>
      <c r="Y1519" s="32">
        <v>0.8</v>
      </c>
      <c r="Z1519" s="32">
        <v>0.50607999999999997</v>
      </c>
      <c r="AA1519" s="32">
        <v>54.1</v>
      </c>
      <c r="AB1519" s="32">
        <v>505</v>
      </c>
      <c r="AC1519" s="32">
        <v>52</v>
      </c>
      <c r="AD1519" s="32">
        <v>30</v>
      </c>
      <c r="AE1519" s="32" t="s">
        <v>200</v>
      </c>
      <c r="AF1519" s="32">
        <v>0</v>
      </c>
      <c r="AG1519" s="32" t="s">
        <v>200</v>
      </c>
    </row>
    <row r="1520" spans="1:33">
      <c r="A1520" s="32" t="s">
        <v>5341</v>
      </c>
      <c r="B1520" s="32" t="s">
        <v>89</v>
      </c>
      <c r="C1520" s="32" t="s">
        <v>5342</v>
      </c>
      <c r="D1520" s="32" t="s">
        <v>5343</v>
      </c>
      <c r="E1520" s="32" t="s">
        <v>5322</v>
      </c>
      <c r="F1520" s="32" t="s">
        <v>5323</v>
      </c>
      <c r="G1520" s="32" t="s">
        <v>4886</v>
      </c>
      <c r="H1520" s="32" t="s">
        <v>4887</v>
      </c>
      <c r="I1520" s="32" t="s">
        <v>198</v>
      </c>
      <c r="J1520" s="32" t="s">
        <v>199</v>
      </c>
      <c r="K1520" s="32">
        <v>2.8768980000000002</v>
      </c>
      <c r="L1520" s="33">
        <v>2348</v>
      </c>
      <c r="M1520" s="32">
        <v>456</v>
      </c>
      <c r="N1520" s="32">
        <v>524</v>
      </c>
      <c r="O1520" s="32">
        <v>647</v>
      </c>
      <c r="P1520" s="32">
        <v>447</v>
      </c>
      <c r="Q1520" s="32">
        <v>274</v>
      </c>
      <c r="R1520" s="32">
        <v>3</v>
      </c>
      <c r="S1520" s="32">
        <v>23.476900000000001</v>
      </c>
      <c r="T1520" s="32">
        <v>1.76929</v>
      </c>
      <c r="U1520" s="32">
        <v>0.60539165699999997</v>
      </c>
      <c r="V1520" s="32">
        <v>5</v>
      </c>
      <c r="W1520" s="32">
        <v>0.91123900000000002</v>
      </c>
      <c r="X1520" s="32">
        <v>0.214314</v>
      </c>
      <c r="Y1520" s="32">
        <v>0.8</v>
      </c>
      <c r="Z1520" s="32">
        <v>0.95004900000000003</v>
      </c>
      <c r="AA1520" s="32">
        <v>46</v>
      </c>
      <c r="AB1520" s="32">
        <v>3804</v>
      </c>
      <c r="AC1520" s="32">
        <v>289</v>
      </c>
      <c r="AD1520" s="32">
        <v>994</v>
      </c>
      <c r="AE1520" s="32">
        <v>373</v>
      </c>
      <c r="AF1520" s="32">
        <v>93</v>
      </c>
      <c r="AG1520" s="32">
        <v>14</v>
      </c>
    </row>
    <row r="1521" spans="1:33">
      <c r="A1521" s="32" t="s">
        <v>5307</v>
      </c>
      <c r="B1521" s="32" t="s">
        <v>89</v>
      </c>
      <c r="C1521" s="32" t="s">
        <v>5308</v>
      </c>
      <c r="D1521" s="32" t="s">
        <v>5309</v>
      </c>
      <c r="E1521" s="32" t="s">
        <v>5216</v>
      </c>
      <c r="F1521" s="32" t="s">
        <v>5217</v>
      </c>
      <c r="G1521" s="32" t="s">
        <v>4886</v>
      </c>
      <c r="H1521" s="32" t="s">
        <v>4887</v>
      </c>
      <c r="I1521" s="32" t="s">
        <v>198</v>
      </c>
      <c r="J1521" s="32" t="s">
        <v>199</v>
      </c>
      <c r="K1521" s="32">
        <v>2.7283430000000002</v>
      </c>
      <c r="L1521" s="33">
        <v>2040</v>
      </c>
      <c r="M1521" s="32">
        <v>407</v>
      </c>
      <c r="N1521" s="32">
        <v>356</v>
      </c>
      <c r="O1521" s="32">
        <v>558</v>
      </c>
      <c r="P1521" s="32">
        <v>461</v>
      </c>
      <c r="Q1521" s="32">
        <v>258</v>
      </c>
      <c r="R1521" s="32">
        <v>4</v>
      </c>
      <c r="S1521" s="32">
        <v>22.191400000000002</v>
      </c>
      <c r="T1521" s="32">
        <v>12.648400000000001</v>
      </c>
      <c r="U1521" s="32">
        <v>0.63142627500000004</v>
      </c>
      <c r="V1521" s="32">
        <v>4</v>
      </c>
      <c r="W1521" s="32">
        <v>0.915933</v>
      </c>
      <c r="X1521" s="32">
        <v>0.30286600000000002</v>
      </c>
      <c r="Y1521" s="32">
        <v>0.8</v>
      </c>
      <c r="Z1521" s="32">
        <v>0.71797900000000003</v>
      </c>
      <c r="AA1521" s="32">
        <v>52.9</v>
      </c>
      <c r="AB1521" s="32">
        <v>628</v>
      </c>
      <c r="AC1521" s="32">
        <v>27</v>
      </c>
      <c r="AD1521" s="32">
        <v>55</v>
      </c>
      <c r="AE1521" s="32" t="s">
        <v>200</v>
      </c>
      <c r="AF1521" s="32">
        <v>0</v>
      </c>
      <c r="AG1521" s="32" t="s">
        <v>200</v>
      </c>
    </row>
    <row r="1522" spans="1:33">
      <c r="A1522" s="32" t="s">
        <v>5344</v>
      </c>
      <c r="B1522" s="32" t="s">
        <v>89</v>
      </c>
      <c r="C1522" s="32" t="s">
        <v>5345</v>
      </c>
      <c r="D1522" s="32" t="s">
        <v>5346</v>
      </c>
      <c r="E1522" s="32" t="s">
        <v>5347</v>
      </c>
      <c r="F1522" s="32" t="s">
        <v>5348</v>
      </c>
      <c r="G1522" s="32" t="s">
        <v>5072</v>
      </c>
      <c r="H1522" s="32" t="s">
        <v>5073</v>
      </c>
      <c r="I1522" s="32" t="s">
        <v>198</v>
      </c>
      <c r="J1522" s="32" t="s">
        <v>199</v>
      </c>
      <c r="K1522" s="32">
        <v>2.800154</v>
      </c>
      <c r="L1522" s="33">
        <v>2594</v>
      </c>
      <c r="M1522" s="32">
        <v>274</v>
      </c>
      <c r="N1522" s="33">
        <v>1016</v>
      </c>
      <c r="O1522" s="32">
        <v>562</v>
      </c>
      <c r="P1522" s="32">
        <v>521</v>
      </c>
      <c r="Q1522" s="32">
        <v>221</v>
      </c>
      <c r="R1522" s="32">
        <v>3</v>
      </c>
      <c r="S1522" s="32">
        <v>32.729500000000002</v>
      </c>
      <c r="T1522" s="32">
        <v>0</v>
      </c>
      <c r="U1522" s="32">
        <v>0.74557957600000002</v>
      </c>
      <c r="V1522" s="32">
        <v>4</v>
      </c>
      <c r="W1522" s="32">
        <v>0.91358700000000004</v>
      </c>
      <c r="X1522" s="32">
        <v>0.35578799999999999</v>
      </c>
      <c r="Y1522" s="32">
        <v>0.8</v>
      </c>
      <c r="Z1522" s="32">
        <v>0.73460099999999995</v>
      </c>
      <c r="AA1522" s="32">
        <v>42.2</v>
      </c>
      <c r="AB1522" s="32">
        <v>509</v>
      </c>
      <c r="AC1522" s="32">
        <v>28</v>
      </c>
      <c r="AD1522" s="32">
        <v>44</v>
      </c>
      <c r="AE1522" s="32" t="s">
        <v>200</v>
      </c>
      <c r="AF1522" s="32" t="s">
        <v>200</v>
      </c>
      <c r="AG1522" s="32" t="s">
        <v>200</v>
      </c>
    </row>
    <row r="1523" spans="1:33">
      <c r="A1523" s="32" t="s">
        <v>5349</v>
      </c>
      <c r="B1523" s="32" t="s">
        <v>89</v>
      </c>
      <c r="C1523" s="32" t="s">
        <v>5350</v>
      </c>
      <c r="D1523" s="32" t="s">
        <v>5351</v>
      </c>
      <c r="E1523" s="32" t="s">
        <v>5347</v>
      </c>
      <c r="F1523" s="32" t="s">
        <v>5348</v>
      </c>
      <c r="G1523" s="32" t="s">
        <v>5072</v>
      </c>
      <c r="H1523" s="32" t="s">
        <v>5073</v>
      </c>
      <c r="I1523" s="32" t="s">
        <v>198</v>
      </c>
      <c r="J1523" s="32" t="s">
        <v>199</v>
      </c>
      <c r="K1523" s="32">
        <v>2.5838000000000001</v>
      </c>
      <c r="L1523" s="33">
        <v>1750</v>
      </c>
      <c r="M1523" s="32">
        <v>366</v>
      </c>
      <c r="N1523" s="32">
        <v>369</v>
      </c>
      <c r="O1523" s="32">
        <v>379</v>
      </c>
      <c r="P1523" s="32">
        <v>413</v>
      </c>
      <c r="Q1523" s="32">
        <v>223</v>
      </c>
      <c r="R1523" s="32">
        <v>5</v>
      </c>
      <c r="S1523" s="32">
        <v>30.122599999999998</v>
      </c>
      <c r="T1523" s="32">
        <v>15.355</v>
      </c>
      <c r="U1523" s="32">
        <v>1.0503275190000001</v>
      </c>
      <c r="V1523" s="32">
        <v>2</v>
      </c>
      <c r="W1523" s="32">
        <v>0.92300000000000004</v>
      </c>
      <c r="X1523" s="32">
        <v>0.23647299999999999</v>
      </c>
      <c r="Y1523" s="32">
        <v>0.8</v>
      </c>
      <c r="Z1523" s="32">
        <v>0.60560000000000003</v>
      </c>
      <c r="AA1523" s="32">
        <v>47.2</v>
      </c>
      <c r="AB1523" s="32">
        <v>337</v>
      </c>
      <c r="AC1523" s="32">
        <v>30</v>
      </c>
      <c r="AD1523" s="32">
        <v>25</v>
      </c>
      <c r="AE1523" s="32">
        <v>0</v>
      </c>
      <c r="AF1523" s="32">
        <v>0</v>
      </c>
      <c r="AG1523" s="32" t="s">
        <v>200</v>
      </c>
    </row>
    <row r="1524" spans="1:33">
      <c r="A1524" s="32" t="s">
        <v>5352</v>
      </c>
      <c r="B1524" s="32" t="s">
        <v>89</v>
      </c>
      <c r="C1524" s="32" t="s">
        <v>5353</v>
      </c>
      <c r="D1524" s="32" t="s">
        <v>5354</v>
      </c>
      <c r="E1524" s="32" t="s">
        <v>5347</v>
      </c>
      <c r="F1524" s="32" t="s">
        <v>5348</v>
      </c>
      <c r="G1524" s="32" t="s">
        <v>5072</v>
      </c>
      <c r="H1524" s="32" t="s">
        <v>5073</v>
      </c>
      <c r="I1524" s="32" t="s">
        <v>198</v>
      </c>
      <c r="J1524" s="32" t="s">
        <v>199</v>
      </c>
      <c r="K1524" s="32">
        <v>2.597696</v>
      </c>
      <c r="L1524" s="33">
        <v>2542</v>
      </c>
      <c r="M1524" s="32">
        <v>542</v>
      </c>
      <c r="N1524" s="32">
        <v>580</v>
      </c>
      <c r="O1524" s="32">
        <v>730</v>
      </c>
      <c r="P1524" s="32">
        <v>525</v>
      </c>
      <c r="Q1524" s="32">
        <v>165</v>
      </c>
      <c r="R1524" s="32">
        <v>2</v>
      </c>
      <c r="S1524" s="32">
        <v>24.145</v>
      </c>
      <c r="T1524" s="32">
        <v>0</v>
      </c>
      <c r="U1524" s="32">
        <v>1.1226124120000001</v>
      </c>
      <c r="V1524" s="32">
        <v>2</v>
      </c>
      <c r="W1524" s="32">
        <v>0.90737299999999999</v>
      </c>
      <c r="X1524" s="32">
        <v>0.111438</v>
      </c>
      <c r="Y1524" s="32">
        <v>0.8</v>
      </c>
      <c r="Z1524" s="32">
        <v>0.77951199999999998</v>
      </c>
      <c r="AA1524" s="32">
        <v>59.3</v>
      </c>
      <c r="AB1524" s="32">
        <v>305</v>
      </c>
      <c r="AC1524" s="32">
        <v>23</v>
      </c>
      <c r="AD1524" s="32">
        <v>11</v>
      </c>
      <c r="AE1524" s="32">
        <v>0</v>
      </c>
      <c r="AF1524" s="32">
        <v>0</v>
      </c>
      <c r="AG1524" s="32" t="s">
        <v>200</v>
      </c>
    </row>
    <row r="1525" spans="1:33">
      <c r="A1525" s="32" t="s">
        <v>5355</v>
      </c>
      <c r="B1525" s="32" t="s">
        <v>89</v>
      </c>
      <c r="C1525" s="32" t="s">
        <v>5356</v>
      </c>
      <c r="D1525" s="32" t="s">
        <v>5357</v>
      </c>
      <c r="E1525" s="32" t="s">
        <v>5358</v>
      </c>
      <c r="F1525" s="32" t="s">
        <v>5359</v>
      </c>
      <c r="G1525" s="32" t="s">
        <v>5072</v>
      </c>
      <c r="H1525" s="32" t="s">
        <v>5073</v>
      </c>
      <c r="I1525" s="32" t="s">
        <v>198</v>
      </c>
      <c r="J1525" s="32" t="s">
        <v>199</v>
      </c>
      <c r="K1525" s="32">
        <v>2.545064</v>
      </c>
      <c r="L1525" s="33">
        <v>1991</v>
      </c>
      <c r="M1525" s="32">
        <v>476</v>
      </c>
      <c r="N1525" s="32">
        <v>400</v>
      </c>
      <c r="O1525" s="32">
        <v>479</v>
      </c>
      <c r="P1525" s="32">
        <v>437</v>
      </c>
      <c r="Q1525" s="32">
        <v>199</v>
      </c>
      <c r="R1525" s="32">
        <v>2</v>
      </c>
      <c r="S1525" s="32">
        <v>9.2536100000000001</v>
      </c>
      <c r="T1525" s="32">
        <v>2.26614</v>
      </c>
      <c r="U1525" s="32">
        <v>1.1636022109999999</v>
      </c>
      <c r="V1525" s="32">
        <v>2</v>
      </c>
      <c r="W1525" s="32">
        <v>0.90987300000000004</v>
      </c>
      <c r="X1525" s="32">
        <v>6.8262000000000003E-2</v>
      </c>
      <c r="Y1525" s="32">
        <v>0.8</v>
      </c>
      <c r="Z1525" s="32">
        <v>0.77945900000000001</v>
      </c>
      <c r="AA1525" s="32">
        <v>51.7</v>
      </c>
      <c r="AB1525" s="32">
        <v>402</v>
      </c>
      <c r="AC1525" s="32">
        <v>30</v>
      </c>
      <c r="AD1525" s="32">
        <v>12</v>
      </c>
      <c r="AE1525" s="32">
        <v>0</v>
      </c>
      <c r="AF1525" s="32" t="s">
        <v>200</v>
      </c>
      <c r="AG1525" s="32">
        <v>7</v>
      </c>
    </row>
    <row r="1526" spans="1:33">
      <c r="A1526" s="32" t="s">
        <v>5360</v>
      </c>
      <c r="B1526" s="32" t="s">
        <v>89</v>
      </c>
      <c r="C1526" s="32" t="s">
        <v>5361</v>
      </c>
      <c r="D1526" s="32" t="s">
        <v>5362</v>
      </c>
      <c r="E1526" s="32" t="s">
        <v>5358</v>
      </c>
      <c r="F1526" s="32" t="s">
        <v>5359</v>
      </c>
      <c r="G1526" s="32" t="s">
        <v>5072</v>
      </c>
      <c r="H1526" s="32" t="s">
        <v>5073</v>
      </c>
      <c r="I1526" s="32" t="s">
        <v>198</v>
      </c>
      <c r="J1526" s="32" t="s">
        <v>199</v>
      </c>
      <c r="K1526" s="32">
        <v>2.823404</v>
      </c>
      <c r="L1526" s="33">
        <v>1580</v>
      </c>
      <c r="M1526" s="32">
        <v>417</v>
      </c>
      <c r="N1526" s="32">
        <v>307</v>
      </c>
      <c r="O1526" s="32">
        <v>300</v>
      </c>
      <c r="P1526" s="32">
        <v>386</v>
      </c>
      <c r="Q1526" s="32">
        <v>170</v>
      </c>
      <c r="R1526" s="32">
        <v>2</v>
      </c>
      <c r="S1526" s="32">
        <v>24.3521</v>
      </c>
      <c r="T1526" s="32">
        <v>0</v>
      </c>
      <c r="U1526" s="32">
        <v>1.0045042829999999</v>
      </c>
      <c r="V1526" s="32">
        <v>2</v>
      </c>
      <c r="W1526" s="32">
        <v>0.91021300000000005</v>
      </c>
      <c r="X1526" s="32">
        <v>0.14854800000000001</v>
      </c>
      <c r="Y1526" s="32">
        <v>0.8</v>
      </c>
      <c r="Z1526" s="32">
        <v>0.98017200000000004</v>
      </c>
      <c r="AA1526" s="32">
        <v>64.900000000000006</v>
      </c>
      <c r="AB1526" s="32">
        <v>253</v>
      </c>
      <c r="AC1526" s="32">
        <v>13</v>
      </c>
      <c r="AD1526" s="32">
        <v>8</v>
      </c>
      <c r="AE1526" s="32">
        <v>0</v>
      </c>
      <c r="AF1526" s="32">
        <v>0</v>
      </c>
      <c r="AG1526" s="32" t="s">
        <v>200</v>
      </c>
    </row>
    <row r="1527" spans="1:33">
      <c r="A1527" s="32" t="s">
        <v>5363</v>
      </c>
      <c r="B1527" s="32" t="s">
        <v>89</v>
      </c>
      <c r="C1527" s="32" t="s">
        <v>5364</v>
      </c>
      <c r="D1527" s="32" t="s">
        <v>5365</v>
      </c>
      <c r="E1527" s="32" t="s">
        <v>5358</v>
      </c>
      <c r="F1527" s="32" t="s">
        <v>5359</v>
      </c>
      <c r="G1527" s="32" t="s">
        <v>5072</v>
      </c>
      <c r="H1527" s="32" t="s">
        <v>5073</v>
      </c>
      <c r="I1527" s="32" t="s">
        <v>198</v>
      </c>
      <c r="J1527" s="32" t="s">
        <v>199</v>
      </c>
      <c r="K1527" s="32">
        <v>3.017007</v>
      </c>
      <c r="L1527" s="33">
        <v>1555</v>
      </c>
      <c r="M1527" s="32">
        <v>380</v>
      </c>
      <c r="N1527" s="32">
        <v>305</v>
      </c>
      <c r="O1527" s="32">
        <v>354</v>
      </c>
      <c r="P1527" s="32">
        <v>392</v>
      </c>
      <c r="Q1527" s="32">
        <v>124</v>
      </c>
      <c r="R1527" s="32">
        <v>2</v>
      </c>
      <c r="S1527" s="32">
        <v>7.5061900000000001</v>
      </c>
      <c r="T1527" s="32">
        <v>3.8776700000000002</v>
      </c>
      <c r="U1527" s="32">
        <v>0.89211561399999995</v>
      </c>
      <c r="V1527" s="32">
        <v>2</v>
      </c>
      <c r="W1527" s="32">
        <v>0.94081599999999999</v>
      </c>
      <c r="X1527" s="32">
        <v>0.32777800000000001</v>
      </c>
      <c r="Y1527" s="32">
        <v>0.8</v>
      </c>
      <c r="Z1527" s="32">
        <v>0.97379300000000002</v>
      </c>
      <c r="AA1527" s="32">
        <v>68.400000000000006</v>
      </c>
      <c r="AB1527" s="32">
        <v>257</v>
      </c>
      <c r="AC1527" s="32">
        <v>9</v>
      </c>
      <c r="AD1527" s="32">
        <v>7</v>
      </c>
      <c r="AE1527" s="32">
        <v>0</v>
      </c>
      <c r="AF1527" s="32">
        <v>0</v>
      </c>
      <c r="AG1527" s="32">
        <v>0</v>
      </c>
    </row>
    <row r="1528" spans="1:33">
      <c r="A1528" s="32" t="s">
        <v>5366</v>
      </c>
      <c r="B1528" s="32" t="s">
        <v>89</v>
      </c>
      <c r="C1528" s="32" t="s">
        <v>5367</v>
      </c>
      <c r="D1528" s="32" t="s">
        <v>5368</v>
      </c>
      <c r="E1528" s="32" t="s">
        <v>5369</v>
      </c>
      <c r="F1528" s="32" t="s">
        <v>5370</v>
      </c>
      <c r="G1528" s="32" t="s">
        <v>5072</v>
      </c>
      <c r="H1528" s="32" t="s">
        <v>5073</v>
      </c>
      <c r="I1528" s="32" t="s">
        <v>198</v>
      </c>
      <c r="J1528" s="32" t="s">
        <v>199</v>
      </c>
      <c r="K1528" s="32">
        <v>2.5353569999999999</v>
      </c>
      <c r="L1528" s="33">
        <v>1850</v>
      </c>
      <c r="M1528" s="32">
        <v>432</v>
      </c>
      <c r="N1528" s="32">
        <v>411</v>
      </c>
      <c r="O1528" s="32">
        <v>377</v>
      </c>
      <c r="P1528" s="32">
        <v>410</v>
      </c>
      <c r="Q1528" s="32">
        <v>220</v>
      </c>
      <c r="R1528" s="32">
        <v>2</v>
      </c>
      <c r="S1528" s="32">
        <v>25.932600000000001</v>
      </c>
      <c r="T1528" s="32">
        <v>2.1597499999999998</v>
      </c>
      <c r="U1528" s="32">
        <v>1.0960935469999999</v>
      </c>
      <c r="V1528" s="32">
        <v>2</v>
      </c>
      <c r="W1528" s="32">
        <v>0.926786</v>
      </c>
      <c r="X1528" s="32">
        <v>0.203957</v>
      </c>
      <c r="Y1528" s="32">
        <v>0.8</v>
      </c>
      <c r="Z1528" s="32">
        <v>0.62007199999999996</v>
      </c>
      <c r="AA1528" s="32">
        <v>49.8</v>
      </c>
      <c r="AB1528" s="32">
        <v>381</v>
      </c>
      <c r="AC1528" s="32">
        <v>42</v>
      </c>
      <c r="AD1528" s="32">
        <v>33</v>
      </c>
      <c r="AE1528" s="32">
        <v>0</v>
      </c>
      <c r="AF1528" s="32" t="s">
        <v>200</v>
      </c>
      <c r="AG1528" s="32">
        <v>8</v>
      </c>
    </row>
    <row r="1529" spans="1:33">
      <c r="A1529" s="32" t="s">
        <v>5371</v>
      </c>
      <c r="B1529" s="32" t="s">
        <v>56</v>
      </c>
      <c r="C1529" s="32" t="s">
        <v>5372</v>
      </c>
      <c r="D1529" s="32" t="s">
        <v>5373</v>
      </c>
      <c r="E1529" s="32" t="s">
        <v>5374</v>
      </c>
      <c r="F1529" s="32" t="s">
        <v>5375</v>
      </c>
      <c r="G1529" s="32" t="s">
        <v>1049</v>
      </c>
      <c r="H1529" s="32" t="s">
        <v>1050</v>
      </c>
      <c r="I1529" s="32" t="s">
        <v>198</v>
      </c>
      <c r="J1529" s="32" t="s">
        <v>199</v>
      </c>
      <c r="K1529" s="32">
        <v>2.6707860000000001</v>
      </c>
      <c r="L1529" s="33">
        <v>1278</v>
      </c>
      <c r="M1529" s="32">
        <v>186</v>
      </c>
      <c r="N1529" s="32">
        <v>178</v>
      </c>
      <c r="O1529" s="32">
        <v>347</v>
      </c>
      <c r="P1529" s="32">
        <v>387</v>
      </c>
      <c r="Q1529" s="32">
        <v>180</v>
      </c>
      <c r="R1529" s="32">
        <v>4</v>
      </c>
      <c r="S1529" s="32">
        <v>18.693999999999999</v>
      </c>
      <c r="T1529" s="32">
        <v>17.507999999999999</v>
      </c>
      <c r="U1529" s="32">
        <v>0.88730681099999997</v>
      </c>
      <c r="V1529" s="32">
        <v>2</v>
      </c>
      <c r="W1529" s="32">
        <v>0.911798</v>
      </c>
      <c r="X1529" s="32">
        <v>1.093E-3</v>
      </c>
      <c r="Y1529" s="32">
        <v>0.8</v>
      </c>
      <c r="Z1529" s="32">
        <v>0.95801099999999995</v>
      </c>
      <c r="AA1529" s="32">
        <v>35</v>
      </c>
      <c r="AB1529" s="32">
        <v>311</v>
      </c>
      <c r="AC1529" s="32">
        <v>21</v>
      </c>
      <c r="AD1529" s="32">
        <v>18</v>
      </c>
      <c r="AE1529" s="32">
        <v>0</v>
      </c>
      <c r="AF1529" s="32">
        <v>0</v>
      </c>
      <c r="AG1529" s="32">
        <v>5</v>
      </c>
    </row>
    <row r="1530" spans="1:33">
      <c r="A1530" s="32" t="s">
        <v>5376</v>
      </c>
      <c r="B1530" s="32" t="s">
        <v>56</v>
      </c>
      <c r="C1530" s="32" t="s">
        <v>5377</v>
      </c>
      <c r="D1530" s="32" t="s">
        <v>5378</v>
      </c>
      <c r="E1530" s="32" t="s">
        <v>5374</v>
      </c>
      <c r="F1530" s="32" t="s">
        <v>5375</v>
      </c>
      <c r="G1530" s="32" t="s">
        <v>1049</v>
      </c>
      <c r="H1530" s="32" t="s">
        <v>1050</v>
      </c>
      <c r="I1530" s="32" t="s">
        <v>198</v>
      </c>
      <c r="J1530" s="32" t="s">
        <v>199</v>
      </c>
      <c r="K1530" s="32">
        <v>2.7385540000000002</v>
      </c>
      <c r="L1530" s="33">
        <v>1642</v>
      </c>
      <c r="M1530" s="32">
        <v>229</v>
      </c>
      <c r="N1530" s="32">
        <v>231</v>
      </c>
      <c r="O1530" s="32">
        <v>437</v>
      </c>
      <c r="P1530" s="32">
        <v>445</v>
      </c>
      <c r="Q1530" s="32">
        <v>300</v>
      </c>
      <c r="R1530" s="32">
        <v>4</v>
      </c>
      <c r="S1530" s="32">
        <v>19.283000000000001</v>
      </c>
      <c r="T1530" s="32">
        <v>15.1006</v>
      </c>
      <c r="U1530" s="32">
        <v>0.90076840000000002</v>
      </c>
      <c r="V1530" s="32">
        <v>2</v>
      </c>
      <c r="W1530" s="32">
        <v>0.918072</v>
      </c>
      <c r="X1530" s="32">
        <v>0.14916699999999999</v>
      </c>
      <c r="Y1530" s="32">
        <v>0.8</v>
      </c>
      <c r="Z1530" s="32">
        <v>0.9</v>
      </c>
      <c r="AA1530" s="32">
        <v>39</v>
      </c>
      <c r="AB1530" s="32">
        <v>314</v>
      </c>
      <c r="AC1530" s="32">
        <v>19</v>
      </c>
      <c r="AD1530" s="32">
        <v>26</v>
      </c>
      <c r="AE1530" s="32">
        <v>0</v>
      </c>
      <c r="AF1530" s="32" t="s">
        <v>200</v>
      </c>
      <c r="AG1530" s="32" t="s">
        <v>200</v>
      </c>
    </row>
    <row r="1531" spans="1:33">
      <c r="A1531" s="32" t="s">
        <v>5379</v>
      </c>
      <c r="B1531" s="32" t="s">
        <v>56</v>
      </c>
      <c r="C1531" s="32" t="s">
        <v>5380</v>
      </c>
      <c r="D1531" s="32" t="s">
        <v>5381</v>
      </c>
      <c r="E1531" s="32" t="s">
        <v>5374</v>
      </c>
      <c r="F1531" s="32" t="s">
        <v>5375</v>
      </c>
      <c r="G1531" s="32" t="s">
        <v>1049</v>
      </c>
      <c r="H1531" s="32" t="s">
        <v>1050</v>
      </c>
      <c r="I1531" s="32" t="s">
        <v>198</v>
      </c>
      <c r="J1531" s="32" t="s">
        <v>199</v>
      </c>
      <c r="K1531" s="32">
        <v>2.7052170000000002</v>
      </c>
      <c r="L1531" s="33">
        <v>1745</v>
      </c>
      <c r="M1531" s="32">
        <v>306</v>
      </c>
      <c r="N1531" s="32">
        <v>272</v>
      </c>
      <c r="O1531" s="32">
        <v>439</v>
      </c>
      <c r="P1531" s="32">
        <v>482</v>
      </c>
      <c r="Q1531" s="32">
        <v>246</v>
      </c>
      <c r="R1531" s="32">
        <v>4</v>
      </c>
      <c r="S1531" s="32">
        <v>23.8171</v>
      </c>
      <c r="T1531" s="32">
        <v>16.440000000000001</v>
      </c>
      <c r="U1531" s="32">
        <v>0.93027014600000002</v>
      </c>
      <c r="V1531" s="32">
        <v>2</v>
      </c>
      <c r="W1531" s="32">
        <v>0.92260900000000001</v>
      </c>
      <c r="X1531" s="32">
        <v>0.126801</v>
      </c>
      <c r="Y1531" s="32">
        <v>0.8</v>
      </c>
      <c r="Z1531" s="32">
        <v>0.88226700000000002</v>
      </c>
      <c r="AA1531" s="32">
        <v>36.9</v>
      </c>
      <c r="AB1531" s="32">
        <v>384</v>
      </c>
      <c r="AC1531" s="32">
        <v>37</v>
      </c>
      <c r="AD1531" s="32">
        <v>23</v>
      </c>
      <c r="AE1531" s="32">
        <v>0</v>
      </c>
      <c r="AF1531" s="32">
        <v>0</v>
      </c>
      <c r="AG1531" s="32">
        <v>5</v>
      </c>
    </row>
    <row r="1532" spans="1:33">
      <c r="A1532" s="32" t="s">
        <v>5382</v>
      </c>
      <c r="B1532" s="32" t="s">
        <v>56</v>
      </c>
      <c r="C1532" s="32" t="s">
        <v>5383</v>
      </c>
      <c r="D1532" s="32" t="s">
        <v>5384</v>
      </c>
      <c r="E1532" s="32" t="s">
        <v>5385</v>
      </c>
      <c r="F1532" s="32" t="s">
        <v>5386</v>
      </c>
      <c r="G1532" s="32" t="s">
        <v>1049</v>
      </c>
      <c r="H1532" s="32" t="s">
        <v>1050</v>
      </c>
      <c r="I1532" s="32" t="s">
        <v>198</v>
      </c>
      <c r="J1532" s="32" t="s">
        <v>199</v>
      </c>
      <c r="K1532" s="32">
        <v>3.036591</v>
      </c>
      <c r="L1532" s="33">
        <v>1025</v>
      </c>
      <c r="M1532" s="32">
        <v>209</v>
      </c>
      <c r="N1532" s="32">
        <v>155</v>
      </c>
      <c r="O1532" s="32">
        <v>204</v>
      </c>
      <c r="P1532" s="32">
        <v>271</v>
      </c>
      <c r="Q1532" s="32">
        <v>186</v>
      </c>
      <c r="R1532" s="32">
        <v>4</v>
      </c>
      <c r="S1532" s="32">
        <v>24.485600000000002</v>
      </c>
      <c r="T1532" s="32">
        <v>10.240500000000001</v>
      </c>
      <c r="U1532" s="32">
        <v>0.89206267900000003</v>
      </c>
      <c r="V1532" s="32">
        <v>1</v>
      </c>
      <c r="W1532" s="32">
        <v>0.96516299999999999</v>
      </c>
      <c r="X1532" s="32">
        <v>0.37889400000000001</v>
      </c>
      <c r="Y1532" s="32">
        <v>0.8</v>
      </c>
      <c r="Z1532" s="32">
        <v>0.89898699999999998</v>
      </c>
      <c r="AA1532" s="32">
        <v>52.2</v>
      </c>
      <c r="AB1532" s="32">
        <v>201</v>
      </c>
      <c r="AC1532" s="32">
        <v>10</v>
      </c>
      <c r="AD1532" s="32">
        <v>16</v>
      </c>
      <c r="AE1532" s="32">
        <v>0</v>
      </c>
      <c r="AF1532" s="32">
        <v>33</v>
      </c>
      <c r="AG1532" s="32" t="s">
        <v>200</v>
      </c>
    </row>
    <row r="1533" spans="1:33">
      <c r="A1533" s="32" t="s">
        <v>5387</v>
      </c>
      <c r="B1533" s="32" t="s">
        <v>56</v>
      </c>
      <c r="C1533" s="32" t="s">
        <v>5388</v>
      </c>
      <c r="D1533" s="32" t="s">
        <v>5389</v>
      </c>
      <c r="E1533" s="32" t="s">
        <v>5385</v>
      </c>
      <c r="F1533" s="32" t="s">
        <v>5386</v>
      </c>
      <c r="G1533" s="32" t="s">
        <v>1049</v>
      </c>
      <c r="H1533" s="32" t="s">
        <v>1050</v>
      </c>
      <c r="I1533" s="32" t="s">
        <v>198</v>
      </c>
      <c r="J1533" s="32" t="s">
        <v>199</v>
      </c>
      <c r="K1533" s="32">
        <v>2.8018070000000002</v>
      </c>
      <c r="L1533" s="33">
        <v>1545</v>
      </c>
      <c r="M1533" s="32">
        <v>286</v>
      </c>
      <c r="N1533" s="32">
        <v>227</v>
      </c>
      <c r="O1533" s="32">
        <v>361</v>
      </c>
      <c r="P1533" s="32">
        <v>451</v>
      </c>
      <c r="Q1533" s="32">
        <v>220</v>
      </c>
      <c r="R1533" s="32">
        <v>3</v>
      </c>
      <c r="S1533" s="32">
        <v>17.2226</v>
      </c>
      <c r="T1533" s="32">
        <v>6.1288799999999997</v>
      </c>
      <c r="U1533" s="32">
        <v>1.0445893900000001</v>
      </c>
      <c r="V1533" s="32">
        <v>1</v>
      </c>
      <c r="W1533" s="32">
        <v>0.91505999999999998</v>
      </c>
      <c r="X1533" s="32">
        <v>0.178116</v>
      </c>
      <c r="Y1533" s="32">
        <v>0.8</v>
      </c>
      <c r="Z1533" s="32">
        <v>0.89877700000000005</v>
      </c>
      <c r="AA1533" s="32">
        <v>55.7</v>
      </c>
      <c r="AB1533" s="32">
        <v>278</v>
      </c>
      <c r="AC1533" s="32">
        <v>19</v>
      </c>
      <c r="AD1533" s="32">
        <v>20</v>
      </c>
      <c r="AE1533" s="32">
        <v>0</v>
      </c>
      <c r="AF1533" s="32">
        <v>0</v>
      </c>
      <c r="AG1533" s="32">
        <v>9</v>
      </c>
    </row>
    <row r="1534" spans="1:33">
      <c r="A1534" s="32" t="s">
        <v>5390</v>
      </c>
      <c r="B1534" s="32" t="s">
        <v>56</v>
      </c>
      <c r="C1534" s="32" t="s">
        <v>5391</v>
      </c>
      <c r="D1534" s="32" t="s">
        <v>5392</v>
      </c>
      <c r="E1534" s="32" t="s">
        <v>5374</v>
      </c>
      <c r="F1534" s="32" t="s">
        <v>5375</v>
      </c>
      <c r="G1534" s="32" t="s">
        <v>1049</v>
      </c>
      <c r="H1534" s="32" t="s">
        <v>1050</v>
      </c>
      <c r="I1534" s="32" t="s">
        <v>198</v>
      </c>
      <c r="J1534" s="32" t="s">
        <v>199</v>
      </c>
      <c r="K1534" s="32">
        <v>2.8972440000000002</v>
      </c>
      <c r="L1534" s="33">
        <v>1588</v>
      </c>
      <c r="M1534" s="32">
        <v>227</v>
      </c>
      <c r="N1534" s="32">
        <v>298</v>
      </c>
      <c r="O1534" s="32">
        <v>457</v>
      </c>
      <c r="P1534" s="32">
        <v>430</v>
      </c>
      <c r="Q1534" s="32">
        <v>176</v>
      </c>
      <c r="R1534" s="32">
        <v>4</v>
      </c>
      <c r="S1534" s="32">
        <v>23.511199999999999</v>
      </c>
      <c r="T1534" s="32">
        <v>15.4679</v>
      </c>
      <c r="U1534" s="32">
        <v>0.817967365</v>
      </c>
      <c r="V1534" s="32">
        <v>2</v>
      </c>
      <c r="W1534" s="32">
        <v>0.92401599999999995</v>
      </c>
      <c r="X1534" s="32">
        <v>0.29090899999999997</v>
      </c>
      <c r="Y1534" s="32">
        <v>0.8</v>
      </c>
      <c r="Z1534" s="32">
        <v>0.86496099999999998</v>
      </c>
      <c r="AA1534" s="32">
        <v>35</v>
      </c>
      <c r="AB1534" s="32">
        <v>280</v>
      </c>
      <c r="AC1534" s="32">
        <v>19</v>
      </c>
      <c r="AD1534" s="32">
        <v>21</v>
      </c>
      <c r="AE1534" s="32" t="s">
        <v>200</v>
      </c>
      <c r="AF1534" s="32" t="s">
        <v>200</v>
      </c>
      <c r="AG1534" s="32" t="s">
        <v>200</v>
      </c>
    </row>
    <row r="1535" spans="1:33">
      <c r="A1535" s="32" t="s">
        <v>5393</v>
      </c>
      <c r="B1535" s="32" t="s">
        <v>56</v>
      </c>
      <c r="C1535" s="32" t="s">
        <v>5394</v>
      </c>
      <c r="D1535" s="32" t="s">
        <v>5395</v>
      </c>
      <c r="E1535" s="32" t="s">
        <v>5396</v>
      </c>
      <c r="F1535" s="32" t="s">
        <v>5397</v>
      </c>
      <c r="G1535" s="32" t="s">
        <v>1049</v>
      </c>
      <c r="H1535" s="32" t="s">
        <v>1050</v>
      </c>
      <c r="I1535" s="32" t="s">
        <v>198</v>
      </c>
      <c r="J1535" s="32" t="s">
        <v>199</v>
      </c>
      <c r="K1535" s="32">
        <v>2.6073770000000001</v>
      </c>
      <c r="L1535" s="33">
        <v>1286</v>
      </c>
      <c r="M1535" s="32">
        <v>205</v>
      </c>
      <c r="N1535" s="32">
        <v>267</v>
      </c>
      <c r="O1535" s="32">
        <v>322</v>
      </c>
      <c r="P1535" s="32">
        <v>333</v>
      </c>
      <c r="Q1535" s="32">
        <v>159</v>
      </c>
      <c r="R1535" s="32">
        <v>5</v>
      </c>
      <c r="S1535" s="32">
        <v>27.772500000000001</v>
      </c>
      <c r="T1535" s="32">
        <v>15.6318</v>
      </c>
      <c r="U1535" s="32">
        <v>0.71617080399999999</v>
      </c>
      <c r="V1535" s="32">
        <v>5</v>
      </c>
      <c r="W1535" s="32">
        <v>0.90860700000000005</v>
      </c>
      <c r="X1535" s="32">
        <v>1.619E-3</v>
      </c>
      <c r="Y1535" s="32">
        <v>0.8</v>
      </c>
      <c r="Z1535" s="32">
        <v>0.89637100000000003</v>
      </c>
      <c r="AA1535" s="32">
        <v>25.2</v>
      </c>
      <c r="AB1535" s="32">
        <v>360</v>
      </c>
      <c r="AC1535" s="32">
        <v>20</v>
      </c>
      <c r="AD1535" s="32">
        <v>9</v>
      </c>
      <c r="AE1535" s="32">
        <v>0</v>
      </c>
      <c r="AF1535" s="32">
        <v>0</v>
      </c>
      <c r="AG1535" s="32" t="s">
        <v>200</v>
      </c>
    </row>
    <row r="1536" spans="1:33">
      <c r="A1536" s="32" t="s">
        <v>5398</v>
      </c>
      <c r="B1536" s="32" t="s">
        <v>56</v>
      </c>
      <c r="C1536" s="32" t="s">
        <v>5399</v>
      </c>
      <c r="D1536" s="32" t="s">
        <v>5400</v>
      </c>
      <c r="E1536" s="32" t="s">
        <v>5401</v>
      </c>
      <c r="F1536" s="32" t="s">
        <v>5402</v>
      </c>
      <c r="G1536" s="32" t="s">
        <v>1049</v>
      </c>
      <c r="H1536" s="32" t="s">
        <v>1050</v>
      </c>
      <c r="I1536" s="32" t="s">
        <v>198</v>
      </c>
      <c r="J1536" s="32" t="s">
        <v>199</v>
      </c>
      <c r="K1536" s="32">
        <v>2.552406</v>
      </c>
      <c r="L1536" s="33">
        <v>1635</v>
      </c>
      <c r="M1536" s="32">
        <v>349</v>
      </c>
      <c r="N1536" s="32">
        <v>197</v>
      </c>
      <c r="O1536" s="32">
        <v>363</v>
      </c>
      <c r="P1536" s="32">
        <v>429</v>
      </c>
      <c r="Q1536" s="32">
        <v>297</v>
      </c>
      <c r="R1536" s="32">
        <v>2</v>
      </c>
      <c r="S1536" s="32">
        <v>13.6967</v>
      </c>
      <c r="T1536" s="32">
        <v>6.4485099999999997</v>
      </c>
      <c r="U1536" s="32">
        <v>0.76884624599999996</v>
      </c>
      <c r="V1536" s="32">
        <v>5</v>
      </c>
      <c r="W1536" s="32">
        <v>0.90508</v>
      </c>
      <c r="X1536" s="32">
        <v>3.4853000000000002E-2</v>
      </c>
      <c r="Y1536" s="32">
        <v>0.8</v>
      </c>
      <c r="Z1536" s="32">
        <v>0.80848799999999998</v>
      </c>
      <c r="AA1536" s="32">
        <v>21.2</v>
      </c>
      <c r="AB1536" s="32">
        <v>532</v>
      </c>
      <c r="AC1536" s="32">
        <v>32</v>
      </c>
      <c r="AD1536" s="32">
        <v>24</v>
      </c>
      <c r="AE1536" s="32">
        <v>0</v>
      </c>
      <c r="AF1536" s="32">
        <v>0</v>
      </c>
      <c r="AG1536" s="32" t="s">
        <v>200</v>
      </c>
    </row>
    <row r="1537" spans="1:33">
      <c r="A1537" s="32" t="s">
        <v>5403</v>
      </c>
      <c r="B1537" s="32" t="s">
        <v>56</v>
      </c>
      <c r="C1537" s="32" t="s">
        <v>5404</v>
      </c>
      <c r="D1537" s="32" t="s">
        <v>5405</v>
      </c>
      <c r="E1537" s="32" t="s">
        <v>5401</v>
      </c>
      <c r="F1537" s="32" t="s">
        <v>5402</v>
      </c>
      <c r="G1537" s="32" t="s">
        <v>1049</v>
      </c>
      <c r="H1537" s="32" t="s">
        <v>1050</v>
      </c>
      <c r="I1537" s="32" t="s">
        <v>198</v>
      </c>
      <c r="J1537" s="32" t="s">
        <v>199</v>
      </c>
      <c r="K1537" s="32">
        <v>3.0918649999999999</v>
      </c>
      <c r="L1537" s="33">
        <v>1616</v>
      </c>
      <c r="M1537" s="32">
        <v>401</v>
      </c>
      <c r="N1537" s="32">
        <v>249</v>
      </c>
      <c r="O1537" s="32">
        <v>305</v>
      </c>
      <c r="P1537" s="32">
        <v>475</v>
      </c>
      <c r="Q1537" s="32">
        <v>186</v>
      </c>
      <c r="R1537" s="32">
        <v>3</v>
      </c>
      <c r="S1537" s="32">
        <v>17.519600000000001</v>
      </c>
      <c r="T1537" s="32">
        <v>6.9348900000000002</v>
      </c>
      <c r="U1537" s="32">
        <v>0.79667839100000004</v>
      </c>
      <c r="V1537" s="32">
        <v>2</v>
      </c>
      <c r="W1537" s="32">
        <v>0.93531699999999995</v>
      </c>
      <c r="X1537" s="32">
        <v>0.444882</v>
      </c>
      <c r="Y1537" s="32">
        <v>0.8</v>
      </c>
      <c r="Z1537" s="32">
        <v>0.91245100000000001</v>
      </c>
      <c r="AA1537" s="32">
        <v>49.6</v>
      </c>
      <c r="AB1537" s="32">
        <v>374</v>
      </c>
      <c r="AC1537" s="32">
        <v>28</v>
      </c>
      <c r="AD1537" s="32">
        <v>28</v>
      </c>
      <c r="AE1537" s="32" t="s">
        <v>200</v>
      </c>
      <c r="AF1537" s="32" t="s">
        <v>200</v>
      </c>
      <c r="AG1537" s="32">
        <v>6</v>
      </c>
    </row>
    <row r="1538" spans="1:33">
      <c r="A1538" s="32" t="s">
        <v>5406</v>
      </c>
      <c r="B1538" s="32" t="s">
        <v>56</v>
      </c>
      <c r="C1538" s="32" t="s">
        <v>5407</v>
      </c>
      <c r="D1538" s="32" t="s">
        <v>5408</v>
      </c>
      <c r="E1538" s="32" t="s">
        <v>5401</v>
      </c>
      <c r="F1538" s="32" t="s">
        <v>5402</v>
      </c>
      <c r="G1538" s="32" t="s">
        <v>1049</v>
      </c>
      <c r="H1538" s="32" t="s">
        <v>1050</v>
      </c>
      <c r="I1538" s="32" t="s">
        <v>198</v>
      </c>
      <c r="J1538" s="32" t="s">
        <v>199</v>
      </c>
      <c r="K1538" s="32">
        <v>2.8676710000000001</v>
      </c>
      <c r="L1538" s="33">
        <v>1582</v>
      </c>
      <c r="M1538" s="32">
        <v>245</v>
      </c>
      <c r="N1538" s="32">
        <v>229</v>
      </c>
      <c r="O1538" s="32">
        <v>452</v>
      </c>
      <c r="P1538" s="32">
        <v>403</v>
      </c>
      <c r="Q1538" s="32">
        <v>253</v>
      </c>
      <c r="R1538" s="32">
        <v>4</v>
      </c>
      <c r="S1538" s="32">
        <v>24.351299999999998</v>
      </c>
      <c r="T1538" s="32">
        <v>15.8216</v>
      </c>
      <c r="U1538" s="32">
        <v>0.74680210199999997</v>
      </c>
      <c r="V1538" s="32">
        <v>2</v>
      </c>
      <c r="W1538" s="32">
        <v>0.91917800000000005</v>
      </c>
      <c r="X1538" s="32">
        <v>0.34520499999999998</v>
      </c>
      <c r="Y1538" s="32">
        <v>0.8</v>
      </c>
      <c r="Z1538" s="32">
        <v>0.80246600000000001</v>
      </c>
      <c r="AA1538" s="32">
        <v>32.5</v>
      </c>
      <c r="AB1538" s="32">
        <v>316</v>
      </c>
      <c r="AC1538" s="32">
        <v>30</v>
      </c>
      <c r="AD1538" s="32">
        <v>34</v>
      </c>
      <c r="AE1538" s="32" t="s">
        <v>200</v>
      </c>
      <c r="AF1538" s="32" t="s">
        <v>200</v>
      </c>
      <c r="AG1538" s="32" t="s">
        <v>200</v>
      </c>
    </row>
    <row r="1539" spans="1:33">
      <c r="A1539" s="32" t="s">
        <v>5409</v>
      </c>
      <c r="B1539" s="32" t="s">
        <v>56</v>
      </c>
      <c r="C1539" s="32" t="s">
        <v>5410</v>
      </c>
      <c r="D1539" s="32" t="s">
        <v>5411</v>
      </c>
      <c r="E1539" s="32" t="s">
        <v>5412</v>
      </c>
      <c r="F1539" s="32" t="s">
        <v>5413</v>
      </c>
      <c r="G1539" s="32" t="s">
        <v>1049</v>
      </c>
      <c r="H1539" s="32" t="s">
        <v>1050</v>
      </c>
      <c r="I1539" s="32" t="s">
        <v>198</v>
      </c>
      <c r="J1539" s="32" t="s">
        <v>199</v>
      </c>
      <c r="K1539" s="32">
        <v>2.6109490000000002</v>
      </c>
      <c r="L1539" s="33">
        <v>1315</v>
      </c>
      <c r="M1539" s="32">
        <v>241</v>
      </c>
      <c r="N1539" s="32">
        <v>249</v>
      </c>
      <c r="O1539" s="32">
        <v>272</v>
      </c>
      <c r="P1539" s="32">
        <v>302</v>
      </c>
      <c r="Q1539" s="32">
        <v>251</v>
      </c>
      <c r="R1539" s="32">
        <v>3</v>
      </c>
      <c r="S1539" s="32">
        <v>21.406099999999999</v>
      </c>
      <c r="T1539" s="32">
        <v>6.6901900000000003</v>
      </c>
      <c r="U1539" s="32">
        <v>1.0435924169999999</v>
      </c>
      <c r="V1539" s="32">
        <v>2</v>
      </c>
      <c r="W1539" s="32">
        <v>0.90693400000000002</v>
      </c>
      <c r="X1539" s="32">
        <v>3.6981E-2</v>
      </c>
      <c r="Y1539" s="32">
        <v>0.8</v>
      </c>
      <c r="Z1539" s="32">
        <v>0.87026000000000003</v>
      </c>
      <c r="AA1539" s="32">
        <v>52.9</v>
      </c>
      <c r="AB1539" s="32">
        <v>234</v>
      </c>
      <c r="AC1539" s="32">
        <v>24</v>
      </c>
      <c r="AD1539" s="32">
        <v>9</v>
      </c>
      <c r="AE1539" s="32" t="s">
        <v>200</v>
      </c>
      <c r="AF1539" s="32">
        <v>0</v>
      </c>
      <c r="AG1539" s="32" t="s">
        <v>200</v>
      </c>
    </row>
    <row r="1540" spans="1:33">
      <c r="A1540" s="32" t="s">
        <v>5414</v>
      </c>
      <c r="B1540" s="32" t="s">
        <v>56</v>
      </c>
      <c r="C1540" s="32" t="s">
        <v>5415</v>
      </c>
      <c r="D1540" s="32" t="s">
        <v>5416</v>
      </c>
      <c r="E1540" s="32" t="s">
        <v>5412</v>
      </c>
      <c r="F1540" s="32" t="s">
        <v>5413</v>
      </c>
      <c r="G1540" s="32" t="s">
        <v>1049</v>
      </c>
      <c r="H1540" s="32" t="s">
        <v>1050</v>
      </c>
      <c r="I1540" s="32" t="s">
        <v>198</v>
      </c>
      <c r="J1540" s="32" t="s">
        <v>199</v>
      </c>
      <c r="K1540" s="32">
        <v>2.8666670000000001</v>
      </c>
      <c r="L1540" s="33">
        <v>1022</v>
      </c>
      <c r="M1540" s="32">
        <v>242</v>
      </c>
      <c r="N1540" s="32">
        <v>153</v>
      </c>
      <c r="O1540" s="32">
        <v>198</v>
      </c>
      <c r="P1540" s="32">
        <v>274</v>
      </c>
      <c r="Q1540" s="32">
        <v>155</v>
      </c>
      <c r="R1540" s="32">
        <v>3</v>
      </c>
      <c r="S1540" s="32">
        <v>15.350300000000001</v>
      </c>
      <c r="T1540" s="32">
        <v>8.7428299999999997</v>
      </c>
      <c r="U1540" s="32">
        <v>0.95831952399999998</v>
      </c>
      <c r="V1540" s="32">
        <v>1</v>
      </c>
      <c r="W1540" s="32">
        <v>0.91741300000000003</v>
      </c>
      <c r="X1540" s="32">
        <v>0.24299999999999999</v>
      </c>
      <c r="Y1540" s="32">
        <v>0.8</v>
      </c>
      <c r="Z1540" s="32">
        <v>0.91822700000000002</v>
      </c>
      <c r="AA1540" s="32">
        <v>62.1</v>
      </c>
      <c r="AB1540" s="32">
        <v>182</v>
      </c>
      <c r="AC1540" s="32">
        <v>20</v>
      </c>
      <c r="AD1540" s="32">
        <v>9</v>
      </c>
      <c r="AE1540" s="32">
        <v>0</v>
      </c>
      <c r="AF1540" s="32">
        <v>0</v>
      </c>
      <c r="AG1540" s="32" t="s">
        <v>200</v>
      </c>
    </row>
    <row r="1541" spans="1:33">
      <c r="A1541" s="32" t="s">
        <v>5417</v>
      </c>
      <c r="B1541" s="32" t="s">
        <v>56</v>
      </c>
      <c r="C1541" s="32" t="s">
        <v>5418</v>
      </c>
      <c r="D1541" s="32" t="s">
        <v>5419</v>
      </c>
      <c r="E1541" s="32" t="s">
        <v>5401</v>
      </c>
      <c r="F1541" s="32" t="s">
        <v>5402</v>
      </c>
      <c r="G1541" s="32" t="s">
        <v>1049</v>
      </c>
      <c r="H1541" s="32" t="s">
        <v>1050</v>
      </c>
      <c r="I1541" s="32" t="s">
        <v>198</v>
      </c>
      <c r="J1541" s="32" t="s">
        <v>199</v>
      </c>
      <c r="K1541" s="32">
        <v>2.5238100000000001</v>
      </c>
      <c r="L1541" s="33">
        <v>1938</v>
      </c>
      <c r="M1541" s="32">
        <v>324</v>
      </c>
      <c r="N1541" s="32">
        <v>252</v>
      </c>
      <c r="O1541" s="32">
        <v>583</v>
      </c>
      <c r="P1541" s="32">
        <v>519</v>
      </c>
      <c r="Q1541" s="32">
        <v>260</v>
      </c>
      <c r="R1541" s="32">
        <v>4</v>
      </c>
      <c r="S1541" s="32">
        <v>22.452000000000002</v>
      </c>
      <c r="T1541" s="32">
        <v>16.607299999999999</v>
      </c>
      <c r="U1541" s="32">
        <v>0.88966620299999999</v>
      </c>
      <c r="V1541" s="32">
        <v>3</v>
      </c>
      <c r="W1541" s="32">
        <v>0.91700700000000002</v>
      </c>
      <c r="X1541" s="32">
        <v>2.2896E-2</v>
      </c>
      <c r="Y1541" s="32">
        <v>0.8</v>
      </c>
      <c r="Z1541" s="32">
        <v>0.778451</v>
      </c>
      <c r="AA1541" s="32">
        <v>26.2</v>
      </c>
      <c r="AB1541" s="32">
        <v>494</v>
      </c>
      <c r="AC1541" s="32">
        <v>31</v>
      </c>
      <c r="AD1541" s="32">
        <v>27</v>
      </c>
      <c r="AE1541" s="32">
        <v>0</v>
      </c>
      <c r="AF1541" s="32" t="s">
        <v>200</v>
      </c>
      <c r="AG1541" s="32">
        <v>7</v>
      </c>
    </row>
    <row r="1542" spans="1:33">
      <c r="A1542" s="32" t="s">
        <v>5420</v>
      </c>
      <c r="B1542" s="32" t="s">
        <v>56</v>
      </c>
      <c r="C1542" s="32" t="s">
        <v>5421</v>
      </c>
      <c r="D1542" s="32" t="s">
        <v>5422</v>
      </c>
      <c r="E1542" s="32" t="s">
        <v>5423</v>
      </c>
      <c r="F1542" s="32" t="s">
        <v>5424</v>
      </c>
      <c r="G1542" s="32" t="s">
        <v>383</v>
      </c>
      <c r="H1542" s="32" t="s">
        <v>384</v>
      </c>
      <c r="I1542" s="32" t="s">
        <v>198</v>
      </c>
      <c r="J1542" s="32" t="s">
        <v>199</v>
      </c>
      <c r="K1542" s="32">
        <v>2.9928089999999998</v>
      </c>
      <c r="L1542" s="33">
        <v>2439</v>
      </c>
      <c r="M1542" s="32">
        <v>376</v>
      </c>
      <c r="N1542" s="32">
        <v>427</v>
      </c>
      <c r="O1542" s="32">
        <v>795</v>
      </c>
      <c r="P1542" s="32">
        <v>574</v>
      </c>
      <c r="Q1542" s="32">
        <v>267</v>
      </c>
      <c r="R1542" s="32" t="s">
        <v>302</v>
      </c>
      <c r="S1542" s="32">
        <v>43.774099999999997</v>
      </c>
      <c r="T1542" s="32">
        <v>20.2301</v>
      </c>
      <c r="U1542" s="32">
        <v>0.69015839899999998</v>
      </c>
      <c r="V1542" s="32">
        <v>4</v>
      </c>
      <c r="W1542" s="32">
        <v>1</v>
      </c>
      <c r="X1542" s="32">
        <v>0.26727299999999998</v>
      </c>
      <c r="Y1542" s="32">
        <v>0.72095699999999996</v>
      </c>
      <c r="Z1542" s="32">
        <v>1</v>
      </c>
      <c r="AA1542" s="32">
        <v>36.6</v>
      </c>
      <c r="AB1542" s="32">
        <v>390</v>
      </c>
      <c r="AC1542" s="32">
        <v>23</v>
      </c>
      <c r="AD1542" s="32">
        <v>8</v>
      </c>
      <c r="AE1542" s="32">
        <v>0</v>
      </c>
      <c r="AF1542" s="32">
        <v>0</v>
      </c>
      <c r="AG1542" s="32" t="s">
        <v>200</v>
      </c>
    </row>
    <row r="1543" spans="1:33">
      <c r="A1543" s="32" t="s">
        <v>5425</v>
      </c>
      <c r="B1543" s="32" t="s">
        <v>56</v>
      </c>
      <c r="C1543" s="32" t="s">
        <v>5426</v>
      </c>
      <c r="D1543" s="32" t="s">
        <v>5427</v>
      </c>
      <c r="E1543" s="32" t="s">
        <v>5428</v>
      </c>
      <c r="F1543" s="32" t="s">
        <v>5429</v>
      </c>
      <c r="G1543" s="32" t="s">
        <v>383</v>
      </c>
      <c r="H1543" s="32" t="s">
        <v>384</v>
      </c>
      <c r="I1543" s="32" t="s">
        <v>198</v>
      </c>
      <c r="J1543" s="32" t="s">
        <v>199</v>
      </c>
      <c r="K1543" s="32">
        <v>2.866409</v>
      </c>
      <c r="L1543" s="33">
        <v>2371</v>
      </c>
      <c r="M1543" s="32">
        <v>498</v>
      </c>
      <c r="N1543" s="32">
        <v>407</v>
      </c>
      <c r="O1543" s="32">
        <v>634</v>
      </c>
      <c r="P1543" s="32">
        <v>623</v>
      </c>
      <c r="Q1543" s="32">
        <v>209</v>
      </c>
      <c r="R1543" s="32">
        <v>5</v>
      </c>
      <c r="S1543" s="32">
        <v>24.6722</v>
      </c>
      <c r="T1543" s="32">
        <v>17.959199999999999</v>
      </c>
      <c r="U1543" s="32">
        <v>0.88613852100000001</v>
      </c>
      <c r="V1543" s="32">
        <v>3</v>
      </c>
      <c r="W1543" s="32">
        <v>0.93667999999999996</v>
      </c>
      <c r="X1543" s="32">
        <v>0.23657600000000001</v>
      </c>
      <c r="Y1543" s="32">
        <v>0.8</v>
      </c>
      <c r="Z1543" s="32">
        <v>0.88740200000000002</v>
      </c>
      <c r="AA1543" s="32">
        <v>52.4</v>
      </c>
      <c r="AB1543" s="32">
        <v>317</v>
      </c>
      <c r="AC1543" s="32">
        <v>27</v>
      </c>
      <c r="AD1543" s="32">
        <v>30</v>
      </c>
      <c r="AE1543" s="32">
        <v>0</v>
      </c>
      <c r="AF1543" s="32">
        <v>0</v>
      </c>
      <c r="AG1543" s="32" t="s">
        <v>200</v>
      </c>
    </row>
    <row r="1544" spans="1:33">
      <c r="A1544" s="32" t="s">
        <v>5430</v>
      </c>
      <c r="B1544" s="32" t="s">
        <v>56</v>
      </c>
      <c r="C1544" s="32" t="s">
        <v>5431</v>
      </c>
      <c r="D1544" s="32" t="s">
        <v>5432</v>
      </c>
      <c r="E1544" s="32" t="s">
        <v>5433</v>
      </c>
      <c r="F1544" s="32" t="s">
        <v>5434</v>
      </c>
      <c r="G1544" s="32" t="s">
        <v>383</v>
      </c>
      <c r="H1544" s="32" t="s">
        <v>384</v>
      </c>
      <c r="I1544" s="32" t="s">
        <v>198</v>
      </c>
      <c r="J1544" s="32" t="s">
        <v>199</v>
      </c>
      <c r="K1544" s="32">
        <v>2.973004</v>
      </c>
      <c r="L1544" s="33">
        <v>2399</v>
      </c>
      <c r="M1544" s="32">
        <v>308</v>
      </c>
      <c r="N1544" s="32">
        <v>623</v>
      </c>
      <c r="O1544" s="32">
        <v>833</v>
      </c>
      <c r="P1544" s="32">
        <v>420</v>
      </c>
      <c r="Q1544" s="32">
        <v>215</v>
      </c>
      <c r="R1544" s="32" t="s">
        <v>668</v>
      </c>
      <c r="S1544" s="32">
        <v>60.230200000000004</v>
      </c>
      <c r="T1544" s="32">
        <v>30.4985</v>
      </c>
      <c r="U1544" s="32">
        <v>0.47139557300000001</v>
      </c>
      <c r="V1544" s="32">
        <v>7</v>
      </c>
      <c r="W1544" s="32">
        <v>1</v>
      </c>
      <c r="X1544" s="32">
        <v>0.29962100000000003</v>
      </c>
      <c r="Y1544" s="32">
        <v>0.7</v>
      </c>
      <c r="Z1544" s="32">
        <v>0.98275900000000005</v>
      </c>
      <c r="AA1544" s="32">
        <v>37.299999999999997</v>
      </c>
      <c r="AB1544" s="32">
        <v>450</v>
      </c>
      <c r="AC1544" s="32">
        <v>17</v>
      </c>
      <c r="AD1544" s="32">
        <v>21</v>
      </c>
      <c r="AE1544" s="32" t="s">
        <v>200</v>
      </c>
      <c r="AF1544" s="32">
        <v>0</v>
      </c>
      <c r="AG1544" s="32" t="s">
        <v>200</v>
      </c>
    </row>
    <row r="1545" spans="1:33">
      <c r="A1545" s="32" t="s">
        <v>5435</v>
      </c>
      <c r="B1545" s="32" t="s">
        <v>56</v>
      </c>
      <c r="C1545" s="32" t="s">
        <v>5436</v>
      </c>
      <c r="D1545" s="32" t="s">
        <v>5437</v>
      </c>
      <c r="E1545" s="32" t="s">
        <v>975</v>
      </c>
      <c r="F1545" s="32" t="s">
        <v>976</v>
      </c>
      <c r="G1545" s="32" t="s">
        <v>383</v>
      </c>
      <c r="H1545" s="32" t="s">
        <v>384</v>
      </c>
      <c r="I1545" s="32" t="s">
        <v>198</v>
      </c>
      <c r="J1545" s="32" t="s">
        <v>199</v>
      </c>
      <c r="K1545" s="32">
        <v>3.2051759999999998</v>
      </c>
      <c r="L1545" s="33">
        <v>2854</v>
      </c>
      <c r="M1545" s="32">
        <v>640</v>
      </c>
      <c r="N1545" s="32">
        <v>667</v>
      </c>
      <c r="O1545" s="32">
        <v>580</v>
      </c>
      <c r="P1545" s="32">
        <v>626</v>
      </c>
      <c r="Q1545" s="32">
        <v>341</v>
      </c>
      <c r="R1545" s="32" t="s">
        <v>302</v>
      </c>
      <c r="S1545" s="32">
        <v>54.576900000000002</v>
      </c>
      <c r="T1545" s="32">
        <v>21.0245</v>
      </c>
      <c r="U1545" s="32">
        <v>0.91131779499999999</v>
      </c>
      <c r="V1545" s="32">
        <v>2</v>
      </c>
      <c r="W1545" s="32">
        <v>1</v>
      </c>
      <c r="X1545" s="32">
        <v>0.48008400000000001</v>
      </c>
      <c r="Y1545" s="32">
        <v>0.7</v>
      </c>
      <c r="Z1545" s="32">
        <v>0.99873699999999999</v>
      </c>
      <c r="AA1545" s="32">
        <v>60.8</v>
      </c>
      <c r="AB1545" s="32">
        <v>435</v>
      </c>
      <c r="AC1545" s="32">
        <v>22</v>
      </c>
      <c r="AD1545" s="32">
        <v>27</v>
      </c>
      <c r="AE1545" s="32">
        <v>0</v>
      </c>
      <c r="AF1545" s="32">
        <v>0</v>
      </c>
      <c r="AG1545" s="32" t="s">
        <v>200</v>
      </c>
    </row>
    <row r="1546" spans="1:33">
      <c r="A1546" s="32" t="s">
        <v>5438</v>
      </c>
      <c r="B1546" s="32" t="s">
        <v>56</v>
      </c>
      <c r="C1546" s="32" t="s">
        <v>5439</v>
      </c>
      <c r="D1546" s="32" t="s">
        <v>5440</v>
      </c>
      <c r="E1546" s="32" t="s">
        <v>5441</v>
      </c>
      <c r="F1546" s="32" t="s">
        <v>5442</v>
      </c>
      <c r="G1546" s="32" t="s">
        <v>383</v>
      </c>
      <c r="H1546" s="32" t="s">
        <v>384</v>
      </c>
      <c r="I1546" s="32" t="s">
        <v>198</v>
      </c>
      <c r="J1546" s="32" t="s">
        <v>199</v>
      </c>
      <c r="K1546" s="32">
        <v>2.7731089999999998</v>
      </c>
      <c r="L1546" s="33">
        <v>2715</v>
      </c>
      <c r="M1546" s="32">
        <v>572</v>
      </c>
      <c r="N1546" s="32">
        <v>378</v>
      </c>
      <c r="O1546" s="32">
        <v>673</v>
      </c>
      <c r="P1546" s="32">
        <v>742</v>
      </c>
      <c r="Q1546" s="32">
        <v>350</v>
      </c>
      <c r="R1546" s="32" t="s">
        <v>302</v>
      </c>
      <c r="S1546" s="32">
        <v>38.625799999999998</v>
      </c>
      <c r="T1546" s="32">
        <v>19.725999999999999</v>
      </c>
      <c r="U1546" s="32">
        <v>0.54213081399999996</v>
      </c>
      <c r="V1546" s="32">
        <v>8</v>
      </c>
      <c r="W1546" s="32">
        <v>1</v>
      </c>
      <c r="X1546" s="32">
        <v>0.11480899999999999</v>
      </c>
      <c r="Y1546" s="32">
        <v>0.7</v>
      </c>
      <c r="Z1546" s="32">
        <v>0.95075600000000005</v>
      </c>
      <c r="AA1546" s="32">
        <v>30.9</v>
      </c>
      <c r="AB1546" s="32">
        <v>638</v>
      </c>
      <c r="AC1546" s="32">
        <v>15</v>
      </c>
      <c r="AD1546" s="32">
        <v>18</v>
      </c>
      <c r="AE1546" s="32">
        <v>0</v>
      </c>
      <c r="AF1546" s="32">
        <v>0</v>
      </c>
      <c r="AG1546" s="32" t="s">
        <v>200</v>
      </c>
    </row>
    <row r="1547" spans="1:33">
      <c r="A1547" s="32" t="s">
        <v>5443</v>
      </c>
      <c r="B1547" s="32" t="s">
        <v>56</v>
      </c>
      <c r="C1547" s="32" t="s">
        <v>5444</v>
      </c>
      <c r="D1547" s="32" t="s">
        <v>5445</v>
      </c>
      <c r="E1547" s="32" t="s">
        <v>5446</v>
      </c>
      <c r="F1547" s="32" t="s">
        <v>5447</v>
      </c>
      <c r="G1547" s="32" t="s">
        <v>383</v>
      </c>
      <c r="H1547" s="32" t="s">
        <v>384</v>
      </c>
      <c r="I1547" s="32" t="s">
        <v>198</v>
      </c>
      <c r="J1547" s="32" t="s">
        <v>199</v>
      </c>
      <c r="K1547" s="32">
        <v>2.7094860000000001</v>
      </c>
      <c r="L1547" s="33">
        <v>1918</v>
      </c>
      <c r="M1547" s="32">
        <v>397</v>
      </c>
      <c r="N1547" s="32">
        <v>358</v>
      </c>
      <c r="O1547" s="32">
        <v>389</v>
      </c>
      <c r="P1547" s="32">
        <v>431</v>
      </c>
      <c r="Q1547" s="32">
        <v>343</v>
      </c>
      <c r="R1547" s="32">
        <v>4</v>
      </c>
      <c r="S1547" s="32">
        <v>22.470300000000002</v>
      </c>
      <c r="T1547" s="32">
        <v>13.742800000000001</v>
      </c>
      <c r="U1547" s="32">
        <v>1.336492886</v>
      </c>
      <c r="V1547" s="32">
        <v>1</v>
      </c>
      <c r="W1547" s="32">
        <v>1</v>
      </c>
      <c r="X1547" s="32">
        <v>7.8599000000000002E-2</v>
      </c>
      <c r="Y1547" s="32">
        <v>0.7</v>
      </c>
      <c r="Z1547" s="32">
        <v>0.92690799999999995</v>
      </c>
      <c r="AA1547" s="32">
        <v>54.6</v>
      </c>
      <c r="AB1547" s="32">
        <v>224</v>
      </c>
      <c r="AC1547" s="32">
        <v>13</v>
      </c>
      <c r="AD1547" s="32">
        <v>8</v>
      </c>
      <c r="AE1547" s="32">
        <v>0</v>
      </c>
      <c r="AF1547" s="32">
        <v>0</v>
      </c>
      <c r="AG1547" s="32" t="s">
        <v>200</v>
      </c>
    </row>
    <row r="1548" spans="1:33">
      <c r="A1548" s="32" t="s">
        <v>5448</v>
      </c>
      <c r="B1548" s="32" t="s">
        <v>56</v>
      </c>
      <c r="C1548" s="32" t="s">
        <v>5449</v>
      </c>
      <c r="D1548" s="32" t="s">
        <v>5450</v>
      </c>
      <c r="E1548" s="32" t="s">
        <v>5446</v>
      </c>
      <c r="F1548" s="32" t="s">
        <v>5447</v>
      </c>
      <c r="G1548" s="32" t="s">
        <v>383</v>
      </c>
      <c r="H1548" s="32" t="s">
        <v>384</v>
      </c>
      <c r="I1548" s="32" t="s">
        <v>198</v>
      </c>
      <c r="J1548" s="32" t="s">
        <v>199</v>
      </c>
      <c r="K1548" s="32">
        <v>3.055866</v>
      </c>
      <c r="L1548" s="33">
        <v>2750</v>
      </c>
      <c r="M1548" s="32">
        <v>605</v>
      </c>
      <c r="N1548" s="32">
        <v>452</v>
      </c>
      <c r="O1548" s="32">
        <v>794</v>
      </c>
      <c r="P1548" s="32">
        <v>680</v>
      </c>
      <c r="Q1548" s="32">
        <v>219</v>
      </c>
      <c r="R1548" s="32">
        <v>4</v>
      </c>
      <c r="S1548" s="32">
        <v>24.600300000000001</v>
      </c>
      <c r="T1548" s="32">
        <v>13.3819</v>
      </c>
      <c r="U1548" s="32">
        <v>0.69220291599999995</v>
      </c>
      <c r="V1548" s="32">
        <v>3</v>
      </c>
      <c r="W1548" s="32">
        <v>0.99888299999999997</v>
      </c>
      <c r="X1548" s="32">
        <v>0.385405</v>
      </c>
      <c r="Y1548" s="32">
        <v>0.72712299999999996</v>
      </c>
      <c r="Z1548" s="32">
        <v>0.95647400000000005</v>
      </c>
      <c r="AA1548" s="32">
        <v>57.6</v>
      </c>
      <c r="AB1548" s="32">
        <v>432</v>
      </c>
      <c r="AC1548" s="32">
        <v>25</v>
      </c>
      <c r="AD1548" s="32">
        <v>15</v>
      </c>
      <c r="AE1548" s="32">
        <v>0</v>
      </c>
      <c r="AF1548" s="32">
        <v>328</v>
      </c>
      <c r="AG1548" s="32">
        <v>35</v>
      </c>
    </row>
    <row r="1549" spans="1:33">
      <c r="A1549" s="32" t="s">
        <v>5451</v>
      </c>
      <c r="B1549" s="32" t="s">
        <v>56</v>
      </c>
      <c r="C1549" s="32" t="s">
        <v>5452</v>
      </c>
      <c r="D1549" s="32" t="s">
        <v>5453</v>
      </c>
      <c r="E1549" s="32" t="s">
        <v>5446</v>
      </c>
      <c r="F1549" s="32" t="s">
        <v>5447</v>
      </c>
      <c r="G1549" s="32" t="s">
        <v>383</v>
      </c>
      <c r="H1549" s="32" t="s">
        <v>384</v>
      </c>
      <c r="I1549" s="32" t="s">
        <v>198</v>
      </c>
      <c r="J1549" s="32" t="s">
        <v>199</v>
      </c>
      <c r="K1549" s="32">
        <v>3.1985990000000002</v>
      </c>
      <c r="L1549" s="33">
        <v>1839</v>
      </c>
      <c r="M1549" s="32">
        <v>436</v>
      </c>
      <c r="N1549" s="32">
        <v>397</v>
      </c>
      <c r="O1549" s="32">
        <v>417</v>
      </c>
      <c r="P1549" s="32">
        <v>415</v>
      </c>
      <c r="Q1549" s="32">
        <v>174</v>
      </c>
      <c r="R1549" s="32" t="s">
        <v>302</v>
      </c>
      <c r="S1549" s="32">
        <v>38.136200000000002</v>
      </c>
      <c r="T1549" s="32">
        <v>13.081099999999999</v>
      </c>
      <c r="U1549" s="32">
        <v>0.94134446100000002</v>
      </c>
      <c r="V1549" s="32">
        <v>2</v>
      </c>
      <c r="W1549" s="32">
        <v>1</v>
      </c>
      <c r="X1549" s="32">
        <v>0.48820200000000002</v>
      </c>
      <c r="Y1549" s="32">
        <v>0.7</v>
      </c>
      <c r="Z1549" s="32">
        <v>1</v>
      </c>
      <c r="AA1549" s="32">
        <v>53.8</v>
      </c>
      <c r="AB1549" s="32">
        <v>282</v>
      </c>
      <c r="AC1549" s="32">
        <v>19</v>
      </c>
      <c r="AD1549" s="32">
        <v>8</v>
      </c>
      <c r="AE1549" s="32">
        <v>0</v>
      </c>
      <c r="AF1549" s="32">
        <v>0</v>
      </c>
      <c r="AG1549" s="32" t="s">
        <v>200</v>
      </c>
    </row>
    <row r="1550" spans="1:33">
      <c r="A1550" s="32" t="s">
        <v>5454</v>
      </c>
      <c r="B1550" s="32" t="s">
        <v>56</v>
      </c>
      <c r="C1550" s="32" t="s">
        <v>5455</v>
      </c>
      <c r="D1550" s="32" t="s">
        <v>5456</v>
      </c>
      <c r="E1550" s="32" t="s">
        <v>5423</v>
      </c>
      <c r="F1550" s="32" t="s">
        <v>5424</v>
      </c>
      <c r="G1550" s="32" t="s">
        <v>383</v>
      </c>
      <c r="H1550" s="32" t="s">
        <v>384</v>
      </c>
      <c r="I1550" s="32" t="s">
        <v>198</v>
      </c>
      <c r="J1550" s="32" t="s">
        <v>199</v>
      </c>
      <c r="K1550" s="32">
        <v>2.7727680000000001</v>
      </c>
      <c r="L1550" s="33">
        <v>1769</v>
      </c>
      <c r="M1550" s="32">
        <v>353</v>
      </c>
      <c r="N1550" s="32">
        <v>260</v>
      </c>
      <c r="O1550" s="32">
        <v>515</v>
      </c>
      <c r="P1550" s="32">
        <v>420</v>
      </c>
      <c r="Q1550" s="32">
        <v>221</v>
      </c>
      <c r="R1550" s="32">
        <v>4</v>
      </c>
      <c r="S1550" s="32">
        <v>19.4376</v>
      </c>
      <c r="T1550" s="32">
        <v>14.0016</v>
      </c>
      <c r="U1550" s="32">
        <v>0.79097245800000004</v>
      </c>
      <c r="V1550" s="32">
        <v>4</v>
      </c>
      <c r="W1550" s="32">
        <v>0.94017899999999999</v>
      </c>
      <c r="X1550" s="32">
        <v>7.4335999999999999E-2</v>
      </c>
      <c r="Y1550" s="32">
        <v>0.77787600000000001</v>
      </c>
      <c r="Z1550" s="32">
        <v>0.99070800000000003</v>
      </c>
      <c r="AA1550" s="32">
        <v>41.7</v>
      </c>
      <c r="AB1550" s="32">
        <v>291</v>
      </c>
      <c r="AC1550" s="32">
        <v>16</v>
      </c>
      <c r="AD1550" s="32">
        <v>9</v>
      </c>
      <c r="AE1550" s="32">
        <v>0</v>
      </c>
      <c r="AF1550" s="32" t="s">
        <v>200</v>
      </c>
      <c r="AG1550" s="32" t="s">
        <v>200</v>
      </c>
    </row>
    <row r="1551" spans="1:33">
      <c r="A1551" s="32" t="s">
        <v>5457</v>
      </c>
      <c r="B1551" s="32" t="s">
        <v>56</v>
      </c>
      <c r="C1551" s="32" t="s">
        <v>5458</v>
      </c>
      <c r="D1551" s="32" t="s">
        <v>5459</v>
      </c>
      <c r="E1551" s="32" t="s">
        <v>5446</v>
      </c>
      <c r="F1551" s="32" t="s">
        <v>5447</v>
      </c>
      <c r="G1551" s="32" t="s">
        <v>383</v>
      </c>
      <c r="H1551" s="32" t="s">
        <v>384</v>
      </c>
      <c r="I1551" s="32" t="s">
        <v>198</v>
      </c>
      <c r="J1551" s="32" t="s">
        <v>199</v>
      </c>
      <c r="K1551" s="32">
        <v>3.1702539999999999</v>
      </c>
      <c r="L1551" s="33">
        <v>3042</v>
      </c>
      <c r="M1551" s="32">
        <v>803</v>
      </c>
      <c r="N1551" s="32">
        <v>560</v>
      </c>
      <c r="O1551" s="32">
        <v>700</v>
      </c>
      <c r="P1551" s="32">
        <v>711</v>
      </c>
      <c r="Q1551" s="32">
        <v>268</v>
      </c>
      <c r="R1551" s="32">
        <v>4</v>
      </c>
      <c r="S1551" s="32">
        <v>21.601400000000002</v>
      </c>
      <c r="T1551" s="32">
        <v>8.7365600000000008</v>
      </c>
      <c r="U1551" s="32">
        <v>0.99194228699999998</v>
      </c>
      <c r="V1551" s="32">
        <v>2</v>
      </c>
      <c r="W1551" s="32">
        <v>1</v>
      </c>
      <c r="X1551" s="32">
        <v>0.46365400000000001</v>
      </c>
      <c r="Y1551" s="32">
        <v>0.70398400000000005</v>
      </c>
      <c r="Z1551" s="32">
        <v>1</v>
      </c>
      <c r="AA1551" s="32">
        <v>62.6</v>
      </c>
      <c r="AB1551" s="32">
        <v>413</v>
      </c>
      <c r="AC1551" s="32">
        <v>18</v>
      </c>
      <c r="AD1551" s="32">
        <v>22</v>
      </c>
      <c r="AE1551" s="32">
        <v>0</v>
      </c>
      <c r="AF1551" s="32">
        <v>0</v>
      </c>
      <c r="AG1551" s="32" t="s">
        <v>200</v>
      </c>
    </row>
    <row r="1552" spans="1:33">
      <c r="A1552" s="32" t="s">
        <v>5460</v>
      </c>
      <c r="B1552" s="32" t="s">
        <v>56</v>
      </c>
      <c r="C1552" s="32" t="s">
        <v>5461</v>
      </c>
      <c r="D1552" s="32" t="s">
        <v>5462</v>
      </c>
      <c r="E1552" s="32" t="s">
        <v>5446</v>
      </c>
      <c r="F1552" s="32" t="s">
        <v>5447</v>
      </c>
      <c r="G1552" s="32" t="s">
        <v>383</v>
      </c>
      <c r="H1552" s="32" t="s">
        <v>384</v>
      </c>
      <c r="I1552" s="32" t="s">
        <v>198</v>
      </c>
      <c r="J1552" s="32" t="s">
        <v>199</v>
      </c>
      <c r="K1552" s="32">
        <v>3.0471910000000002</v>
      </c>
      <c r="L1552" s="33">
        <v>1385</v>
      </c>
      <c r="M1552" s="32">
        <v>307</v>
      </c>
      <c r="N1552" s="32">
        <v>263</v>
      </c>
      <c r="O1552" s="32">
        <v>345</v>
      </c>
      <c r="P1552" s="32">
        <v>283</v>
      </c>
      <c r="Q1552" s="32">
        <v>187</v>
      </c>
      <c r="R1552" s="32">
        <v>5</v>
      </c>
      <c r="S1552" s="32">
        <v>27.001100000000001</v>
      </c>
      <c r="T1552" s="32">
        <v>17.729700000000001</v>
      </c>
      <c r="U1552" s="32">
        <v>0.98843826899999998</v>
      </c>
      <c r="V1552" s="32">
        <v>2</v>
      </c>
      <c r="W1552" s="32">
        <v>0.98820200000000002</v>
      </c>
      <c r="X1552" s="32">
        <v>0.32666699999999999</v>
      </c>
      <c r="Y1552" s="32">
        <v>0.75393299999999996</v>
      </c>
      <c r="Z1552" s="32">
        <v>0.98124999999999996</v>
      </c>
      <c r="AA1552" s="32">
        <v>54.2</v>
      </c>
      <c r="AB1552" s="32">
        <v>191</v>
      </c>
      <c r="AC1552" s="32">
        <v>11</v>
      </c>
      <c r="AD1552" s="32" t="s">
        <v>200</v>
      </c>
      <c r="AE1552" s="32" t="s">
        <v>200</v>
      </c>
      <c r="AF1552" s="32" t="s">
        <v>200</v>
      </c>
      <c r="AG1552" s="32" t="s">
        <v>200</v>
      </c>
    </row>
    <row r="1553" spans="1:33">
      <c r="A1553" s="32" t="s">
        <v>5463</v>
      </c>
      <c r="B1553" s="32" t="s">
        <v>56</v>
      </c>
      <c r="C1553" s="32" t="s">
        <v>5464</v>
      </c>
      <c r="D1553" s="32" t="s">
        <v>5465</v>
      </c>
      <c r="E1553" s="32" t="s">
        <v>1025</v>
      </c>
      <c r="F1553" s="32" t="s">
        <v>1026</v>
      </c>
      <c r="G1553" s="32" t="s">
        <v>383</v>
      </c>
      <c r="H1553" s="32" t="s">
        <v>384</v>
      </c>
      <c r="I1553" s="32" t="s">
        <v>198</v>
      </c>
      <c r="J1553" s="32" t="s">
        <v>199</v>
      </c>
      <c r="K1553" s="32">
        <v>3.1992910000000001</v>
      </c>
      <c r="L1553" s="33">
        <v>2328</v>
      </c>
      <c r="M1553" s="32">
        <v>490</v>
      </c>
      <c r="N1553" s="32">
        <v>674</v>
      </c>
      <c r="O1553" s="32">
        <v>690</v>
      </c>
      <c r="P1553" s="32">
        <v>342</v>
      </c>
      <c r="Q1553" s="32">
        <v>132</v>
      </c>
      <c r="R1553" s="32" t="s">
        <v>668</v>
      </c>
      <c r="S1553" s="32">
        <v>67.110799999999998</v>
      </c>
      <c r="T1553" s="32">
        <v>41.112299999999998</v>
      </c>
      <c r="U1553" s="32">
        <v>0.59270380499999997</v>
      </c>
      <c r="V1553" s="32">
        <v>3</v>
      </c>
      <c r="W1553" s="32">
        <v>1</v>
      </c>
      <c r="X1553" s="32">
        <v>0.52653099999999997</v>
      </c>
      <c r="Y1553" s="32">
        <v>0.7</v>
      </c>
      <c r="Z1553" s="32">
        <v>1</v>
      </c>
      <c r="AA1553" s="32">
        <v>62.1</v>
      </c>
      <c r="AB1553" s="32">
        <v>203</v>
      </c>
      <c r="AC1553" s="32">
        <v>12</v>
      </c>
      <c r="AD1553" s="32">
        <v>6</v>
      </c>
      <c r="AE1553" s="32">
        <v>0</v>
      </c>
      <c r="AF1553" s="32">
        <v>0</v>
      </c>
      <c r="AG1553" s="32">
        <v>0</v>
      </c>
    </row>
    <row r="1554" spans="1:33">
      <c r="A1554" s="32" t="s">
        <v>1041</v>
      </c>
      <c r="B1554" s="32" t="s">
        <v>56</v>
      </c>
      <c r="C1554" s="32" t="s">
        <v>1042</v>
      </c>
      <c r="D1554" s="32" t="s">
        <v>1043</v>
      </c>
      <c r="E1554" s="32" t="s">
        <v>1025</v>
      </c>
      <c r="F1554" s="32" t="s">
        <v>1026</v>
      </c>
      <c r="G1554" s="32" t="s">
        <v>383</v>
      </c>
      <c r="H1554" s="32" t="s">
        <v>384</v>
      </c>
      <c r="I1554" s="32" t="s">
        <v>198</v>
      </c>
      <c r="J1554" s="32" t="s">
        <v>199</v>
      </c>
      <c r="K1554" s="32">
        <v>2.96461</v>
      </c>
      <c r="L1554" s="33">
        <v>1346</v>
      </c>
      <c r="M1554" s="32">
        <v>142</v>
      </c>
      <c r="N1554" s="32">
        <v>357</v>
      </c>
      <c r="O1554" s="32">
        <v>343</v>
      </c>
      <c r="P1554" s="32">
        <v>297</v>
      </c>
      <c r="Q1554" s="32">
        <v>207</v>
      </c>
      <c r="R1554" s="32" t="s">
        <v>668</v>
      </c>
      <c r="S1554" s="32">
        <v>76.215400000000002</v>
      </c>
      <c r="T1554" s="32">
        <v>42.8611</v>
      </c>
      <c r="U1554" s="32">
        <v>0.72315726999999996</v>
      </c>
      <c r="V1554" s="32">
        <v>3</v>
      </c>
      <c r="W1554" s="32">
        <v>1</v>
      </c>
      <c r="X1554" s="32">
        <v>0.26418199999999997</v>
      </c>
      <c r="Y1554" s="32">
        <v>0.70047800000000005</v>
      </c>
      <c r="Z1554" s="32">
        <v>1</v>
      </c>
      <c r="AA1554" s="32">
        <v>43.1</v>
      </c>
      <c r="AB1554" s="32">
        <v>302</v>
      </c>
      <c r="AC1554" s="32">
        <v>19</v>
      </c>
      <c r="AD1554" s="32">
        <v>32</v>
      </c>
      <c r="AE1554" s="32">
        <v>0</v>
      </c>
      <c r="AF1554" s="32" t="s">
        <v>200</v>
      </c>
      <c r="AG1554" s="32">
        <v>5</v>
      </c>
    </row>
    <row r="1555" spans="1:33">
      <c r="A1555" s="32" t="s">
        <v>5466</v>
      </c>
      <c r="B1555" s="32" t="s">
        <v>56</v>
      </c>
      <c r="C1555" s="32" t="s">
        <v>5467</v>
      </c>
      <c r="D1555" s="32" t="s">
        <v>5468</v>
      </c>
      <c r="E1555" s="32" t="s">
        <v>5423</v>
      </c>
      <c r="F1555" s="32" t="s">
        <v>5424</v>
      </c>
      <c r="G1555" s="32" t="s">
        <v>383</v>
      </c>
      <c r="H1555" s="32" t="s">
        <v>384</v>
      </c>
      <c r="I1555" s="32" t="s">
        <v>198</v>
      </c>
      <c r="J1555" s="32" t="s">
        <v>199</v>
      </c>
      <c r="K1555" s="32">
        <v>2.9978259999999999</v>
      </c>
      <c r="L1555" s="33">
        <v>1194</v>
      </c>
      <c r="M1555" s="32">
        <v>161</v>
      </c>
      <c r="N1555" s="32">
        <v>216</v>
      </c>
      <c r="O1555" s="32">
        <v>526</v>
      </c>
      <c r="P1555" s="32">
        <v>210</v>
      </c>
      <c r="Q1555" s="32">
        <v>81</v>
      </c>
      <c r="R1555" s="32">
        <v>5</v>
      </c>
      <c r="S1555" s="32">
        <v>21.515899999999998</v>
      </c>
      <c r="T1555" s="32">
        <v>21.515899999999998</v>
      </c>
      <c r="U1555" s="32">
        <v>0.55113582299999997</v>
      </c>
      <c r="V1555" s="32">
        <v>7</v>
      </c>
      <c r="W1555" s="32">
        <v>1</v>
      </c>
      <c r="X1555" s="32">
        <v>0.27912100000000001</v>
      </c>
      <c r="Y1555" s="32">
        <v>0.73118300000000003</v>
      </c>
      <c r="Z1555" s="32">
        <v>1</v>
      </c>
      <c r="AA1555" s="32">
        <v>33.1</v>
      </c>
      <c r="AB1555" s="32">
        <v>136</v>
      </c>
      <c r="AC1555" s="32">
        <v>12</v>
      </c>
      <c r="AD1555" s="32" t="s">
        <v>200</v>
      </c>
      <c r="AE1555" s="32">
        <v>0</v>
      </c>
      <c r="AF1555" s="32" t="s">
        <v>200</v>
      </c>
      <c r="AG1555" s="32">
        <v>0</v>
      </c>
    </row>
    <row r="1556" spans="1:33">
      <c r="A1556" s="32" t="s">
        <v>5469</v>
      </c>
      <c r="B1556" s="32" t="s">
        <v>56</v>
      </c>
      <c r="C1556" s="32" t="s">
        <v>5470</v>
      </c>
      <c r="D1556" s="32" t="s">
        <v>5471</v>
      </c>
      <c r="E1556" s="32" t="s">
        <v>5423</v>
      </c>
      <c r="F1556" s="32" t="s">
        <v>5424</v>
      </c>
      <c r="G1556" s="32" t="s">
        <v>383</v>
      </c>
      <c r="H1556" s="32" t="s">
        <v>384</v>
      </c>
      <c r="I1556" s="32" t="s">
        <v>198</v>
      </c>
      <c r="J1556" s="32" t="s">
        <v>199</v>
      </c>
      <c r="K1556" s="32">
        <v>2.9068969999999998</v>
      </c>
      <c r="L1556" s="33">
        <v>1302</v>
      </c>
      <c r="M1556" s="32">
        <v>174</v>
      </c>
      <c r="N1556" s="32">
        <v>270</v>
      </c>
      <c r="O1556" s="32">
        <v>381</v>
      </c>
      <c r="P1556" s="32">
        <v>315</v>
      </c>
      <c r="Q1556" s="32">
        <v>162</v>
      </c>
      <c r="R1556" s="32">
        <v>4</v>
      </c>
      <c r="S1556" s="32">
        <v>22.941099999999999</v>
      </c>
      <c r="T1556" s="32">
        <v>13.801399999999999</v>
      </c>
      <c r="U1556" s="32">
        <v>0.67686281199999998</v>
      </c>
      <c r="V1556" s="32">
        <v>4</v>
      </c>
      <c r="W1556" s="32">
        <v>1</v>
      </c>
      <c r="X1556" s="32">
        <v>0.17954500000000001</v>
      </c>
      <c r="Y1556" s="32">
        <v>0.72671799999999998</v>
      </c>
      <c r="Z1556" s="32">
        <v>1</v>
      </c>
      <c r="AA1556" s="32">
        <v>24.7</v>
      </c>
      <c r="AB1556" s="32">
        <v>257</v>
      </c>
      <c r="AC1556" s="32">
        <v>21</v>
      </c>
      <c r="AD1556" s="32">
        <v>21</v>
      </c>
      <c r="AE1556" s="32" t="s">
        <v>200</v>
      </c>
      <c r="AF1556" s="32">
        <v>0</v>
      </c>
      <c r="AG1556" s="32" t="s">
        <v>200</v>
      </c>
    </row>
    <row r="1557" spans="1:33">
      <c r="A1557" s="32" t="s">
        <v>5472</v>
      </c>
      <c r="B1557" s="32" t="s">
        <v>143</v>
      </c>
      <c r="C1557" s="32" t="s">
        <v>5473</v>
      </c>
      <c r="D1557" s="32" t="s">
        <v>5474</v>
      </c>
      <c r="E1557" s="32" t="s">
        <v>5475</v>
      </c>
      <c r="F1557" s="32" t="s">
        <v>5476</v>
      </c>
      <c r="G1557" s="32" t="s">
        <v>5072</v>
      </c>
      <c r="H1557" s="32" t="s">
        <v>5073</v>
      </c>
      <c r="I1557" s="32" t="s">
        <v>198</v>
      </c>
      <c r="J1557" s="32" t="s">
        <v>199</v>
      </c>
      <c r="K1557" s="32">
        <v>2.6716000000000002</v>
      </c>
      <c r="L1557" s="33">
        <v>1772</v>
      </c>
      <c r="M1557" s="32">
        <v>225</v>
      </c>
      <c r="N1557" s="32">
        <v>375</v>
      </c>
      <c r="O1557" s="32">
        <v>619</v>
      </c>
      <c r="P1557" s="32">
        <v>376</v>
      </c>
      <c r="Q1557" s="32">
        <v>177</v>
      </c>
      <c r="R1557" s="32" t="s">
        <v>302</v>
      </c>
      <c r="S1557" s="32">
        <v>44.712400000000002</v>
      </c>
      <c r="T1557" s="32">
        <v>25.5289</v>
      </c>
      <c r="U1557" s="32">
        <v>0.62003955300000002</v>
      </c>
      <c r="V1557" s="32">
        <v>6</v>
      </c>
      <c r="W1557" s="32">
        <v>0.90720000000000001</v>
      </c>
      <c r="X1557" s="32">
        <v>0.1328</v>
      </c>
      <c r="Y1557" s="32">
        <v>0.8</v>
      </c>
      <c r="Z1557" s="32">
        <v>0.84229200000000004</v>
      </c>
      <c r="AA1557" s="32">
        <v>26.6</v>
      </c>
      <c r="AB1557" s="32">
        <v>340</v>
      </c>
      <c r="AC1557" s="32">
        <v>39</v>
      </c>
      <c r="AD1557" s="32">
        <v>10</v>
      </c>
      <c r="AE1557" s="32" t="s">
        <v>200</v>
      </c>
      <c r="AF1557" s="32">
        <v>0</v>
      </c>
      <c r="AG1557" s="32">
        <v>0</v>
      </c>
    </row>
    <row r="1558" spans="1:33">
      <c r="A1558" s="32" t="s">
        <v>5477</v>
      </c>
      <c r="B1558" s="32" t="s">
        <v>143</v>
      </c>
      <c r="C1558" s="32" t="s">
        <v>5478</v>
      </c>
      <c r="D1558" s="32" t="s">
        <v>5479</v>
      </c>
      <c r="E1558" s="32" t="s">
        <v>5480</v>
      </c>
      <c r="F1558" s="32" t="s">
        <v>5481</v>
      </c>
      <c r="G1558" s="32" t="s">
        <v>5072</v>
      </c>
      <c r="H1558" s="32" t="s">
        <v>5073</v>
      </c>
      <c r="I1558" s="32" t="s">
        <v>198</v>
      </c>
      <c r="J1558" s="32" t="s">
        <v>199</v>
      </c>
      <c r="K1558" s="32">
        <v>2.6417000000000002</v>
      </c>
      <c r="L1558" s="33">
        <v>1582</v>
      </c>
      <c r="M1558" s="32">
        <v>253</v>
      </c>
      <c r="N1558" s="32">
        <v>291</v>
      </c>
      <c r="O1558" s="32">
        <v>524</v>
      </c>
      <c r="P1558" s="32">
        <v>375</v>
      </c>
      <c r="Q1558" s="32">
        <v>139</v>
      </c>
      <c r="R1558" s="32">
        <v>5</v>
      </c>
      <c r="S1558" s="32">
        <v>28.98</v>
      </c>
      <c r="T1558" s="32">
        <v>13.6927</v>
      </c>
      <c r="U1558" s="32">
        <v>0.70577392299999997</v>
      </c>
      <c r="V1558" s="32">
        <v>5</v>
      </c>
      <c r="W1558" s="32">
        <v>0.9</v>
      </c>
      <c r="X1558" s="32">
        <v>0.118876</v>
      </c>
      <c r="Y1558" s="32">
        <v>0.8</v>
      </c>
      <c r="Z1558" s="32">
        <v>0.81666700000000003</v>
      </c>
      <c r="AA1558" s="32">
        <v>21</v>
      </c>
      <c r="AB1558" s="32">
        <v>351</v>
      </c>
      <c r="AC1558" s="32">
        <v>32</v>
      </c>
      <c r="AD1558" s="32">
        <v>17</v>
      </c>
      <c r="AE1558" s="32" t="s">
        <v>200</v>
      </c>
      <c r="AF1558" s="32">
        <v>0</v>
      </c>
      <c r="AG1558" s="32" t="s">
        <v>200</v>
      </c>
    </row>
    <row r="1559" spans="1:33">
      <c r="A1559" s="32" t="s">
        <v>5482</v>
      </c>
      <c r="B1559" s="32" t="s">
        <v>143</v>
      </c>
      <c r="C1559" s="32" t="s">
        <v>5483</v>
      </c>
      <c r="D1559" s="32" t="s">
        <v>5484</v>
      </c>
      <c r="E1559" s="32" t="s">
        <v>5475</v>
      </c>
      <c r="F1559" s="32" t="s">
        <v>5476</v>
      </c>
      <c r="G1559" s="32" t="s">
        <v>5072</v>
      </c>
      <c r="H1559" s="32" t="s">
        <v>5073</v>
      </c>
      <c r="I1559" s="32" t="s">
        <v>198</v>
      </c>
      <c r="J1559" s="32" t="s">
        <v>199</v>
      </c>
      <c r="K1559" s="32">
        <v>3.0675210000000002</v>
      </c>
      <c r="L1559" s="33">
        <v>1456</v>
      </c>
      <c r="M1559" s="32">
        <v>266</v>
      </c>
      <c r="N1559" s="32">
        <v>286</v>
      </c>
      <c r="O1559" s="32">
        <v>343</v>
      </c>
      <c r="P1559" s="32">
        <v>369</v>
      </c>
      <c r="Q1559" s="32">
        <v>192</v>
      </c>
      <c r="R1559" s="32" t="s">
        <v>668</v>
      </c>
      <c r="S1559" s="32">
        <v>53.889600000000002</v>
      </c>
      <c r="T1559" s="32">
        <v>25.592700000000001</v>
      </c>
      <c r="U1559" s="32">
        <v>0.88551584100000003</v>
      </c>
      <c r="V1559" s="32">
        <v>2</v>
      </c>
      <c r="W1559" s="32">
        <v>0.94572599999999996</v>
      </c>
      <c r="X1559" s="32">
        <v>0.38268400000000002</v>
      </c>
      <c r="Y1559" s="32">
        <v>0.8</v>
      </c>
      <c r="Z1559" s="32">
        <v>0.97105300000000006</v>
      </c>
      <c r="AA1559" s="32">
        <v>47.2</v>
      </c>
      <c r="AB1559" s="32">
        <v>249</v>
      </c>
      <c r="AC1559" s="32">
        <v>28</v>
      </c>
      <c r="AD1559" s="32">
        <v>12</v>
      </c>
      <c r="AE1559" s="32">
        <v>0</v>
      </c>
      <c r="AF1559" s="32">
        <v>0</v>
      </c>
      <c r="AG1559" s="32" t="s">
        <v>200</v>
      </c>
    </row>
    <row r="1560" spans="1:33">
      <c r="A1560" s="32" t="s">
        <v>5485</v>
      </c>
      <c r="B1560" s="32" t="s">
        <v>143</v>
      </c>
      <c r="C1560" s="32" t="s">
        <v>5486</v>
      </c>
      <c r="D1560" s="32" t="s">
        <v>5487</v>
      </c>
      <c r="E1560" s="32" t="s">
        <v>5070</v>
      </c>
      <c r="F1560" s="32" t="s">
        <v>5071</v>
      </c>
      <c r="G1560" s="32" t="s">
        <v>5072</v>
      </c>
      <c r="H1560" s="32" t="s">
        <v>5073</v>
      </c>
      <c r="I1560" s="32" t="s">
        <v>198</v>
      </c>
      <c r="J1560" s="32" t="s">
        <v>199</v>
      </c>
      <c r="K1560" s="32">
        <v>2.8429470000000001</v>
      </c>
      <c r="L1560" s="33">
        <v>1501</v>
      </c>
      <c r="M1560" s="32">
        <v>200</v>
      </c>
      <c r="N1560" s="32">
        <v>344</v>
      </c>
      <c r="O1560" s="32">
        <v>391</v>
      </c>
      <c r="P1560" s="32">
        <v>347</v>
      </c>
      <c r="Q1560" s="32">
        <v>219</v>
      </c>
      <c r="R1560" s="32" t="s">
        <v>302</v>
      </c>
      <c r="S1560" s="32">
        <v>34.350200000000001</v>
      </c>
      <c r="T1560" s="32">
        <v>13.7614</v>
      </c>
      <c r="U1560" s="32">
        <v>0.53735799399999995</v>
      </c>
      <c r="V1560" s="32">
        <v>7</v>
      </c>
      <c r="W1560" s="32">
        <v>0.90673700000000002</v>
      </c>
      <c r="X1560" s="32">
        <v>0.188913</v>
      </c>
      <c r="Y1560" s="32">
        <v>0.8</v>
      </c>
      <c r="Z1560" s="32">
        <v>0.95010600000000001</v>
      </c>
      <c r="AA1560" s="32">
        <v>34.6</v>
      </c>
      <c r="AB1560" s="32">
        <v>305</v>
      </c>
      <c r="AC1560" s="32">
        <v>14</v>
      </c>
      <c r="AD1560" s="32">
        <v>11</v>
      </c>
      <c r="AE1560" s="32">
        <v>0</v>
      </c>
      <c r="AF1560" s="32" t="s">
        <v>200</v>
      </c>
      <c r="AG1560" s="32">
        <v>35</v>
      </c>
    </row>
    <row r="1561" spans="1:33">
      <c r="A1561" s="32" t="s">
        <v>5488</v>
      </c>
      <c r="B1561" s="32" t="s">
        <v>143</v>
      </c>
      <c r="C1561" s="32" t="s">
        <v>5489</v>
      </c>
      <c r="D1561" s="32" t="s">
        <v>5490</v>
      </c>
      <c r="E1561" s="32" t="s">
        <v>5480</v>
      </c>
      <c r="F1561" s="32" t="s">
        <v>5481</v>
      </c>
      <c r="G1561" s="32" t="s">
        <v>5072</v>
      </c>
      <c r="H1561" s="32" t="s">
        <v>5073</v>
      </c>
      <c r="I1561" s="32" t="s">
        <v>198</v>
      </c>
      <c r="J1561" s="32" t="s">
        <v>199</v>
      </c>
      <c r="K1561" s="32">
        <v>2.5200999999999998</v>
      </c>
      <c r="L1561" s="33">
        <v>1406</v>
      </c>
      <c r="M1561" s="32">
        <v>287</v>
      </c>
      <c r="N1561" s="32">
        <v>263</v>
      </c>
      <c r="O1561" s="32">
        <v>356</v>
      </c>
      <c r="P1561" s="32">
        <v>336</v>
      </c>
      <c r="Q1561" s="32">
        <v>164</v>
      </c>
      <c r="R1561" s="32">
        <v>3</v>
      </c>
      <c r="S1561" s="32">
        <v>22.713200000000001</v>
      </c>
      <c r="T1561" s="32">
        <v>6.7434000000000003</v>
      </c>
      <c r="U1561" s="32">
        <v>0.84293746700000005</v>
      </c>
      <c r="V1561" s="32">
        <v>4</v>
      </c>
      <c r="W1561" s="32">
        <v>0.9</v>
      </c>
      <c r="X1561" s="32">
        <v>0</v>
      </c>
      <c r="Y1561" s="32">
        <v>0.8</v>
      </c>
      <c r="Z1561" s="32">
        <v>0.82199999999999995</v>
      </c>
      <c r="AA1561" s="32">
        <v>30.7</v>
      </c>
      <c r="AB1561" s="32">
        <v>309</v>
      </c>
      <c r="AC1561" s="32">
        <v>21</v>
      </c>
      <c r="AD1561" s="32">
        <v>11</v>
      </c>
      <c r="AE1561" s="32">
        <v>0</v>
      </c>
      <c r="AF1561" s="32">
        <v>0</v>
      </c>
      <c r="AG1561" s="32" t="s">
        <v>200</v>
      </c>
    </row>
    <row r="1562" spans="1:33">
      <c r="A1562" s="32" t="s">
        <v>5491</v>
      </c>
      <c r="B1562" s="32" t="s">
        <v>143</v>
      </c>
      <c r="C1562" s="32" t="s">
        <v>5492</v>
      </c>
      <c r="D1562" s="32" t="s">
        <v>5493</v>
      </c>
      <c r="E1562" s="32" t="s">
        <v>5494</v>
      </c>
      <c r="F1562" s="32" t="s">
        <v>5495</v>
      </c>
      <c r="G1562" s="32" t="s">
        <v>5072</v>
      </c>
      <c r="H1562" s="32" t="s">
        <v>5073</v>
      </c>
      <c r="I1562" s="32" t="s">
        <v>198</v>
      </c>
      <c r="J1562" s="32" t="s">
        <v>199</v>
      </c>
      <c r="K1562" s="32">
        <v>3.1015570000000001</v>
      </c>
      <c r="L1562" s="33">
        <v>2112</v>
      </c>
      <c r="M1562" s="32">
        <v>395</v>
      </c>
      <c r="N1562" s="32">
        <v>512</v>
      </c>
      <c r="O1562" s="32">
        <v>595</v>
      </c>
      <c r="P1562" s="32">
        <v>459</v>
      </c>
      <c r="Q1562" s="32">
        <v>151</v>
      </c>
      <c r="R1562" s="32" t="s">
        <v>302</v>
      </c>
      <c r="S1562" s="32">
        <v>55.184800000000003</v>
      </c>
      <c r="T1562" s="32">
        <v>19.006699999999999</v>
      </c>
      <c r="U1562" s="32">
        <v>0.70128881499999995</v>
      </c>
      <c r="V1562" s="32">
        <v>3</v>
      </c>
      <c r="W1562" s="32">
        <v>0.92565600000000003</v>
      </c>
      <c r="X1562" s="32">
        <v>0.36529600000000001</v>
      </c>
      <c r="Y1562" s="32">
        <v>0.8</v>
      </c>
      <c r="Z1562" s="32">
        <v>0.99975499999999995</v>
      </c>
      <c r="AA1562" s="32">
        <v>39.1</v>
      </c>
      <c r="AB1562" s="32">
        <v>365</v>
      </c>
      <c r="AC1562" s="32">
        <v>40</v>
      </c>
      <c r="AD1562" s="32">
        <v>25</v>
      </c>
      <c r="AE1562" s="32" t="s">
        <v>200</v>
      </c>
      <c r="AF1562" s="32" t="s">
        <v>200</v>
      </c>
      <c r="AG1562" s="32">
        <v>5</v>
      </c>
    </row>
    <row r="1563" spans="1:33">
      <c r="A1563" s="32" t="s">
        <v>5496</v>
      </c>
      <c r="B1563" s="32" t="s">
        <v>143</v>
      </c>
      <c r="C1563" s="32" t="s">
        <v>5497</v>
      </c>
      <c r="D1563" s="32" t="s">
        <v>5498</v>
      </c>
      <c r="E1563" s="32" t="s">
        <v>5494</v>
      </c>
      <c r="F1563" s="32" t="s">
        <v>5495</v>
      </c>
      <c r="G1563" s="32" t="s">
        <v>5072</v>
      </c>
      <c r="H1563" s="32" t="s">
        <v>5073</v>
      </c>
      <c r="I1563" s="32" t="s">
        <v>198</v>
      </c>
      <c r="J1563" s="32" t="s">
        <v>199</v>
      </c>
      <c r="K1563" s="32">
        <v>2.943689</v>
      </c>
      <c r="L1563" s="33">
        <v>1747</v>
      </c>
      <c r="M1563" s="32">
        <v>426</v>
      </c>
      <c r="N1563" s="32">
        <v>283</v>
      </c>
      <c r="O1563" s="32">
        <v>364</v>
      </c>
      <c r="P1563" s="32">
        <v>461</v>
      </c>
      <c r="Q1563" s="32">
        <v>213</v>
      </c>
      <c r="R1563" s="32" t="s">
        <v>302</v>
      </c>
      <c r="S1563" s="32">
        <v>38.961799999999997</v>
      </c>
      <c r="T1563" s="32">
        <v>18.165299999999998</v>
      </c>
      <c r="U1563" s="32">
        <v>0.95823304600000003</v>
      </c>
      <c r="V1563" s="32">
        <v>2</v>
      </c>
      <c r="W1563" s="32">
        <v>0.91941700000000004</v>
      </c>
      <c r="X1563" s="32">
        <v>0.243478</v>
      </c>
      <c r="Y1563" s="32">
        <v>0.8</v>
      </c>
      <c r="Z1563" s="32">
        <v>1</v>
      </c>
      <c r="AA1563" s="32">
        <v>61.3</v>
      </c>
      <c r="AB1563" s="32">
        <v>242</v>
      </c>
      <c r="AC1563" s="32">
        <v>23</v>
      </c>
      <c r="AD1563" s="32">
        <v>15</v>
      </c>
      <c r="AE1563" s="32">
        <v>0</v>
      </c>
      <c r="AF1563" s="32">
        <v>0</v>
      </c>
      <c r="AG1563" s="32">
        <v>0</v>
      </c>
    </row>
    <row r="1564" spans="1:33">
      <c r="A1564" s="32" t="s">
        <v>5499</v>
      </c>
      <c r="B1564" s="32" t="s">
        <v>143</v>
      </c>
      <c r="C1564" s="32" t="s">
        <v>5500</v>
      </c>
      <c r="D1564" s="32" t="s">
        <v>5501</v>
      </c>
      <c r="E1564" s="32" t="s">
        <v>5502</v>
      </c>
      <c r="F1564" s="32" t="s">
        <v>5503</v>
      </c>
      <c r="G1564" s="32" t="s">
        <v>1049</v>
      </c>
      <c r="H1564" s="32" t="s">
        <v>1050</v>
      </c>
      <c r="I1564" s="32" t="s">
        <v>198</v>
      </c>
      <c r="J1564" s="32" t="s">
        <v>199</v>
      </c>
      <c r="K1564" s="32">
        <v>2.5971389999999999</v>
      </c>
      <c r="L1564" s="33">
        <v>1475</v>
      </c>
      <c r="M1564" s="32">
        <v>298</v>
      </c>
      <c r="N1564" s="32">
        <v>174</v>
      </c>
      <c r="O1564" s="32">
        <v>225</v>
      </c>
      <c r="P1564" s="32">
        <v>461</v>
      </c>
      <c r="Q1564" s="32">
        <v>317</v>
      </c>
      <c r="R1564" s="32">
        <v>4</v>
      </c>
      <c r="S1564" s="32">
        <v>27.0779</v>
      </c>
      <c r="T1564" s="32">
        <v>0</v>
      </c>
      <c r="U1564" s="32">
        <v>0.548715061</v>
      </c>
      <c r="V1564" s="32">
        <v>8</v>
      </c>
      <c r="W1564" s="32">
        <v>0.90834300000000001</v>
      </c>
      <c r="X1564" s="32">
        <v>0.107109</v>
      </c>
      <c r="Y1564" s="32">
        <v>0.79964199999999996</v>
      </c>
      <c r="Z1564" s="32">
        <v>0.77911699999999995</v>
      </c>
      <c r="AA1564" s="32">
        <v>32.5</v>
      </c>
      <c r="AB1564" s="32">
        <v>487</v>
      </c>
      <c r="AC1564" s="32">
        <v>28</v>
      </c>
      <c r="AD1564" s="32">
        <v>12</v>
      </c>
      <c r="AE1564" s="32" t="s">
        <v>200</v>
      </c>
      <c r="AF1564" s="32">
        <v>0</v>
      </c>
      <c r="AG1564" s="32">
        <v>5</v>
      </c>
    </row>
    <row r="1565" spans="1:33">
      <c r="A1565" s="32" t="s">
        <v>5504</v>
      </c>
      <c r="B1565" s="32" t="s">
        <v>143</v>
      </c>
      <c r="C1565" s="32" t="s">
        <v>5505</v>
      </c>
      <c r="D1565" s="32" t="s">
        <v>5506</v>
      </c>
      <c r="E1565" s="32" t="s">
        <v>5502</v>
      </c>
      <c r="F1565" s="32" t="s">
        <v>5503</v>
      </c>
      <c r="G1565" s="32" t="s">
        <v>1049</v>
      </c>
      <c r="H1565" s="32" t="s">
        <v>1050</v>
      </c>
      <c r="I1565" s="32" t="s">
        <v>198</v>
      </c>
      <c r="J1565" s="32" t="s">
        <v>199</v>
      </c>
      <c r="K1565" s="32">
        <v>2.8601320000000001</v>
      </c>
      <c r="L1565" s="33">
        <v>1644</v>
      </c>
      <c r="M1565" s="32">
        <v>243</v>
      </c>
      <c r="N1565" s="32">
        <v>308</v>
      </c>
      <c r="O1565" s="32">
        <v>458</v>
      </c>
      <c r="P1565" s="32">
        <v>452</v>
      </c>
      <c r="Q1565" s="32">
        <v>183</v>
      </c>
      <c r="R1565" s="32" t="s">
        <v>302</v>
      </c>
      <c r="S1565" s="32">
        <v>41.781500000000001</v>
      </c>
      <c r="T1565" s="32">
        <v>10.813700000000001</v>
      </c>
      <c r="U1565" s="32">
        <v>0.58958848699999999</v>
      </c>
      <c r="V1565" s="32">
        <v>5</v>
      </c>
      <c r="W1565" s="32">
        <v>0.90528600000000004</v>
      </c>
      <c r="X1565" s="32">
        <v>0.26431700000000002</v>
      </c>
      <c r="Y1565" s="32">
        <v>0.8</v>
      </c>
      <c r="Z1565" s="32">
        <v>0.89249400000000001</v>
      </c>
      <c r="AA1565" s="32">
        <v>33.5</v>
      </c>
      <c r="AB1565" s="32">
        <v>455</v>
      </c>
      <c r="AC1565" s="32">
        <v>27</v>
      </c>
      <c r="AD1565" s="32">
        <v>8</v>
      </c>
      <c r="AE1565" s="32" t="s">
        <v>200</v>
      </c>
      <c r="AF1565" s="32" t="s">
        <v>200</v>
      </c>
      <c r="AG1565" s="32">
        <v>0</v>
      </c>
    </row>
    <row r="1566" spans="1:33">
      <c r="A1566" s="32" t="s">
        <v>5507</v>
      </c>
      <c r="B1566" s="32" t="s">
        <v>143</v>
      </c>
      <c r="C1566" s="32" t="s">
        <v>5508</v>
      </c>
      <c r="D1566" s="32" t="s">
        <v>5509</v>
      </c>
      <c r="E1566" s="32" t="s">
        <v>5502</v>
      </c>
      <c r="F1566" s="32" t="s">
        <v>5503</v>
      </c>
      <c r="G1566" s="32" t="s">
        <v>1049</v>
      </c>
      <c r="H1566" s="32" t="s">
        <v>1050</v>
      </c>
      <c r="I1566" s="32" t="s">
        <v>198</v>
      </c>
      <c r="J1566" s="32" t="s">
        <v>199</v>
      </c>
      <c r="K1566" s="32">
        <v>3.0993710000000001</v>
      </c>
      <c r="L1566" s="33">
        <v>1765</v>
      </c>
      <c r="M1566" s="32">
        <v>297</v>
      </c>
      <c r="N1566" s="32">
        <v>315</v>
      </c>
      <c r="O1566" s="32">
        <v>482</v>
      </c>
      <c r="P1566" s="32">
        <v>472</v>
      </c>
      <c r="Q1566" s="32">
        <v>199</v>
      </c>
      <c r="R1566" s="32">
        <v>5</v>
      </c>
      <c r="S1566" s="32">
        <v>29.172699999999999</v>
      </c>
      <c r="T1566" s="32">
        <v>18.2837</v>
      </c>
      <c r="U1566" s="32">
        <v>0.51830352199999996</v>
      </c>
      <c r="V1566" s="32">
        <v>4</v>
      </c>
      <c r="W1566" s="32">
        <v>0.92232700000000001</v>
      </c>
      <c r="X1566" s="32">
        <v>0.45804400000000001</v>
      </c>
      <c r="Y1566" s="32">
        <v>0.8</v>
      </c>
      <c r="Z1566" s="32">
        <v>0.90906299999999995</v>
      </c>
      <c r="AA1566" s="32">
        <v>43.1</v>
      </c>
      <c r="AB1566" s="32">
        <v>409</v>
      </c>
      <c r="AC1566" s="32">
        <v>24</v>
      </c>
      <c r="AD1566" s="32">
        <v>12</v>
      </c>
      <c r="AE1566" s="32">
        <v>0</v>
      </c>
      <c r="AF1566" s="32" t="s">
        <v>200</v>
      </c>
      <c r="AG1566" s="32" t="s">
        <v>200</v>
      </c>
    </row>
    <row r="1567" spans="1:33">
      <c r="A1567" s="32" t="s">
        <v>5510</v>
      </c>
      <c r="B1567" s="32" t="s">
        <v>143</v>
      </c>
      <c r="C1567" s="32" t="s">
        <v>5511</v>
      </c>
      <c r="D1567" s="32" t="s">
        <v>5512</v>
      </c>
      <c r="E1567" s="32" t="s">
        <v>5502</v>
      </c>
      <c r="F1567" s="32" t="s">
        <v>5503</v>
      </c>
      <c r="G1567" s="32" t="s">
        <v>1049</v>
      </c>
      <c r="H1567" s="32" t="s">
        <v>1050</v>
      </c>
      <c r="I1567" s="32" t="s">
        <v>198</v>
      </c>
      <c r="J1567" s="32" t="s">
        <v>199</v>
      </c>
      <c r="K1567" s="32">
        <v>3.0213329999999998</v>
      </c>
      <c r="L1567" s="33">
        <v>1510</v>
      </c>
      <c r="M1567" s="32">
        <v>314</v>
      </c>
      <c r="N1567" s="32">
        <v>193</v>
      </c>
      <c r="O1567" s="32">
        <v>390</v>
      </c>
      <c r="P1567" s="32">
        <v>354</v>
      </c>
      <c r="Q1567" s="32">
        <v>259</v>
      </c>
      <c r="R1567" s="32" t="s">
        <v>668</v>
      </c>
      <c r="S1567" s="32">
        <v>52.045299999999997</v>
      </c>
      <c r="T1567" s="32">
        <v>30.729900000000001</v>
      </c>
      <c r="U1567" s="32">
        <v>0.50078902199999997</v>
      </c>
      <c r="V1567" s="32">
        <v>5</v>
      </c>
      <c r="W1567" s="32">
        <v>0.94499999999999995</v>
      </c>
      <c r="X1567" s="32">
        <v>0.33552599999999999</v>
      </c>
      <c r="Y1567" s="32">
        <v>0.8</v>
      </c>
      <c r="Z1567" s="32">
        <v>0.97913899999999998</v>
      </c>
      <c r="AA1567" s="32">
        <v>30.5</v>
      </c>
      <c r="AB1567" s="32">
        <v>366</v>
      </c>
      <c r="AC1567" s="32">
        <v>27</v>
      </c>
      <c r="AD1567" s="32">
        <v>14</v>
      </c>
      <c r="AE1567" s="32">
        <v>0</v>
      </c>
      <c r="AF1567" s="32" t="s">
        <v>200</v>
      </c>
      <c r="AG1567" s="32" t="s">
        <v>200</v>
      </c>
    </row>
    <row r="1568" spans="1:33">
      <c r="A1568" s="32" t="s">
        <v>5513</v>
      </c>
      <c r="B1568" s="32" t="s">
        <v>143</v>
      </c>
      <c r="C1568" s="32" t="s">
        <v>5514</v>
      </c>
      <c r="D1568" s="32" t="s">
        <v>5515</v>
      </c>
      <c r="E1568" s="32" t="s">
        <v>5412</v>
      </c>
      <c r="F1568" s="32" t="s">
        <v>5413</v>
      </c>
      <c r="G1568" s="32" t="s">
        <v>1049</v>
      </c>
      <c r="H1568" s="32" t="s">
        <v>1050</v>
      </c>
      <c r="I1568" s="32" t="s">
        <v>198</v>
      </c>
      <c r="J1568" s="32" t="s">
        <v>199</v>
      </c>
      <c r="K1568" s="32">
        <v>2.8056559999999999</v>
      </c>
      <c r="L1568" s="33">
        <v>1451</v>
      </c>
      <c r="M1568" s="32">
        <v>241</v>
      </c>
      <c r="N1568" s="32">
        <v>227</v>
      </c>
      <c r="O1568" s="32">
        <v>311</v>
      </c>
      <c r="P1568" s="32">
        <v>410</v>
      </c>
      <c r="Q1568" s="32">
        <v>262</v>
      </c>
      <c r="R1568" s="32">
        <v>3</v>
      </c>
      <c r="S1568" s="32">
        <v>19.3386</v>
      </c>
      <c r="T1568" s="32">
        <v>7.18262</v>
      </c>
      <c r="U1568" s="32">
        <v>1.0375250309999999</v>
      </c>
      <c r="V1568" s="32">
        <v>2</v>
      </c>
      <c r="W1568" s="32">
        <v>0.91336799999999996</v>
      </c>
      <c r="X1568" s="32">
        <v>0.122365</v>
      </c>
      <c r="Y1568" s="32">
        <v>0.8</v>
      </c>
      <c r="Z1568" s="32">
        <v>0.982908</v>
      </c>
      <c r="AA1568" s="32">
        <v>40.5</v>
      </c>
      <c r="AB1568" s="32">
        <v>241</v>
      </c>
      <c r="AC1568" s="32">
        <v>14</v>
      </c>
      <c r="AD1568" s="32">
        <v>19</v>
      </c>
      <c r="AE1568" s="32">
        <v>0</v>
      </c>
      <c r="AF1568" s="32" t="s">
        <v>200</v>
      </c>
      <c r="AG1568" s="32" t="s">
        <v>200</v>
      </c>
    </row>
    <row r="1569" spans="1:33">
      <c r="A1569" s="32" t="s">
        <v>5516</v>
      </c>
      <c r="B1569" s="32" t="s">
        <v>143</v>
      </c>
      <c r="C1569" s="32" t="s">
        <v>5517</v>
      </c>
      <c r="D1569" s="32" t="s">
        <v>5518</v>
      </c>
      <c r="E1569" s="32" t="s">
        <v>5396</v>
      </c>
      <c r="F1569" s="32" t="s">
        <v>5397</v>
      </c>
      <c r="G1569" s="32" t="s">
        <v>1049</v>
      </c>
      <c r="H1569" s="32" t="s">
        <v>1050</v>
      </c>
      <c r="I1569" s="32" t="s">
        <v>198</v>
      </c>
      <c r="J1569" s="32" t="s">
        <v>199</v>
      </c>
      <c r="K1569" s="32">
        <v>3.0331610000000002</v>
      </c>
      <c r="L1569" s="33">
        <v>1257</v>
      </c>
      <c r="M1569" s="32">
        <v>190</v>
      </c>
      <c r="N1569" s="32">
        <v>167</v>
      </c>
      <c r="O1569" s="32">
        <v>306</v>
      </c>
      <c r="P1569" s="32">
        <v>370</v>
      </c>
      <c r="Q1569" s="32">
        <v>224</v>
      </c>
      <c r="R1569" s="32" t="s">
        <v>302</v>
      </c>
      <c r="S1569" s="32">
        <v>52.732500000000002</v>
      </c>
      <c r="T1569" s="32">
        <v>23.1677</v>
      </c>
      <c r="U1569" s="32">
        <v>0.51294274200000001</v>
      </c>
      <c r="V1569" s="32">
        <v>5</v>
      </c>
      <c r="W1569" s="32">
        <v>0.93834200000000001</v>
      </c>
      <c r="X1569" s="32">
        <v>0.28346500000000002</v>
      </c>
      <c r="Y1569" s="32">
        <v>0.8</v>
      </c>
      <c r="Z1569" s="32">
        <v>1</v>
      </c>
      <c r="AA1569" s="32">
        <v>21.6</v>
      </c>
      <c r="AB1569" s="32">
        <v>511</v>
      </c>
      <c r="AC1569" s="32">
        <v>14</v>
      </c>
      <c r="AD1569" s="32">
        <v>18</v>
      </c>
      <c r="AE1569" s="32" t="s">
        <v>200</v>
      </c>
      <c r="AF1569" s="32" t="s">
        <v>200</v>
      </c>
      <c r="AG1569" s="32" t="s">
        <v>200</v>
      </c>
    </row>
    <row r="1570" spans="1:33">
      <c r="A1570" s="32" t="s">
        <v>5403</v>
      </c>
      <c r="B1570" s="32" t="s">
        <v>143</v>
      </c>
      <c r="C1570" s="32" t="s">
        <v>5404</v>
      </c>
      <c r="D1570" s="32" t="s">
        <v>5405</v>
      </c>
      <c r="E1570" s="32" t="s">
        <v>5401</v>
      </c>
      <c r="F1570" s="32" t="s">
        <v>5402</v>
      </c>
      <c r="G1570" s="32" t="s">
        <v>1049</v>
      </c>
      <c r="H1570" s="32" t="s">
        <v>1050</v>
      </c>
      <c r="I1570" s="32" t="s">
        <v>198</v>
      </c>
      <c r="J1570" s="32" t="s">
        <v>199</v>
      </c>
      <c r="K1570" s="32">
        <v>3.0918649999999999</v>
      </c>
      <c r="L1570" s="33">
        <v>1616</v>
      </c>
      <c r="M1570" s="32">
        <v>401</v>
      </c>
      <c r="N1570" s="32">
        <v>249</v>
      </c>
      <c r="O1570" s="32">
        <v>305</v>
      </c>
      <c r="P1570" s="32">
        <v>475</v>
      </c>
      <c r="Q1570" s="32">
        <v>186</v>
      </c>
      <c r="R1570" s="32">
        <v>3</v>
      </c>
      <c r="S1570" s="32">
        <v>17.519600000000001</v>
      </c>
      <c r="T1570" s="32">
        <v>6.9348900000000002</v>
      </c>
      <c r="U1570" s="32">
        <v>0.79667839100000004</v>
      </c>
      <c r="V1570" s="32">
        <v>2</v>
      </c>
      <c r="W1570" s="32">
        <v>0.93531699999999995</v>
      </c>
      <c r="X1570" s="32">
        <v>0.444882</v>
      </c>
      <c r="Y1570" s="32">
        <v>0.8</v>
      </c>
      <c r="Z1570" s="32">
        <v>0.91245100000000001</v>
      </c>
      <c r="AA1570" s="32">
        <v>49.6</v>
      </c>
      <c r="AB1570" s="32">
        <v>374</v>
      </c>
      <c r="AC1570" s="32">
        <v>28</v>
      </c>
      <c r="AD1570" s="32">
        <v>28</v>
      </c>
      <c r="AE1570" s="32" t="s">
        <v>200</v>
      </c>
      <c r="AF1570" s="32" t="s">
        <v>200</v>
      </c>
      <c r="AG1570" s="32">
        <v>6</v>
      </c>
    </row>
    <row r="1571" spans="1:33">
      <c r="A1571" s="32" t="s">
        <v>5519</v>
      </c>
      <c r="B1571" s="32" t="s">
        <v>144</v>
      </c>
      <c r="C1571" s="32" t="s">
        <v>5520</v>
      </c>
      <c r="D1571" s="32" t="s">
        <v>5521</v>
      </c>
      <c r="E1571" s="32" t="s">
        <v>5522</v>
      </c>
      <c r="F1571" s="32" t="s">
        <v>5523</v>
      </c>
      <c r="G1571" s="32" t="s">
        <v>412</v>
      </c>
      <c r="H1571" s="32" t="s">
        <v>413</v>
      </c>
      <c r="I1571" s="32" t="s">
        <v>198</v>
      </c>
      <c r="J1571" s="32" t="s">
        <v>199</v>
      </c>
      <c r="K1571" s="32">
        <v>2.1387480000000001</v>
      </c>
      <c r="L1571" s="33">
        <v>1739</v>
      </c>
      <c r="M1571" s="32">
        <v>504</v>
      </c>
      <c r="N1571" s="32">
        <v>246</v>
      </c>
      <c r="O1571" s="32">
        <v>288</v>
      </c>
      <c r="P1571" s="32">
        <v>388</v>
      </c>
      <c r="Q1571" s="32">
        <v>313</v>
      </c>
      <c r="R1571" s="32">
        <v>2</v>
      </c>
      <c r="S1571" s="32">
        <v>14.495699999999999</v>
      </c>
      <c r="T1571" s="32">
        <v>2.3051200000000001</v>
      </c>
      <c r="U1571" s="32">
        <v>0.69458628200000005</v>
      </c>
      <c r="V1571" s="32">
        <v>10</v>
      </c>
      <c r="W1571" s="32">
        <v>0.81877500000000003</v>
      </c>
      <c r="X1571" s="32">
        <v>0.19728999999999999</v>
      </c>
      <c r="Y1571" s="32">
        <v>0.86450700000000003</v>
      </c>
      <c r="Z1571" s="32">
        <v>0.25540499999999999</v>
      </c>
      <c r="AA1571" s="32">
        <v>29.7</v>
      </c>
      <c r="AB1571" s="32">
        <v>768</v>
      </c>
      <c r="AC1571" s="32">
        <v>7</v>
      </c>
      <c r="AD1571" s="32">
        <v>16</v>
      </c>
      <c r="AE1571" s="32">
        <v>0</v>
      </c>
      <c r="AF1571" s="32">
        <v>6</v>
      </c>
      <c r="AG1571" s="32">
        <v>8</v>
      </c>
    </row>
    <row r="1572" spans="1:33">
      <c r="A1572" s="32" t="s">
        <v>5524</v>
      </c>
      <c r="B1572" s="32" t="s">
        <v>144</v>
      </c>
      <c r="C1572" s="32" t="s">
        <v>5525</v>
      </c>
      <c r="D1572" s="32" t="s">
        <v>5526</v>
      </c>
      <c r="E1572" s="32" t="s">
        <v>5522</v>
      </c>
      <c r="F1572" s="32" t="s">
        <v>5523</v>
      </c>
      <c r="G1572" s="32" t="s">
        <v>412</v>
      </c>
      <c r="H1572" s="32" t="s">
        <v>413</v>
      </c>
      <c r="I1572" s="32" t="s">
        <v>198</v>
      </c>
      <c r="J1572" s="32" t="s">
        <v>199</v>
      </c>
      <c r="K1572" s="32">
        <v>2.1248800000000001</v>
      </c>
      <c r="L1572" s="33">
        <v>1736</v>
      </c>
      <c r="M1572" s="32">
        <v>489</v>
      </c>
      <c r="N1572" s="32">
        <v>260</v>
      </c>
      <c r="O1572" s="32">
        <v>328</v>
      </c>
      <c r="P1572" s="32">
        <v>357</v>
      </c>
      <c r="Q1572" s="32">
        <v>302</v>
      </c>
      <c r="R1572" s="32" t="s">
        <v>225</v>
      </c>
      <c r="S1572" s="32">
        <v>6.2802300000000004</v>
      </c>
      <c r="T1572" s="32">
        <v>2.3774600000000001</v>
      </c>
      <c r="U1572" s="32">
        <v>0.86392544599999999</v>
      </c>
      <c r="V1572" s="32">
        <v>7</v>
      </c>
      <c r="W1572" s="32">
        <v>0.8</v>
      </c>
      <c r="X1572" s="32">
        <v>0.16755900000000001</v>
      </c>
      <c r="Y1572" s="32">
        <v>0.9</v>
      </c>
      <c r="Z1572" s="32">
        <v>0.25752799999999998</v>
      </c>
      <c r="AA1572" s="32">
        <v>30.7</v>
      </c>
      <c r="AB1572" s="32">
        <v>683</v>
      </c>
      <c r="AC1572" s="32">
        <v>8</v>
      </c>
      <c r="AD1572" s="32">
        <v>17</v>
      </c>
      <c r="AE1572" s="32">
        <v>0</v>
      </c>
      <c r="AF1572" s="32" t="s">
        <v>200</v>
      </c>
      <c r="AG1572" s="32" t="s">
        <v>200</v>
      </c>
    </row>
    <row r="1573" spans="1:33">
      <c r="A1573" s="32" t="s">
        <v>5527</v>
      </c>
      <c r="B1573" s="32" t="s">
        <v>144</v>
      </c>
      <c r="C1573" s="32" t="s">
        <v>5528</v>
      </c>
      <c r="D1573" s="32" t="s">
        <v>5529</v>
      </c>
      <c r="E1573" s="32" t="s">
        <v>5522</v>
      </c>
      <c r="F1573" s="32" t="s">
        <v>5523</v>
      </c>
      <c r="G1573" s="32" t="s">
        <v>412</v>
      </c>
      <c r="H1573" s="32" t="s">
        <v>413</v>
      </c>
      <c r="I1573" s="32" t="s">
        <v>198</v>
      </c>
      <c r="J1573" s="32" t="s">
        <v>199</v>
      </c>
      <c r="K1573" s="32">
        <v>2.2948689999999998</v>
      </c>
      <c r="L1573" s="33">
        <v>1542</v>
      </c>
      <c r="M1573" s="32">
        <v>347</v>
      </c>
      <c r="N1573" s="32">
        <v>217</v>
      </c>
      <c r="O1573" s="32">
        <v>249</v>
      </c>
      <c r="P1573" s="32">
        <v>390</v>
      </c>
      <c r="Q1573" s="32">
        <v>339</v>
      </c>
      <c r="R1573" s="32" t="s">
        <v>214</v>
      </c>
      <c r="S1573" s="32">
        <v>8.2826900000000006</v>
      </c>
      <c r="T1573" s="32">
        <v>0</v>
      </c>
      <c r="U1573" s="32">
        <v>0.67228664199999999</v>
      </c>
      <c r="V1573" s="32">
        <v>9</v>
      </c>
      <c r="W1573" s="32">
        <v>0.80944199999999999</v>
      </c>
      <c r="X1573" s="32">
        <v>0.50836599999999998</v>
      </c>
      <c r="Y1573" s="32">
        <v>0.82607200000000003</v>
      </c>
      <c r="Z1573" s="32">
        <v>0.150475</v>
      </c>
      <c r="AA1573" s="32">
        <v>31.2</v>
      </c>
      <c r="AB1573" s="32">
        <v>811</v>
      </c>
      <c r="AC1573" s="32">
        <v>6</v>
      </c>
      <c r="AD1573" s="32">
        <v>42</v>
      </c>
      <c r="AE1573" s="32">
        <v>9</v>
      </c>
      <c r="AF1573" s="32" t="s">
        <v>200</v>
      </c>
      <c r="AG1573" s="32">
        <v>49</v>
      </c>
    </row>
    <row r="1574" spans="1:33">
      <c r="A1574" s="32" t="s">
        <v>5530</v>
      </c>
      <c r="B1574" s="32" t="s">
        <v>144</v>
      </c>
      <c r="C1574" s="32" t="s">
        <v>5531</v>
      </c>
      <c r="D1574" s="32" t="s">
        <v>5532</v>
      </c>
      <c r="E1574" s="32" t="s">
        <v>5522</v>
      </c>
      <c r="F1574" s="32" t="s">
        <v>5523</v>
      </c>
      <c r="G1574" s="32" t="s">
        <v>412</v>
      </c>
      <c r="H1574" s="32" t="s">
        <v>413</v>
      </c>
      <c r="I1574" s="32" t="s">
        <v>198</v>
      </c>
      <c r="J1574" s="32" t="s">
        <v>199</v>
      </c>
      <c r="K1574" s="32">
        <v>2.3608419999999999</v>
      </c>
      <c r="L1574" s="33">
        <v>2235</v>
      </c>
      <c r="M1574" s="32">
        <v>583</v>
      </c>
      <c r="N1574" s="32">
        <v>406</v>
      </c>
      <c r="O1574" s="32">
        <v>668</v>
      </c>
      <c r="P1574" s="32">
        <v>410</v>
      </c>
      <c r="Q1574" s="32">
        <v>168</v>
      </c>
      <c r="R1574" s="32" t="s">
        <v>214</v>
      </c>
      <c r="S1574" s="32">
        <v>7.1216400000000002</v>
      </c>
      <c r="T1574" s="32">
        <v>0</v>
      </c>
      <c r="U1574" s="32">
        <v>1.107519795</v>
      </c>
      <c r="V1574" s="32">
        <v>4</v>
      </c>
      <c r="W1574" s="32">
        <v>0.84526299999999999</v>
      </c>
      <c r="X1574" s="32">
        <v>0.36255300000000001</v>
      </c>
      <c r="Y1574" s="32">
        <v>0.87031599999999998</v>
      </c>
      <c r="Z1574" s="32">
        <v>0.29724600000000001</v>
      </c>
      <c r="AA1574" s="32">
        <v>58.9</v>
      </c>
      <c r="AB1574" s="32">
        <v>751</v>
      </c>
      <c r="AC1574" s="32">
        <v>14</v>
      </c>
      <c r="AD1574" s="32">
        <v>22</v>
      </c>
      <c r="AE1574" s="32" t="s">
        <v>200</v>
      </c>
      <c r="AF1574" s="32" t="s">
        <v>200</v>
      </c>
      <c r="AG1574" s="32" t="s">
        <v>200</v>
      </c>
    </row>
    <row r="1575" spans="1:33">
      <c r="A1575" s="32" t="s">
        <v>5533</v>
      </c>
      <c r="B1575" s="32" t="s">
        <v>144</v>
      </c>
      <c r="C1575" s="32" t="s">
        <v>5534</v>
      </c>
      <c r="D1575" s="32" t="s">
        <v>5535</v>
      </c>
      <c r="E1575" s="32" t="s">
        <v>5522</v>
      </c>
      <c r="F1575" s="32" t="s">
        <v>5523</v>
      </c>
      <c r="G1575" s="32" t="s">
        <v>412</v>
      </c>
      <c r="H1575" s="32" t="s">
        <v>413</v>
      </c>
      <c r="I1575" s="32" t="s">
        <v>198</v>
      </c>
      <c r="J1575" s="32" t="s">
        <v>199</v>
      </c>
      <c r="K1575" s="32">
        <v>2.1880280000000001</v>
      </c>
      <c r="L1575" s="33">
        <v>1715</v>
      </c>
      <c r="M1575" s="32">
        <v>412</v>
      </c>
      <c r="N1575" s="32">
        <v>223</v>
      </c>
      <c r="O1575" s="32">
        <v>336</v>
      </c>
      <c r="P1575" s="32">
        <v>436</v>
      </c>
      <c r="Q1575" s="32">
        <v>308</v>
      </c>
      <c r="R1575" s="32" t="s">
        <v>225</v>
      </c>
      <c r="S1575" s="32">
        <v>11.4925</v>
      </c>
      <c r="T1575" s="32">
        <v>0</v>
      </c>
      <c r="U1575" s="32">
        <v>0.77883656599999995</v>
      </c>
      <c r="V1575" s="32">
        <v>8</v>
      </c>
      <c r="W1575" s="32">
        <v>0.81352100000000005</v>
      </c>
      <c r="X1575" s="32">
        <v>0.11272699999999999</v>
      </c>
      <c r="Y1575" s="32">
        <v>0.9</v>
      </c>
      <c r="Z1575" s="32">
        <v>0.36928499999999997</v>
      </c>
      <c r="AA1575" s="32">
        <v>30.5</v>
      </c>
      <c r="AB1575" s="32">
        <v>768</v>
      </c>
      <c r="AC1575" s="32">
        <v>8</v>
      </c>
      <c r="AD1575" s="32">
        <v>27</v>
      </c>
      <c r="AE1575" s="32">
        <v>0</v>
      </c>
      <c r="AF1575" s="32">
        <v>0</v>
      </c>
      <c r="AG1575" s="32">
        <v>8</v>
      </c>
    </row>
    <row r="1576" spans="1:33">
      <c r="A1576" s="32" t="s">
        <v>5536</v>
      </c>
      <c r="B1576" s="32" t="s">
        <v>144</v>
      </c>
      <c r="C1576" s="32" t="s">
        <v>5537</v>
      </c>
      <c r="D1576" s="32" t="s">
        <v>5538</v>
      </c>
      <c r="E1576" s="32" t="s">
        <v>5522</v>
      </c>
      <c r="F1576" s="32" t="s">
        <v>5523</v>
      </c>
      <c r="G1576" s="32" t="s">
        <v>412</v>
      </c>
      <c r="H1576" s="32" t="s">
        <v>413</v>
      </c>
      <c r="I1576" s="32" t="s">
        <v>198</v>
      </c>
      <c r="J1576" s="32" t="s">
        <v>199</v>
      </c>
      <c r="K1576" s="32">
        <v>2.2654049999999999</v>
      </c>
      <c r="L1576" s="33">
        <v>1585</v>
      </c>
      <c r="M1576" s="32">
        <v>368</v>
      </c>
      <c r="N1576" s="32">
        <v>189</v>
      </c>
      <c r="O1576" s="32">
        <v>289</v>
      </c>
      <c r="P1576" s="32">
        <v>341</v>
      </c>
      <c r="Q1576" s="32">
        <v>398</v>
      </c>
      <c r="R1576" s="32">
        <v>3</v>
      </c>
      <c r="S1576" s="32">
        <v>25.424499999999998</v>
      </c>
      <c r="T1576" s="32">
        <v>0</v>
      </c>
      <c r="U1576" s="32">
        <v>0.678004838</v>
      </c>
      <c r="V1576" s="32">
        <v>9</v>
      </c>
      <c r="W1576" s="32">
        <v>0.84324299999999996</v>
      </c>
      <c r="X1576" s="32">
        <v>0.23216200000000001</v>
      </c>
      <c r="Y1576" s="32">
        <v>0.88528600000000002</v>
      </c>
      <c r="Z1576" s="32">
        <v>0.31054100000000001</v>
      </c>
      <c r="AA1576" s="32">
        <v>35</v>
      </c>
      <c r="AB1576" s="32">
        <v>724</v>
      </c>
      <c r="AC1576" s="32">
        <v>12</v>
      </c>
      <c r="AD1576" s="32">
        <v>14</v>
      </c>
      <c r="AE1576" s="32">
        <v>0</v>
      </c>
      <c r="AF1576" s="32">
        <v>0</v>
      </c>
      <c r="AG1576" s="32" t="s">
        <v>200</v>
      </c>
    </row>
    <row r="1577" spans="1:33">
      <c r="A1577" s="32" t="s">
        <v>5539</v>
      </c>
      <c r="B1577" s="32" t="s">
        <v>144</v>
      </c>
      <c r="C1577" s="32" t="s">
        <v>5540</v>
      </c>
      <c r="D1577" s="32" t="s">
        <v>5541</v>
      </c>
      <c r="E1577" s="32" t="s">
        <v>5542</v>
      </c>
      <c r="F1577" s="32" t="s">
        <v>5543</v>
      </c>
      <c r="G1577" s="32" t="s">
        <v>412</v>
      </c>
      <c r="H1577" s="32" t="s">
        <v>413</v>
      </c>
      <c r="I1577" s="32" t="s">
        <v>198</v>
      </c>
      <c r="J1577" s="32" t="s">
        <v>199</v>
      </c>
      <c r="K1577" s="32">
        <v>2.4475959999999999</v>
      </c>
      <c r="L1577" s="33">
        <v>1763</v>
      </c>
      <c r="M1577" s="32">
        <v>432</v>
      </c>
      <c r="N1577" s="32">
        <v>315</v>
      </c>
      <c r="O1577" s="32">
        <v>388</v>
      </c>
      <c r="P1577" s="32">
        <v>451</v>
      </c>
      <c r="Q1577" s="32">
        <v>177</v>
      </c>
      <c r="R1577" s="32" t="s">
        <v>225</v>
      </c>
      <c r="S1577" s="32">
        <v>9.5943699999999996</v>
      </c>
      <c r="T1577" s="32">
        <v>0</v>
      </c>
      <c r="U1577" s="32">
        <v>0.85290941899999995</v>
      </c>
      <c r="V1577" s="32">
        <v>4</v>
      </c>
      <c r="W1577" s="32">
        <v>0.81726299999999996</v>
      </c>
      <c r="X1577" s="32">
        <v>0.40024300000000002</v>
      </c>
      <c r="Y1577" s="32">
        <v>0.88061299999999998</v>
      </c>
      <c r="Z1577" s="32">
        <v>0.34243499999999999</v>
      </c>
      <c r="AA1577" s="32">
        <v>41.2</v>
      </c>
      <c r="AB1577" s="32">
        <v>707</v>
      </c>
      <c r="AC1577" s="32">
        <v>32</v>
      </c>
      <c r="AD1577" s="32">
        <v>34</v>
      </c>
      <c r="AE1577" s="32">
        <v>0</v>
      </c>
      <c r="AF1577" s="32">
        <v>0</v>
      </c>
      <c r="AG1577" s="32" t="s">
        <v>200</v>
      </c>
    </row>
    <row r="1578" spans="1:33">
      <c r="A1578" s="32" t="s">
        <v>5544</v>
      </c>
      <c r="B1578" s="32" t="s">
        <v>144</v>
      </c>
      <c r="C1578" s="32" t="s">
        <v>5545</v>
      </c>
      <c r="D1578" s="32" t="s">
        <v>5546</v>
      </c>
      <c r="E1578" s="32" t="s">
        <v>5542</v>
      </c>
      <c r="F1578" s="32" t="s">
        <v>5543</v>
      </c>
      <c r="G1578" s="32" t="s">
        <v>412</v>
      </c>
      <c r="H1578" s="32" t="s">
        <v>413</v>
      </c>
      <c r="I1578" s="32" t="s">
        <v>198</v>
      </c>
      <c r="J1578" s="32" t="s">
        <v>199</v>
      </c>
      <c r="K1578" s="32">
        <v>2.2285360000000001</v>
      </c>
      <c r="L1578" s="33">
        <v>1982</v>
      </c>
      <c r="M1578" s="32">
        <v>482</v>
      </c>
      <c r="N1578" s="32">
        <v>315</v>
      </c>
      <c r="O1578" s="32">
        <v>356</v>
      </c>
      <c r="P1578" s="32">
        <v>401</v>
      </c>
      <c r="Q1578" s="32">
        <v>428</v>
      </c>
      <c r="R1578" s="32">
        <v>2</v>
      </c>
      <c r="S1578" s="32">
        <v>12.603999999999999</v>
      </c>
      <c r="T1578" s="32">
        <v>2.3633000000000002</v>
      </c>
      <c r="U1578" s="32">
        <v>0.729047946</v>
      </c>
      <c r="V1578" s="32">
        <v>9</v>
      </c>
      <c r="W1578" s="32">
        <v>0.81178700000000004</v>
      </c>
      <c r="X1578" s="32">
        <v>0.22090699999999999</v>
      </c>
      <c r="Y1578" s="32">
        <v>0.86072800000000005</v>
      </c>
      <c r="Z1578" s="32">
        <v>0.332791</v>
      </c>
      <c r="AA1578" s="32">
        <v>31.9</v>
      </c>
      <c r="AB1578" s="32">
        <v>853</v>
      </c>
      <c r="AC1578" s="32">
        <v>13</v>
      </c>
      <c r="AD1578" s="32">
        <v>45</v>
      </c>
      <c r="AE1578" s="32">
        <v>0</v>
      </c>
      <c r="AF1578" s="32" t="s">
        <v>200</v>
      </c>
      <c r="AG1578" s="32" t="s">
        <v>200</v>
      </c>
    </row>
    <row r="1579" spans="1:33">
      <c r="A1579" s="32" t="s">
        <v>5547</v>
      </c>
      <c r="B1579" s="32" t="s">
        <v>144</v>
      </c>
      <c r="C1579" s="32" t="s">
        <v>5548</v>
      </c>
      <c r="D1579" s="32" t="s">
        <v>5549</v>
      </c>
      <c r="E1579" s="32" t="s">
        <v>5542</v>
      </c>
      <c r="F1579" s="32" t="s">
        <v>5543</v>
      </c>
      <c r="G1579" s="32" t="s">
        <v>412</v>
      </c>
      <c r="H1579" s="32" t="s">
        <v>413</v>
      </c>
      <c r="I1579" s="32" t="s">
        <v>198</v>
      </c>
      <c r="J1579" s="32" t="s">
        <v>199</v>
      </c>
      <c r="K1579" s="32">
        <v>2.6875740000000001</v>
      </c>
      <c r="L1579" s="33">
        <v>1989</v>
      </c>
      <c r="M1579" s="32">
        <v>450</v>
      </c>
      <c r="N1579" s="32">
        <v>354</v>
      </c>
      <c r="O1579" s="32">
        <v>394</v>
      </c>
      <c r="P1579" s="32">
        <v>559</v>
      </c>
      <c r="Q1579" s="32">
        <v>232</v>
      </c>
      <c r="R1579" s="32" t="s">
        <v>225</v>
      </c>
      <c r="S1579" s="32">
        <v>6.0872599999999997</v>
      </c>
      <c r="T1579" s="32">
        <v>0</v>
      </c>
      <c r="U1579" s="32">
        <v>0.58748000700000003</v>
      </c>
      <c r="V1579" s="32">
        <v>6</v>
      </c>
      <c r="W1579" s="32">
        <v>0.86311599999999999</v>
      </c>
      <c r="X1579" s="32">
        <v>0.63385800000000003</v>
      </c>
      <c r="Y1579" s="32">
        <v>0.83556699999999995</v>
      </c>
      <c r="Z1579" s="32">
        <v>0.35088799999999998</v>
      </c>
      <c r="AA1579" s="32">
        <v>52.1</v>
      </c>
      <c r="AB1579" s="32">
        <v>845</v>
      </c>
      <c r="AC1579" s="32">
        <v>18</v>
      </c>
      <c r="AD1579" s="32">
        <v>56</v>
      </c>
      <c r="AE1579" s="32" t="s">
        <v>200</v>
      </c>
      <c r="AF1579" s="32">
        <v>0</v>
      </c>
      <c r="AG1579" s="32" t="s">
        <v>200</v>
      </c>
    </row>
    <row r="1580" spans="1:33">
      <c r="A1580" s="32" t="s">
        <v>5550</v>
      </c>
      <c r="B1580" s="32" t="s">
        <v>144</v>
      </c>
      <c r="C1580" s="32" t="s">
        <v>5551</v>
      </c>
      <c r="D1580" s="32" t="s">
        <v>5552</v>
      </c>
      <c r="E1580" s="32" t="s">
        <v>5542</v>
      </c>
      <c r="F1580" s="32" t="s">
        <v>5543</v>
      </c>
      <c r="G1580" s="32" t="s">
        <v>412</v>
      </c>
      <c r="H1580" s="32" t="s">
        <v>413</v>
      </c>
      <c r="I1580" s="32" t="s">
        <v>198</v>
      </c>
      <c r="J1580" s="32" t="s">
        <v>199</v>
      </c>
      <c r="K1580" s="32">
        <v>2.4207990000000001</v>
      </c>
      <c r="L1580" s="33">
        <v>1980</v>
      </c>
      <c r="M1580" s="32">
        <v>421</v>
      </c>
      <c r="N1580" s="32">
        <v>267</v>
      </c>
      <c r="O1580" s="32">
        <v>427</v>
      </c>
      <c r="P1580" s="32">
        <v>475</v>
      </c>
      <c r="Q1580" s="32">
        <v>390</v>
      </c>
      <c r="R1580" s="32">
        <v>2</v>
      </c>
      <c r="S1580" s="32">
        <v>10.477600000000001</v>
      </c>
      <c r="T1580" s="32">
        <v>0</v>
      </c>
      <c r="U1580" s="32">
        <v>0.72055870200000005</v>
      </c>
      <c r="V1580" s="32">
        <v>6</v>
      </c>
      <c r="W1580" s="32">
        <v>0.85851900000000003</v>
      </c>
      <c r="X1580" s="32">
        <v>0.38730900000000001</v>
      </c>
      <c r="Y1580" s="32">
        <v>0.80023500000000003</v>
      </c>
      <c r="Z1580" s="32">
        <v>0.37265300000000001</v>
      </c>
      <c r="AA1580" s="32">
        <v>41.2</v>
      </c>
      <c r="AB1580" s="32">
        <v>851</v>
      </c>
      <c r="AC1580" s="32">
        <v>14</v>
      </c>
      <c r="AD1580" s="32">
        <v>37</v>
      </c>
      <c r="AE1580" s="32" t="s">
        <v>200</v>
      </c>
      <c r="AF1580" s="32">
        <v>0</v>
      </c>
      <c r="AG1580" s="32" t="s">
        <v>200</v>
      </c>
    </row>
    <row r="1581" spans="1:33">
      <c r="A1581" s="32" t="s">
        <v>5553</v>
      </c>
      <c r="B1581" s="32" t="s">
        <v>145</v>
      </c>
      <c r="C1581" s="32" t="s">
        <v>5554</v>
      </c>
      <c r="D1581" s="32" t="s">
        <v>5555</v>
      </c>
      <c r="E1581" s="32" t="s">
        <v>5556</v>
      </c>
      <c r="F1581" s="32" t="s">
        <v>5557</v>
      </c>
      <c r="G1581" s="32" t="s">
        <v>412</v>
      </c>
      <c r="H1581" s="32" t="s">
        <v>413</v>
      </c>
      <c r="I1581" s="32" t="s">
        <v>198</v>
      </c>
      <c r="J1581" s="32" t="s">
        <v>199</v>
      </c>
      <c r="K1581" s="32">
        <v>2.2532220000000001</v>
      </c>
      <c r="L1581" s="33">
        <v>1511</v>
      </c>
      <c r="M1581" s="32">
        <v>363</v>
      </c>
      <c r="N1581" s="32">
        <v>258</v>
      </c>
      <c r="O1581" s="32">
        <v>227</v>
      </c>
      <c r="P1581" s="32">
        <v>449</v>
      </c>
      <c r="Q1581" s="32">
        <v>214</v>
      </c>
      <c r="R1581" s="32" t="s">
        <v>214</v>
      </c>
      <c r="S1581" s="32">
        <v>4.8498599999999996</v>
      </c>
      <c r="T1581" s="32">
        <v>0</v>
      </c>
      <c r="U1581" s="32">
        <v>0.770532997</v>
      </c>
      <c r="V1581" s="32">
        <v>7</v>
      </c>
      <c r="W1581" s="32">
        <v>0.80937199999999998</v>
      </c>
      <c r="X1581" s="32">
        <v>0.437774</v>
      </c>
      <c r="Y1581" s="32">
        <v>0.83078700000000005</v>
      </c>
      <c r="Z1581" s="32">
        <v>0.174461</v>
      </c>
      <c r="AA1581" s="32">
        <v>37</v>
      </c>
      <c r="AB1581" s="32">
        <v>720</v>
      </c>
      <c r="AC1581" s="32">
        <v>14</v>
      </c>
      <c r="AD1581" s="32">
        <v>56</v>
      </c>
      <c r="AE1581" s="32">
        <v>0</v>
      </c>
      <c r="AF1581" s="32">
        <v>6</v>
      </c>
      <c r="AG1581" s="32">
        <v>9</v>
      </c>
    </row>
    <row r="1582" spans="1:33">
      <c r="A1582" s="32" t="s">
        <v>5558</v>
      </c>
      <c r="B1582" s="32" t="s">
        <v>145</v>
      </c>
      <c r="C1582" s="32" t="s">
        <v>5559</v>
      </c>
      <c r="D1582" s="32" t="s">
        <v>5560</v>
      </c>
      <c r="E1582" s="32" t="s">
        <v>5556</v>
      </c>
      <c r="F1582" s="32" t="s">
        <v>5557</v>
      </c>
      <c r="G1582" s="32" t="s">
        <v>412</v>
      </c>
      <c r="H1582" s="32" t="s">
        <v>413</v>
      </c>
      <c r="I1582" s="32" t="s">
        <v>198</v>
      </c>
      <c r="J1582" s="32" t="s">
        <v>199</v>
      </c>
      <c r="K1582" s="32">
        <v>1.8624270000000001</v>
      </c>
      <c r="L1582" s="33">
        <v>1601</v>
      </c>
      <c r="M1582" s="32">
        <v>272</v>
      </c>
      <c r="N1582" s="32">
        <v>200</v>
      </c>
      <c r="O1582" s="32">
        <v>252</v>
      </c>
      <c r="P1582" s="32">
        <v>473</v>
      </c>
      <c r="Q1582" s="32">
        <v>404</v>
      </c>
      <c r="R1582" s="32" t="s">
        <v>214</v>
      </c>
      <c r="S1582" s="32">
        <v>4.0950100000000003</v>
      </c>
      <c r="T1582" s="32">
        <v>0</v>
      </c>
      <c r="U1582" s="32">
        <v>1.1515109670000001</v>
      </c>
      <c r="V1582" s="32">
        <v>5</v>
      </c>
      <c r="W1582" s="32">
        <v>0.80362599999999995</v>
      </c>
      <c r="X1582" s="32">
        <v>0.122626</v>
      </c>
      <c r="Y1582" s="32">
        <v>0.80785200000000001</v>
      </c>
      <c r="Z1582" s="32">
        <v>0.130158</v>
      </c>
      <c r="AA1582" s="32">
        <v>20.6</v>
      </c>
      <c r="AB1582" s="32">
        <v>866</v>
      </c>
      <c r="AC1582" s="32">
        <v>23</v>
      </c>
      <c r="AD1582" s="32">
        <v>38</v>
      </c>
      <c r="AE1582" s="32" t="s">
        <v>200</v>
      </c>
      <c r="AF1582" s="32" t="s">
        <v>200</v>
      </c>
      <c r="AG1582" s="32" t="s">
        <v>200</v>
      </c>
    </row>
    <row r="1583" spans="1:33">
      <c r="A1583" s="32" t="s">
        <v>5547</v>
      </c>
      <c r="B1583" s="32" t="s">
        <v>145</v>
      </c>
      <c r="C1583" s="32" t="s">
        <v>5548</v>
      </c>
      <c r="D1583" s="32" t="s">
        <v>5549</v>
      </c>
      <c r="E1583" s="32" t="s">
        <v>5542</v>
      </c>
      <c r="F1583" s="32" t="s">
        <v>5543</v>
      </c>
      <c r="G1583" s="32" t="s">
        <v>412</v>
      </c>
      <c r="H1583" s="32" t="s">
        <v>413</v>
      </c>
      <c r="I1583" s="32" t="s">
        <v>198</v>
      </c>
      <c r="J1583" s="32" t="s">
        <v>199</v>
      </c>
      <c r="K1583" s="32">
        <v>2.6875740000000001</v>
      </c>
      <c r="L1583" s="33">
        <v>1989</v>
      </c>
      <c r="M1583" s="32">
        <v>450</v>
      </c>
      <c r="N1583" s="32">
        <v>354</v>
      </c>
      <c r="O1583" s="32">
        <v>394</v>
      </c>
      <c r="P1583" s="32">
        <v>559</v>
      </c>
      <c r="Q1583" s="32">
        <v>232</v>
      </c>
      <c r="R1583" s="32" t="s">
        <v>225</v>
      </c>
      <c r="S1583" s="32">
        <v>6.0872599999999997</v>
      </c>
      <c r="T1583" s="32">
        <v>0</v>
      </c>
      <c r="U1583" s="32">
        <v>0.58748000700000003</v>
      </c>
      <c r="V1583" s="32">
        <v>6</v>
      </c>
      <c r="W1583" s="32">
        <v>0.86311599999999999</v>
      </c>
      <c r="X1583" s="32">
        <v>0.63385800000000003</v>
      </c>
      <c r="Y1583" s="32">
        <v>0.83556699999999995</v>
      </c>
      <c r="Z1583" s="32">
        <v>0.35088799999999998</v>
      </c>
      <c r="AA1583" s="32">
        <v>52.1</v>
      </c>
      <c r="AB1583" s="32">
        <v>845</v>
      </c>
      <c r="AC1583" s="32">
        <v>18</v>
      </c>
      <c r="AD1583" s="32">
        <v>56</v>
      </c>
      <c r="AE1583" s="32" t="s">
        <v>200</v>
      </c>
      <c r="AF1583" s="32">
        <v>0</v>
      </c>
      <c r="AG1583" s="32" t="s">
        <v>200</v>
      </c>
    </row>
    <row r="1584" spans="1:33">
      <c r="A1584" s="32" t="s">
        <v>5561</v>
      </c>
      <c r="B1584" s="32" t="s">
        <v>145</v>
      </c>
      <c r="C1584" s="32" t="s">
        <v>5562</v>
      </c>
      <c r="D1584" s="32" t="s">
        <v>5563</v>
      </c>
      <c r="E1584" s="32" t="s">
        <v>5556</v>
      </c>
      <c r="F1584" s="32" t="s">
        <v>5557</v>
      </c>
      <c r="G1584" s="32" t="s">
        <v>412</v>
      </c>
      <c r="H1584" s="32" t="s">
        <v>413</v>
      </c>
      <c r="I1584" s="32" t="s">
        <v>198</v>
      </c>
      <c r="J1584" s="32" t="s">
        <v>199</v>
      </c>
      <c r="K1584" s="32">
        <v>1.9360219999999999</v>
      </c>
      <c r="L1584" s="33">
        <v>1663</v>
      </c>
      <c r="M1584" s="32">
        <v>254</v>
      </c>
      <c r="N1584" s="32">
        <v>236</v>
      </c>
      <c r="O1584" s="32">
        <v>188</v>
      </c>
      <c r="P1584" s="32">
        <v>518</v>
      </c>
      <c r="Q1584" s="32">
        <v>467</v>
      </c>
      <c r="R1584" s="32" t="s">
        <v>214</v>
      </c>
      <c r="S1584" s="32">
        <v>5.9016900000000003</v>
      </c>
      <c r="T1584" s="32">
        <v>0</v>
      </c>
      <c r="U1584" s="32">
        <v>0.89057790999999997</v>
      </c>
      <c r="V1584" s="32">
        <v>8</v>
      </c>
      <c r="W1584" s="32">
        <v>0.80522700000000003</v>
      </c>
      <c r="X1584" s="32">
        <v>0.19301199999999999</v>
      </c>
      <c r="Y1584" s="32">
        <v>0.8</v>
      </c>
      <c r="Z1584" s="32">
        <v>0.13658000000000001</v>
      </c>
      <c r="AA1584" s="32">
        <v>21.3</v>
      </c>
      <c r="AB1584" s="32">
        <v>1178</v>
      </c>
      <c r="AC1584" s="32">
        <v>12</v>
      </c>
      <c r="AD1584" s="32">
        <v>23</v>
      </c>
      <c r="AE1584" s="32">
        <v>0</v>
      </c>
      <c r="AF1584" s="32">
        <v>0</v>
      </c>
      <c r="AG1584" s="32">
        <v>5</v>
      </c>
    </row>
    <row r="1585" spans="1:33">
      <c r="A1585" s="32" t="s">
        <v>5564</v>
      </c>
      <c r="B1585" s="32" t="s">
        <v>146</v>
      </c>
      <c r="C1585" s="32" t="s">
        <v>5565</v>
      </c>
      <c r="D1585" s="32" t="s">
        <v>5566</v>
      </c>
      <c r="E1585" s="32" t="s">
        <v>5567</v>
      </c>
      <c r="F1585" s="32" t="s">
        <v>5568</v>
      </c>
      <c r="G1585" s="32" t="s">
        <v>412</v>
      </c>
      <c r="H1585" s="32" t="s">
        <v>413</v>
      </c>
      <c r="I1585" s="32" t="s">
        <v>198</v>
      </c>
      <c r="J1585" s="32" t="s">
        <v>199</v>
      </c>
      <c r="K1585" s="32">
        <v>2.2595299999999998</v>
      </c>
      <c r="L1585" s="33">
        <v>1582</v>
      </c>
      <c r="M1585" s="32">
        <v>367</v>
      </c>
      <c r="N1585" s="32">
        <v>232</v>
      </c>
      <c r="O1585" s="32">
        <v>272</v>
      </c>
      <c r="P1585" s="32">
        <v>439</v>
      </c>
      <c r="Q1585" s="32">
        <v>272</v>
      </c>
      <c r="R1585" s="32">
        <v>2</v>
      </c>
      <c r="S1585" s="32">
        <v>16.982600000000001</v>
      </c>
      <c r="T1585" s="32">
        <v>0</v>
      </c>
      <c r="U1585" s="32">
        <v>0.64355910100000002</v>
      </c>
      <c r="V1585" s="32">
        <v>10</v>
      </c>
      <c r="W1585" s="32">
        <v>0.84498600000000001</v>
      </c>
      <c r="X1585" s="32">
        <v>0.26684799999999997</v>
      </c>
      <c r="Y1585" s="32">
        <v>0.8</v>
      </c>
      <c r="Z1585" s="32">
        <v>0.35</v>
      </c>
      <c r="AA1585" s="32">
        <v>21.7</v>
      </c>
      <c r="AB1585" s="32">
        <v>837</v>
      </c>
      <c r="AC1585" s="32">
        <v>13</v>
      </c>
      <c r="AD1585" s="32">
        <v>17</v>
      </c>
      <c r="AE1585" s="32" t="s">
        <v>200</v>
      </c>
      <c r="AF1585" s="32">
        <v>0</v>
      </c>
      <c r="AG1585" s="32">
        <v>0</v>
      </c>
    </row>
    <row r="1586" spans="1:33">
      <c r="A1586" s="32" t="s">
        <v>5569</v>
      </c>
      <c r="B1586" s="32" t="s">
        <v>146</v>
      </c>
      <c r="C1586" s="32" t="s">
        <v>5570</v>
      </c>
      <c r="D1586" s="32" t="s">
        <v>5571</v>
      </c>
      <c r="E1586" s="32" t="s">
        <v>5567</v>
      </c>
      <c r="F1586" s="32" t="s">
        <v>5568</v>
      </c>
      <c r="G1586" s="32" t="s">
        <v>412</v>
      </c>
      <c r="H1586" s="32" t="s">
        <v>413</v>
      </c>
      <c r="I1586" s="32" t="s">
        <v>198</v>
      </c>
      <c r="J1586" s="32" t="s">
        <v>199</v>
      </c>
      <c r="K1586" s="32">
        <v>2.7341129999999998</v>
      </c>
      <c r="L1586" s="33">
        <v>1830</v>
      </c>
      <c r="M1586" s="32">
        <v>382</v>
      </c>
      <c r="N1586" s="32">
        <v>280</v>
      </c>
      <c r="O1586" s="32">
        <v>475</v>
      </c>
      <c r="P1586" s="32">
        <v>472</v>
      </c>
      <c r="Q1586" s="32">
        <v>221</v>
      </c>
      <c r="R1586" s="32">
        <v>3</v>
      </c>
      <c r="S1586" s="32">
        <v>20.626999999999999</v>
      </c>
      <c r="T1586" s="32">
        <v>1.7741</v>
      </c>
      <c r="U1586" s="32">
        <v>0.60257264099999996</v>
      </c>
      <c r="V1586" s="32">
        <v>6</v>
      </c>
      <c r="W1586" s="32">
        <v>0.91350100000000001</v>
      </c>
      <c r="X1586" s="32">
        <v>0.58548100000000003</v>
      </c>
      <c r="Y1586" s="32">
        <v>0.80171899999999996</v>
      </c>
      <c r="Z1586" s="32">
        <v>0.44436399999999998</v>
      </c>
      <c r="AA1586" s="32">
        <v>38.799999999999997</v>
      </c>
      <c r="AB1586" s="32">
        <v>825</v>
      </c>
      <c r="AC1586" s="32">
        <v>21</v>
      </c>
      <c r="AD1586" s="32">
        <v>81</v>
      </c>
      <c r="AE1586" s="32">
        <v>0</v>
      </c>
      <c r="AF1586" s="32" t="s">
        <v>200</v>
      </c>
      <c r="AG1586" s="32" t="s">
        <v>200</v>
      </c>
    </row>
    <row r="1587" spans="1:33">
      <c r="A1587" s="32" t="s">
        <v>5572</v>
      </c>
      <c r="B1587" s="32" t="s">
        <v>146</v>
      </c>
      <c r="C1587" s="32" t="s">
        <v>5573</v>
      </c>
      <c r="D1587" s="32" t="s">
        <v>5574</v>
      </c>
      <c r="E1587" s="32" t="s">
        <v>5567</v>
      </c>
      <c r="F1587" s="32" t="s">
        <v>5568</v>
      </c>
      <c r="G1587" s="32" t="s">
        <v>412</v>
      </c>
      <c r="H1587" s="32" t="s">
        <v>413</v>
      </c>
      <c r="I1587" s="32" t="s">
        <v>198</v>
      </c>
      <c r="J1587" s="32" t="s">
        <v>199</v>
      </c>
      <c r="K1587" s="32">
        <v>2.2396829999999999</v>
      </c>
      <c r="L1587" s="33">
        <v>1927</v>
      </c>
      <c r="M1587" s="32">
        <v>424</v>
      </c>
      <c r="N1587" s="32">
        <v>269</v>
      </c>
      <c r="O1587" s="32">
        <v>407</v>
      </c>
      <c r="P1587" s="32">
        <v>513</v>
      </c>
      <c r="Q1587" s="32">
        <v>314</v>
      </c>
      <c r="R1587" s="32" t="s">
        <v>225</v>
      </c>
      <c r="S1587" s="32">
        <v>11.5153</v>
      </c>
      <c r="T1587" s="32">
        <v>1.8946000000000001</v>
      </c>
      <c r="U1587" s="32">
        <v>0.785643914</v>
      </c>
      <c r="V1587" s="32">
        <v>8</v>
      </c>
      <c r="W1587" s="32">
        <v>0.85307900000000003</v>
      </c>
      <c r="X1587" s="32">
        <v>0.25812200000000002</v>
      </c>
      <c r="Y1587" s="32">
        <v>0.8</v>
      </c>
      <c r="Z1587" s="32">
        <v>0.33566400000000002</v>
      </c>
      <c r="AA1587" s="32">
        <v>33.200000000000003</v>
      </c>
      <c r="AB1587" s="32">
        <v>852</v>
      </c>
      <c r="AC1587" s="32">
        <v>33</v>
      </c>
      <c r="AD1587" s="32">
        <v>31</v>
      </c>
      <c r="AE1587" s="32">
        <v>0</v>
      </c>
      <c r="AF1587" s="32">
        <v>0</v>
      </c>
      <c r="AG1587" s="32" t="s">
        <v>200</v>
      </c>
    </row>
    <row r="1588" spans="1:33">
      <c r="A1588" s="32" t="s">
        <v>5575</v>
      </c>
      <c r="B1588" s="32" t="s">
        <v>146</v>
      </c>
      <c r="C1588" s="32" t="s">
        <v>5576</v>
      </c>
      <c r="D1588" s="32" t="s">
        <v>5577</v>
      </c>
      <c r="E1588" s="32" t="s">
        <v>5567</v>
      </c>
      <c r="F1588" s="32" t="s">
        <v>5568</v>
      </c>
      <c r="G1588" s="32" t="s">
        <v>412</v>
      </c>
      <c r="H1588" s="32" t="s">
        <v>413</v>
      </c>
      <c r="I1588" s="32" t="s">
        <v>198</v>
      </c>
      <c r="J1588" s="32" t="s">
        <v>199</v>
      </c>
      <c r="K1588" s="32">
        <v>2.2831389999999998</v>
      </c>
      <c r="L1588" s="33">
        <v>1916</v>
      </c>
      <c r="M1588" s="32">
        <v>389</v>
      </c>
      <c r="N1588" s="32">
        <v>301</v>
      </c>
      <c r="O1588" s="32">
        <v>381</v>
      </c>
      <c r="P1588" s="32">
        <v>486</v>
      </c>
      <c r="Q1588" s="32">
        <v>359</v>
      </c>
      <c r="R1588" s="32">
        <v>2</v>
      </c>
      <c r="S1588" s="32">
        <v>17.0901</v>
      </c>
      <c r="T1588" s="32">
        <v>0</v>
      </c>
      <c r="U1588" s="32">
        <v>0.74100675500000002</v>
      </c>
      <c r="V1588" s="32">
        <v>8</v>
      </c>
      <c r="W1588" s="32">
        <v>0.84505399999999997</v>
      </c>
      <c r="X1588" s="32">
        <v>0.28173700000000002</v>
      </c>
      <c r="Y1588" s="32">
        <v>0.811975</v>
      </c>
      <c r="Z1588" s="32">
        <v>0.34219899999999998</v>
      </c>
      <c r="AA1588" s="32">
        <v>25.1</v>
      </c>
      <c r="AB1588" s="32">
        <v>842</v>
      </c>
      <c r="AC1588" s="32">
        <v>25</v>
      </c>
      <c r="AD1588" s="32">
        <v>45</v>
      </c>
      <c r="AE1588" s="32">
        <v>0</v>
      </c>
      <c r="AF1588" s="32">
        <v>0</v>
      </c>
      <c r="AG1588" s="32" t="s">
        <v>200</v>
      </c>
    </row>
    <row r="1589" spans="1:33">
      <c r="A1589" s="32" t="s">
        <v>5578</v>
      </c>
      <c r="B1589" s="32" t="s">
        <v>146</v>
      </c>
      <c r="C1589" s="32" t="s">
        <v>5579</v>
      </c>
      <c r="D1589" s="32" t="s">
        <v>5580</v>
      </c>
      <c r="E1589" s="32" t="s">
        <v>5581</v>
      </c>
      <c r="F1589" s="32" t="s">
        <v>5582</v>
      </c>
      <c r="G1589" s="32" t="s">
        <v>412</v>
      </c>
      <c r="H1589" s="32" t="s">
        <v>413</v>
      </c>
      <c r="I1589" s="32" t="s">
        <v>198</v>
      </c>
      <c r="J1589" s="32" t="s">
        <v>199</v>
      </c>
      <c r="K1589" s="32">
        <v>2.5444840000000002</v>
      </c>
      <c r="L1589" s="33">
        <v>2205</v>
      </c>
      <c r="M1589" s="32">
        <v>523</v>
      </c>
      <c r="N1589" s="32">
        <v>378</v>
      </c>
      <c r="O1589" s="32">
        <v>595</v>
      </c>
      <c r="P1589" s="32">
        <v>484</v>
      </c>
      <c r="Q1589" s="32">
        <v>225</v>
      </c>
      <c r="R1589" s="32" t="s">
        <v>225</v>
      </c>
      <c r="S1589" s="32">
        <v>13.891400000000001</v>
      </c>
      <c r="T1589" s="32">
        <v>0</v>
      </c>
      <c r="U1589" s="32">
        <v>0.79743008999999998</v>
      </c>
      <c r="V1589" s="32">
        <v>5</v>
      </c>
      <c r="W1589" s="32">
        <v>0.89092499999999997</v>
      </c>
      <c r="X1589" s="32">
        <v>0.42188500000000001</v>
      </c>
      <c r="Y1589" s="32">
        <v>0.83354200000000001</v>
      </c>
      <c r="Z1589" s="32">
        <v>0.395897</v>
      </c>
      <c r="AA1589" s="32">
        <v>43.9</v>
      </c>
      <c r="AB1589" s="32">
        <v>889</v>
      </c>
      <c r="AC1589" s="32">
        <v>30</v>
      </c>
      <c r="AD1589" s="32">
        <v>68</v>
      </c>
      <c r="AE1589" s="32">
        <v>17</v>
      </c>
      <c r="AF1589" s="32" t="s">
        <v>200</v>
      </c>
      <c r="AG1589" s="32">
        <v>15</v>
      </c>
    </row>
    <row r="1590" spans="1:33">
      <c r="A1590" s="32" t="s">
        <v>5583</v>
      </c>
      <c r="B1590" s="32" t="s">
        <v>147</v>
      </c>
      <c r="C1590" s="32" t="s">
        <v>5584</v>
      </c>
      <c r="D1590" s="32" t="s">
        <v>5585</v>
      </c>
      <c r="E1590" s="32" t="s">
        <v>5581</v>
      </c>
      <c r="F1590" s="32" t="s">
        <v>5582</v>
      </c>
      <c r="G1590" s="32" t="s">
        <v>412</v>
      </c>
      <c r="H1590" s="32" t="s">
        <v>413</v>
      </c>
      <c r="I1590" s="32" t="s">
        <v>198</v>
      </c>
      <c r="J1590" s="32" t="s">
        <v>199</v>
      </c>
      <c r="K1590" s="32">
        <v>2.3448060000000002</v>
      </c>
      <c r="L1590" s="33">
        <v>2201</v>
      </c>
      <c r="M1590" s="32">
        <v>566</v>
      </c>
      <c r="N1590" s="32">
        <v>311</v>
      </c>
      <c r="O1590" s="32">
        <v>506</v>
      </c>
      <c r="P1590" s="32">
        <v>482</v>
      </c>
      <c r="Q1590" s="32">
        <v>336</v>
      </c>
      <c r="R1590" s="32" t="s">
        <v>225</v>
      </c>
      <c r="S1590" s="32">
        <v>5.2812299999999999</v>
      </c>
      <c r="T1590" s="32">
        <v>0</v>
      </c>
      <c r="U1590" s="32">
        <v>0.71191516700000002</v>
      </c>
      <c r="V1590" s="32">
        <v>7</v>
      </c>
      <c r="W1590" s="32">
        <v>0.91112300000000002</v>
      </c>
      <c r="X1590" s="32">
        <v>0.26610699999999998</v>
      </c>
      <c r="Y1590" s="32">
        <v>0.8</v>
      </c>
      <c r="Z1590" s="32">
        <v>0.368172</v>
      </c>
      <c r="AA1590" s="32">
        <v>33.1</v>
      </c>
      <c r="AB1590" s="32">
        <v>891</v>
      </c>
      <c r="AC1590" s="32">
        <v>24</v>
      </c>
      <c r="AD1590" s="32">
        <v>21</v>
      </c>
      <c r="AE1590" s="32">
        <v>0</v>
      </c>
      <c r="AF1590" s="32">
        <v>0</v>
      </c>
      <c r="AG1590" s="32" t="s">
        <v>200</v>
      </c>
    </row>
    <row r="1591" spans="1:33">
      <c r="A1591" s="32" t="s">
        <v>5586</v>
      </c>
      <c r="B1591" s="32" t="s">
        <v>147</v>
      </c>
      <c r="C1591" s="32" t="s">
        <v>5587</v>
      </c>
      <c r="D1591" s="32" t="s">
        <v>5588</v>
      </c>
      <c r="E1591" s="32" t="s">
        <v>573</v>
      </c>
      <c r="F1591" s="32" t="s">
        <v>574</v>
      </c>
      <c r="G1591" s="32" t="s">
        <v>412</v>
      </c>
      <c r="H1591" s="32" t="s">
        <v>413</v>
      </c>
      <c r="I1591" s="32" t="s">
        <v>198</v>
      </c>
      <c r="J1591" s="32" t="s">
        <v>199</v>
      </c>
      <c r="K1591" s="32">
        <v>2.3358249999999998</v>
      </c>
      <c r="L1591" s="33">
        <v>1676</v>
      </c>
      <c r="M1591" s="32">
        <v>384</v>
      </c>
      <c r="N1591" s="32">
        <v>213</v>
      </c>
      <c r="O1591" s="32">
        <v>302</v>
      </c>
      <c r="P1591" s="32">
        <v>380</v>
      </c>
      <c r="Q1591" s="32">
        <v>397</v>
      </c>
      <c r="R1591" s="32">
        <v>2</v>
      </c>
      <c r="S1591" s="32">
        <v>11.9483</v>
      </c>
      <c r="T1591" s="32">
        <v>0</v>
      </c>
      <c r="U1591" s="32">
        <v>0.63666665899999997</v>
      </c>
      <c r="V1591" s="32">
        <v>9</v>
      </c>
      <c r="W1591" s="32">
        <v>0.90692799999999996</v>
      </c>
      <c r="X1591" s="32">
        <v>0.21726400000000001</v>
      </c>
      <c r="Y1591" s="32">
        <v>0.8</v>
      </c>
      <c r="Z1591" s="32">
        <v>0.40449099999999999</v>
      </c>
      <c r="AA1591" s="32">
        <v>33.6</v>
      </c>
      <c r="AB1591" s="32">
        <v>778</v>
      </c>
      <c r="AC1591" s="32">
        <v>8</v>
      </c>
      <c r="AD1591" s="32">
        <v>8</v>
      </c>
      <c r="AE1591" s="32">
        <v>0</v>
      </c>
      <c r="AF1591" s="32" t="s">
        <v>200</v>
      </c>
      <c r="AG1591" s="32">
        <v>0</v>
      </c>
    </row>
    <row r="1592" spans="1:33">
      <c r="A1592" s="32" t="s">
        <v>5589</v>
      </c>
      <c r="B1592" s="32" t="s">
        <v>147</v>
      </c>
      <c r="C1592" s="32" t="s">
        <v>5590</v>
      </c>
      <c r="D1592" s="32" t="s">
        <v>5591</v>
      </c>
      <c r="E1592" s="32" t="s">
        <v>5592</v>
      </c>
      <c r="F1592" s="32" t="s">
        <v>5593</v>
      </c>
      <c r="G1592" s="32" t="s">
        <v>412</v>
      </c>
      <c r="H1592" s="32" t="s">
        <v>413</v>
      </c>
      <c r="I1592" s="32" t="s">
        <v>198</v>
      </c>
      <c r="J1592" s="32" t="s">
        <v>199</v>
      </c>
      <c r="K1592" s="32">
        <v>2.4695999999999998</v>
      </c>
      <c r="L1592" s="33">
        <v>2096</v>
      </c>
      <c r="M1592" s="32">
        <v>617</v>
      </c>
      <c r="N1592" s="32">
        <v>375</v>
      </c>
      <c r="O1592" s="32">
        <v>553</v>
      </c>
      <c r="P1592" s="32">
        <v>352</v>
      </c>
      <c r="Q1592" s="32">
        <v>199</v>
      </c>
      <c r="R1592" s="32" t="s">
        <v>225</v>
      </c>
      <c r="S1592" s="32">
        <v>7.4062200000000002</v>
      </c>
      <c r="T1592" s="32">
        <v>0</v>
      </c>
      <c r="U1592" s="32">
        <v>0.66970916700000005</v>
      </c>
      <c r="V1592" s="32">
        <v>6</v>
      </c>
      <c r="W1592" s="32">
        <v>0.91120000000000001</v>
      </c>
      <c r="X1592" s="32">
        <v>0.27388499999999999</v>
      </c>
      <c r="Y1592" s="32">
        <v>0.8</v>
      </c>
      <c r="Z1592" s="32">
        <v>0.48569200000000001</v>
      </c>
      <c r="AA1592" s="32">
        <v>33.6</v>
      </c>
      <c r="AB1592" s="32">
        <v>620</v>
      </c>
      <c r="AC1592" s="32">
        <v>20</v>
      </c>
      <c r="AD1592" s="32">
        <v>26</v>
      </c>
      <c r="AE1592" s="32">
        <v>0</v>
      </c>
      <c r="AF1592" s="32">
        <v>0</v>
      </c>
      <c r="AG1592" s="32">
        <v>6</v>
      </c>
    </row>
    <row r="1593" spans="1:33">
      <c r="A1593" s="32" t="s">
        <v>5594</v>
      </c>
      <c r="B1593" s="32" t="s">
        <v>147</v>
      </c>
      <c r="C1593" s="32" t="s">
        <v>5595</v>
      </c>
      <c r="D1593" s="32" t="s">
        <v>5596</v>
      </c>
      <c r="E1593" s="32" t="s">
        <v>5597</v>
      </c>
      <c r="F1593" s="32" t="s">
        <v>5598</v>
      </c>
      <c r="G1593" s="32" t="s">
        <v>412</v>
      </c>
      <c r="H1593" s="32" t="s">
        <v>413</v>
      </c>
      <c r="I1593" s="32" t="s">
        <v>198</v>
      </c>
      <c r="J1593" s="32" t="s">
        <v>199</v>
      </c>
      <c r="K1593" s="32">
        <v>2.6760229999999998</v>
      </c>
      <c r="L1593" s="33">
        <v>1765</v>
      </c>
      <c r="M1593" s="32">
        <v>300</v>
      </c>
      <c r="N1593" s="32">
        <v>376</v>
      </c>
      <c r="O1593" s="32">
        <v>406</v>
      </c>
      <c r="P1593" s="32">
        <v>431</v>
      </c>
      <c r="Q1593" s="32">
        <v>252</v>
      </c>
      <c r="R1593" s="32" t="s">
        <v>214</v>
      </c>
      <c r="S1593" s="32">
        <v>4.6686300000000003</v>
      </c>
      <c r="T1593" s="32">
        <v>0</v>
      </c>
      <c r="U1593" s="32">
        <v>0.65876318300000003</v>
      </c>
      <c r="V1593" s="32">
        <v>5</v>
      </c>
      <c r="W1593" s="32">
        <v>0.91808500000000004</v>
      </c>
      <c r="X1593" s="32">
        <v>0.47334999999999999</v>
      </c>
      <c r="Y1593" s="32">
        <v>0.852576</v>
      </c>
      <c r="Z1593" s="32">
        <v>0.43947999999999998</v>
      </c>
      <c r="AA1593" s="32">
        <v>50.4</v>
      </c>
      <c r="AB1593" s="32">
        <v>615</v>
      </c>
      <c r="AC1593" s="32">
        <v>24</v>
      </c>
      <c r="AD1593" s="32">
        <v>50</v>
      </c>
      <c r="AE1593" s="32">
        <v>0</v>
      </c>
      <c r="AF1593" s="32" t="s">
        <v>200</v>
      </c>
      <c r="AG1593" s="32" t="s">
        <v>200</v>
      </c>
    </row>
    <row r="1594" spans="1:33">
      <c r="A1594" s="32" t="s">
        <v>5599</v>
      </c>
      <c r="B1594" s="32" t="s">
        <v>147</v>
      </c>
      <c r="C1594" s="32" t="s">
        <v>5600</v>
      </c>
      <c r="D1594" s="32" t="s">
        <v>5601</v>
      </c>
      <c r="E1594" s="32" t="s">
        <v>5597</v>
      </c>
      <c r="F1594" s="32" t="s">
        <v>5598</v>
      </c>
      <c r="G1594" s="32" t="s">
        <v>412</v>
      </c>
      <c r="H1594" s="32" t="s">
        <v>413</v>
      </c>
      <c r="I1594" s="32" t="s">
        <v>198</v>
      </c>
      <c r="J1594" s="32" t="s">
        <v>199</v>
      </c>
      <c r="K1594" s="32">
        <v>2.3044560000000001</v>
      </c>
      <c r="L1594" s="33">
        <v>1804</v>
      </c>
      <c r="M1594" s="32">
        <v>344</v>
      </c>
      <c r="N1594" s="32">
        <v>335</v>
      </c>
      <c r="O1594" s="32">
        <v>449</v>
      </c>
      <c r="P1594" s="32">
        <v>408</v>
      </c>
      <c r="Q1594" s="32">
        <v>268</v>
      </c>
      <c r="R1594" s="32" t="s">
        <v>214</v>
      </c>
      <c r="S1594" s="32">
        <v>6.9846399999999997</v>
      </c>
      <c r="T1594" s="32">
        <v>0</v>
      </c>
      <c r="U1594" s="32">
        <v>0.72180700900000005</v>
      </c>
      <c r="V1594" s="32">
        <v>8</v>
      </c>
      <c r="W1594" s="32">
        <v>0.901451</v>
      </c>
      <c r="X1594" s="32">
        <v>0.15316099999999999</v>
      </c>
      <c r="Y1594" s="32">
        <v>0.80093199999999998</v>
      </c>
      <c r="Z1594" s="32">
        <v>0.44994800000000001</v>
      </c>
      <c r="AA1594" s="32">
        <v>31.7</v>
      </c>
      <c r="AB1594" s="32">
        <v>714</v>
      </c>
      <c r="AC1594" s="32">
        <v>26</v>
      </c>
      <c r="AD1594" s="32">
        <v>26</v>
      </c>
      <c r="AE1594" s="32">
        <v>0</v>
      </c>
      <c r="AF1594" s="32">
        <v>0</v>
      </c>
      <c r="AG1594" s="32" t="s">
        <v>200</v>
      </c>
    </row>
    <row r="1595" spans="1:33">
      <c r="A1595" s="32" t="s">
        <v>5602</v>
      </c>
      <c r="B1595" s="32" t="s">
        <v>147</v>
      </c>
      <c r="C1595" s="32" t="s">
        <v>5603</v>
      </c>
      <c r="D1595" s="32" t="s">
        <v>5604</v>
      </c>
      <c r="E1595" s="32" t="s">
        <v>5605</v>
      </c>
      <c r="F1595" s="32" t="s">
        <v>5606</v>
      </c>
      <c r="G1595" s="32" t="s">
        <v>412</v>
      </c>
      <c r="H1595" s="32" t="s">
        <v>413</v>
      </c>
      <c r="I1595" s="32" t="s">
        <v>198</v>
      </c>
      <c r="J1595" s="32" t="s">
        <v>199</v>
      </c>
      <c r="K1595" s="32">
        <v>2.3469519999999999</v>
      </c>
      <c r="L1595" s="33">
        <v>1655</v>
      </c>
      <c r="M1595" s="32">
        <v>395</v>
      </c>
      <c r="N1595" s="32">
        <v>209</v>
      </c>
      <c r="O1595" s="32">
        <v>290</v>
      </c>
      <c r="P1595" s="32">
        <v>383</v>
      </c>
      <c r="Q1595" s="32">
        <v>378</v>
      </c>
      <c r="R1595" s="32" t="s">
        <v>225</v>
      </c>
      <c r="S1595" s="32">
        <v>7.1982200000000001</v>
      </c>
      <c r="T1595" s="32">
        <v>2.3320400000000001</v>
      </c>
      <c r="U1595" s="32">
        <v>0.85080226400000003</v>
      </c>
      <c r="V1595" s="32">
        <v>5</v>
      </c>
      <c r="W1595" s="32">
        <v>0.90726300000000004</v>
      </c>
      <c r="X1595" s="32">
        <v>0.17974000000000001</v>
      </c>
      <c r="Y1595" s="32">
        <v>0.8</v>
      </c>
      <c r="Z1595" s="32">
        <v>0.45451000000000003</v>
      </c>
      <c r="AA1595" s="32">
        <v>29.8</v>
      </c>
      <c r="AB1595" s="32">
        <v>652</v>
      </c>
      <c r="AC1595" s="32">
        <v>9</v>
      </c>
      <c r="AD1595" s="32">
        <v>13</v>
      </c>
      <c r="AE1595" s="32" t="s">
        <v>200</v>
      </c>
      <c r="AF1595" s="32" t="s">
        <v>200</v>
      </c>
      <c r="AG1595" s="32" t="s">
        <v>200</v>
      </c>
    </row>
    <row r="1596" spans="1:33">
      <c r="A1596" s="32" t="s">
        <v>5578</v>
      </c>
      <c r="B1596" s="32" t="s">
        <v>147</v>
      </c>
      <c r="C1596" s="32" t="s">
        <v>5579</v>
      </c>
      <c r="D1596" s="32" t="s">
        <v>5580</v>
      </c>
      <c r="E1596" s="32" t="s">
        <v>5581</v>
      </c>
      <c r="F1596" s="32" t="s">
        <v>5582</v>
      </c>
      <c r="G1596" s="32" t="s">
        <v>412</v>
      </c>
      <c r="H1596" s="32" t="s">
        <v>413</v>
      </c>
      <c r="I1596" s="32" t="s">
        <v>198</v>
      </c>
      <c r="J1596" s="32" t="s">
        <v>199</v>
      </c>
      <c r="K1596" s="32">
        <v>2.5444840000000002</v>
      </c>
      <c r="L1596" s="33">
        <v>2205</v>
      </c>
      <c r="M1596" s="32">
        <v>523</v>
      </c>
      <c r="N1596" s="32">
        <v>378</v>
      </c>
      <c r="O1596" s="32">
        <v>595</v>
      </c>
      <c r="P1596" s="32">
        <v>484</v>
      </c>
      <c r="Q1596" s="32">
        <v>225</v>
      </c>
      <c r="R1596" s="32" t="s">
        <v>225</v>
      </c>
      <c r="S1596" s="32">
        <v>13.891400000000001</v>
      </c>
      <c r="T1596" s="32">
        <v>0</v>
      </c>
      <c r="U1596" s="32">
        <v>0.79743008999999998</v>
      </c>
      <c r="V1596" s="32">
        <v>5</v>
      </c>
      <c r="W1596" s="32">
        <v>0.89092499999999997</v>
      </c>
      <c r="X1596" s="32">
        <v>0.42188500000000001</v>
      </c>
      <c r="Y1596" s="32">
        <v>0.83354200000000001</v>
      </c>
      <c r="Z1596" s="32">
        <v>0.395897</v>
      </c>
      <c r="AA1596" s="32">
        <v>43.9</v>
      </c>
      <c r="AB1596" s="32">
        <v>889</v>
      </c>
      <c r="AC1596" s="32">
        <v>30</v>
      </c>
      <c r="AD1596" s="32">
        <v>68</v>
      </c>
      <c r="AE1596" s="32">
        <v>17</v>
      </c>
      <c r="AF1596" s="32" t="s">
        <v>200</v>
      </c>
      <c r="AG1596" s="32">
        <v>15</v>
      </c>
    </row>
    <row r="1597" spans="1:33">
      <c r="A1597" s="32" t="s">
        <v>5607</v>
      </c>
      <c r="B1597" s="32" t="s">
        <v>148</v>
      </c>
      <c r="C1597" s="32" t="s">
        <v>5608</v>
      </c>
      <c r="D1597" s="32" t="s">
        <v>5609</v>
      </c>
      <c r="E1597" s="32" t="s">
        <v>430</v>
      </c>
      <c r="F1597" s="32" t="s">
        <v>431</v>
      </c>
      <c r="G1597" s="32" t="s">
        <v>412</v>
      </c>
      <c r="H1597" s="32" t="s">
        <v>413</v>
      </c>
      <c r="I1597" s="32" t="s">
        <v>198</v>
      </c>
      <c r="J1597" s="32" t="s">
        <v>199</v>
      </c>
      <c r="K1597" s="32">
        <v>2.449065</v>
      </c>
      <c r="L1597" s="33">
        <v>2328</v>
      </c>
      <c r="M1597" s="32">
        <v>709</v>
      </c>
      <c r="N1597" s="32">
        <v>506</v>
      </c>
      <c r="O1597" s="32">
        <v>472</v>
      </c>
      <c r="P1597" s="32">
        <v>321</v>
      </c>
      <c r="Q1597" s="32">
        <v>320</v>
      </c>
      <c r="R1597" s="32">
        <v>3</v>
      </c>
      <c r="S1597" s="32">
        <v>19.964400000000001</v>
      </c>
      <c r="T1597" s="32">
        <v>5.7245299999999997</v>
      </c>
      <c r="U1597" s="32">
        <v>0.66089662400000004</v>
      </c>
      <c r="V1597" s="32">
        <v>7</v>
      </c>
      <c r="W1597" s="32">
        <v>0.91666700000000001</v>
      </c>
      <c r="X1597" s="32">
        <v>0.23468800000000001</v>
      </c>
      <c r="Y1597" s="32">
        <v>0.8</v>
      </c>
      <c r="Z1597" s="32">
        <v>0.52562500000000001</v>
      </c>
      <c r="AA1597" s="32">
        <v>26.3</v>
      </c>
      <c r="AB1597" s="32">
        <v>638</v>
      </c>
      <c r="AC1597" s="32">
        <v>15</v>
      </c>
      <c r="AD1597" s="32">
        <v>11</v>
      </c>
      <c r="AE1597" s="32" t="s">
        <v>200</v>
      </c>
      <c r="AF1597" s="32" t="s">
        <v>200</v>
      </c>
      <c r="AG1597" s="32" t="s">
        <v>200</v>
      </c>
    </row>
    <row r="1598" spans="1:33">
      <c r="A1598" s="32" t="s">
        <v>432</v>
      </c>
      <c r="B1598" s="32" t="s">
        <v>148</v>
      </c>
      <c r="C1598" s="32" t="s">
        <v>433</v>
      </c>
      <c r="D1598" s="32" t="s">
        <v>434</v>
      </c>
      <c r="E1598" s="32" t="s">
        <v>430</v>
      </c>
      <c r="F1598" s="32" t="s">
        <v>431</v>
      </c>
      <c r="G1598" s="32" t="s">
        <v>412</v>
      </c>
      <c r="H1598" s="32" t="s">
        <v>413</v>
      </c>
      <c r="I1598" s="32" t="s">
        <v>198</v>
      </c>
      <c r="J1598" s="32" t="s">
        <v>199</v>
      </c>
      <c r="K1598" s="32">
        <v>2.5408930000000001</v>
      </c>
      <c r="L1598" s="33">
        <v>2080</v>
      </c>
      <c r="M1598" s="32">
        <v>622</v>
      </c>
      <c r="N1598" s="32">
        <v>415</v>
      </c>
      <c r="O1598" s="32">
        <v>528</v>
      </c>
      <c r="P1598" s="32">
        <v>330</v>
      </c>
      <c r="Q1598" s="32">
        <v>185</v>
      </c>
      <c r="R1598" s="32">
        <v>4</v>
      </c>
      <c r="S1598" s="32">
        <v>29.646599999999999</v>
      </c>
      <c r="T1598" s="32">
        <v>10.9031</v>
      </c>
      <c r="U1598" s="32">
        <v>0.67745957700000003</v>
      </c>
      <c r="V1598" s="32">
        <v>5</v>
      </c>
      <c r="W1598" s="32">
        <v>0.914107</v>
      </c>
      <c r="X1598" s="32">
        <v>0.23417299999999999</v>
      </c>
      <c r="Y1598" s="32">
        <v>0.8</v>
      </c>
      <c r="Z1598" s="32">
        <v>0.60513300000000003</v>
      </c>
      <c r="AA1598" s="32">
        <v>31.4</v>
      </c>
      <c r="AB1598" s="32">
        <v>557</v>
      </c>
      <c r="AC1598" s="32">
        <v>12</v>
      </c>
      <c r="AD1598" s="32">
        <v>33</v>
      </c>
      <c r="AE1598" s="32">
        <v>0</v>
      </c>
      <c r="AF1598" s="32">
        <v>0</v>
      </c>
      <c r="AG1598" s="32">
        <v>0</v>
      </c>
    </row>
    <row r="1599" spans="1:33">
      <c r="A1599" s="32" t="s">
        <v>5610</v>
      </c>
      <c r="B1599" s="32" t="s">
        <v>148</v>
      </c>
      <c r="C1599" s="32" t="s">
        <v>5611</v>
      </c>
      <c r="D1599" s="32" t="s">
        <v>5612</v>
      </c>
      <c r="E1599" s="32" t="s">
        <v>5605</v>
      </c>
      <c r="F1599" s="32" t="s">
        <v>5606</v>
      </c>
      <c r="G1599" s="32" t="s">
        <v>412</v>
      </c>
      <c r="H1599" s="32" t="s">
        <v>413</v>
      </c>
      <c r="I1599" s="32" t="s">
        <v>198</v>
      </c>
      <c r="J1599" s="32" t="s">
        <v>199</v>
      </c>
      <c r="K1599" s="32">
        <v>2.494062</v>
      </c>
      <c r="L1599" s="33">
        <v>2206</v>
      </c>
      <c r="M1599" s="32">
        <v>457</v>
      </c>
      <c r="N1599" s="32">
        <v>562</v>
      </c>
      <c r="O1599" s="32">
        <v>584</v>
      </c>
      <c r="P1599" s="32">
        <v>382</v>
      </c>
      <c r="Q1599" s="32">
        <v>221</v>
      </c>
      <c r="R1599" s="32">
        <v>3</v>
      </c>
      <c r="S1599" s="32">
        <v>24.137799999999999</v>
      </c>
      <c r="T1599" s="32">
        <v>5.12324</v>
      </c>
      <c r="U1599" s="32">
        <v>0.62476920499999999</v>
      </c>
      <c r="V1599" s="32">
        <v>8</v>
      </c>
      <c r="W1599" s="32">
        <v>0.91198299999999999</v>
      </c>
      <c r="X1599" s="32">
        <v>0.21401300000000001</v>
      </c>
      <c r="Y1599" s="32">
        <v>0.8</v>
      </c>
      <c r="Z1599" s="32">
        <v>0.57237000000000005</v>
      </c>
      <c r="AA1599" s="32">
        <v>30.1</v>
      </c>
      <c r="AB1599" s="32">
        <v>837</v>
      </c>
      <c r="AC1599" s="32">
        <v>24</v>
      </c>
      <c r="AD1599" s="32">
        <v>47</v>
      </c>
      <c r="AE1599" s="32" t="s">
        <v>200</v>
      </c>
      <c r="AF1599" s="32" t="s">
        <v>200</v>
      </c>
      <c r="AG1599" s="32" t="s">
        <v>200</v>
      </c>
    </row>
    <row r="1600" spans="1:33">
      <c r="A1600" s="32" t="s">
        <v>5613</v>
      </c>
      <c r="B1600" s="32" t="s">
        <v>148</v>
      </c>
      <c r="C1600" s="32" t="s">
        <v>5614</v>
      </c>
      <c r="D1600" s="32" t="s">
        <v>5615</v>
      </c>
      <c r="E1600" s="32" t="s">
        <v>5597</v>
      </c>
      <c r="F1600" s="32" t="s">
        <v>5598</v>
      </c>
      <c r="G1600" s="32" t="s">
        <v>412</v>
      </c>
      <c r="H1600" s="32" t="s">
        <v>413</v>
      </c>
      <c r="I1600" s="32" t="s">
        <v>198</v>
      </c>
      <c r="J1600" s="32" t="s">
        <v>199</v>
      </c>
      <c r="K1600" s="32">
        <v>2.920131</v>
      </c>
      <c r="L1600" s="33">
        <v>2086</v>
      </c>
      <c r="M1600" s="32">
        <v>363</v>
      </c>
      <c r="N1600" s="32">
        <v>461</v>
      </c>
      <c r="O1600" s="32">
        <v>612</v>
      </c>
      <c r="P1600" s="32">
        <v>485</v>
      </c>
      <c r="Q1600" s="32">
        <v>165</v>
      </c>
      <c r="R1600" s="32">
        <v>2</v>
      </c>
      <c r="S1600" s="32">
        <v>16.575800000000001</v>
      </c>
      <c r="T1600" s="32">
        <v>0</v>
      </c>
      <c r="U1600" s="32">
        <v>0.54142769800000001</v>
      </c>
      <c r="V1600" s="32">
        <v>4</v>
      </c>
      <c r="W1600" s="32">
        <v>0.92423999999999995</v>
      </c>
      <c r="X1600" s="32">
        <v>0.58599699999999999</v>
      </c>
      <c r="Y1600" s="32">
        <v>0.811944</v>
      </c>
      <c r="Z1600" s="32">
        <v>0.60240300000000002</v>
      </c>
      <c r="AA1600" s="32">
        <v>50.5</v>
      </c>
      <c r="AB1600" s="32">
        <v>613</v>
      </c>
      <c r="AC1600" s="32">
        <v>20</v>
      </c>
      <c r="AD1600" s="32">
        <v>52</v>
      </c>
      <c r="AE1600" s="32">
        <v>0</v>
      </c>
      <c r="AF1600" s="32" t="s">
        <v>200</v>
      </c>
      <c r="AG1600" s="32" t="s">
        <v>200</v>
      </c>
    </row>
    <row r="1601" spans="1:33">
      <c r="A1601" s="32" t="s">
        <v>5594</v>
      </c>
      <c r="B1601" s="32" t="s">
        <v>148</v>
      </c>
      <c r="C1601" s="32" t="s">
        <v>5595</v>
      </c>
      <c r="D1601" s="32" t="s">
        <v>5596</v>
      </c>
      <c r="E1601" s="32" t="s">
        <v>5597</v>
      </c>
      <c r="F1601" s="32" t="s">
        <v>5598</v>
      </c>
      <c r="G1601" s="32" t="s">
        <v>412</v>
      </c>
      <c r="H1601" s="32" t="s">
        <v>413</v>
      </c>
      <c r="I1601" s="32" t="s">
        <v>198</v>
      </c>
      <c r="J1601" s="32" t="s">
        <v>199</v>
      </c>
      <c r="K1601" s="32">
        <v>2.6760229999999998</v>
      </c>
      <c r="L1601" s="33">
        <v>1765</v>
      </c>
      <c r="M1601" s="32">
        <v>300</v>
      </c>
      <c r="N1601" s="32">
        <v>376</v>
      </c>
      <c r="O1601" s="32">
        <v>406</v>
      </c>
      <c r="P1601" s="32">
        <v>431</v>
      </c>
      <c r="Q1601" s="32">
        <v>252</v>
      </c>
      <c r="R1601" s="32" t="s">
        <v>214</v>
      </c>
      <c r="S1601" s="32">
        <v>4.6686300000000003</v>
      </c>
      <c r="T1601" s="32">
        <v>0</v>
      </c>
      <c r="U1601" s="32">
        <v>0.65876318300000003</v>
      </c>
      <c r="V1601" s="32">
        <v>5</v>
      </c>
      <c r="W1601" s="32">
        <v>0.91808500000000004</v>
      </c>
      <c r="X1601" s="32">
        <v>0.47334999999999999</v>
      </c>
      <c r="Y1601" s="32">
        <v>0.852576</v>
      </c>
      <c r="Z1601" s="32">
        <v>0.43947999999999998</v>
      </c>
      <c r="AA1601" s="32">
        <v>50.4</v>
      </c>
      <c r="AB1601" s="32">
        <v>615</v>
      </c>
      <c r="AC1601" s="32">
        <v>24</v>
      </c>
      <c r="AD1601" s="32">
        <v>50</v>
      </c>
      <c r="AE1601" s="32">
        <v>0</v>
      </c>
      <c r="AF1601" s="32" t="s">
        <v>200</v>
      </c>
      <c r="AG1601" s="32" t="s">
        <v>200</v>
      </c>
    </row>
    <row r="1602" spans="1:33">
      <c r="A1602" s="32" t="s">
        <v>5616</v>
      </c>
      <c r="B1602" s="32" t="s">
        <v>148</v>
      </c>
      <c r="C1602" s="32" t="s">
        <v>5617</v>
      </c>
      <c r="D1602" s="32" t="s">
        <v>5618</v>
      </c>
      <c r="E1602" s="32" t="s">
        <v>5597</v>
      </c>
      <c r="F1602" s="32" t="s">
        <v>5598</v>
      </c>
      <c r="G1602" s="32" t="s">
        <v>412</v>
      </c>
      <c r="H1602" s="32" t="s">
        <v>413</v>
      </c>
      <c r="I1602" s="32" t="s">
        <v>198</v>
      </c>
      <c r="J1602" s="32" t="s">
        <v>199</v>
      </c>
      <c r="K1602" s="32">
        <v>2.6915209999999998</v>
      </c>
      <c r="L1602" s="33">
        <v>1993</v>
      </c>
      <c r="M1602" s="32">
        <v>371</v>
      </c>
      <c r="N1602" s="32">
        <v>414</v>
      </c>
      <c r="O1602" s="32">
        <v>490</v>
      </c>
      <c r="P1602" s="32">
        <v>472</v>
      </c>
      <c r="Q1602" s="32">
        <v>246</v>
      </c>
      <c r="R1602" s="32">
        <v>3</v>
      </c>
      <c r="S1602" s="32">
        <v>22.2302</v>
      </c>
      <c r="T1602" s="32">
        <v>2.2209699999999999</v>
      </c>
      <c r="U1602" s="32">
        <v>0.55010369299999995</v>
      </c>
      <c r="V1602" s="32">
        <v>7</v>
      </c>
      <c r="W1602" s="32">
        <v>0.91920199999999996</v>
      </c>
      <c r="X1602" s="32">
        <v>0.415155</v>
      </c>
      <c r="Y1602" s="32">
        <v>0.8</v>
      </c>
      <c r="Z1602" s="32">
        <v>0.571322</v>
      </c>
      <c r="AA1602" s="32">
        <v>50.7</v>
      </c>
      <c r="AB1602" s="32">
        <v>613</v>
      </c>
      <c r="AC1602" s="32">
        <v>23</v>
      </c>
      <c r="AD1602" s="32">
        <v>26</v>
      </c>
      <c r="AE1602" s="32" t="s">
        <v>200</v>
      </c>
      <c r="AF1602" s="32" t="s">
        <v>200</v>
      </c>
      <c r="AG1602" s="32">
        <v>0</v>
      </c>
    </row>
    <row r="1603" spans="1:33">
      <c r="A1603" s="32" t="s">
        <v>5619</v>
      </c>
      <c r="B1603" s="32" t="s">
        <v>148</v>
      </c>
      <c r="C1603" s="32" t="s">
        <v>5620</v>
      </c>
      <c r="D1603" s="32" t="s">
        <v>5621</v>
      </c>
      <c r="E1603" s="32" t="s">
        <v>5592</v>
      </c>
      <c r="F1603" s="32" t="s">
        <v>5593</v>
      </c>
      <c r="G1603" s="32" t="s">
        <v>412</v>
      </c>
      <c r="H1603" s="32" t="s">
        <v>413</v>
      </c>
      <c r="I1603" s="32" t="s">
        <v>198</v>
      </c>
      <c r="J1603" s="32" t="s">
        <v>199</v>
      </c>
      <c r="K1603" s="32">
        <v>2.694105</v>
      </c>
      <c r="L1603" s="33">
        <v>2164</v>
      </c>
      <c r="M1603" s="32">
        <v>344</v>
      </c>
      <c r="N1603" s="32">
        <v>478</v>
      </c>
      <c r="O1603" s="32">
        <v>580</v>
      </c>
      <c r="P1603" s="32">
        <v>473</v>
      </c>
      <c r="Q1603" s="32">
        <v>289</v>
      </c>
      <c r="R1603" s="32">
        <v>4</v>
      </c>
      <c r="S1603" s="32">
        <v>27.248100000000001</v>
      </c>
      <c r="T1603" s="32">
        <v>0</v>
      </c>
      <c r="U1603" s="32">
        <v>0.63949045599999998</v>
      </c>
      <c r="V1603" s="32">
        <v>5</v>
      </c>
      <c r="W1603" s="32">
        <v>0.915327</v>
      </c>
      <c r="X1603" s="32">
        <v>0.34822799999999998</v>
      </c>
      <c r="Y1603" s="32">
        <v>0.8</v>
      </c>
      <c r="Z1603" s="32">
        <v>0.62540200000000001</v>
      </c>
      <c r="AA1603" s="32">
        <v>42.2</v>
      </c>
      <c r="AB1603" s="32">
        <v>577</v>
      </c>
      <c r="AC1603" s="32">
        <v>27</v>
      </c>
      <c r="AD1603" s="32">
        <v>56</v>
      </c>
      <c r="AE1603" s="32" t="s">
        <v>200</v>
      </c>
      <c r="AF1603" s="32">
        <v>0</v>
      </c>
      <c r="AG1603" s="32" t="s">
        <v>200</v>
      </c>
    </row>
    <row r="1604" spans="1:33">
      <c r="A1604" s="32" t="s">
        <v>5622</v>
      </c>
      <c r="B1604" s="32" t="s">
        <v>148</v>
      </c>
      <c r="C1604" s="32" t="s">
        <v>5623</v>
      </c>
      <c r="D1604" s="32" t="s">
        <v>5624</v>
      </c>
      <c r="E1604" s="32" t="s">
        <v>5592</v>
      </c>
      <c r="F1604" s="32" t="s">
        <v>5593</v>
      </c>
      <c r="G1604" s="32" t="s">
        <v>412</v>
      </c>
      <c r="H1604" s="32" t="s">
        <v>413</v>
      </c>
      <c r="I1604" s="32" t="s">
        <v>198</v>
      </c>
      <c r="J1604" s="32" t="s">
        <v>199</v>
      </c>
      <c r="K1604" s="32">
        <v>2.4658479999999998</v>
      </c>
      <c r="L1604" s="33">
        <v>1866</v>
      </c>
      <c r="M1604" s="32">
        <v>596</v>
      </c>
      <c r="N1604" s="32">
        <v>334</v>
      </c>
      <c r="O1604" s="32">
        <v>400</v>
      </c>
      <c r="P1604" s="32">
        <v>298</v>
      </c>
      <c r="Q1604" s="32">
        <v>238</v>
      </c>
      <c r="R1604" s="32">
        <v>3</v>
      </c>
      <c r="S1604" s="32">
        <v>19.258500000000002</v>
      </c>
      <c r="T1604" s="32">
        <v>0</v>
      </c>
      <c r="U1604" s="32">
        <v>0.608039942</v>
      </c>
      <c r="V1604" s="32">
        <v>8</v>
      </c>
      <c r="W1604" s="32">
        <v>0.90832400000000002</v>
      </c>
      <c r="X1604" s="32">
        <v>0.19489400000000001</v>
      </c>
      <c r="Y1604" s="32">
        <v>0.8</v>
      </c>
      <c r="Z1604" s="32">
        <v>0.55164400000000002</v>
      </c>
      <c r="AA1604" s="32">
        <v>19.5</v>
      </c>
      <c r="AB1604" s="32">
        <v>588</v>
      </c>
      <c r="AC1604" s="32">
        <v>16</v>
      </c>
      <c r="AD1604" s="32">
        <v>21</v>
      </c>
      <c r="AE1604" s="32">
        <v>0</v>
      </c>
      <c r="AF1604" s="32">
        <v>0</v>
      </c>
      <c r="AG1604" s="32" t="s">
        <v>200</v>
      </c>
    </row>
    <row r="1605" spans="1:33">
      <c r="A1605" s="32" t="s">
        <v>5625</v>
      </c>
      <c r="B1605" s="32" t="s">
        <v>148</v>
      </c>
      <c r="C1605" s="32" t="s">
        <v>5626</v>
      </c>
      <c r="D1605" s="32" t="s">
        <v>5627</v>
      </c>
      <c r="E1605" s="32" t="s">
        <v>5605</v>
      </c>
      <c r="F1605" s="32" t="s">
        <v>5606</v>
      </c>
      <c r="G1605" s="32" t="s">
        <v>412</v>
      </c>
      <c r="H1605" s="32" t="s">
        <v>413</v>
      </c>
      <c r="I1605" s="32" t="s">
        <v>198</v>
      </c>
      <c r="J1605" s="32" t="s">
        <v>199</v>
      </c>
      <c r="K1605" s="32">
        <v>2.4544410000000001</v>
      </c>
      <c r="L1605" s="33">
        <v>2134</v>
      </c>
      <c r="M1605" s="32">
        <v>366</v>
      </c>
      <c r="N1605" s="32">
        <v>471</v>
      </c>
      <c r="O1605" s="32">
        <v>580</v>
      </c>
      <c r="P1605" s="32">
        <v>484</v>
      </c>
      <c r="Q1605" s="32">
        <v>233</v>
      </c>
      <c r="R1605" s="32">
        <v>4</v>
      </c>
      <c r="S1605" s="32">
        <v>23.120100000000001</v>
      </c>
      <c r="T1605" s="32">
        <v>9.7528199999999998</v>
      </c>
      <c r="U1605" s="32">
        <v>0.64689083400000003</v>
      </c>
      <c r="V1605" s="32">
        <v>8</v>
      </c>
      <c r="W1605" s="32">
        <v>0.90558700000000003</v>
      </c>
      <c r="X1605" s="32">
        <v>0.13342899999999999</v>
      </c>
      <c r="Y1605" s="32">
        <v>0.8</v>
      </c>
      <c r="Z1605" s="32">
        <v>0.61153800000000003</v>
      </c>
      <c r="AA1605" s="32">
        <v>51.3</v>
      </c>
      <c r="AB1605" s="32">
        <v>653</v>
      </c>
      <c r="AC1605" s="32">
        <v>30</v>
      </c>
      <c r="AD1605" s="32">
        <v>41</v>
      </c>
      <c r="AE1605" s="32">
        <v>0</v>
      </c>
      <c r="AF1605" s="32">
        <v>0</v>
      </c>
      <c r="AG1605" s="32" t="s">
        <v>200</v>
      </c>
    </row>
    <row r="1606" spans="1:33">
      <c r="A1606" s="32" t="s">
        <v>1274</v>
      </c>
      <c r="C1606" s="32" t="s">
        <v>1275</v>
      </c>
      <c r="D1606" s="32" t="s">
        <v>1276</v>
      </c>
      <c r="E1606" s="32" t="s">
        <v>871</v>
      </c>
      <c r="F1606" s="32" t="s">
        <v>872</v>
      </c>
      <c r="G1606" s="32" t="s">
        <v>873</v>
      </c>
      <c r="H1606" s="32" t="s">
        <v>874</v>
      </c>
      <c r="I1606" s="32" t="s">
        <v>198</v>
      </c>
      <c r="J1606" s="32" t="s">
        <v>199</v>
      </c>
      <c r="K1606" s="32">
        <v>2.8818100000000002</v>
      </c>
      <c r="L1606" s="33">
        <v>1375</v>
      </c>
      <c r="M1606" s="32">
        <v>187</v>
      </c>
      <c r="N1606" s="32">
        <v>424</v>
      </c>
      <c r="O1606" s="32">
        <v>408</v>
      </c>
      <c r="P1606" s="32">
        <v>293</v>
      </c>
      <c r="Q1606" s="32">
        <v>63</v>
      </c>
      <c r="R1606" s="32" t="s">
        <v>668</v>
      </c>
      <c r="S1606" s="32">
        <v>188.32300000000001</v>
      </c>
      <c r="T1606" s="32">
        <v>46.777000000000001</v>
      </c>
      <c r="U1606" s="32">
        <v>0.43929950699999998</v>
      </c>
      <c r="V1606" s="32">
        <v>7</v>
      </c>
      <c r="W1606" s="32">
        <v>1</v>
      </c>
      <c r="X1606" s="32">
        <v>0.194826</v>
      </c>
      <c r="Y1606" s="32">
        <v>0.68725700000000001</v>
      </c>
      <c r="Z1606" s="32">
        <v>1</v>
      </c>
      <c r="AA1606" s="32">
        <v>22.1</v>
      </c>
      <c r="AB1606" s="32">
        <v>735</v>
      </c>
      <c r="AC1606" s="32">
        <v>13</v>
      </c>
      <c r="AD1606" s="32">
        <v>244</v>
      </c>
      <c r="AE1606" s="32">
        <v>12</v>
      </c>
      <c r="AF1606" s="32">
        <v>11</v>
      </c>
      <c r="AG1606" s="32">
        <v>30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AA1837"/>
  <sheetViews>
    <sheetView workbookViewId="0">
      <pane ySplit="1" topLeftCell="A2" activePane="bottomLeft" state="frozen"/>
      <selection pane="bottomLeft" activeCell="B3" sqref="B3"/>
    </sheetView>
  </sheetViews>
  <sheetFormatPr defaultColWidth="14.42578125" defaultRowHeight="15.75" customHeight="1"/>
  <cols>
    <col min="1" max="18" width="9.5703125" customWidth="1"/>
    <col min="19" max="21" width="9.5703125" hidden="1" customWidth="1"/>
    <col min="22" max="27" width="9.5703125" customWidth="1"/>
  </cols>
  <sheetData>
    <row r="1" spans="1:27">
      <c r="A1" s="34" t="s">
        <v>153</v>
      </c>
      <c r="B1" s="34" t="s">
        <v>158</v>
      </c>
      <c r="C1" s="34" t="s">
        <v>160</v>
      </c>
      <c r="D1" s="34" t="s">
        <v>161</v>
      </c>
      <c r="E1" s="34" t="s">
        <v>162</v>
      </c>
      <c r="F1" s="34" t="s">
        <v>163</v>
      </c>
      <c r="G1" s="34" t="s">
        <v>164</v>
      </c>
      <c r="H1" s="34" t="s">
        <v>165</v>
      </c>
      <c r="I1" s="34" t="s">
        <v>166</v>
      </c>
      <c r="J1" s="34" t="s">
        <v>167</v>
      </c>
      <c r="K1" s="34" t="s">
        <v>168</v>
      </c>
      <c r="L1" s="34" t="s">
        <v>169</v>
      </c>
      <c r="M1" s="34" t="s">
        <v>170</v>
      </c>
      <c r="N1" s="34" t="s">
        <v>171</v>
      </c>
      <c r="O1" s="34" t="s">
        <v>172</v>
      </c>
      <c r="P1" s="34" t="s">
        <v>173</v>
      </c>
      <c r="Q1" s="34" t="s">
        <v>174</v>
      </c>
      <c r="R1" s="34" t="s">
        <v>175</v>
      </c>
      <c r="S1" s="34" t="s">
        <v>176</v>
      </c>
      <c r="T1" s="34" t="s">
        <v>177</v>
      </c>
      <c r="U1" s="34" t="s">
        <v>178</v>
      </c>
      <c r="V1" s="34" t="s">
        <v>179</v>
      </c>
      <c r="W1" s="34" t="s">
        <v>180</v>
      </c>
      <c r="X1" s="34" t="s">
        <v>181</v>
      </c>
      <c r="Y1" s="34" t="s">
        <v>182</v>
      </c>
      <c r="Z1" s="34" t="s">
        <v>183</v>
      </c>
      <c r="AA1" s="35"/>
    </row>
    <row r="2" spans="1:27">
      <c r="A2" s="16" t="s">
        <v>32</v>
      </c>
      <c r="B2" s="16" t="s">
        <v>191</v>
      </c>
      <c r="C2" s="16" t="s">
        <v>192</v>
      </c>
      <c r="D2" s="16" t="s">
        <v>193</v>
      </c>
      <c r="E2" s="16" t="s">
        <v>194</v>
      </c>
      <c r="F2" s="16" t="s">
        <v>195</v>
      </c>
      <c r="G2" s="16" t="s">
        <v>196</v>
      </c>
      <c r="H2" s="16" t="s">
        <v>197</v>
      </c>
      <c r="I2" s="16" t="s">
        <v>198</v>
      </c>
      <c r="J2" s="16" t="s">
        <v>199</v>
      </c>
      <c r="K2" s="16">
        <v>2.1494949999999999</v>
      </c>
      <c r="L2" s="36">
        <v>1410</v>
      </c>
      <c r="M2" s="16">
        <v>210</v>
      </c>
      <c r="N2" s="16">
        <v>242</v>
      </c>
      <c r="O2" s="16">
        <v>230</v>
      </c>
      <c r="P2" s="16">
        <v>416</v>
      </c>
      <c r="Q2" s="16">
        <v>312</v>
      </c>
      <c r="R2" s="16">
        <v>2</v>
      </c>
      <c r="S2" s="16">
        <v>9.1628100000000003</v>
      </c>
      <c r="T2" s="16">
        <v>5.3887400000000003</v>
      </c>
      <c r="U2" s="16">
        <v>0.79312555799999995</v>
      </c>
      <c r="V2" s="16">
        <v>8</v>
      </c>
      <c r="W2" s="16">
        <v>0.84516599999999997</v>
      </c>
      <c r="X2" s="16">
        <v>0.187338</v>
      </c>
      <c r="Y2" s="16">
        <v>0.8</v>
      </c>
      <c r="Z2" s="16">
        <v>0.3</v>
      </c>
      <c r="AA2" s="37"/>
    </row>
    <row r="3" spans="1:27">
      <c r="A3" s="16" t="s">
        <v>32</v>
      </c>
      <c r="B3" s="16" t="s">
        <v>201</v>
      </c>
      <c r="C3" s="16" t="s">
        <v>202</v>
      </c>
      <c r="D3" s="16" t="s">
        <v>203</v>
      </c>
      <c r="E3" s="16" t="s">
        <v>204</v>
      </c>
      <c r="F3" s="16" t="s">
        <v>205</v>
      </c>
      <c r="G3" s="16" t="s">
        <v>196</v>
      </c>
      <c r="H3" s="16" t="s">
        <v>197</v>
      </c>
      <c r="I3" s="16" t="s">
        <v>198</v>
      </c>
      <c r="J3" s="16" t="s">
        <v>199</v>
      </c>
      <c r="K3" s="16">
        <v>2.2696969999999999</v>
      </c>
      <c r="L3" s="36">
        <v>1338</v>
      </c>
      <c r="M3" s="16">
        <v>292</v>
      </c>
      <c r="N3" s="16">
        <v>215</v>
      </c>
      <c r="O3" s="16">
        <v>266</v>
      </c>
      <c r="P3" s="16">
        <v>343</v>
      </c>
      <c r="Q3" s="16">
        <v>222</v>
      </c>
      <c r="R3" s="16">
        <v>2</v>
      </c>
      <c r="S3" s="16">
        <v>10.084899999999999</v>
      </c>
      <c r="T3" s="16">
        <v>5.7682500000000001</v>
      </c>
      <c r="U3" s="16">
        <v>0.77088544999999997</v>
      </c>
      <c r="V3" s="16">
        <v>7</v>
      </c>
      <c r="W3" s="16">
        <v>0.85174799999999995</v>
      </c>
      <c r="X3" s="16">
        <v>0.20460800000000001</v>
      </c>
      <c r="Y3" s="16">
        <v>0.8</v>
      </c>
      <c r="Z3" s="16">
        <v>0.39399499999999998</v>
      </c>
      <c r="AA3" s="37"/>
    </row>
    <row r="4" spans="1:27">
      <c r="A4" s="16" t="s">
        <v>32</v>
      </c>
      <c r="B4" s="16" t="s">
        <v>206</v>
      </c>
      <c r="C4" s="16" t="s">
        <v>207</v>
      </c>
      <c r="D4" s="16" t="s">
        <v>208</v>
      </c>
      <c r="E4" s="16" t="s">
        <v>194</v>
      </c>
      <c r="F4" s="16" t="s">
        <v>195</v>
      </c>
      <c r="G4" s="16" t="s">
        <v>196</v>
      </c>
      <c r="H4" s="16" t="s">
        <v>197</v>
      </c>
      <c r="I4" s="16" t="s">
        <v>198</v>
      </c>
      <c r="J4" s="16" t="s">
        <v>199</v>
      </c>
      <c r="K4" s="16">
        <v>2.1033870000000001</v>
      </c>
      <c r="L4" s="36">
        <v>1673</v>
      </c>
      <c r="M4" s="16">
        <v>337</v>
      </c>
      <c r="N4" s="16">
        <v>271</v>
      </c>
      <c r="O4" s="16">
        <v>312</v>
      </c>
      <c r="P4" s="16">
        <v>418</v>
      </c>
      <c r="Q4" s="16">
        <v>335</v>
      </c>
      <c r="R4" s="16">
        <v>2</v>
      </c>
      <c r="S4" s="16">
        <v>8.8304899999999993</v>
      </c>
      <c r="T4" s="16">
        <v>0</v>
      </c>
      <c r="U4" s="16">
        <v>0.92531972699999998</v>
      </c>
      <c r="V4" s="16">
        <v>6</v>
      </c>
      <c r="W4" s="16">
        <v>0.84675400000000001</v>
      </c>
      <c r="X4" s="16">
        <v>0.13930300000000001</v>
      </c>
      <c r="Y4" s="16">
        <v>0.80758300000000005</v>
      </c>
      <c r="Z4" s="16">
        <v>0.3</v>
      </c>
      <c r="AA4" s="37"/>
    </row>
    <row r="5" spans="1:27">
      <c r="A5" s="16" t="s">
        <v>32</v>
      </c>
      <c r="B5" s="16" t="s">
        <v>209</v>
      </c>
      <c r="C5" s="16" t="s">
        <v>210</v>
      </c>
      <c r="D5" s="16" t="s">
        <v>211</v>
      </c>
      <c r="E5" s="16" t="s">
        <v>212</v>
      </c>
      <c r="F5" s="16" t="s">
        <v>213</v>
      </c>
      <c r="G5" s="16" t="s">
        <v>196</v>
      </c>
      <c r="H5" s="16" t="s">
        <v>197</v>
      </c>
      <c r="I5" s="16" t="s">
        <v>198</v>
      </c>
      <c r="J5" s="16" t="s">
        <v>199</v>
      </c>
      <c r="K5" s="16">
        <v>2.0196070000000002</v>
      </c>
      <c r="L5" s="36">
        <v>1549</v>
      </c>
      <c r="M5" s="16">
        <v>311</v>
      </c>
      <c r="N5" s="16">
        <v>228</v>
      </c>
      <c r="O5" s="16">
        <v>337</v>
      </c>
      <c r="P5" s="16">
        <v>421</v>
      </c>
      <c r="Q5" s="16">
        <v>252</v>
      </c>
      <c r="R5" s="16" t="s">
        <v>214</v>
      </c>
      <c r="S5" s="16">
        <v>7.1360099999999997</v>
      </c>
      <c r="T5" s="16">
        <v>0</v>
      </c>
      <c r="U5" s="16">
        <v>1.022770035</v>
      </c>
      <c r="V5" s="16">
        <v>5</v>
      </c>
      <c r="W5" s="16">
        <v>0.82860199999999995</v>
      </c>
      <c r="X5" s="16">
        <v>0.11988699999999999</v>
      </c>
      <c r="Y5" s="16">
        <v>0.80609200000000003</v>
      </c>
      <c r="Z5" s="16">
        <v>0.25371700000000003</v>
      </c>
      <c r="AA5" s="37"/>
    </row>
    <row r="6" spans="1:27">
      <c r="A6" s="16" t="s">
        <v>32</v>
      </c>
      <c r="B6" s="16" t="s">
        <v>215</v>
      </c>
      <c r="C6" s="16" t="s">
        <v>216</v>
      </c>
      <c r="D6" s="16" t="s">
        <v>217</v>
      </c>
      <c r="E6" s="16" t="s">
        <v>218</v>
      </c>
      <c r="F6" s="16" t="s">
        <v>219</v>
      </c>
      <c r="G6" s="16" t="s">
        <v>196</v>
      </c>
      <c r="H6" s="16" t="s">
        <v>197</v>
      </c>
      <c r="I6" s="16" t="s">
        <v>198</v>
      </c>
      <c r="J6" s="16" t="s">
        <v>199</v>
      </c>
      <c r="K6" s="16">
        <v>2.0852219999999999</v>
      </c>
      <c r="L6" s="36">
        <v>1642</v>
      </c>
      <c r="M6" s="16">
        <v>343</v>
      </c>
      <c r="N6" s="16">
        <v>239</v>
      </c>
      <c r="O6" s="16">
        <v>423</v>
      </c>
      <c r="P6" s="16">
        <v>434</v>
      </c>
      <c r="Q6" s="16">
        <v>203</v>
      </c>
      <c r="R6" s="16">
        <v>2</v>
      </c>
      <c r="S6" s="16">
        <v>10.895099999999999</v>
      </c>
      <c r="T6" s="16">
        <v>6.1930300000000003</v>
      </c>
      <c r="U6" s="16">
        <v>1.019911789</v>
      </c>
      <c r="V6" s="16">
        <v>4</v>
      </c>
      <c r="W6" s="16">
        <v>0.808867</v>
      </c>
      <c r="X6" s="16">
        <v>5.6128999999999998E-2</v>
      </c>
      <c r="Y6" s="16">
        <v>0.8</v>
      </c>
      <c r="Z6" s="16">
        <v>0.41797400000000001</v>
      </c>
      <c r="AA6" s="37"/>
    </row>
    <row r="7" spans="1:27">
      <c r="A7" s="16" t="s">
        <v>32</v>
      </c>
      <c r="B7" s="16" t="s">
        <v>220</v>
      </c>
      <c r="C7" s="16" t="s">
        <v>221</v>
      </c>
      <c r="D7" s="16" t="s">
        <v>222</v>
      </c>
      <c r="E7" s="16" t="s">
        <v>223</v>
      </c>
      <c r="F7" s="16" t="s">
        <v>224</v>
      </c>
      <c r="G7" s="16" t="s">
        <v>196</v>
      </c>
      <c r="H7" s="16" t="s">
        <v>197</v>
      </c>
      <c r="I7" s="16" t="s">
        <v>198</v>
      </c>
      <c r="J7" s="16" t="s">
        <v>199</v>
      </c>
      <c r="K7" s="16">
        <v>2.1980249999999999</v>
      </c>
      <c r="L7" s="36">
        <v>1841</v>
      </c>
      <c r="M7" s="16">
        <v>433</v>
      </c>
      <c r="N7" s="16">
        <v>344</v>
      </c>
      <c r="O7" s="16">
        <v>385</v>
      </c>
      <c r="P7" s="16">
        <v>460</v>
      </c>
      <c r="Q7" s="16">
        <v>219</v>
      </c>
      <c r="R7" s="16" t="s">
        <v>225</v>
      </c>
      <c r="S7" s="16">
        <v>5.6682800000000002</v>
      </c>
      <c r="T7" s="16">
        <v>0</v>
      </c>
      <c r="U7" s="16">
        <v>1.1218380779999999</v>
      </c>
      <c r="V7" s="16">
        <v>2</v>
      </c>
      <c r="W7" s="16">
        <v>0.82441699999999996</v>
      </c>
      <c r="X7" s="16">
        <v>0.20966000000000001</v>
      </c>
      <c r="Y7" s="16">
        <v>0.8</v>
      </c>
      <c r="Z7" s="16">
        <v>0.33974599999999999</v>
      </c>
      <c r="AA7" s="37"/>
    </row>
    <row r="8" spans="1:27">
      <c r="A8" s="16" t="s">
        <v>32</v>
      </c>
      <c r="B8" s="16" t="s">
        <v>226</v>
      </c>
      <c r="C8" s="16" t="s">
        <v>227</v>
      </c>
      <c r="D8" s="16" t="s">
        <v>228</v>
      </c>
      <c r="E8" s="16" t="s">
        <v>223</v>
      </c>
      <c r="F8" s="16" t="s">
        <v>224</v>
      </c>
      <c r="G8" s="16" t="s">
        <v>196</v>
      </c>
      <c r="H8" s="16" t="s">
        <v>197</v>
      </c>
      <c r="I8" s="16" t="s">
        <v>198</v>
      </c>
      <c r="J8" s="16" t="s">
        <v>199</v>
      </c>
      <c r="K8" s="16">
        <v>2.0113210000000001</v>
      </c>
      <c r="L8" s="36">
        <v>2056</v>
      </c>
      <c r="M8" s="16">
        <v>556</v>
      </c>
      <c r="N8" s="16">
        <v>407</v>
      </c>
      <c r="O8" s="16">
        <v>462</v>
      </c>
      <c r="P8" s="16">
        <v>463</v>
      </c>
      <c r="Q8" s="16">
        <v>168</v>
      </c>
      <c r="R8" s="16" t="s">
        <v>214</v>
      </c>
      <c r="S8" s="16">
        <v>4.4194599999999999</v>
      </c>
      <c r="T8" s="16">
        <v>0</v>
      </c>
      <c r="U8" s="16">
        <v>1.4865733379999999</v>
      </c>
      <c r="V8" s="16">
        <v>1</v>
      </c>
      <c r="W8" s="16">
        <v>0.8</v>
      </c>
      <c r="X8" s="16">
        <v>9.1824000000000003E-2</v>
      </c>
      <c r="Y8" s="16">
        <v>0.8</v>
      </c>
      <c r="Z8" s="16">
        <v>0.31970700000000002</v>
      </c>
      <c r="AA8" s="37"/>
    </row>
    <row r="9" spans="1:27">
      <c r="A9" s="16" t="s">
        <v>32</v>
      </c>
      <c r="B9" s="16" t="s">
        <v>229</v>
      </c>
      <c r="C9" s="16" t="s">
        <v>230</v>
      </c>
      <c r="D9" s="16" t="s">
        <v>231</v>
      </c>
      <c r="E9" s="16" t="s">
        <v>232</v>
      </c>
      <c r="F9" s="16" t="s">
        <v>233</v>
      </c>
      <c r="G9" s="16" t="s">
        <v>196</v>
      </c>
      <c r="H9" s="16" t="s">
        <v>197</v>
      </c>
      <c r="I9" s="16" t="s">
        <v>198</v>
      </c>
      <c r="J9" s="16" t="s">
        <v>199</v>
      </c>
      <c r="K9" s="16">
        <v>2.1790319999999999</v>
      </c>
      <c r="L9" s="36">
        <v>1764</v>
      </c>
      <c r="M9" s="16">
        <v>413</v>
      </c>
      <c r="N9" s="16">
        <v>309</v>
      </c>
      <c r="O9" s="16">
        <v>354</v>
      </c>
      <c r="P9" s="16">
        <v>423</v>
      </c>
      <c r="Q9" s="16">
        <v>265</v>
      </c>
      <c r="R9" s="16">
        <v>2</v>
      </c>
      <c r="S9" s="16">
        <v>8.8016400000000008</v>
      </c>
      <c r="T9" s="16">
        <v>0</v>
      </c>
      <c r="U9" s="16">
        <v>1.0088447229999999</v>
      </c>
      <c r="V9" s="16">
        <v>4</v>
      </c>
      <c r="W9" s="16">
        <v>0.86370999999999998</v>
      </c>
      <c r="X9" s="16">
        <v>0.170096</v>
      </c>
      <c r="Y9" s="16">
        <v>0.82588399999999995</v>
      </c>
      <c r="Z9" s="16">
        <v>0.32676300000000003</v>
      </c>
      <c r="AA9" s="37"/>
    </row>
    <row r="10" spans="1:27">
      <c r="A10" s="16" t="s">
        <v>32</v>
      </c>
      <c r="B10" s="16" t="s">
        <v>234</v>
      </c>
      <c r="C10" s="16" t="s">
        <v>235</v>
      </c>
      <c r="D10" s="16" t="s">
        <v>236</v>
      </c>
      <c r="E10" s="16" t="s">
        <v>237</v>
      </c>
      <c r="F10" s="16" t="s">
        <v>238</v>
      </c>
      <c r="G10" s="16" t="s">
        <v>196</v>
      </c>
      <c r="H10" s="16" t="s">
        <v>197</v>
      </c>
      <c r="I10" s="16" t="s">
        <v>198</v>
      </c>
      <c r="J10" s="16" t="s">
        <v>199</v>
      </c>
      <c r="K10" s="16">
        <v>2.2127159999999999</v>
      </c>
      <c r="L10" s="36">
        <v>1819</v>
      </c>
      <c r="M10" s="16">
        <v>384</v>
      </c>
      <c r="N10" s="16">
        <v>393</v>
      </c>
      <c r="O10" s="16">
        <v>390</v>
      </c>
      <c r="P10" s="16">
        <v>472</v>
      </c>
      <c r="Q10" s="16">
        <v>180</v>
      </c>
      <c r="R10" s="16">
        <v>2</v>
      </c>
      <c r="S10" s="16">
        <v>11.3222</v>
      </c>
      <c r="T10" s="16">
        <v>0</v>
      </c>
      <c r="U10" s="16">
        <v>1.377705757</v>
      </c>
      <c r="V10" s="16">
        <v>2</v>
      </c>
      <c r="W10" s="16">
        <v>0.87160499999999996</v>
      </c>
      <c r="X10" s="16">
        <v>0.15318599999999999</v>
      </c>
      <c r="Y10" s="16">
        <v>0.89253400000000005</v>
      </c>
      <c r="Z10" s="16">
        <v>0.30970500000000001</v>
      </c>
      <c r="AA10" s="37"/>
    </row>
    <row r="11" spans="1:27">
      <c r="A11" s="16" t="s">
        <v>32</v>
      </c>
      <c r="B11" s="16" t="s">
        <v>239</v>
      </c>
      <c r="C11" s="16" t="s">
        <v>240</v>
      </c>
      <c r="D11" s="16" t="s">
        <v>241</v>
      </c>
      <c r="E11" s="16" t="s">
        <v>242</v>
      </c>
      <c r="F11" s="16" t="s">
        <v>243</v>
      </c>
      <c r="G11" s="16" t="s">
        <v>196</v>
      </c>
      <c r="H11" s="16" t="s">
        <v>197</v>
      </c>
      <c r="I11" s="16" t="s">
        <v>198</v>
      </c>
      <c r="J11" s="16" t="s">
        <v>199</v>
      </c>
      <c r="K11" s="16">
        <v>2.1736</v>
      </c>
      <c r="L11" s="36">
        <v>1652</v>
      </c>
      <c r="M11" s="16">
        <v>349</v>
      </c>
      <c r="N11" s="16">
        <v>301</v>
      </c>
      <c r="O11" s="16">
        <v>378</v>
      </c>
      <c r="P11" s="16">
        <v>391</v>
      </c>
      <c r="Q11" s="16">
        <v>233</v>
      </c>
      <c r="R11" s="16">
        <v>2</v>
      </c>
      <c r="S11" s="16">
        <v>8.5313800000000004</v>
      </c>
      <c r="T11" s="16">
        <v>4.1134300000000001</v>
      </c>
      <c r="U11" s="16">
        <v>0.98943436900000004</v>
      </c>
      <c r="V11" s="16">
        <v>4</v>
      </c>
      <c r="W11" s="16">
        <v>0.88826700000000003</v>
      </c>
      <c r="X11" s="16">
        <v>0.13897799999999999</v>
      </c>
      <c r="Y11" s="16">
        <v>0.86608099999999999</v>
      </c>
      <c r="Z11" s="16">
        <v>0.29986499999999999</v>
      </c>
      <c r="AA11" s="37"/>
    </row>
    <row r="12" spans="1:27">
      <c r="A12" s="16" t="s">
        <v>32</v>
      </c>
      <c r="B12" s="16" t="s">
        <v>244</v>
      </c>
      <c r="C12" s="16" t="s">
        <v>245</v>
      </c>
      <c r="D12" s="16" t="s">
        <v>246</v>
      </c>
      <c r="E12" s="16" t="s">
        <v>242</v>
      </c>
      <c r="F12" s="16" t="s">
        <v>243</v>
      </c>
      <c r="G12" s="16" t="s">
        <v>196</v>
      </c>
      <c r="H12" s="16" t="s">
        <v>197</v>
      </c>
      <c r="I12" s="16" t="s">
        <v>198</v>
      </c>
      <c r="J12" s="16" t="s">
        <v>199</v>
      </c>
      <c r="K12" s="16">
        <v>2.3251119999999998</v>
      </c>
      <c r="L12" s="36">
        <v>1607</v>
      </c>
      <c r="M12" s="16">
        <v>324</v>
      </c>
      <c r="N12" s="16">
        <v>324</v>
      </c>
      <c r="O12" s="16">
        <v>320</v>
      </c>
      <c r="P12" s="16">
        <v>414</v>
      </c>
      <c r="Q12" s="16">
        <v>225</v>
      </c>
      <c r="R12" s="16">
        <v>2</v>
      </c>
      <c r="S12" s="16">
        <v>12.7486</v>
      </c>
      <c r="T12" s="16">
        <v>0</v>
      </c>
      <c r="U12" s="16">
        <v>0.95515237600000003</v>
      </c>
      <c r="V12" s="16">
        <v>4</v>
      </c>
      <c r="W12" s="16">
        <v>0.91494799999999998</v>
      </c>
      <c r="X12" s="16">
        <v>0.242814</v>
      </c>
      <c r="Y12" s="16">
        <v>0.80073700000000003</v>
      </c>
      <c r="Z12" s="16">
        <v>0.39299600000000001</v>
      </c>
      <c r="AA12" s="37"/>
    </row>
    <row r="13" spans="1:27">
      <c r="A13" s="16" t="s">
        <v>32</v>
      </c>
      <c r="B13" s="16" t="s">
        <v>247</v>
      </c>
      <c r="C13" s="16" t="s">
        <v>248</v>
      </c>
      <c r="D13" s="16" t="s">
        <v>249</v>
      </c>
      <c r="E13" s="16" t="s">
        <v>204</v>
      </c>
      <c r="F13" s="16" t="s">
        <v>205</v>
      </c>
      <c r="G13" s="16" t="s">
        <v>196</v>
      </c>
      <c r="H13" s="16" t="s">
        <v>197</v>
      </c>
      <c r="I13" s="16" t="s">
        <v>198</v>
      </c>
      <c r="J13" s="16" t="s">
        <v>199</v>
      </c>
      <c r="K13" s="16">
        <v>2.093537</v>
      </c>
      <c r="L13" s="36">
        <v>1588</v>
      </c>
      <c r="M13" s="16">
        <v>355</v>
      </c>
      <c r="N13" s="16">
        <v>309</v>
      </c>
      <c r="O13" s="16">
        <v>297</v>
      </c>
      <c r="P13" s="16">
        <v>432</v>
      </c>
      <c r="Q13" s="16">
        <v>195</v>
      </c>
      <c r="R13" s="16" t="s">
        <v>225</v>
      </c>
      <c r="S13" s="16">
        <v>8.13706</v>
      </c>
      <c r="T13" s="16">
        <v>0</v>
      </c>
      <c r="U13" s="16">
        <v>1.0256724930000001</v>
      </c>
      <c r="V13" s="16">
        <v>4</v>
      </c>
      <c r="W13" s="16">
        <v>0.84931999999999996</v>
      </c>
      <c r="X13" s="16">
        <v>0.114729</v>
      </c>
      <c r="Y13" s="16">
        <v>0.8</v>
      </c>
      <c r="Z13" s="16">
        <v>0.34700599999999998</v>
      </c>
      <c r="AA13" s="37"/>
    </row>
    <row r="14" spans="1:27">
      <c r="A14" s="16" t="s">
        <v>32</v>
      </c>
      <c r="B14" s="16" t="s">
        <v>250</v>
      </c>
      <c r="C14" s="16" t="s">
        <v>251</v>
      </c>
      <c r="D14" s="16" t="s">
        <v>252</v>
      </c>
      <c r="E14" s="16" t="s">
        <v>232</v>
      </c>
      <c r="F14" s="16" t="s">
        <v>233</v>
      </c>
      <c r="G14" s="16" t="s">
        <v>196</v>
      </c>
      <c r="H14" s="16" t="s">
        <v>197</v>
      </c>
      <c r="I14" s="16" t="s">
        <v>198</v>
      </c>
      <c r="J14" s="16" t="s">
        <v>199</v>
      </c>
      <c r="K14" s="16">
        <v>2.222906</v>
      </c>
      <c r="L14" s="36">
        <v>1664</v>
      </c>
      <c r="M14" s="16">
        <v>353</v>
      </c>
      <c r="N14" s="16">
        <v>287</v>
      </c>
      <c r="O14" s="16">
        <v>361</v>
      </c>
      <c r="P14" s="16">
        <v>435</v>
      </c>
      <c r="Q14" s="16">
        <v>228</v>
      </c>
      <c r="R14" s="16" t="s">
        <v>225</v>
      </c>
      <c r="S14" s="16">
        <v>7.0585300000000002</v>
      </c>
      <c r="T14" s="16">
        <v>0</v>
      </c>
      <c r="U14" s="16">
        <v>0.99007371799999999</v>
      </c>
      <c r="V14" s="16">
        <v>3</v>
      </c>
      <c r="W14" s="16">
        <v>0.90034199999999998</v>
      </c>
      <c r="X14" s="16">
        <v>0.24712000000000001</v>
      </c>
      <c r="Y14" s="16">
        <v>0.8</v>
      </c>
      <c r="Z14" s="16">
        <v>0.3</v>
      </c>
      <c r="AA14" s="37"/>
    </row>
    <row r="15" spans="1:27">
      <c r="A15" s="16" t="s">
        <v>32</v>
      </c>
      <c r="B15" s="16" t="s">
        <v>253</v>
      </c>
      <c r="C15" s="16" t="s">
        <v>254</v>
      </c>
      <c r="D15" s="16" t="s">
        <v>255</v>
      </c>
      <c r="E15" s="16" t="s">
        <v>204</v>
      </c>
      <c r="F15" s="16" t="s">
        <v>205</v>
      </c>
      <c r="G15" s="16" t="s">
        <v>196</v>
      </c>
      <c r="H15" s="16" t="s">
        <v>197</v>
      </c>
      <c r="I15" s="16" t="s">
        <v>198</v>
      </c>
      <c r="J15" s="16" t="s">
        <v>199</v>
      </c>
      <c r="K15" s="16">
        <v>2.279318</v>
      </c>
      <c r="L15" s="36">
        <v>1375</v>
      </c>
      <c r="M15" s="16">
        <v>342</v>
      </c>
      <c r="N15" s="16">
        <v>269</v>
      </c>
      <c r="O15" s="16">
        <v>267</v>
      </c>
      <c r="P15" s="16">
        <v>327</v>
      </c>
      <c r="Q15" s="16">
        <v>170</v>
      </c>
      <c r="R15" s="16" t="s">
        <v>225</v>
      </c>
      <c r="S15" s="16">
        <v>8.0345099999999992</v>
      </c>
      <c r="T15" s="16">
        <v>2.5522999999999998</v>
      </c>
      <c r="U15" s="16">
        <v>0.93280606899999996</v>
      </c>
      <c r="V15" s="16">
        <v>4</v>
      </c>
      <c r="W15" s="16">
        <v>0.834009</v>
      </c>
      <c r="X15" s="16">
        <v>0.13592199999999999</v>
      </c>
      <c r="Y15" s="16">
        <v>0.8</v>
      </c>
      <c r="Z15" s="16">
        <v>0.50997899999999996</v>
      </c>
      <c r="AA15" s="37"/>
    </row>
    <row r="16" spans="1:27">
      <c r="A16" s="16" t="s">
        <v>32</v>
      </c>
      <c r="B16" s="16" t="s">
        <v>256</v>
      </c>
      <c r="C16" s="16" t="s">
        <v>257</v>
      </c>
      <c r="D16" s="16" t="s">
        <v>258</v>
      </c>
      <c r="E16" s="16" t="s">
        <v>242</v>
      </c>
      <c r="F16" s="16" t="s">
        <v>243</v>
      </c>
      <c r="G16" s="16" t="s">
        <v>196</v>
      </c>
      <c r="H16" s="16" t="s">
        <v>197</v>
      </c>
      <c r="I16" s="16" t="s">
        <v>198</v>
      </c>
      <c r="J16" s="16" t="s">
        <v>199</v>
      </c>
      <c r="K16" s="16">
        <v>2.2284730000000001</v>
      </c>
      <c r="L16" s="36">
        <v>1474</v>
      </c>
      <c r="M16" s="16">
        <v>298</v>
      </c>
      <c r="N16" s="16">
        <v>248</v>
      </c>
      <c r="O16" s="16">
        <v>325</v>
      </c>
      <c r="P16" s="16">
        <v>345</v>
      </c>
      <c r="Q16" s="16">
        <v>258</v>
      </c>
      <c r="R16" s="16" t="s">
        <v>225</v>
      </c>
      <c r="S16" s="16">
        <v>9.1749399999999994</v>
      </c>
      <c r="T16" s="16">
        <v>0</v>
      </c>
      <c r="U16" s="16">
        <v>0.97633636599999996</v>
      </c>
      <c r="V16" s="16">
        <v>4</v>
      </c>
      <c r="W16" s="16">
        <v>0.89759900000000004</v>
      </c>
      <c r="X16" s="16">
        <v>0.19591800000000001</v>
      </c>
      <c r="Y16" s="16">
        <v>0.8</v>
      </c>
      <c r="Z16" s="16">
        <v>0.31836700000000001</v>
      </c>
      <c r="AA16" s="37"/>
    </row>
    <row r="17" spans="1:27">
      <c r="A17" s="16" t="s">
        <v>32</v>
      </c>
      <c r="B17" s="16" t="s">
        <v>259</v>
      </c>
      <c r="C17" s="16" t="s">
        <v>260</v>
      </c>
      <c r="D17" s="16" t="s">
        <v>261</v>
      </c>
      <c r="E17" s="16" t="s">
        <v>204</v>
      </c>
      <c r="F17" s="16" t="s">
        <v>205</v>
      </c>
      <c r="G17" s="16" t="s">
        <v>196</v>
      </c>
      <c r="H17" s="16" t="s">
        <v>197</v>
      </c>
      <c r="I17" s="16" t="s">
        <v>198</v>
      </c>
      <c r="J17" s="16" t="s">
        <v>199</v>
      </c>
      <c r="K17" s="16">
        <v>2.5760670000000001</v>
      </c>
      <c r="L17" s="36">
        <v>1824</v>
      </c>
      <c r="M17" s="16">
        <v>477</v>
      </c>
      <c r="N17" s="16">
        <v>290</v>
      </c>
      <c r="O17" s="16">
        <v>431</v>
      </c>
      <c r="P17" s="16">
        <v>425</v>
      </c>
      <c r="Q17" s="16">
        <v>201</v>
      </c>
      <c r="R17" s="16">
        <v>2</v>
      </c>
      <c r="S17" s="16">
        <v>18.752300000000002</v>
      </c>
      <c r="T17" s="16">
        <v>3.4238599999999999</v>
      </c>
      <c r="U17" s="16">
        <v>0.73166924200000005</v>
      </c>
      <c r="V17" s="16">
        <v>4</v>
      </c>
      <c r="W17" s="16">
        <v>0.85157700000000003</v>
      </c>
      <c r="X17" s="16">
        <v>0.205789</v>
      </c>
      <c r="Y17" s="16">
        <v>0.8</v>
      </c>
      <c r="Z17" s="16">
        <v>0.72230499999999997</v>
      </c>
      <c r="AA17" s="37"/>
    </row>
    <row r="18" spans="1:27">
      <c r="A18" s="16" t="s">
        <v>32</v>
      </c>
      <c r="B18" s="16" t="s">
        <v>262</v>
      </c>
      <c r="C18" s="16" t="s">
        <v>263</v>
      </c>
      <c r="D18" s="16" t="s">
        <v>264</v>
      </c>
      <c r="E18" s="16" t="s">
        <v>265</v>
      </c>
      <c r="F18" s="16" t="s">
        <v>266</v>
      </c>
      <c r="G18" s="16" t="s">
        <v>196</v>
      </c>
      <c r="H18" s="16" t="s">
        <v>197</v>
      </c>
      <c r="I18" s="16" t="s">
        <v>198</v>
      </c>
      <c r="J18" s="16" t="s">
        <v>199</v>
      </c>
      <c r="K18" s="16">
        <v>2.4260600000000001</v>
      </c>
      <c r="L18" s="36">
        <v>1967</v>
      </c>
      <c r="M18" s="16">
        <v>488</v>
      </c>
      <c r="N18" s="16">
        <v>381</v>
      </c>
      <c r="O18" s="16">
        <v>405</v>
      </c>
      <c r="P18" s="16">
        <v>485</v>
      </c>
      <c r="Q18" s="16">
        <v>208</v>
      </c>
      <c r="R18" s="16">
        <v>2</v>
      </c>
      <c r="S18" s="16">
        <v>16.067799999999998</v>
      </c>
      <c r="T18" s="16">
        <v>0</v>
      </c>
      <c r="U18" s="16">
        <v>1.0025482429999999</v>
      </c>
      <c r="V18" s="16">
        <v>2</v>
      </c>
      <c r="W18" s="16">
        <v>0.82044700000000004</v>
      </c>
      <c r="X18" s="16">
        <v>0.22065699999999999</v>
      </c>
      <c r="Y18" s="16">
        <v>0.8</v>
      </c>
      <c r="Z18" s="16">
        <v>0.57796099999999995</v>
      </c>
      <c r="AA18" s="37"/>
    </row>
    <row r="19" spans="1:27">
      <c r="A19" s="16" t="s">
        <v>32</v>
      </c>
      <c r="B19" s="16" t="s">
        <v>267</v>
      </c>
      <c r="C19" s="16" t="s">
        <v>268</v>
      </c>
      <c r="D19" s="16" t="s">
        <v>269</v>
      </c>
      <c r="E19" s="16" t="s">
        <v>218</v>
      </c>
      <c r="F19" s="16" t="s">
        <v>219</v>
      </c>
      <c r="G19" s="16" t="s">
        <v>196</v>
      </c>
      <c r="H19" s="16" t="s">
        <v>197</v>
      </c>
      <c r="I19" s="16" t="s">
        <v>198</v>
      </c>
      <c r="J19" s="16" t="s">
        <v>199</v>
      </c>
      <c r="K19" s="16">
        <v>2.3256760000000001</v>
      </c>
      <c r="L19" s="36">
        <v>1993</v>
      </c>
      <c r="M19" s="16">
        <v>529</v>
      </c>
      <c r="N19" s="16">
        <v>398</v>
      </c>
      <c r="O19" s="16">
        <v>486</v>
      </c>
      <c r="P19" s="16">
        <v>457</v>
      </c>
      <c r="Q19" s="16">
        <v>123</v>
      </c>
      <c r="R19" s="16">
        <v>2</v>
      </c>
      <c r="S19" s="16">
        <v>14.3025</v>
      </c>
      <c r="T19" s="16">
        <v>2.5756600000000001</v>
      </c>
      <c r="U19" s="16">
        <v>1.117780274</v>
      </c>
      <c r="V19" s="16">
        <v>2</v>
      </c>
      <c r="W19" s="16">
        <v>0.83783799999999997</v>
      </c>
      <c r="X19" s="16">
        <v>0.12532599999999999</v>
      </c>
      <c r="Y19" s="16">
        <v>0.8</v>
      </c>
      <c r="Z19" s="16">
        <v>0.55231600000000003</v>
      </c>
      <c r="AA19" s="37"/>
    </row>
    <row r="20" spans="1:27">
      <c r="A20" s="16" t="s">
        <v>32</v>
      </c>
      <c r="B20" s="16" t="s">
        <v>270</v>
      </c>
      <c r="C20" s="16" t="s">
        <v>271</v>
      </c>
      <c r="D20" s="16" t="s">
        <v>272</v>
      </c>
      <c r="E20" s="16" t="s">
        <v>223</v>
      </c>
      <c r="F20" s="16" t="s">
        <v>224</v>
      </c>
      <c r="G20" s="16" t="s">
        <v>196</v>
      </c>
      <c r="H20" s="16" t="s">
        <v>197</v>
      </c>
      <c r="I20" s="16" t="s">
        <v>198</v>
      </c>
      <c r="J20" s="16" t="s">
        <v>199</v>
      </c>
      <c r="K20" s="16">
        <v>2.249784</v>
      </c>
      <c r="L20" s="36">
        <v>1889</v>
      </c>
      <c r="M20" s="16">
        <v>526</v>
      </c>
      <c r="N20" s="16">
        <v>307</v>
      </c>
      <c r="O20" s="16">
        <v>372</v>
      </c>
      <c r="P20" s="16">
        <v>452</v>
      </c>
      <c r="Q20" s="16">
        <v>232</v>
      </c>
      <c r="R20" s="16" t="s">
        <v>225</v>
      </c>
      <c r="S20" s="16">
        <v>6.55741</v>
      </c>
      <c r="T20" s="16">
        <v>0</v>
      </c>
      <c r="U20" s="16">
        <v>1.048530371</v>
      </c>
      <c r="V20" s="16">
        <v>3</v>
      </c>
      <c r="W20" s="16">
        <v>0.84015200000000001</v>
      </c>
      <c r="X20" s="16">
        <v>0.226219</v>
      </c>
      <c r="Y20" s="16">
        <v>0.8</v>
      </c>
      <c r="Z20" s="16">
        <v>0.39913799999999999</v>
      </c>
      <c r="AA20" s="37"/>
    </row>
    <row r="21" spans="1:27">
      <c r="A21" s="16" t="s">
        <v>32</v>
      </c>
      <c r="B21" s="16" t="s">
        <v>273</v>
      </c>
      <c r="C21" s="16" t="s">
        <v>274</v>
      </c>
      <c r="D21" s="16" t="s">
        <v>275</v>
      </c>
      <c r="E21" s="16" t="s">
        <v>204</v>
      </c>
      <c r="F21" s="16" t="s">
        <v>205</v>
      </c>
      <c r="G21" s="16" t="s">
        <v>196</v>
      </c>
      <c r="H21" s="16" t="s">
        <v>197</v>
      </c>
      <c r="I21" s="16" t="s">
        <v>198</v>
      </c>
      <c r="J21" s="16" t="s">
        <v>199</v>
      </c>
      <c r="K21" s="16">
        <v>2.101337</v>
      </c>
      <c r="L21" s="36">
        <v>1836</v>
      </c>
      <c r="M21" s="16">
        <v>348</v>
      </c>
      <c r="N21" s="16">
        <v>365</v>
      </c>
      <c r="O21" s="16">
        <v>417</v>
      </c>
      <c r="P21" s="16">
        <v>475</v>
      </c>
      <c r="Q21" s="16">
        <v>231</v>
      </c>
      <c r="R21" s="16">
        <v>2</v>
      </c>
      <c r="S21" s="16">
        <v>17.8291</v>
      </c>
      <c r="T21" s="16">
        <v>0</v>
      </c>
      <c r="U21" s="16">
        <v>1.0182116510000001</v>
      </c>
      <c r="V21" s="16">
        <v>4</v>
      </c>
      <c r="W21" s="16">
        <v>0.81190300000000004</v>
      </c>
      <c r="X21" s="16">
        <v>0.108524</v>
      </c>
      <c r="Y21" s="16">
        <v>0.8</v>
      </c>
      <c r="Z21" s="16">
        <v>0.37865300000000002</v>
      </c>
      <c r="AA21" s="37"/>
    </row>
    <row r="22" spans="1:27">
      <c r="A22" s="16" t="s">
        <v>32</v>
      </c>
      <c r="B22" s="16" t="s">
        <v>276</v>
      </c>
      <c r="C22" s="16" t="s">
        <v>277</v>
      </c>
      <c r="D22" s="16" t="s">
        <v>278</v>
      </c>
      <c r="E22" s="16" t="s">
        <v>279</v>
      </c>
      <c r="F22" s="16" t="s">
        <v>280</v>
      </c>
      <c r="G22" s="16" t="s">
        <v>196</v>
      </c>
      <c r="H22" s="16" t="s">
        <v>197</v>
      </c>
      <c r="I22" s="16" t="s">
        <v>198</v>
      </c>
      <c r="J22" s="16" t="s">
        <v>199</v>
      </c>
      <c r="K22" s="16">
        <v>2.1710880000000001</v>
      </c>
      <c r="L22" s="36">
        <v>1944</v>
      </c>
      <c r="M22" s="16">
        <v>526</v>
      </c>
      <c r="N22" s="16">
        <v>394</v>
      </c>
      <c r="O22" s="16">
        <v>398</v>
      </c>
      <c r="P22" s="16">
        <v>468</v>
      </c>
      <c r="Q22" s="16">
        <v>158</v>
      </c>
      <c r="R22" s="16" t="s">
        <v>225</v>
      </c>
      <c r="S22" s="16">
        <v>6.8694199999999999</v>
      </c>
      <c r="T22" s="16">
        <v>1.3985000000000001</v>
      </c>
      <c r="U22" s="16">
        <v>1.4234858079999999</v>
      </c>
      <c r="V22" s="16">
        <v>1</v>
      </c>
      <c r="W22" s="16">
        <v>0.80766800000000005</v>
      </c>
      <c r="X22" s="16">
        <v>0.26701000000000003</v>
      </c>
      <c r="Y22" s="16">
        <v>0.8</v>
      </c>
      <c r="Z22" s="16">
        <v>0.30549799999999999</v>
      </c>
      <c r="AA22" s="37"/>
    </row>
    <row r="23" spans="1:27">
      <c r="A23" s="16" t="s">
        <v>32</v>
      </c>
      <c r="B23" s="16" t="s">
        <v>281</v>
      </c>
      <c r="C23" s="16" t="s">
        <v>282</v>
      </c>
      <c r="D23" s="16" t="s">
        <v>283</v>
      </c>
      <c r="E23" s="16" t="s">
        <v>279</v>
      </c>
      <c r="F23" s="16" t="s">
        <v>280</v>
      </c>
      <c r="G23" s="16" t="s">
        <v>196</v>
      </c>
      <c r="H23" s="16" t="s">
        <v>197</v>
      </c>
      <c r="I23" s="16" t="s">
        <v>198</v>
      </c>
      <c r="J23" s="16" t="s">
        <v>199</v>
      </c>
      <c r="K23" s="16">
        <v>2.1601870000000001</v>
      </c>
      <c r="L23" s="36">
        <v>2030</v>
      </c>
      <c r="M23" s="16">
        <v>571</v>
      </c>
      <c r="N23" s="16">
        <v>361</v>
      </c>
      <c r="O23" s="16">
        <v>464</v>
      </c>
      <c r="P23" s="16">
        <v>450</v>
      </c>
      <c r="Q23" s="16">
        <v>184</v>
      </c>
      <c r="R23" s="16">
        <v>2</v>
      </c>
      <c r="S23" s="16">
        <v>8.1946200000000005</v>
      </c>
      <c r="T23" s="16">
        <v>2.6357400000000002</v>
      </c>
      <c r="U23" s="16">
        <v>1.14037331</v>
      </c>
      <c r="V23" s="16">
        <v>3</v>
      </c>
      <c r="W23" s="16">
        <v>0.81276300000000001</v>
      </c>
      <c r="X23" s="16">
        <v>0.239623</v>
      </c>
      <c r="Y23" s="16">
        <v>0.8</v>
      </c>
      <c r="Z23" s="16">
        <v>0.32032699999999997</v>
      </c>
      <c r="AA23" s="37"/>
    </row>
    <row r="24" spans="1:27">
      <c r="A24" s="16" t="s">
        <v>32</v>
      </c>
      <c r="B24" s="16" t="s">
        <v>284</v>
      </c>
      <c r="C24" s="16" t="s">
        <v>285</v>
      </c>
      <c r="D24" s="16" t="s">
        <v>286</v>
      </c>
      <c r="E24" s="16" t="s">
        <v>287</v>
      </c>
      <c r="F24" s="16" t="s">
        <v>288</v>
      </c>
      <c r="G24" s="16" t="s">
        <v>196</v>
      </c>
      <c r="H24" s="16" t="s">
        <v>197</v>
      </c>
      <c r="I24" s="16" t="s">
        <v>198</v>
      </c>
      <c r="J24" s="16" t="s">
        <v>199</v>
      </c>
      <c r="K24" s="16">
        <v>2.2357140000000002</v>
      </c>
      <c r="L24" s="36">
        <v>2123</v>
      </c>
      <c r="M24" s="16">
        <v>675</v>
      </c>
      <c r="N24" s="16">
        <v>398</v>
      </c>
      <c r="O24" s="16">
        <v>453</v>
      </c>
      <c r="P24" s="16">
        <v>435</v>
      </c>
      <c r="Q24" s="16">
        <v>162</v>
      </c>
      <c r="R24" s="16" t="s">
        <v>225</v>
      </c>
      <c r="S24" s="16">
        <v>8.3050999999999995</v>
      </c>
      <c r="T24" s="16">
        <v>0</v>
      </c>
      <c r="U24" s="16">
        <v>1.3622219739999999</v>
      </c>
      <c r="V24" s="16">
        <v>2</v>
      </c>
      <c r="W24" s="16">
        <v>0.81604399999999999</v>
      </c>
      <c r="X24" s="16">
        <v>0.28590300000000002</v>
      </c>
      <c r="Y24" s="16">
        <v>0.8</v>
      </c>
      <c r="Z24" s="16">
        <v>0.34221000000000001</v>
      </c>
      <c r="AA24" s="37"/>
    </row>
    <row r="25" spans="1:27">
      <c r="A25" s="16" t="s">
        <v>32</v>
      </c>
      <c r="B25" s="16" t="s">
        <v>289</v>
      </c>
      <c r="C25" s="16" t="s">
        <v>290</v>
      </c>
      <c r="D25" s="16" t="s">
        <v>291</v>
      </c>
      <c r="E25" s="16" t="s">
        <v>287</v>
      </c>
      <c r="F25" s="16" t="s">
        <v>288</v>
      </c>
      <c r="G25" s="16" t="s">
        <v>196</v>
      </c>
      <c r="H25" s="16" t="s">
        <v>197</v>
      </c>
      <c r="I25" s="16" t="s">
        <v>198</v>
      </c>
      <c r="J25" s="16" t="s">
        <v>199</v>
      </c>
      <c r="K25" s="16">
        <v>2.1678799999999998</v>
      </c>
      <c r="L25" s="36">
        <v>1754</v>
      </c>
      <c r="M25" s="16">
        <v>438</v>
      </c>
      <c r="N25" s="16">
        <v>326</v>
      </c>
      <c r="O25" s="16">
        <v>349</v>
      </c>
      <c r="P25" s="16">
        <v>467</v>
      </c>
      <c r="Q25" s="16">
        <v>174</v>
      </c>
      <c r="R25" s="16" t="s">
        <v>225</v>
      </c>
      <c r="S25" s="16">
        <v>7.9888500000000002</v>
      </c>
      <c r="T25" s="16">
        <v>0</v>
      </c>
      <c r="U25" s="16">
        <v>1.2091244619999999</v>
      </c>
      <c r="V25" s="16">
        <v>2</v>
      </c>
      <c r="W25" s="16">
        <v>0.81234200000000001</v>
      </c>
      <c r="X25" s="16">
        <v>0.180696</v>
      </c>
      <c r="Y25" s="16">
        <v>0.8</v>
      </c>
      <c r="Z25" s="16">
        <v>0.37468400000000002</v>
      </c>
      <c r="AA25" s="37"/>
    </row>
    <row r="26" spans="1:27">
      <c r="A26" s="16" t="s">
        <v>32</v>
      </c>
      <c r="B26" s="16" t="s">
        <v>292</v>
      </c>
      <c r="C26" s="16" t="s">
        <v>293</v>
      </c>
      <c r="D26" s="16" t="s">
        <v>294</v>
      </c>
      <c r="E26" s="16" t="s">
        <v>279</v>
      </c>
      <c r="F26" s="16" t="s">
        <v>280</v>
      </c>
      <c r="G26" s="16" t="s">
        <v>196</v>
      </c>
      <c r="H26" s="16" t="s">
        <v>197</v>
      </c>
      <c r="I26" s="16" t="s">
        <v>198</v>
      </c>
      <c r="J26" s="16" t="s">
        <v>199</v>
      </c>
      <c r="K26" s="16">
        <v>2.5541469999999999</v>
      </c>
      <c r="L26" s="36">
        <v>1781</v>
      </c>
      <c r="M26" s="16">
        <v>407</v>
      </c>
      <c r="N26" s="16">
        <v>349</v>
      </c>
      <c r="O26" s="16">
        <v>334</v>
      </c>
      <c r="P26" s="16">
        <v>426</v>
      </c>
      <c r="Q26" s="16">
        <v>265</v>
      </c>
      <c r="R26" s="16" t="s">
        <v>225</v>
      </c>
      <c r="S26" s="16">
        <v>7.6795</v>
      </c>
      <c r="T26" s="16">
        <v>0</v>
      </c>
      <c r="U26" s="16">
        <v>1.102935781</v>
      </c>
      <c r="V26" s="16">
        <v>2</v>
      </c>
      <c r="W26" s="16">
        <v>0.85805699999999996</v>
      </c>
      <c r="X26" s="16">
        <v>0.58235300000000001</v>
      </c>
      <c r="Y26" s="16">
        <v>0.8</v>
      </c>
      <c r="Z26" s="16">
        <v>0.32397199999999998</v>
      </c>
      <c r="AA26" s="37"/>
    </row>
    <row r="27" spans="1:27">
      <c r="A27" s="16"/>
      <c r="B27" s="16"/>
      <c r="C27" s="16"/>
      <c r="D27" s="16"/>
      <c r="E27" s="16"/>
      <c r="F27" s="16"/>
      <c r="G27" s="16"/>
      <c r="H27" s="16"/>
      <c r="I27" s="16"/>
      <c r="J27" s="16"/>
      <c r="K27" s="16">
        <f>MEDIAN(K2:K26)</f>
        <v>2.1980249999999999</v>
      </c>
      <c r="L27" s="36">
        <f t="shared" ref="L27:M27" si="0">SUM(L2:L26)</f>
        <v>43593</v>
      </c>
      <c r="M27" s="36">
        <f t="shared" si="0"/>
        <v>10285</v>
      </c>
      <c r="N27" s="16"/>
      <c r="O27" s="16"/>
      <c r="P27" s="16"/>
      <c r="Q27" s="36">
        <f>SUM(Q2:Q26)</f>
        <v>5403</v>
      </c>
      <c r="R27" s="16"/>
      <c r="S27" s="16"/>
      <c r="T27" s="16"/>
      <c r="U27" s="16"/>
      <c r="V27" s="16">
        <f>MEDIAN(V2:V26)</f>
        <v>4</v>
      </c>
      <c r="W27" s="16"/>
      <c r="X27" s="16"/>
      <c r="Y27" s="16"/>
      <c r="Z27" s="16"/>
      <c r="AA27" s="37"/>
    </row>
    <row r="28" spans="1:27">
      <c r="A28" s="16" t="s">
        <v>86</v>
      </c>
      <c r="B28" s="16" t="s">
        <v>295</v>
      </c>
      <c r="C28" s="16" t="s">
        <v>296</v>
      </c>
      <c r="D28" s="16" t="s">
        <v>297</v>
      </c>
      <c r="E28" s="16" t="s">
        <v>298</v>
      </c>
      <c r="F28" s="16" t="s">
        <v>299</v>
      </c>
      <c r="G28" s="16" t="s">
        <v>300</v>
      </c>
      <c r="H28" s="16" t="s">
        <v>301</v>
      </c>
      <c r="I28" s="16" t="s">
        <v>198</v>
      </c>
      <c r="J28" s="16" t="s">
        <v>199</v>
      </c>
      <c r="K28" s="16">
        <v>2.6546639999999999</v>
      </c>
      <c r="L28" s="36">
        <v>2823</v>
      </c>
      <c r="M28" s="16">
        <v>641</v>
      </c>
      <c r="N28" s="16">
        <v>739</v>
      </c>
      <c r="O28" s="16">
        <v>830</v>
      </c>
      <c r="P28" s="16">
        <v>404</v>
      </c>
      <c r="Q28" s="16">
        <v>209</v>
      </c>
      <c r="R28" s="16" t="s">
        <v>302</v>
      </c>
      <c r="S28" s="16">
        <v>45.7074</v>
      </c>
      <c r="T28" s="16">
        <v>11.418200000000001</v>
      </c>
      <c r="U28" s="16">
        <v>1.0562853640000001</v>
      </c>
      <c r="V28" s="16">
        <v>3</v>
      </c>
      <c r="W28" s="16">
        <v>0.924512</v>
      </c>
      <c r="X28" s="16">
        <v>0.14513999999999999</v>
      </c>
      <c r="Y28" s="16">
        <v>0.7</v>
      </c>
      <c r="Z28" s="16">
        <v>0.90907099999999996</v>
      </c>
      <c r="AA28" s="37"/>
    </row>
    <row r="29" spans="1:27">
      <c r="A29" s="16" t="s">
        <v>86</v>
      </c>
      <c r="B29" s="16" t="s">
        <v>303</v>
      </c>
      <c r="C29" s="16" t="s">
        <v>304</v>
      </c>
      <c r="D29" s="16" t="s">
        <v>305</v>
      </c>
      <c r="E29" s="16" t="s">
        <v>298</v>
      </c>
      <c r="F29" s="16" t="s">
        <v>299</v>
      </c>
      <c r="G29" s="16" t="s">
        <v>300</v>
      </c>
      <c r="H29" s="16" t="s">
        <v>301</v>
      </c>
      <c r="I29" s="16" t="s">
        <v>198</v>
      </c>
      <c r="J29" s="16" t="s">
        <v>199</v>
      </c>
      <c r="K29" s="16">
        <v>2.8156249999999998</v>
      </c>
      <c r="L29" s="36">
        <v>2973</v>
      </c>
      <c r="M29" s="16">
        <v>423</v>
      </c>
      <c r="N29" s="36">
        <v>1133</v>
      </c>
      <c r="O29" s="16">
        <v>921</v>
      </c>
      <c r="P29" s="16">
        <v>378</v>
      </c>
      <c r="Q29" s="16">
        <v>118</v>
      </c>
      <c r="R29" s="16">
        <v>5</v>
      </c>
      <c r="S29" s="16">
        <v>41.749400000000001</v>
      </c>
      <c r="T29" s="16">
        <v>2.22445</v>
      </c>
      <c r="U29" s="16">
        <v>0.75168853000000002</v>
      </c>
      <c r="V29" s="16">
        <v>4</v>
      </c>
      <c r="W29" s="16">
        <v>0.91225999999999996</v>
      </c>
      <c r="X29" s="16">
        <v>0.24741299999999999</v>
      </c>
      <c r="Y29" s="16">
        <v>0.68716999999999995</v>
      </c>
      <c r="Z29" s="16">
        <v>0.96781899999999998</v>
      </c>
      <c r="AA29" s="37"/>
    </row>
    <row r="30" spans="1:27">
      <c r="A30" s="16" t="s">
        <v>86</v>
      </c>
      <c r="B30" s="16" t="s">
        <v>306</v>
      </c>
      <c r="C30" s="16" t="s">
        <v>307</v>
      </c>
      <c r="D30" s="16" t="s">
        <v>308</v>
      </c>
      <c r="E30" s="16" t="s">
        <v>298</v>
      </c>
      <c r="F30" s="16" t="s">
        <v>299</v>
      </c>
      <c r="G30" s="16" t="s">
        <v>300</v>
      </c>
      <c r="H30" s="16" t="s">
        <v>301</v>
      </c>
      <c r="I30" s="16" t="s">
        <v>198</v>
      </c>
      <c r="J30" s="16" t="s">
        <v>199</v>
      </c>
      <c r="K30" s="16">
        <v>2.684488</v>
      </c>
      <c r="L30" s="36">
        <v>2229</v>
      </c>
      <c r="M30" s="16">
        <v>621</v>
      </c>
      <c r="N30" s="16">
        <v>544</v>
      </c>
      <c r="O30" s="16">
        <v>625</v>
      </c>
      <c r="P30" s="16">
        <v>323</v>
      </c>
      <c r="Q30" s="16">
        <v>116</v>
      </c>
      <c r="R30" s="16">
        <v>3</v>
      </c>
      <c r="S30" s="16">
        <v>26.685600000000001</v>
      </c>
      <c r="T30" s="16">
        <v>5.9087100000000001</v>
      </c>
      <c r="U30" s="16">
        <v>1.014389641</v>
      </c>
      <c r="V30" s="16">
        <v>3</v>
      </c>
      <c r="W30" s="16">
        <v>0.91782200000000003</v>
      </c>
      <c r="X30" s="16">
        <v>0.139073</v>
      </c>
      <c r="Y30" s="16">
        <v>0.69299999999999995</v>
      </c>
      <c r="Z30" s="16">
        <v>0.94314399999999998</v>
      </c>
      <c r="AA30" s="37"/>
    </row>
    <row r="31" spans="1:27">
      <c r="A31" s="16" t="s">
        <v>86</v>
      </c>
      <c r="B31" s="16" t="s">
        <v>309</v>
      </c>
      <c r="C31" s="16" t="s">
        <v>310</v>
      </c>
      <c r="D31" s="16" t="s">
        <v>311</v>
      </c>
      <c r="E31" s="16" t="s">
        <v>298</v>
      </c>
      <c r="F31" s="16" t="s">
        <v>299</v>
      </c>
      <c r="G31" s="16" t="s">
        <v>300</v>
      </c>
      <c r="H31" s="16" t="s">
        <v>301</v>
      </c>
      <c r="I31" s="16" t="s">
        <v>198</v>
      </c>
      <c r="J31" s="16" t="s">
        <v>199</v>
      </c>
      <c r="K31" s="16">
        <v>2.6743299999999999</v>
      </c>
      <c r="L31" s="36">
        <v>2711</v>
      </c>
      <c r="M31" s="16">
        <v>667</v>
      </c>
      <c r="N31" s="16">
        <v>641</v>
      </c>
      <c r="O31" s="16">
        <v>762</v>
      </c>
      <c r="P31" s="16">
        <v>470</v>
      </c>
      <c r="Q31" s="16">
        <v>171</v>
      </c>
      <c r="R31" s="16">
        <v>3</v>
      </c>
      <c r="S31" s="16">
        <v>26.136399999999998</v>
      </c>
      <c r="T31" s="16">
        <v>6.9138900000000003</v>
      </c>
      <c r="U31" s="16">
        <v>1.2009488210000001</v>
      </c>
      <c r="V31" s="16">
        <v>2</v>
      </c>
      <c r="W31" s="16">
        <v>0.92432899999999996</v>
      </c>
      <c r="X31" s="16">
        <v>0.14252899999999999</v>
      </c>
      <c r="Y31" s="16">
        <v>0.61049600000000004</v>
      </c>
      <c r="Z31" s="16">
        <v>1</v>
      </c>
      <c r="AA31" s="37"/>
    </row>
    <row r="32" spans="1:27">
      <c r="A32" s="16" t="s">
        <v>86</v>
      </c>
      <c r="B32" s="16" t="s">
        <v>312</v>
      </c>
      <c r="C32" s="16" t="s">
        <v>313</v>
      </c>
      <c r="D32" s="16" t="s">
        <v>314</v>
      </c>
      <c r="E32" s="16" t="s">
        <v>315</v>
      </c>
      <c r="F32" s="16" t="s">
        <v>316</v>
      </c>
      <c r="G32" s="16" t="s">
        <v>300</v>
      </c>
      <c r="H32" s="16" t="s">
        <v>301</v>
      </c>
      <c r="I32" s="16" t="s">
        <v>198</v>
      </c>
      <c r="J32" s="16" t="s">
        <v>199</v>
      </c>
      <c r="K32" s="16">
        <v>2.854562</v>
      </c>
      <c r="L32" s="36">
        <v>1900</v>
      </c>
      <c r="M32" s="16">
        <v>329</v>
      </c>
      <c r="N32" s="16">
        <v>512</v>
      </c>
      <c r="O32" s="16">
        <v>550</v>
      </c>
      <c r="P32" s="16">
        <v>371</v>
      </c>
      <c r="Q32" s="16">
        <v>138</v>
      </c>
      <c r="R32" s="16" t="s">
        <v>302</v>
      </c>
      <c r="S32" s="16">
        <v>42.923499999999997</v>
      </c>
      <c r="T32" s="16">
        <v>1.86382</v>
      </c>
      <c r="U32" s="16">
        <v>0.61190477600000004</v>
      </c>
      <c r="V32" s="16">
        <v>5</v>
      </c>
      <c r="W32" s="16">
        <v>0.91240900000000003</v>
      </c>
      <c r="X32" s="16">
        <v>0.32783899999999999</v>
      </c>
      <c r="Y32" s="16">
        <v>0.68143399999999998</v>
      </c>
      <c r="Z32" s="16">
        <v>0.93376099999999995</v>
      </c>
      <c r="AA32" s="37"/>
    </row>
    <row r="33" spans="1:27">
      <c r="A33" s="16" t="s">
        <v>86</v>
      </c>
      <c r="B33" s="16" t="s">
        <v>317</v>
      </c>
      <c r="C33" s="16" t="s">
        <v>318</v>
      </c>
      <c r="D33" s="16" t="s">
        <v>319</v>
      </c>
      <c r="E33" s="16" t="s">
        <v>320</v>
      </c>
      <c r="F33" s="16" t="s">
        <v>321</v>
      </c>
      <c r="G33" s="16" t="s">
        <v>300</v>
      </c>
      <c r="H33" s="16" t="s">
        <v>301</v>
      </c>
      <c r="I33" s="16" t="s">
        <v>198</v>
      </c>
      <c r="J33" s="16" t="s">
        <v>199</v>
      </c>
      <c r="K33" s="16">
        <v>2.6460530000000002</v>
      </c>
      <c r="L33" s="36">
        <v>2653</v>
      </c>
      <c r="M33" s="16">
        <v>738</v>
      </c>
      <c r="N33" s="16">
        <v>567</v>
      </c>
      <c r="O33" s="16">
        <v>714</v>
      </c>
      <c r="P33" s="16">
        <v>448</v>
      </c>
      <c r="Q33" s="16">
        <v>186</v>
      </c>
      <c r="R33" s="16">
        <v>5</v>
      </c>
      <c r="S33" s="16">
        <v>26.684000000000001</v>
      </c>
      <c r="T33" s="16">
        <v>18.925799999999999</v>
      </c>
      <c r="U33" s="16">
        <v>1.0080802310000001</v>
      </c>
      <c r="V33" s="16">
        <v>3</v>
      </c>
      <c r="W33" s="16">
        <v>0.91868399999999995</v>
      </c>
      <c r="X33" s="16">
        <v>0.12052599999999999</v>
      </c>
      <c r="Y33" s="16">
        <v>0.6</v>
      </c>
      <c r="Z33" s="16">
        <v>1</v>
      </c>
      <c r="AA33" s="37"/>
    </row>
    <row r="34" spans="1:27">
      <c r="A34" s="16" t="s">
        <v>86</v>
      </c>
      <c r="B34" s="16" t="s">
        <v>322</v>
      </c>
      <c r="C34" s="16" t="s">
        <v>323</v>
      </c>
      <c r="D34" s="16" t="s">
        <v>324</v>
      </c>
      <c r="E34" s="16" t="s">
        <v>325</v>
      </c>
      <c r="F34" s="16" t="s">
        <v>326</v>
      </c>
      <c r="G34" s="16" t="s">
        <v>300</v>
      </c>
      <c r="H34" s="16" t="s">
        <v>301</v>
      </c>
      <c r="I34" s="16" t="s">
        <v>198</v>
      </c>
      <c r="J34" s="16" t="s">
        <v>199</v>
      </c>
      <c r="K34" s="16">
        <v>2.7319279999999999</v>
      </c>
      <c r="L34" s="36">
        <v>3496</v>
      </c>
      <c r="M34" s="16">
        <v>783</v>
      </c>
      <c r="N34" s="16">
        <v>788</v>
      </c>
      <c r="O34" s="36">
        <v>1244</v>
      </c>
      <c r="P34" s="16">
        <v>519</v>
      </c>
      <c r="Q34" s="16">
        <v>162</v>
      </c>
      <c r="R34" s="16">
        <v>4</v>
      </c>
      <c r="S34" s="16">
        <v>33.829599999999999</v>
      </c>
      <c r="T34" s="16">
        <v>2.1593399999999998</v>
      </c>
      <c r="U34" s="16">
        <v>1.0148660709999999</v>
      </c>
      <c r="V34" s="16">
        <v>2</v>
      </c>
      <c r="W34" s="16">
        <v>0.92750999999999995</v>
      </c>
      <c r="X34" s="16">
        <v>0.20769199999999999</v>
      </c>
      <c r="Y34" s="16">
        <v>0.6</v>
      </c>
      <c r="Z34" s="16">
        <v>1</v>
      </c>
      <c r="AA34" s="37"/>
    </row>
    <row r="35" spans="1:27">
      <c r="A35" s="16"/>
      <c r="B35" s="16"/>
      <c r="C35" s="16"/>
      <c r="D35" s="16"/>
      <c r="E35" s="16"/>
      <c r="F35" s="16"/>
      <c r="G35" s="16"/>
      <c r="H35" s="16"/>
      <c r="I35" s="16"/>
      <c r="J35" s="16"/>
      <c r="K35" s="16">
        <f>MAX(K28:K34)</f>
        <v>2.854562</v>
      </c>
      <c r="L35" s="36">
        <f>AVERAGE(L28:L34)</f>
        <v>2683.5714285714284</v>
      </c>
      <c r="M35" s="16">
        <f>SUM(M28:M34)</f>
        <v>4202</v>
      </c>
      <c r="N35" s="16"/>
      <c r="O35" s="36"/>
      <c r="P35" s="16"/>
      <c r="Q35" s="16">
        <f>SUM(Q28:Q34)</f>
        <v>1100</v>
      </c>
      <c r="R35" s="16"/>
      <c r="S35" s="16"/>
      <c r="T35" s="16"/>
      <c r="U35" s="16"/>
      <c r="V35" s="16">
        <f>MEDIAN(V28:V34)</f>
        <v>3</v>
      </c>
      <c r="W35" s="16"/>
      <c r="X35" s="16"/>
      <c r="Y35" s="16"/>
      <c r="Z35" s="16"/>
      <c r="AA35" s="37"/>
    </row>
    <row r="36" spans="1:27">
      <c r="A36" s="16" t="s">
        <v>34</v>
      </c>
      <c r="B36" s="16" t="s">
        <v>327</v>
      </c>
      <c r="C36" s="16" t="s">
        <v>328</v>
      </c>
      <c r="D36" s="16" t="s">
        <v>329</v>
      </c>
      <c r="E36" s="16" t="s">
        <v>330</v>
      </c>
      <c r="F36" s="16" t="s">
        <v>331</v>
      </c>
      <c r="G36" s="16" t="s">
        <v>332</v>
      </c>
      <c r="H36" s="16" t="s">
        <v>333</v>
      </c>
      <c r="I36" s="16" t="s">
        <v>198</v>
      </c>
      <c r="J36" s="16" t="s">
        <v>199</v>
      </c>
      <c r="K36" s="16">
        <v>2.2889390000000001</v>
      </c>
      <c r="L36" s="36">
        <v>2067</v>
      </c>
      <c r="M36" s="16">
        <v>469</v>
      </c>
      <c r="N36" s="16">
        <v>388</v>
      </c>
      <c r="O36" s="16">
        <v>450</v>
      </c>
      <c r="P36" s="16">
        <v>486</v>
      </c>
      <c r="Q36" s="16">
        <v>274</v>
      </c>
      <c r="R36" s="16">
        <v>2</v>
      </c>
      <c r="S36" s="16">
        <v>17.3901</v>
      </c>
      <c r="T36" s="16">
        <v>2.5777600000000001</v>
      </c>
      <c r="U36" s="16">
        <v>0.81151337499999998</v>
      </c>
      <c r="V36" s="16">
        <v>7</v>
      </c>
      <c r="W36" s="16">
        <v>0.90368700000000002</v>
      </c>
      <c r="X36" s="16">
        <v>0.116129</v>
      </c>
      <c r="Y36" s="16">
        <v>0.76499399999999995</v>
      </c>
      <c r="Z36" s="16">
        <v>0.50347900000000001</v>
      </c>
      <c r="AA36" s="37"/>
    </row>
    <row r="37" spans="1:27">
      <c r="A37" s="16" t="s">
        <v>34</v>
      </c>
      <c r="B37" s="16" t="s">
        <v>334</v>
      </c>
      <c r="C37" s="16" t="s">
        <v>335</v>
      </c>
      <c r="D37" s="16" t="s">
        <v>336</v>
      </c>
      <c r="E37" s="16" t="s">
        <v>330</v>
      </c>
      <c r="F37" s="16" t="s">
        <v>331</v>
      </c>
      <c r="G37" s="16" t="s">
        <v>332</v>
      </c>
      <c r="H37" s="16" t="s">
        <v>333</v>
      </c>
      <c r="I37" s="16" t="s">
        <v>198</v>
      </c>
      <c r="J37" s="16" t="s">
        <v>199</v>
      </c>
      <c r="K37" s="16">
        <v>2.323985</v>
      </c>
      <c r="L37" s="36">
        <v>1909</v>
      </c>
      <c r="M37" s="16">
        <v>373</v>
      </c>
      <c r="N37" s="16">
        <v>331</v>
      </c>
      <c r="O37" s="16">
        <v>526</v>
      </c>
      <c r="P37" s="16">
        <v>393</v>
      </c>
      <c r="Q37" s="16">
        <v>286</v>
      </c>
      <c r="R37" s="16">
        <v>5</v>
      </c>
      <c r="S37" s="16">
        <v>26.8249</v>
      </c>
      <c r="T37" s="16">
        <v>15.1607</v>
      </c>
      <c r="U37" s="16">
        <v>0.66015689899999996</v>
      </c>
      <c r="V37" s="16">
        <v>10</v>
      </c>
      <c r="W37" s="16">
        <v>0.91549800000000003</v>
      </c>
      <c r="X37" s="16">
        <v>0.113139</v>
      </c>
      <c r="Y37" s="16">
        <v>0.73102199999999995</v>
      </c>
      <c r="Z37" s="16">
        <v>0.56190499999999999</v>
      </c>
      <c r="AA37" s="37"/>
    </row>
    <row r="38" spans="1:27">
      <c r="A38" s="16" t="s">
        <v>34</v>
      </c>
      <c r="B38" s="16" t="s">
        <v>337</v>
      </c>
      <c r="C38" s="16" t="s">
        <v>338</v>
      </c>
      <c r="D38" s="16" t="s">
        <v>339</v>
      </c>
      <c r="E38" s="16" t="s">
        <v>330</v>
      </c>
      <c r="F38" s="16" t="s">
        <v>331</v>
      </c>
      <c r="G38" s="16" t="s">
        <v>332</v>
      </c>
      <c r="H38" s="16" t="s">
        <v>333</v>
      </c>
      <c r="I38" s="16" t="s">
        <v>198</v>
      </c>
      <c r="J38" s="16" t="s">
        <v>199</v>
      </c>
      <c r="K38" s="16">
        <v>2.3235459999999999</v>
      </c>
      <c r="L38" s="36">
        <v>1886</v>
      </c>
      <c r="M38" s="16">
        <v>329</v>
      </c>
      <c r="N38" s="16">
        <v>391</v>
      </c>
      <c r="O38" s="16">
        <v>583</v>
      </c>
      <c r="P38" s="16">
        <v>387</v>
      </c>
      <c r="Q38" s="16">
        <v>196</v>
      </c>
      <c r="R38" s="16">
        <v>4</v>
      </c>
      <c r="S38" s="16">
        <v>22.023700000000002</v>
      </c>
      <c r="T38" s="16">
        <v>15.2949</v>
      </c>
      <c r="U38" s="16">
        <v>0.71072992599999996</v>
      </c>
      <c r="V38" s="16">
        <v>8</v>
      </c>
      <c r="W38" s="16">
        <v>0.91627899999999995</v>
      </c>
      <c r="X38" s="16">
        <v>0.173761</v>
      </c>
      <c r="Y38" s="16">
        <v>0.70467800000000003</v>
      </c>
      <c r="Z38" s="16">
        <v>0.52070000000000005</v>
      </c>
      <c r="AA38" s="37"/>
    </row>
    <row r="39" spans="1:27">
      <c r="A39" s="16" t="s">
        <v>34</v>
      </c>
      <c r="B39" s="16" t="s">
        <v>340</v>
      </c>
      <c r="C39" s="16" t="s">
        <v>341</v>
      </c>
      <c r="D39" s="16" t="s">
        <v>342</v>
      </c>
      <c r="E39" s="16" t="s">
        <v>343</v>
      </c>
      <c r="F39" s="16" t="s">
        <v>344</v>
      </c>
      <c r="G39" s="16" t="s">
        <v>332</v>
      </c>
      <c r="H39" s="16" t="s">
        <v>333</v>
      </c>
      <c r="I39" s="16" t="s">
        <v>198</v>
      </c>
      <c r="J39" s="16" t="s">
        <v>199</v>
      </c>
      <c r="K39" s="16">
        <v>2.3733330000000001</v>
      </c>
      <c r="L39" s="36">
        <v>2380</v>
      </c>
      <c r="M39" s="16">
        <v>533</v>
      </c>
      <c r="N39" s="16">
        <v>653</v>
      </c>
      <c r="O39" s="16">
        <v>463</v>
      </c>
      <c r="P39" s="16">
        <v>383</v>
      </c>
      <c r="Q39" s="16">
        <v>348</v>
      </c>
      <c r="R39" s="16">
        <v>3</v>
      </c>
      <c r="S39" s="16">
        <v>24.285499999999999</v>
      </c>
      <c r="T39" s="16">
        <v>4.6857300000000004</v>
      </c>
      <c r="U39" s="16">
        <v>0.63773065500000004</v>
      </c>
      <c r="V39" s="16">
        <v>10</v>
      </c>
      <c r="W39" s="16">
        <v>0.91171199999999997</v>
      </c>
      <c r="X39" s="16">
        <v>0.20505399999999999</v>
      </c>
      <c r="Y39" s="16">
        <v>0.7</v>
      </c>
      <c r="Z39" s="16">
        <v>0.56348900000000002</v>
      </c>
      <c r="AA39" s="37"/>
    </row>
    <row r="40" spans="1:27">
      <c r="A40" s="16" t="s">
        <v>34</v>
      </c>
      <c r="B40" s="16" t="s">
        <v>345</v>
      </c>
      <c r="C40" s="16" t="s">
        <v>346</v>
      </c>
      <c r="D40" s="16" t="s">
        <v>347</v>
      </c>
      <c r="E40" s="16" t="s">
        <v>343</v>
      </c>
      <c r="F40" s="16" t="s">
        <v>344</v>
      </c>
      <c r="G40" s="16" t="s">
        <v>332</v>
      </c>
      <c r="H40" s="16" t="s">
        <v>333</v>
      </c>
      <c r="I40" s="16" t="s">
        <v>198</v>
      </c>
      <c r="J40" s="16" t="s">
        <v>199</v>
      </c>
      <c r="K40" s="16">
        <v>2.4092500000000001</v>
      </c>
      <c r="L40" s="36">
        <v>1980</v>
      </c>
      <c r="M40" s="16">
        <v>530</v>
      </c>
      <c r="N40" s="16">
        <v>229</v>
      </c>
      <c r="O40" s="16">
        <v>425</v>
      </c>
      <c r="P40" s="16">
        <v>543</v>
      </c>
      <c r="Q40" s="16">
        <v>253</v>
      </c>
      <c r="R40" s="16">
        <v>5</v>
      </c>
      <c r="S40" s="16">
        <v>36.438800000000001</v>
      </c>
      <c r="T40" s="16">
        <v>7.1991899999999998</v>
      </c>
      <c r="U40" s="16">
        <v>0.625782265</v>
      </c>
      <c r="V40" s="16">
        <v>9</v>
      </c>
      <c r="W40" s="16">
        <v>0.904887</v>
      </c>
      <c r="X40" s="16">
        <v>9.9136000000000002E-2</v>
      </c>
      <c r="Y40" s="16">
        <v>0.70330999999999999</v>
      </c>
      <c r="Z40" s="16">
        <v>0.69876300000000002</v>
      </c>
      <c r="AA40" s="37"/>
    </row>
    <row r="41" spans="1:27">
      <c r="A41" s="16" t="s">
        <v>34</v>
      </c>
      <c r="B41" s="16" t="s">
        <v>348</v>
      </c>
      <c r="C41" s="16" t="s">
        <v>349</v>
      </c>
      <c r="D41" s="16" t="s">
        <v>350</v>
      </c>
      <c r="E41" s="16" t="s">
        <v>351</v>
      </c>
      <c r="F41" s="16" t="s">
        <v>352</v>
      </c>
      <c r="G41" s="16" t="s">
        <v>332</v>
      </c>
      <c r="H41" s="16" t="s">
        <v>333</v>
      </c>
      <c r="I41" s="16" t="s">
        <v>198</v>
      </c>
      <c r="J41" s="16" t="s">
        <v>199</v>
      </c>
      <c r="K41" s="16">
        <v>2.3181820000000002</v>
      </c>
      <c r="L41" s="36">
        <v>2051</v>
      </c>
      <c r="M41" s="16">
        <v>507</v>
      </c>
      <c r="N41" s="16">
        <v>420</v>
      </c>
      <c r="O41" s="16">
        <v>462</v>
      </c>
      <c r="P41" s="16">
        <v>486</v>
      </c>
      <c r="Q41" s="16">
        <v>176</v>
      </c>
      <c r="R41" s="16" t="s">
        <v>302</v>
      </c>
      <c r="S41" s="16">
        <v>35.982500000000002</v>
      </c>
      <c r="T41" s="16">
        <v>18.5124</v>
      </c>
      <c r="U41" s="16">
        <v>0.80002150400000005</v>
      </c>
      <c r="V41" s="16">
        <v>7</v>
      </c>
      <c r="W41" s="16">
        <v>0.91884699999999997</v>
      </c>
      <c r="X41" s="16">
        <v>8.6917999999999995E-2</v>
      </c>
      <c r="Y41" s="16">
        <v>0.7</v>
      </c>
      <c r="Z41" s="16">
        <v>0.61781699999999995</v>
      </c>
      <c r="AA41" s="37"/>
    </row>
    <row r="42" spans="1:27">
      <c r="A42" s="16" t="s">
        <v>34</v>
      </c>
      <c r="B42" s="16" t="s">
        <v>353</v>
      </c>
      <c r="C42" s="16" t="s">
        <v>354</v>
      </c>
      <c r="D42" s="16" t="s">
        <v>355</v>
      </c>
      <c r="E42" s="16" t="s">
        <v>351</v>
      </c>
      <c r="F42" s="16" t="s">
        <v>352</v>
      </c>
      <c r="G42" s="16" t="s">
        <v>332</v>
      </c>
      <c r="H42" s="16" t="s">
        <v>333</v>
      </c>
      <c r="I42" s="16" t="s">
        <v>198</v>
      </c>
      <c r="J42" s="16" t="s">
        <v>199</v>
      </c>
      <c r="K42" s="16">
        <v>2.4424939999999999</v>
      </c>
      <c r="L42" s="36">
        <v>1880</v>
      </c>
      <c r="M42" s="16">
        <v>320</v>
      </c>
      <c r="N42" s="16">
        <v>405</v>
      </c>
      <c r="O42" s="16">
        <v>672</v>
      </c>
      <c r="P42" s="16">
        <v>280</v>
      </c>
      <c r="Q42" s="16">
        <v>203</v>
      </c>
      <c r="R42" s="16" t="s">
        <v>302</v>
      </c>
      <c r="S42" s="16">
        <v>41.0137</v>
      </c>
      <c r="T42" s="16">
        <v>23.855599999999999</v>
      </c>
      <c r="U42" s="16">
        <v>0.67346136700000003</v>
      </c>
      <c r="V42" s="16">
        <v>8</v>
      </c>
      <c r="W42" s="16">
        <v>0.93140900000000004</v>
      </c>
      <c r="X42" s="16">
        <v>0.19353300000000001</v>
      </c>
      <c r="Y42" s="16">
        <v>0.7</v>
      </c>
      <c r="Z42" s="16">
        <v>0.62765000000000004</v>
      </c>
      <c r="AA42" s="37"/>
    </row>
    <row r="43" spans="1:27">
      <c r="A43" s="16" t="s">
        <v>34</v>
      </c>
      <c r="B43" s="16" t="s">
        <v>356</v>
      </c>
      <c r="C43" s="16" t="s">
        <v>357</v>
      </c>
      <c r="D43" s="16" t="s">
        <v>358</v>
      </c>
      <c r="E43" s="16" t="s">
        <v>343</v>
      </c>
      <c r="F43" s="16" t="s">
        <v>344</v>
      </c>
      <c r="G43" s="16" t="s">
        <v>332</v>
      </c>
      <c r="H43" s="16" t="s">
        <v>333</v>
      </c>
      <c r="I43" s="16" t="s">
        <v>198</v>
      </c>
      <c r="J43" s="16" t="s">
        <v>199</v>
      </c>
      <c r="K43" s="16">
        <v>2.154687</v>
      </c>
      <c r="L43" s="36">
        <v>1858</v>
      </c>
      <c r="M43" s="16">
        <v>470</v>
      </c>
      <c r="N43" s="16">
        <v>222</v>
      </c>
      <c r="O43" s="16">
        <v>353</v>
      </c>
      <c r="P43" s="16">
        <v>526</v>
      </c>
      <c r="Q43" s="16">
        <v>287</v>
      </c>
      <c r="R43" s="16">
        <v>2</v>
      </c>
      <c r="S43" s="16">
        <v>15.623699999999999</v>
      </c>
      <c r="T43" s="16">
        <v>0</v>
      </c>
      <c r="U43" s="16">
        <v>0.73416853100000001</v>
      </c>
      <c r="V43" s="16">
        <v>10</v>
      </c>
      <c r="W43" s="16">
        <v>0.90582399999999996</v>
      </c>
      <c r="X43" s="16">
        <v>5.0575000000000002E-2</v>
      </c>
      <c r="Y43" s="16">
        <v>0.71820799999999996</v>
      </c>
      <c r="Z43" s="16">
        <v>0.48538999999999999</v>
      </c>
      <c r="AA43" s="37"/>
    </row>
    <row r="44" spans="1:27">
      <c r="A44" s="16" t="s">
        <v>34</v>
      </c>
      <c r="B44" s="16" t="s">
        <v>359</v>
      </c>
      <c r="C44" s="16" t="s">
        <v>360</v>
      </c>
      <c r="D44" s="16" t="s">
        <v>361</v>
      </c>
      <c r="E44" s="16" t="s">
        <v>362</v>
      </c>
      <c r="F44" s="16" t="s">
        <v>363</v>
      </c>
      <c r="G44" s="16" t="s">
        <v>332</v>
      </c>
      <c r="H44" s="16" t="s">
        <v>333</v>
      </c>
      <c r="I44" s="16" t="s">
        <v>198</v>
      </c>
      <c r="J44" s="16" t="s">
        <v>199</v>
      </c>
      <c r="K44" s="16">
        <v>2.5341740000000001</v>
      </c>
      <c r="L44" s="36">
        <v>2256</v>
      </c>
      <c r="M44" s="16">
        <v>449</v>
      </c>
      <c r="N44" s="16">
        <v>481</v>
      </c>
      <c r="O44" s="16">
        <v>685</v>
      </c>
      <c r="P44" s="16">
        <v>407</v>
      </c>
      <c r="Q44" s="16">
        <v>234</v>
      </c>
      <c r="R44" s="16" t="s">
        <v>302</v>
      </c>
      <c r="S44" s="16">
        <v>47.990400000000001</v>
      </c>
      <c r="T44" s="16">
        <v>26.390499999999999</v>
      </c>
      <c r="U44" s="16">
        <v>0.758336432</v>
      </c>
      <c r="V44" s="16">
        <v>6</v>
      </c>
      <c r="W44" s="16">
        <v>0.92829099999999998</v>
      </c>
      <c r="X44" s="16">
        <v>0.166574</v>
      </c>
      <c r="Y44" s="16">
        <v>0.7</v>
      </c>
      <c r="Z44" s="16">
        <v>0.74099700000000002</v>
      </c>
      <c r="AA44" s="37"/>
    </row>
    <row r="45" spans="1:27">
      <c r="A45" s="16" t="s">
        <v>34</v>
      </c>
      <c r="B45" s="16" t="s">
        <v>364</v>
      </c>
      <c r="C45" s="16" t="s">
        <v>365</v>
      </c>
      <c r="D45" s="16" t="s">
        <v>366</v>
      </c>
      <c r="E45" s="16" t="s">
        <v>362</v>
      </c>
      <c r="F45" s="16" t="s">
        <v>363</v>
      </c>
      <c r="G45" s="16" t="s">
        <v>332</v>
      </c>
      <c r="H45" s="16" t="s">
        <v>333</v>
      </c>
      <c r="I45" s="16" t="s">
        <v>198</v>
      </c>
      <c r="J45" s="16" t="s">
        <v>199</v>
      </c>
      <c r="K45" s="16">
        <v>2.7430590000000001</v>
      </c>
      <c r="L45" s="36">
        <v>2103</v>
      </c>
      <c r="M45" s="16">
        <v>466</v>
      </c>
      <c r="N45" s="16">
        <v>386</v>
      </c>
      <c r="O45" s="16">
        <v>532</v>
      </c>
      <c r="P45" s="16">
        <v>471</v>
      </c>
      <c r="Q45" s="16">
        <v>248</v>
      </c>
      <c r="R45" s="16" t="s">
        <v>302</v>
      </c>
      <c r="S45" s="16">
        <v>32.279899999999998</v>
      </c>
      <c r="T45" s="16">
        <v>22.4513</v>
      </c>
      <c r="U45" s="16">
        <v>0.74300182999999997</v>
      </c>
      <c r="V45" s="16">
        <v>4</v>
      </c>
      <c r="W45" s="16">
        <v>0.93682699999999997</v>
      </c>
      <c r="X45" s="16">
        <v>0.24213499999999999</v>
      </c>
      <c r="Y45" s="16">
        <v>0.7</v>
      </c>
      <c r="Z45" s="16">
        <v>0.84129200000000004</v>
      </c>
      <c r="AA45" s="37"/>
    </row>
    <row r="46" spans="1:27">
      <c r="A46" s="16" t="s">
        <v>34</v>
      </c>
      <c r="B46" s="16" t="s">
        <v>367</v>
      </c>
      <c r="C46" s="16" t="s">
        <v>368</v>
      </c>
      <c r="D46" s="16" t="s">
        <v>369</v>
      </c>
      <c r="E46" s="16" t="s">
        <v>362</v>
      </c>
      <c r="F46" s="16" t="s">
        <v>363</v>
      </c>
      <c r="G46" s="16" t="s">
        <v>332</v>
      </c>
      <c r="H46" s="16" t="s">
        <v>333</v>
      </c>
      <c r="I46" s="16" t="s">
        <v>198</v>
      </c>
      <c r="J46" s="16" t="s">
        <v>199</v>
      </c>
      <c r="K46" s="16">
        <v>2.6034600000000001</v>
      </c>
      <c r="L46" s="36">
        <v>2900</v>
      </c>
      <c r="M46" s="16">
        <v>587</v>
      </c>
      <c r="N46" s="16">
        <v>554</v>
      </c>
      <c r="O46" s="16">
        <v>825</v>
      </c>
      <c r="P46" s="16">
        <v>544</v>
      </c>
      <c r="Q46" s="16">
        <v>390</v>
      </c>
      <c r="R46" s="16" t="s">
        <v>302</v>
      </c>
      <c r="S46" s="16">
        <v>43.071300000000001</v>
      </c>
      <c r="T46" s="16">
        <v>15.757400000000001</v>
      </c>
      <c r="U46" s="16">
        <v>0.56612548699999998</v>
      </c>
      <c r="V46" s="16">
        <v>8</v>
      </c>
      <c r="W46" s="16">
        <v>0.934948</v>
      </c>
      <c r="X46" s="16">
        <v>0.19259299999999999</v>
      </c>
      <c r="Y46" s="16">
        <v>0.7</v>
      </c>
      <c r="Z46" s="16">
        <v>0.78786800000000001</v>
      </c>
      <c r="AA46" s="37"/>
    </row>
    <row r="47" spans="1:27">
      <c r="A47" s="16" t="s">
        <v>34</v>
      </c>
      <c r="B47" s="16" t="s">
        <v>370</v>
      </c>
      <c r="C47" s="16" t="s">
        <v>371</v>
      </c>
      <c r="D47" s="16" t="s">
        <v>372</v>
      </c>
      <c r="E47" s="16" t="s">
        <v>373</v>
      </c>
      <c r="F47" s="16" t="s">
        <v>374</v>
      </c>
      <c r="G47" s="16" t="s">
        <v>332</v>
      </c>
      <c r="H47" s="16" t="s">
        <v>333</v>
      </c>
      <c r="I47" s="16" t="s">
        <v>198</v>
      </c>
      <c r="J47" s="16" t="s">
        <v>199</v>
      </c>
      <c r="K47" s="16">
        <v>2.4693450000000001</v>
      </c>
      <c r="L47" s="36">
        <v>2449</v>
      </c>
      <c r="M47" s="16">
        <v>294</v>
      </c>
      <c r="N47" s="16">
        <v>558</v>
      </c>
      <c r="O47" s="16">
        <v>960</v>
      </c>
      <c r="P47" s="16">
        <v>396</v>
      </c>
      <c r="Q47" s="16">
        <v>241</v>
      </c>
      <c r="R47" s="16" t="s">
        <v>302</v>
      </c>
      <c r="S47" s="16">
        <v>33.015300000000003</v>
      </c>
      <c r="T47" s="16">
        <v>20.163499999999999</v>
      </c>
      <c r="U47" s="16">
        <v>0.59459812999999995</v>
      </c>
      <c r="V47" s="16">
        <v>9</v>
      </c>
      <c r="W47" s="16">
        <v>0.90951400000000004</v>
      </c>
      <c r="X47" s="16">
        <v>0.112605</v>
      </c>
      <c r="Y47" s="16">
        <v>0.79083300000000001</v>
      </c>
      <c r="Z47" s="16">
        <v>0.66278599999999999</v>
      </c>
      <c r="AA47" s="37"/>
    </row>
    <row r="48" spans="1:27">
      <c r="A48" s="16" t="s">
        <v>34</v>
      </c>
      <c r="B48" s="16" t="s">
        <v>375</v>
      </c>
      <c r="C48" s="16" t="s">
        <v>376</v>
      </c>
      <c r="D48" s="16" t="s">
        <v>377</v>
      </c>
      <c r="E48" s="16" t="s">
        <v>373</v>
      </c>
      <c r="F48" s="16" t="s">
        <v>374</v>
      </c>
      <c r="G48" s="16" t="s">
        <v>332</v>
      </c>
      <c r="H48" s="16" t="s">
        <v>333</v>
      </c>
      <c r="I48" s="16" t="s">
        <v>198</v>
      </c>
      <c r="J48" s="16" t="s">
        <v>199</v>
      </c>
      <c r="K48" s="16">
        <v>2.815925</v>
      </c>
      <c r="L48" s="36">
        <v>2478</v>
      </c>
      <c r="M48" s="16">
        <v>389</v>
      </c>
      <c r="N48" s="16">
        <v>569</v>
      </c>
      <c r="O48" s="16">
        <v>695</v>
      </c>
      <c r="P48" s="16">
        <v>501</v>
      </c>
      <c r="Q48" s="16">
        <v>324</v>
      </c>
      <c r="R48" s="16" t="s">
        <v>302</v>
      </c>
      <c r="S48" s="16">
        <v>42.364400000000003</v>
      </c>
      <c r="T48" s="16">
        <v>9.7950599999999994</v>
      </c>
      <c r="U48" s="16">
        <v>0.82589595500000001</v>
      </c>
      <c r="V48" s="16">
        <v>3</v>
      </c>
      <c r="W48" s="16">
        <v>0.91475399999999996</v>
      </c>
      <c r="X48" s="16">
        <v>0.43752999999999997</v>
      </c>
      <c r="Y48" s="16">
        <v>0.74186600000000003</v>
      </c>
      <c r="Z48" s="16">
        <v>0.69714299999999996</v>
      </c>
      <c r="AA48" s="37"/>
    </row>
    <row r="49" spans="1:27">
      <c r="A49" s="16" t="s">
        <v>34</v>
      </c>
      <c r="B49" s="16" t="s">
        <v>378</v>
      </c>
      <c r="C49" s="16" t="s">
        <v>379</v>
      </c>
      <c r="D49" s="16" t="s">
        <v>380</v>
      </c>
      <c r="E49" s="16" t="s">
        <v>381</v>
      </c>
      <c r="F49" s="16" t="s">
        <v>382</v>
      </c>
      <c r="G49" s="16" t="s">
        <v>383</v>
      </c>
      <c r="H49" s="16" t="s">
        <v>384</v>
      </c>
      <c r="I49" s="16" t="s">
        <v>198</v>
      </c>
      <c r="J49" s="16" t="s">
        <v>199</v>
      </c>
      <c r="K49" s="16">
        <v>2.4540449999999998</v>
      </c>
      <c r="L49" s="36">
        <v>2135</v>
      </c>
      <c r="M49" s="16">
        <v>588</v>
      </c>
      <c r="N49" s="16">
        <v>290</v>
      </c>
      <c r="O49" s="16">
        <v>397</v>
      </c>
      <c r="P49" s="16">
        <v>612</v>
      </c>
      <c r="Q49" s="16">
        <v>248</v>
      </c>
      <c r="R49" s="16">
        <v>4</v>
      </c>
      <c r="S49" s="16">
        <v>24.116900000000001</v>
      </c>
      <c r="T49" s="16">
        <v>8.1308000000000007</v>
      </c>
      <c r="U49" s="16">
        <v>0.73717579099999997</v>
      </c>
      <c r="V49" s="16">
        <v>6</v>
      </c>
      <c r="W49" s="16">
        <v>0.93123</v>
      </c>
      <c r="X49" s="16">
        <v>0.05</v>
      </c>
      <c r="Y49" s="16">
        <v>0.70016199999999995</v>
      </c>
      <c r="Z49" s="16">
        <v>0.77046499999999996</v>
      </c>
      <c r="AA49" s="37"/>
    </row>
    <row r="50" spans="1:27">
      <c r="A50" s="16" t="s">
        <v>34</v>
      </c>
      <c r="B50" s="16" t="s">
        <v>385</v>
      </c>
      <c r="C50" s="16" t="s">
        <v>386</v>
      </c>
      <c r="D50" s="16" t="s">
        <v>387</v>
      </c>
      <c r="E50" s="16" t="s">
        <v>388</v>
      </c>
      <c r="F50" s="16" t="s">
        <v>389</v>
      </c>
      <c r="G50" s="16" t="s">
        <v>383</v>
      </c>
      <c r="H50" s="16" t="s">
        <v>384</v>
      </c>
      <c r="I50" s="16" t="s">
        <v>198</v>
      </c>
      <c r="J50" s="16" t="s">
        <v>199</v>
      </c>
      <c r="K50" s="16">
        <v>2.4346019999999999</v>
      </c>
      <c r="L50" s="36">
        <v>2033</v>
      </c>
      <c r="M50" s="16">
        <v>425</v>
      </c>
      <c r="N50" s="16">
        <v>264</v>
      </c>
      <c r="O50" s="16">
        <v>472</v>
      </c>
      <c r="P50" s="16">
        <v>515</v>
      </c>
      <c r="Q50" s="16">
        <v>357</v>
      </c>
      <c r="R50" s="16">
        <v>3</v>
      </c>
      <c r="S50" s="16">
        <v>26.6736</v>
      </c>
      <c r="T50" s="16">
        <v>4.7848699999999997</v>
      </c>
      <c r="U50" s="16">
        <v>0.75555812899999997</v>
      </c>
      <c r="V50" s="16">
        <v>6</v>
      </c>
      <c r="W50" s="16">
        <v>0.92664400000000002</v>
      </c>
      <c r="X50" s="16">
        <v>3.8966000000000001E-2</v>
      </c>
      <c r="Y50" s="16">
        <v>0.7</v>
      </c>
      <c r="Z50" s="16">
        <v>0.76954999999999996</v>
      </c>
      <c r="AA50" s="37"/>
    </row>
    <row r="51" spans="1:27">
      <c r="A51" s="16" t="s">
        <v>34</v>
      </c>
      <c r="B51" s="16" t="s">
        <v>390</v>
      </c>
      <c r="C51" s="16" t="s">
        <v>391</v>
      </c>
      <c r="D51" s="16" t="s">
        <v>392</v>
      </c>
      <c r="E51" s="16" t="s">
        <v>388</v>
      </c>
      <c r="F51" s="16" t="s">
        <v>389</v>
      </c>
      <c r="G51" s="16" t="s">
        <v>383</v>
      </c>
      <c r="H51" s="16" t="s">
        <v>384</v>
      </c>
      <c r="I51" s="16" t="s">
        <v>198</v>
      </c>
      <c r="J51" s="16" t="s">
        <v>199</v>
      </c>
      <c r="K51" s="16">
        <v>2.5845880000000001</v>
      </c>
      <c r="L51" s="36">
        <v>2341</v>
      </c>
      <c r="M51" s="16">
        <v>575</v>
      </c>
      <c r="N51" s="16">
        <v>395</v>
      </c>
      <c r="O51" s="16">
        <v>569</v>
      </c>
      <c r="P51" s="16">
        <v>457</v>
      </c>
      <c r="Q51" s="16">
        <v>345</v>
      </c>
      <c r="R51" s="16">
        <v>5</v>
      </c>
      <c r="S51" s="16">
        <v>24.951599999999999</v>
      </c>
      <c r="T51" s="16">
        <v>14.2361</v>
      </c>
      <c r="U51" s="16">
        <v>0.54345148200000004</v>
      </c>
      <c r="V51" s="16">
        <v>9</v>
      </c>
      <c r="W51" s="16">
        <v>0.94028</v>
      </c>
      <c r="X51" s="16">
        <v>0.15079100000000001</v>
      </c>
      <c r="Y51" s="16">
        <v>0.7</v>
      </c>
      <c r="Z51" s="16">
        <v>0.8</v>
      </c>
      <c r="AA51" s="37"/>
    </row>
    <row r="52" spans="1:27">
      <c r="A52" s="16" t="s">
        <v>34</v>
      </c>
      <c r="B52" s="16" t="s">
        <v>393</v>
      </c>
      <c r="C52" s="16" t="s">
        <v>394</v>
      </c>
      <c r="D52" s="16" t="s">
        <v>395</v>
      </c>
      <c r="E52" s="16" t="s">
        <v>396</v>
      </c>
      <c r="F52" s="16" t="s">
        <v>397</v>
      </c>
      <c r="G52" s="16" t="s">
        <v>383</v>
      </c>
      <c r="H52" s="16" t="s">
        <v>384</v>
      </c>
      <c r="I52" s="16" t="s">
        <v>198</v>
      </c>
      <c r="J52" s="16" t="s">
        <v>199</v>
      </c>
      <c r="K52" s="16">
        <v>2.4983659999999999</v>
      </c>
      <c r="L52" s="36">
        <v>2788</v>
      </c>
      <c r="M52" s="16">
        <v>586</v>
      </c>
      <c r="N52" s="16">
        <v>400</v>
      </c>
      <c r="O52" s="16">
        <v>966</v>
      </c>
      <c r="P52" s="16">
        <v>478</v>
      </c>
      <c r="Q52" s="16">
        <v>358</v>
      </c>
      <c r="R52" s="16">
        <v>5</v>
      </c>
      <c r="S52" s="16">
        <v>26.682099999999998</v>
      </c>
      <c r="T52" s="16">
        <v>17.4726</v>
      </c>
      <c r="U52" s="16">
        <v>0.70400937500000005</v>
      </c>
      <c r="V52" s="16">
        <v>8</v>
      </c>
      <c r="W52" s="16">
        <v>0.99019599999999997</v>
      </c>
      <c r="X52" s="16">
        <v>0</v>
      </c>
      <c r="Y52" s="16">
        <v>0.7</v>
      </c>
      <c r="Z52" s="16">
        <v>0.80819700000000005</v>
      </c>
      <c r="AA52" s="37"/>
    </row>
    <row r="53" spans="1:27">
      <c r="A53" s="16" t="s">
        <v>34</v>
      </c>
      <c r="B53" s="16" t="s">
        <v>398</v>
      </c>
      <c r="C53" s="16" t="s">
        <v>399</v>
      </c>
      <c r="D53" s="16" t="s">
        <v>400</v>
      </c>
      <c r="E53" s="16" t="s">
        <v>388</v>
      </c>
      <c r="F53" s="16" t="s">
        <v>389</v>
      </c>
      <c r="G53" s="16" t="s">
        <v>383</v>
      </c>
      <c r="H53" s="16" t="s">
        <v>384</v>
      </c>
      <c r="I53" s="16" t="s">
        <v>198</v>
      </c>
      <c r="J53" s="16" t="s">
        <v>199</v>
      </c>
      <c r="K53" s="16">
        <v>2.5106299999999999</v>
      </c>
      <c r="L53" s="36">
        <v>2144</v>
      </c>
      <c r="M53" s="16">
        <v>364</v>
      </c>
      <c r="N53" s="16">
        <v>367</v>
      </c>
      <c r="O53" s="16">
        <v>619</v>
      </c>
      <c r="P53" s="16">
        <v>488</v>
      </c>
      <c r="Q53" s="16">
        <v>306</v>
      </c>
      <c r="R53" s="16">
        <v>3</v>
      </c>
      <c r="S53" s="16">
        <v>21.1494</v>
      </c>
      <c r="T53" s="16">
        <v>11.2577</v>
      </c>
      <c r="U53" s="16">
        <v>0.68567484700000003</v>
      </c>
      <c r="V53" s="16">
        <v>8</v>
      </c>
      <c r="W53" s="16">
        <v>0.96338599999999996</v>
      </c>
      <c r="X53" s="16">
        <v>7.2510000000000005E-2</v>
      </c>
      <c r="Y53" s="16">
        <v>0.7</v>
      </c>
      <c r="Z53" s="16">
        <v>0.75176500000000002</v>
      </c>
      <c r="AA53" s="37"/>
    </row>
    <row r="54" spans="1:27">
      <c r="A54" s="16" t="s">
        <v>34</v>
      </c>
      <c r="B54" s="16" t="s">
        <v>401</v>
      </c>
      <c r="C54" s="16" t="s">
        <v>402</v>
      </c>
      <c r="D54" s="16" t="s">
        <v>403</v>
      </c>
      <c r="E54" s="16" t="s">
        <v>396</v>
      </c>
      <c r="F54" s="16" t="s">
        <v>397</v>
      </c>
      <c r="G54" s="16" t="s">
        <v>383</v>
      </c>
      <c r="H54" s="16" t="s">
        <v>384</v>
      </c>
      <c r="I54" s="16" t="s">
        <v>198</v>
      </c>
      <c r="J54" s="16" t="s">
        <v>199</v>
      </c>
      <c r="K54" s="16">
        <v>2.7993640000000002</v>
      </c>
      <c r="L54" s="36">
        <v>1710</v>
      </c>
      <c r="M54" s="16">
        <v>312</v>
      </c>
      <c r="N54" s="16">
        <v>377</v>
      </c>
      <c r="O54" s="16">
        <v>411</v>
      </c>
      <c r="P54" s="16">
        <v>393</v>
      </c>
      <c r="Q54" s="16">
        <v>217</v>
      </c>
      <c r="R54" s="16">
        <v>4</v>
      </c>
      <c r="S54" s="16">
        <v>28.967099999999999</v>
      </c>
      <c r="T54" s="16">
        <v>4.61083</v>
      </c>
      <c r="U54" s="16">
        <v>0.88430175200000005</v>
      </c>
      <c r="V54" s="16">
        <v>3</v>
      </c>
      <c r="W54" s="16">
        <v>1</v>
      </c>
      <c r="X54" s="16">
        <v>0.24438799999999999</v>
      </c>
      <c r="Y54" s="16">
        <v>0.7</v>
      </c>
      <c r="Z54" s="16">
        <v>0.85324</v>
      </c>
      <c r="AA54" s="37"/>
    </row>
    <row r="55" spans="1:27">
      <c r="A55" s="16" t="s">
        <v>34</v>
      </c>
      <c r="B55" s="16" t="s">
        <v>404</v>
      </c>
      <c r="C55" s="16" t="s">
        <v>405</v>
      </c>
      <c r="D55" s="16" t="s">
        <v>406</v>
      </c>
      <c r="E55" s="16" t="s">
        <v>396</v>
      </c>
      <c r="F55" s="16" t="s">
        <v>397</v>
      </c>
      <c r="G55" s="16" t="s">
        <v>383</v>
      </c>
      <c r="H55" s="16" t="s">
        <v>384</v>
      </c>
      <c r="I55" s="16" t="s">
        <v>198</v>
      </c>
      <c r="J55" s="16" t="s">
        <v>199</v>
      </c>
      <c r="K55" s="16">
        <v>2.6367859999999999</v>
      </c>
      <c r="L55" s="36">
        <v>2245</v>
      </c>
      <c r="M55" s="16">
        <v>439</v>
      </c>
      <c r="N55" s="16">
        <v>318</v>
      </c>
      <c r="O55" s="16">
        <v>604</v>
      </c>
      <c r="P55" s="16">
        <v>524</v>
      </c>
      <c r="Q55" s="16">
        <v>360</v>
      </c>
      <c r="R55" s="16">
        <v>5</v>
      </c>
      <c r="S55" s="16">
        <v>27.121700000000001</v>
      </c>
      <c r="T55" s="16">
        <v>12.422700000000001</v>
      </c>
      <c r="U55" s="16">
        <v>0.60062371699999995</v>
      </c>
      <c r="V55" s="16">
        <v>8</v>
      </c>
      <c r="W55" s="16">
        <v>1</v>
      </c>
      <c r="X55" s="16">
        <v>9.7864999999999994E-2</v>
      </c>
      <c r="Y55" s="16">
        <v>0.7</v>
      </c>
      <c r="Z55" s="16">
        <v>0.84053599999999995</v>
      </c>
      <c r="AA55" s="37"/>
    </row>
    <row r="56" spans="1:27">
      <c r="A56" s="16"/>
      <c r="B56" s="16"/>
      <c r="C56" s="16"/>
      <c r="D56" s="16"/>
      <c r="E56" s="16"/>
      <c r="F56" s="16"/>
      <c r="G56" s="16"/>
      <c r="H56" s="16"/>
      <c r="I56" s="16"/>
      <c r="J56" s="16"/>
      <c r="K56" s="16">
        <f>MEDIAN(K36:K55)</f>
        <v>2.4616949999999997</v>
      </c>
      <c r="L56" s="36">
        <f>AVERAGE(L36:L55)</f>
        <v>2179.65</v>
      </c>
      <c r="M56" s="16">
        <f t="shared" ref="M56:Q56" si="1">SUM(M36:M55)</f>
        <v>9005</v>
      </c>
      <c r="N56" s="16">
        <f t="shared" si="1"/>
        <v>7998</v>
      </c>
      <c r="O56" s="16">
        <f t="shared" si="1"/>
        <v>11669</v>
      </c>
      <c r="P56" s="16">
        <f t="shared" si="1"/>
        <v>9270</v>
      </c>
      <c r="Q56" s="16">
        <f t="shared" si="1"/>
        <v>5651</v>
      </c>
      <c r="R56" s="16"/>
      <c r="S56" s="16">
        <f t="shared" ref="S56:U56" si="2">MIN(S36:S55)</f>
        <v>15.623699999999999</v>
      </c>
      <c r="T56" s="16">
        <f t="shared" si="2"/>
        <v>0</v>
      </c>
      <c r="U56" s="16">
        <f t="shared" si="2"/>
        <v>0.54345148200000004</v>
      </c>
      <c r="V56" s="16">
        <f>MEDIAN(V36:V55)</f>
        <v>8</v>
      </c>
      <c r="W56" s="16"/>
      <c r="X56" s="16"/>
      <c r="Y56" s="16"/>
      <c r="Z56" s="16"/>
      <c r="AA56" s="37"/>
    </row>
    <row r="57" spans="1:27">
      <c r="A57" s="16" t="s">
        <v>35</v>
      </c>
      <c r="B57" s="16" t="s">
        <v>407</v>
      </c>
      <c r="C57" s="16" t="s">
        <v>408</v>
      </c>
      <c r="D57" s="16" t="s">
        <v>409</v>
      </c>
      <c r="E57" s="16" t="s">
        <v>410</v>
      </c>
      <c r="F57" s="16" t="s">
        <v>411</v>
      </c>
      <c r="G57" s="16" t="s">
        <v>412</v>
      </c>
      <c r="H57" s="16" t="s">
        <v>413</v>
      </c>
      <c r="I57" s="16" t="s">
        <v>198</v>
      </c>
      <c r="J57" s="16" t="s">
        <v>199</v>
      </c>
      <c r="K57" s="16">
        <v>2.3198970000000001</v>
      </c>
      <c r="L57" s="36">
        <v>1745</v>
      </c>
      <c r="M57" s="16">
        <v>315</v>
      </c>
      <c r="N57" s="16">
        <v>309</v>
      </c>
      <c r="O57" s="16">
        <v>378</v>
      </c>
      <c r="P57" s="16">
        <v>392</v>
      </c>
      <c r="Q57" s="16">
        <v>351</v>
      </c>
      <c r="R57" s="16">
        <v>3</v>
      </c>
      <c r="S57" s="16">
        <v>28.1128</v>
      </c>
      <c r="T57" s="16">
        <v>4.7415500000000002</v>
      </c>
      <c r="U57" s="16">
        <v>0.73238031999999997</v>
      </c>
      <c r="V57" s="16">
        <v>7</v>
      </c>
      <c r="W57" s="16">
        <v>0.906667</v>
      </c>
      <c r="X57" s="16">
        <v>0.13353999999999999</v>
      </c>
      <c r="Y57" s="16">
        <v>0.8</v>
      </c>
      <c r="Z57" s="16">
        <v>0.47907699999999998</v>
      </c>
      <c r="AA57" s="37"/>
    </row>
    <row r="58" spans="1:27">
      <c r="A58" s="16" t="s">
        <v>35</v>
      </c>
      <c r="B58" s="16" t="s">
        <v>414</v>
      </c>
      <c r="C58" s="16" t="s">
        <v>415</v>
      </c>
      <c r="D58" s="16" t="s">
        <v>416</v>
      </c>
      <c r="E58" s="16" t="s">
        <v>417</v>
      </c>
      <c r="F58" s="16" t="s">
        <v>418</v>
      </c>
      <c r="G58" s="16" t="s">
        <v>412</v>
      </c>
      <c r="H58" s="16" t="s">
        <v>413</v>
      </c>
      <c r="I58" s="16" t="s">
        <v>198</v>
      </c>
      <c r="J58" s="16" t="s">
        <v>199</v>
      </c>
      <c r="K58" s="16">
        <v>2.3015539999999999</v>
      </c>
      <c r="L58" s="36">
        <v>1682</v>
      </c>
      <c r="M58" s="16">
        <v>365</v>
      </c>
      <c r="N58" s="16">
        <v>309</v>
      </c>
      <c r="O58" s="16">
        <v>392</v>
      </c>
      <c r="P58" s="16">
        <v>407</v>
      </c>
      <c r="Q58" s="16">
        <v>209</v>
      </c>
      <c r="R58" s="16">
        <v>3</v>
      </c>
      <c r="S58" s="16">
        <v>17.6126</v>
      </c>
      <c r="T58" s="16">
        <v>3.1826300000000001</v>
      </c>
      <c r="U58" s="16">
        <v>1.0543815940000001</v>
      </c>
      <c r="V58" s="16">
        <v>3</v>
      </c>
      <c r="W58" s="16">
        <v>0.90285000000000004</v>
      </c>
      <c r="X58" s="16">
        <v>0.10335900000000001</v>
      </c>
      <c r="Y58" s="16">
        <v>0.8</v>
      </c>
      <c r="Z58" s="16">
        <v>0.49015500000000001</v>
      </c>
      <c r="AA58" s="37"/>
    </row>
    <row r="59" spans="1:27">
      <c r="A59" s="16" t="s">
        <v>35</v>
      </c>
      <c r="B59" s="16" t="s">
        <v>419</v>
      </c>
      <c r="C59" s="16" t="s">
        <v>420</v>
      </c>
      <c r="D59" s="16" t="s">
        <v>421</v>
      </c>
      <c r="E59" s="16" t="s">
        <v>422</v>
      </c>
      <c r="F59" s="16" t="s">
        <v>423</v>
      </c>
      <c r="G59" s="16" t="s">
        <v>412</v>
      </c>
      <c r="H59" s="16" t="s">
        <v>413</v>
      </c>
      <c r="I59" s="16" t="s">
        <v>198</v>
      </c>
      <c r="J59" s="16" t="s">
        <v>199</v>
      </c>
      <c r="K59" s="16">
        <v>2.3678949999999999</v>
      </c>
      <c r="L59" s="36">
        <v>1560</v>
      </c>
      <c r="M59" s="16">
        <v>298</v>
      </c>
      <c r="N59" s="16">
        <v>271</v>
      </c>
      <c r="O59" s="16">
        <v>344</v>
      </c>
      <c r="P59" s="16">
        <v>420</v>
      </c>
      <c r="Q59" s="16">
        <v>227</v>
      </c>
      <c r="R59" s="16">
        <v>3</v>
      </c>
      <c r="S59" s="16">
        <v>16.275099999999998</v>
      </c>
      <c r="T59" s="16">
        <v>5.8648499999999997</v>
      </c>
      <c r="U59" s="16">
        <v>0.98081342999999999</v>
      </c>
      <c r="V59" s="16">
        <v>3</v>
      </c>
      <c r="W59" s="16">
        <v>0.91342100000000004</v>
      </c>
      <c r="X59" s="16">
        <v>0.19470199999999999</v>
      </c>
      <c r="Y59" s="16">
        <v>0.8</v>
      </c>
      <c r="Z59" s="16">
        <v>0.46074300000000001</v>
      </c>
      <c r="AA59" s="37"/>
    </row>
    <row r="60" spans="1:27">
      <c r="A60" s="16" t="s">
        <v>35</v>
      </c>
      <c r="B60" s="16" t="s">
        <v>424</v>
      </c>
      <c r="C60" s="16" t="s">
        <v>425</v>
      </c>
      <c r="D60" s="16" t="s">
        <v>426</v>
      </c>
      <c r="E60" s="16" t="s">
        <v>417</v>
      </c>
      <c r="F60" s="16" t="s">
        <v>418</v>
      </c>
      <c r="G60" s="16" t="s">
        <v>412</v>
      </c>
      <c r="H60" s="16" t="s">
        <v>413</v>
      </c>
      <c r="I60" s="16" t="s">
        <v>198</v>
      </c>
      <c r="J60" s="16" t="s">
        <v>199</v>
      </c>
      <c r="K60" s="16">
        <v>2.3705769999999999</v>
      </c>
      <c r="L60" s="36">
        <v>1600</v>
      </c>
      <c r="M60" s="16">
        <v>246</v>
      </c>
      <c r="N60" s="16">
        <v>306</v>
      </c>
      <c r="O60" s="16">
        <v>414</v>
      </c>
      <c r="P60" s="16">
        <v>393</v>
      </c>
      <c r="Q60" s="16">
        <v>241</v>
      </c>
      <c r="R60" s="16">
        <v>3</v>
      </c>
      <c r="S60" s="16">
        <v>16.069400000000002</v>
      </c>
      <c r="T60" s="16">
        <v>2.6537500000000001</v>
      </c>
      <c r="U60" s="16">
        <v>0.71188375599999998</v>
      </c>
      <c r="V60" s="16">
        <v>7</v>
      </c>
      <c r="W60" s="16">
        <v>0.90765399999999996</v>
      </c>
      <c r="X60" s="16">
        <v>0.181009</v>
      </c>
      <c r="Y60" s="16">
        <v>0.78298299999999998</v>
      </c>
      <c r="Z60" s="16">
        <v>0.50299700000000003</v>
      </c>
      <c r="AA60" s="37"/>
    </row>
    <row r="61" spans="1:27">
      <c r="A61" s="16" t="s">
        <v>35</v>
      </c>
      <c r="B61" s="16" t="s">
        <v>427</v>
      </c>
      <c r="C61" s="16" t="s">
        <v>428</v>
      </c>
      <c r="D61" s="16" t="s">
        <v>429</v>
      </c>
      <c r="E61" s="16" t="s">
        <v>430</v>
      </c>
      <c r="F61" s="16" t="s">
        <v>431</v>
      </c>
      <c r="G61" s="16" t="s">
        <v>412</v>
      </c>
      <c r="H61" s="16" t="s">
        <v>413</v>
      </c>
      <c r="I61" s="16" t="s">
        <v>198</v>
      </c>
      <c r="J61" s="16" t="s">
        <v>199</v>
      </c>
      <c r="K61" s="16">
        <v>2.3268659999999999</v>
      </c>
      <c r="L61" s="36">
        <v>1716</v>
      </c>
      <c r="M61" s="16">
        <v>436</v>
      </c>
      <c r="N61" s="16">
        <v>275</v>
      </c>
      <c r="O61" s="16">
        <v>391</v>
      </c>
      <c r="P61" s="16">
        <v>334</v>
      </c>
      <c r="Q61" s="16">
        <v>280</v>
      </c>
      <c r="R61" s="16">
        <v>3</v>
      </c>
      <c r="S61" s="16">
        <v>27.607199999999999</v>
      </c>
      <c r="T61" s="16">
        <v>3.4837099999999999</v>
      </c>
      <c r="U61" s="16">
        <v>0.73850701299999999</v>
      </c>
      <c r="V61" s="16">
        <v>6</v>
      </c>
      <c r="W61" s="16">
        <v>0.90646800000000005</v>
      </c>
      <c r="X61" s="16">
        <v>0.128053</v>
      </c>
      <c r="Y61" s="16">
        <v>0.8</v>
      </c>
      <c r="Z61" s="16">
        <v>0.5</v>
      </c>
      <c r="AA61" s="37"/>
    </row>
    <row r="62" spans="1:27">
      <c r="A62" s="16" t="s">
        <v>35</v>
      </c>
      <c r="B62" s="16" t="s">
        <v>432</v>
      </c>
      <c r="C62" s="16" t="s">
        <v>433</v>
      </c>
      <c r="D62" s="16" t="s">
        <v>434</v>
      </c>
      <c r="E62" s="16" t="s">
        <v>430</v>
      </c>
      <c r="F62" s="16" t="s">
        <v>431</v>
      </c>
      <c r="G62" s="16" t="s">
        <v>412</v>
      </c>
      <c r="H62" s="16" t="s">
        <v>413</v>
      </c>
      <c r="I62" s="16" t="s">
        <v>198</v>
      </c>
      <c r="J62" s="16" t="s">
        <v>199</v>
      </c>
      <c r="K62" s="16">
        <v>2.5408930000000001</v>
      </c>
      <c r="L62" s="36">
        <v>2080</v>
      </c>
      <c r="M62" s="16">
        <v>622</v>
      </c>
      <c r="N62" s="16">
        <v>415</v>
      </c>
      <c r="O62" s="16">
        <v>528</v>
      </c>
      <c r="P62" s="16">
        <v>330</v>
      </c>
      <c r="Q62" s="16">
        <v>185</v>
      </c>
      <c r="R62" s="16">
        <v>4</v>
      </c>
      <c r="S62" s="16">
        <v>29.646599999999999</v>
      </c>
      <c r="T62" s="16">
        <v>10.9031</v>
      </c>
      <c r="U62" s="16">
        <v>0.67745957700000003</v>
      </c>
      <c r="V62" s="16">
        <v>5</v>
      </c>
      <c r="W62" s="16">
        <v>0.914107</v>
      </c>
      <c r="X62" s="16">
        <v>0.23417299999999999</v>
      </c>
      <c r="Y62" s="16">
        <v>0.8</v>
      </c>
      <c r="Z62" s="16">
        <v>0.60513300000000003</v>
      </c>
      <c r="AA62" s="37"/>
    </row>
    <row r="63" spans="1:27">
      <c r="A63" s="16" t="s">
        <v>35</v>
      </c>
      <c r="B63" s="16" t="s">
        <v>435</v>
      </c>
      <c r="C63" s="16" t="s">
        <v>436</v>
      </c>
      <c r="D63" s="16" t="s">
        <v>437</v>
      </c>
      <c r="E63" s="16" t="s">
        <v>430</v>
      </c>
      <c r="F63" s="16" t="s">
        <v>431</v>
      </c>
      <c r="G63" s="16" t="s">
        <v>412</v>
      </c>
      <c r="H63" s="16" t="s">
        <v>413</v>
      </c>
      <c r="I63" s="16" t="s">
        <v>198</v>
      </c>
      <c r="J63" s="16" t="s">
        <v>199</v>
      </c>
      <c r="K63" s="16">
        <v>2.2931180000000002</v>
      </c>
      <c r="L63" s="36">
        <v>2188</v>
      </c>
      <c r="M63" s="16">
        <v>488</v>
      </c>
      <c r="N63" s="16">
        <v>409</v>
      </c>
      <c r="O63" s="16">
        <v>544</v>
      </c>
      <c r="P63" s="16">
        <v>397</v>
      </c>
      <c r="Q63" s="16">
        <v>350</v>
      </c>
      <c r="R63" s="16">
        <v>3</v>
      </c>
      <c r="S63" s="16">
        <v>18.4633</v>
      </c>
      <c r="T63" s="16">
        <v>8.4854199999999995</v>
      </c>
      <c r="U63" s="16">
        <v>0.79422728799999998</v>
      </c>
      <c r="V63" s="16">
        <v>6</v>
      </c>
      <c r="W63" s="16">
        <v>0.90301100000000001</v>
      </c>
      <c r="X63" s="16">
        <v>8.1033999999999995E-2</v>
      </c>
      <c r="Y63" s="16">
        <v>0.8</v>
      </c>
      <c r="Z63" s="16">
        <v>0.50565199999999999</v>
      </c>
      <c r="AA63" s="37"/>
    </row>
    <row r="64" spans="1:27">
      <c r="A64" s="16" t="s">
        <v>35</v>
      </c>
      <c r="B64" s="16" t="s">
        <v>438</v>
      </c>
      <c r="C64" s="16" t="s">
        <v>439</v>
      </c>
      <c r="D64" s="16" t="s">
        <v>440</v>
      </c>
      <c r="E64" s="16" t="s">
        <v>441</v>
      </c>
      <c r="F64" s="16" t="s">
        <v>442</v>
      </c>
      <c r="G64" s="16" t="s">
        <v>412</v>
      </c>
      <c r="H64" s="16" t="s">
        <v>413</v>
      </c>
      <c r="I64" s="16" t="s">
        <v>198</v>
      </c>
      <c r="J64" s="16" t="s">
        <v>199</v>
      </c>
      <c r="K64" s="16">
        <v>2.893713</v>
      </c>
      <c r="L64" s="36">
        <v>1340</v>
      </c>
      <c r="M64" s="16">
        <v>384</v>
      </c>
      <c r="N64" s="16">
        <v>235</v>
      </c>
      <c r="O64" s="16">
        <v>289</v>
      </c>
      <c r="P64" s="16">
        <v>321</v>
      </c>
      <c r="Q64" s="16">
        <v>111</v>
      </c>
      <c r="R64" s="16">
        <v>3</v>
      </c>
      <c r="S64" s="16">
        <v>26.616900000000001</v>
      </c>
      <c r="T64" s="16">
        <v>0</v>
      </c>
      <c r="U64" s="16">
        <v>0.92574600200000001</v>
      </c>
      <c r="V64" s="16">
        <v>1</v>
      </c>
      <c r="W64" s="16">
        <v>0.92749400000000004</v>
      </c>
      <c r="X64" s="16">
        <v>0.42678899999999997</v>
      </c>
      <c r="Y64" s="16">
        <v>0.8</v>
      </c>
      <c r="Z64" s="16">
        <v>0.75537900000000002</v>
      </c>
      <c r="AA64" s="37"/>
    </row>
    <row r="65" spans="1:27">
      <c r="A65" s="16" t="s">
        <v>35</v>
      </c>
      <c r="B65" s="16" t="s">
        <v>443</v>
      </c>
      <c r="C65" s="16" t="s">
        <v>444</v>
      </c>
      <c r="D65" s="16" t="s">
        <v>445</v>
      </c>
      <c r="E65" s="16" t="s">
        <v>422</v>
      </c>
      <c r="F65" s="16" t="s">
        <v>423</v>
      </c>
      <c r="G65" s="16" t="s">
        <v>412</v>
      </c>
      <c r="H65" s="16" t="s">
        <v>413</v>
      </c>
      <c r="I65" s="16" t="s">
        <v>198</v>
      </c>
      <c r="J65" s="16" t="s">
        <v>199</v>
      </c>
      <c r="K65" s="16">
        <v>2.3782380000000001</v>
      </c>
      <c r="L65" s="36">
        <v>1989</v>
      </c>
      <c r="M65" s="16">
        <v>449</v>
      </c>
      <c r="N65" s="16">
        <v>358</v>
      </c>
      <c r="O65" s="16">
        <v>490</v>
      </c>
      <c r="P65" s="16">
        <v>483</v>
      </c>
      <c r="Q65" s="16">
        <v>209</v>
      </c>
      <c r="R65" s="16">
        <v>2</v>
      </c>
      <c r="S65" s="16">
        <v>11.433999999999999</v>
      </c>
      <c r="T65" s="16">
        <v>4.4694500000000001</v>
      </c>
      <c r="U65" s="16">
        <v>0.96802557700000003</v>
      </c>
      <c r="V65" s="16">
        <v>3</v>
      </c>
      <c r="W65" s="16">
        <v>0.90466299999999999</v>
      </c>
      <c r="X65" s="16">
        <v>0.15229000000000001</v>
      </c>
      <c r="Y65" s="16">
        <v>0.8</v>
      </c>
      <c r="Z65" s="16">
        <v>0.51443399999999995</v>
      </c>
      <c r="AA65" s="37"/>
    </row>
    <row r="66" spans="1:27">
      <c r="A66" s="16"/>
      <c r="B66" s="16"/>
      <c r="C66" s="16"/>
      <c r="D66" s="16"/>
      <c r="E66" s="16"/>
      <c r="F66" s="16"/>
      <c r="G66" s="16"/>
      <c r="H66" s="16"/>
      <c r="I66" s="16"/>
      <c r="J66" s="16"/>
      <c r="K66" s="16">
        <f>MEDIAN(K57:K65)</f>
        <v>2.3678949999999999</v>
      </c>
      <c r="L66" s="36">
        <f>AVERAGE(L57:L65)</f>
        <v>1766.6666666666667</v>
      </c>
      <c r="M66" s="16">
        <f t="shared" ref="M66:Q66" si="3">SUM(M57:M65)</f>
        <v>3603</v>
      </c>
      <c r="N66" s="16">
        <f t="shared" si="3"/>
        <v>2887</v>
      </c>
      <c r="O66" s="16">
        <f t="shared" si="3"/>
        <v>3770</v>
      </c>
      <c r="P66" s="16">
        <f t="shared" si="3"/>
        <v>3477</v>
      </c>
      <c r="Q66" s="16">
        <f t="shared" si="3"/>
        <v>2163</v>
      </c>
      <c r="R66" s="16"/>
      <c r="S66" s="16">
        <f t="shared" ref="S66:U66" si="4">MIN(S57:S65)</f>
        <v>11.433999999999999</v>
      </c>
      <c r="T66" s="16">
        <f t="shared" si="4"/>
        <v>0</v>
      </c>
      <c r="U66" s="16">
        <f t="shared" si="4"/>
        <v>0.67745957700000003</v>
      </c>
      <c r="V66" s="16">
        <f>MEDIAN(V57:V65)</f>
        <v>5</v>
      </c>
      <c r="W66" s="16"/>
      <c r="X66" s="16"/>
      <c r="Y66" s="16"/>
      <c r="Z66" s="16"/>
      <c r="AA66" s="37"/>
    </row>
    <row r="67" spans="1:27">
      <c r="A67" s="16" t="s">
        <v>36</v>
      </c>
      <c r="B67" s="16" t="s">
        <v>446</v>
      </c>
      <c r="C67" s="16" t="s">
        <v>447</v>
      </c>
      <c r="D67" s="16" t="s">
        <v>448</v>
      </c>
      <c r="E67" s="16" t="s">
        <v>449</v>
      </c>
      <c r="F67" s="16" t="s">
        <v>450</v>
      </c>
      <c r="G67" s="16" t="s">
        <v>412</v>
      </c>
      <c r="H67" s="16" t="s">
        <v>413</v>
      </c>
      <c r="I67" s="16" t="s">
        <v>198</v>
      </c>
      <c r="J67" s="16" t="s">
        <v>199</v>
      </c>
      <c r="K67" s="16">
        <v>2.5775459999999999</v>
      </c>
      <c r="L67" s="36">
        <v>2286</v>
      </c>
      <c r="M67" s="16">
        <v>384</v>
      </c>
      <c r="N67" s="16">
        <v>544</v>
      </c>
      <c r="O67" s="16">
        <v>617</v>
      </c>
      <c r="P67" s="16">
        <v>460</v>
      </c>
      <c r="Q67" s="16">
        <v>281</v>
      </c>
      <c r="R67" s="16">
        <v>2</v>
      </c>
      <c r="S67" s="16">
        <v>10.0997</v>
      </c>
      <c r="T67" s="16">
        <v>4.7840800000000003</v>
      </c>
      <c r="U67" s="16">
        <v>0.66583141999999995</v>
      </c>
      <c r="V67" s="16">
        <v>6</v>
      </c>
      <c r="W67" s="16">
        <v>0.91840500000000003</v>
      </c>
      <c r="X67" s="16">
        <v>0.391876</v>
      </c>
      <c r="Y67" s="16">
        <v>0.8</v>
      </c>
      <c r="Z67" s="16">
        <v>0.46895700000000001</v>
      </c>
      <c r="AA67" s="37"/>
    </row>
    <row r="68" spans="1:27">
      <c r="A68" s="16" t="s">
        <v>36</v>
      </c>
      <c r="B68" s="16" t="s">
        <v>451</v>
      </c>
      <c r="C68" s="16" t="s">
        <v>452</v>
      </c>
      <c r="D68" s="16" t="s">
        <v>453</v>
      </c>
      <c r="E68" s="16" t="s">
        <v>454</v>
      </c>
      <c r="F68" s="16" t="s">
        <v>455</v>
      </c>
      <c r="G68" s="16" t="s">
        <v>412</v>
      </c>
      <c r="H68" s="16" t="s">
        <v>413</v>
      </c>
      <c r="I68" s="16" t="s">
        <v>198</v>
      </c>
      <c r="J68" s="16" t="s">
        <v>199</v>
      </c>
      <c r="K68" s="16">
        <v>2.089874</v>
      </c>
      <c r="L68" s="36">
        <v>1399</v>
      </c>
      <c r="M68" s="16">
        <v>347</v>
      </c>
      <c r="N68" s="16">
        <v>221</v>
      </c>
      <c r="O68" s="16">
        <v>200</v>
      </c>
      <c r="P68" s="16">
        <v>387</v>
      </c>
      <c r="Q68" s="16">
        <v>244</v>
      </c>
      <c r="R68" s="16" t="s">
        <v>225</v>
      </c>
      <c r="S68" s="16">
        <v>4.9078600000000003</v>
      </c>
      <c r="T68" s="16">
        <v>2.4198200000000001</v>
      </c>
      <c r="U68" s="16">
        <v>0.73475217699999995</v>
      </c>
      <c r="V68" s="16">
        <v>9</v>
      </c>
      <c r="W68" s="16">
        <v>0.9</v>
      </c>
      <c r="X68" s="16">
        <v>2.343E-3</v>
      </c>
      <c r="Y68" s="16">
        <v>0.77583299999999999</v>
      </c>
      <c r="Z68" s="16">
        <v>0.41309400000000002</v>
      </c>
      <c r="AA68" s="37"/>
    </row>
    <row r="69" spans="1:27">
      <c r="A69" s="16" t="s">
        <v>36</v>
      </c>
      <c r="B69" s="16" t="s">
        <v>456</v>
      </c>
      <c r="C69" s="16" t="s">
        <v>457</v>
      </c>
      <c r="D69" s="16" t="s">
        <v>458</v>
      </c>
      <c r="E69" s="16" t="s">
        <v>459</v>
      </c>
      <c r="F69" s="16" t="s">
        <v>460</v>
      </c>
      <c r="G69" s="16" t="s">
        <v>461</v>
      </c>
      <c r="H69" s="16" t="s">
        <v>462</v>
      </c>
      <c r="I69" s="16" t="s">
        <v>198</v>
      </c>
      <c r="J69" s="16" t="s">
        <v>199</v>
      </c>
      <c r="K69" s="16">
        <v>2.2858200000000002</v>
      </c>
      <c r="L69" s="36">
        <v>1647</v>
      </c>
      <c r="M69" s="16">
        <v>279</v>
      </c>
      <c r="N69" s="16">
        <v>264</v>
      </c>
      <c r="O69" s="16">
        <v>397</v>
      </c>
      <c r="P69" s="16">
        <v>387</v>
      </c>
      <c r="Q69" s="16">
        <v>320</v>
      </c>
      <c r="R69" s="16">
        <v>2</v>
      </c>
      <c r="S69" s="16">
        <v>14.756</v>
      </c>
      <c r="T69" s="16">
        <v>4.0569300000000004</v>
      </c>
      <c r="U69" s="16">
        <v>0.68742405799999995</v>
      </c>
      <c r="V69" s="16">
        <v>8</v>
      </c>
      <c r="W69" s="16">
        <v>0.90634899999999996</v>
      </c>
      <c r="X69" s="16">
        <v>0.189195</v>
      </c>
      <c r="Y69" s="16">
        <v>0.78551800000000005</v>
      </c>
      <c r="Z69" s="16">
        <v>0.40569</v>
      </c>
      <c r="AA69" s="37"/>
    </row>
    <row r="70" spans="1:27">
      <c r="A70" s="16" t="s">
        <v>36</v>
      </c>
      <c r="B70" s="16" t="s">
        <v>463</v>
      </c>
      <c r="C70" s="16" t="s">
        <v>464</v>
      </c>
      <c r="D70" s="16" t="s">
        <v>465</v>
      </c>
      <c r="E70" s="16" t="s">
        <v>449</v>
      </c>
      <c r="F70" s="16" t="s">
        <v>450</v>
      </c>
      <c r="G70" s="16" t="s">
        <v>412</v>
      </c>
      <c r="H70" s="16" t="s">
        <v>413</v>
      </c>
      <c r="I70" s="16" t="s">
        <v>198</v>
      </c>
      <c r="J70" s="16" t="s">
        <v>199</v>
      </c>
      <c r="K70" s="16">
        <v>2.280287</v>
      </c>
      <c r="L70" s="36">
        <v>1669</v>
      </c>
      <c r="M70" s="16">
        <v>381</v>
      </c>
      <c r="N70" s="16">
        <v>206</v>
      </c>
      <c r="O70" s="16">
        <v>362</v>
      </c>
      <c r="P70" s="16">
        <v>416</v>
      </c>
      <c r="Q70" s="16">
        <v>304</v>
      </c>
      <c r="R70" s="16" t="s">
        <v>225</v>
      </c>
      <c r="S70" s="16">
        <v>8.3649799999999992</v>
      </c>
      <c r="T70" s="16">
        <v>2.4624999999999999</v>
      </c>
      <c r="U70" s="16">
        <v>0.66603405900000001</v>
      </c>
      <c r="V70" s="16">
        <v>9</v>
      </c>
      <c r="W70" s="16">
        <v>0.90545500000000001</v>
      </c>
      <c r="X70" s="16">
        <v>0.19922999999999999</v>
      </c>
      <c r="Y70" s="16">
        <v>0.8</v>
      </c>
      <c r="Z70" s="16">
        <v>0.383714</v>
      </c>
      <c r="AA70" s="37"/>
    </row>
    <row r="71" spans="1:27">
      <c r="A71" s="16" t="s">
        <v>36</v>
      </c>
      <c r="B71" s="16" t="s">
        <v>466</v>
      </c>
      <c r="C71" s="16" t="s">
        <v>467</v>
      </c>
      <c r="D71" s="16" t="s">
        <v>468</v>
      </c>
      <c r="E71" s="16" t="s">
        <v>454</v>
      </c>
      <c r="F71" s="16" t="s">
        <v>455</v>
      </c>
      <c r="G71" s="16" t="s">
        <v>412</v>
      </c>
      <c r="H71" s="16" t="s">
        <v>413</v>
      </c>
      <c r="I71" s="16" t="s">
        <v>198</v>
      </c>
      <c r="J71" s="16" t="s">
        <v>199</v>
      </c>
      <c r="K71" s="16">
        <v>2.0657740000000002</v>
      </c>
      <c r="L71" s="36">
        <v>1657</v>
      </c>
      <c r="M71" s="16">
        <v>369</v>
      </c>
      <c r="N71" s="16">
        <v>270</v>
      </c>
      <c r="O71" s="16">
        <v>287</v>
      </c>
      <c r="P71" s="16">
        <v>413</v>
      </c>
      <c r="Q71" s="16">
        <v>318</v>
      </c>
      <c r="R71" s="16" t="s">
        <v>225</v>
      </c>
      <c r="S71" s="16">
        <v>5.6874000000000002</v>
      </c>
      <c r="T71" s="16">
        <v>2.4660199999999999</v>
      </c>
      <c r="U71" s="16">
        <v>0.75713174800000005</v>
      </c>
      <c r="V71" s="16">
        <v>9</v>
      </c>
      <c r="W71" s="16">
        <v>0.90247999999999995</v>
      </c>
      <c r="X71" s="16">
        <v>5.4204000000000002E-2</v>
      </c>
      <c r="Y71" s="16">
        <v>0.798817</v>
      </c>
      <c r="Z71" s="16">
        <v>0.31360900000000003</v>
      </c>
      <c r="AA71" s="37"/>
    </row>
    <row r="72" spans="1:27">
      <c r="A72" s="16" t="s">
        <v>36</v>
      </c>
      <c r="B72" s="16" t="s">
        <v>469</v>
      </c>
      <c r="C72" s="16" t="s">
        <v>470</v>
      </c>
      <c r="D72" s="16" t="s">
        <v>471</v>
      </c>
      <c r="E72" s="16" t="s">
        <v>454</v>
      </c>
      <c r="F72" s="16" t="s">
        <v>455</v>
      </c>
      <c r="G72" s="16" t="s">
        <v>412</v>
      </c>
      <c r="H72" s="16" t="s">
        <v>413</v>
      </c>
      <c r="I72" s="16" t="s">
        <v>198</v>
      </c>
      <c r="J72" s="16" t="s">
        <v>199</v>
      </c>
      <c r="K72" s="16">
        <v>2.3439260000000002</v>
      </c>
      <c r="L72" s="36">
        <v>1700</v>
      </c>
      <c r="M72" s="16">
        <v>348</v>
      </c>
      <c r="N72" s="16">
        <v>259</v>
      </c>
      <c r="O72" s="16">
        <v>363</v>
      </c>
      <c r="P72" s="16">
        <v>412</v>
      </c>
      <c r="Q72" s="16">
        <v>318</v>
      </c>
      <c r="R72" s="16">
        <v>3</v>
      </c>
      <c r="S72" s="16">
        <v>20.319800000000001</v>
      </c>
      <c r="T72" s="16">
        <v>2.50915</v>
      </c>
      <c r="U72" s="16">
        <v>0.63933846900000002</v>
      </c>
      <c r="V72" s="16">
        <v>9</v>
      </c>
      <c r="W72" s="16">
        <v>0.90642599999999995</v>
      </c>
      <c r="X72" s="16">
        <v>0.197015</v>
      </c>
      <c r="Y72" s="16">
        <v>0.8</v>
      </c>
      <c r="Z72" s="16">
        <v>0.441301</v>
      </c>
      <c r="AA72" s="37"/>
    </row>
    <row r="73" spans="1:27">
      <c r="A73" s="16" t="s">
        <v>36</v>
      </c>
      <c r="B73" s="16" t="s">
        <v>472</v>
      </c>
      <c r="C73" s="16" t="s">
        <v>473</v>
      </c>
      <c r="D73" s="16" t="s">
        <v>474</v>
      </c>
      <c r="E73" s="16" t="s">
        <v>454</v>
      </c>
      <c r="F73" s="16" t="s">
        <v>455</v>
      </c>
      <c r="G73" s="16" t="s">
        <v>412</v>
      </c>
      <c r="H73" s="16" t="s">
        <v>413</v>
      </c>
      <c r="I73" s="16" t="s">
        <v>198</v>
      </c>
      <c r="J73" s="16" t="s">
        <v>199</v>
      </c>
      <c r="K73" s="16">
        <v>2.1857660000000001</v>
      </c>
      <c r="L73" s="36">
        <v>1620</v>
      </c>
      <c r="M73" s="16">
        <v>416</v>
      </c>
      <c r="N73" s="16">
        <v>220</v>
      </c>
      <c r="O73" s="16">
        <v>341</v>
      </c>
      <c r="P73" s="16">
        <v>394</v>
      </c>
      <c r="Q73" s="16">
        <v>249</v>
      </c>
      <c r="R73" s="16" t="s">
        <v>225</v>
      </c>
      <c r="S73" s="16">
        <v>5.7403899999999997</v>
      </c>
      <c r="T73" s="16">
        <v>2.1108199999999999</v>
      </c>
      <c r="U73" s="16">
        <v>0.72647180600000005</v>
      </c>
      <c r="V73" s="16">
        <v>9</v>
      </c>
      <c r="W73" s="16">
        <v>0.90551899999999996</v>
      </c>
      <c r="X73" s="16">
        <v>0.15260899999999999</v>
      </c>
      <c r="Y73" s="16">
        <v>0.8</v>
      </c>
      <c r="Z73" s="16">
        <v>0.33333299999999999</v>
      </c>
      <c r="AA73" s="37"/>
    </row>
    <row r="74" spans="1:27">
      <c r="A74" s="16"/>
      <c r="B74" s="16"/>
      <c r="C74" s="16"/>
      <c r="D74" s="16"/>
      <c r="E74" s="16"/>
      <c r="F74" s="16"/>
      <c r="G74" s="16"/>
      <c r="H74" s="16"/>
      <c r="I74" s="16"/>
      <c r="J74" s="16"/>
      <c r="K74" s="16">
        <f>MEDIAN(K67:K73)</f>
        <v>2.280287</v>
      </c>
      <c r="L74" s="36">
        <f>AVERAGE(L67:L73)</f>
        <v>1711.1428571428571</v>
      </c>
      <c r="M74" s="16">
        <f t="shared" ref="M74:Q74" si="5">SUM(M67:M73)</f>
        <v>2524</v>
      </c>
      <c r="N74" s="16">
        <f t="shared" si="5"/>
        <v>1984</v>
      </c>
      <c r="O74" s="16">
        <f t="shared" si="5"/>
        <v>2567</v>
      </c>
      <c r="P74" s="16">
        <f t="shared" si="5"/>
        <v>2869</v>
      </c>
      <c r="Q74" s="16">
        <f t="shared" si="5"/>
        <v>2034</v>
      </c>
      <c r="R74" s="16"/>
      <c r="S74" s="16">
        <f t="shared" ref="S74:U74" si="6">MIN(S67:S73)</f>
        <v>4.9078600000000003</v>
      </c>
      <c r="T74" s="16">
        <f t="shared" si="6"/>
        <v>2.1108199999999999</v>
      </c>
      <c r="U74" s="16">
        <f t="shared" si="6"/>
        <v>0.63933846900000002</v>
      </c>
      <c r="V74" s="16">
        <f>MEDIAN(V67:V73)</f>
        <v>9</v>
      </c>
      <c r="W74" s="16"/>
      <c r="X74" s="16"/>
      <c r="Y74" s="16"/>
      <c r="Z74" s="16"/>
      <c r="AA74" s="37"/>
    </row>
    <row r="75" spans="1:27">
      <c r="A75" s="16" t="s">
        <v>37</v>
      </c>
      <c r="B75" s="16" t="s">
        <v>475</v>
      </c>
      <c r="C75" s="16" t="s">
        <v>476</v>
      </c>
      <c r="D75" s="16" t="s">
        <v>477</v>
      </c>
      <c r="E75" s="16" t="s">
        <v>478</v>
      </c>
      <c r="F75" s="16" t="s">
        <v>479</v>
      </c>
      <c r="G75" s="16" t="s">
        <v>461</v>
      </c>
      <c r="H75" s="16" t="s">
        <v>462</v>
      </c>
      <c r="I75" s="16" t="s">
        <v>198</v>
      </c>
      <c r="J75" s="16" t="s">
        <v>199</v>
      </c>
      <c r="K75" s="16">
        <v>2.1456029999999999</v>
      </c>
      <c r="L75" s="36">
        <v>1508</v>
      </c>
      <c r="M75" s="16">
        <v>263</v>
      </c>
      <c r="N75" s="16">
        <v>310</v>
      </c>
      <c r="O75" s="16">
        <v>564</v>
      </c>
      <c r="P75" s="16">
        <v>246</v>
      </c>
      <c r="Q75" s="16">
        <v>125</v>
      </c>
      <c r="R75" s="16">
        <v>3</v>
      </c>
      <c r="S75" s="16">
        <v>17.606400000000001</v>
      </c>
      <c r="T75" s="16">
        <v>11.4795</v>
      </c>
      <c r="U75" s="16">
        <v>0.88880251799999999</v>
      </c>
      <c r="V75" s="16">
        <v>6</v>
      </c>
      <c r="W75" s="16">
        <v>0.90618900000000002</v>
      </c>
      <c r="X75" s="16">
        <v>0.12815499999999999</v>
      </c>
      <c r="Y75" s="16">
        <v>0.7</v>
      </c>
      <c r="Z75" s="16">
        <v>0.41779899999999998</v>
      </c>
      <c r="AA75" s="37"/>
    </row>
    <row r="76" spans="1:27">
      <c r="A76" s="16" t="s">
        <v>37</v>
      </c>
      <c r="B76" s="16" t="s">
        <v>480</v>
      </c>
      <c r="C76" s="16" t="s">
        <v>481</v>
      </c>
      <c r="D76" s="16" t="s">
        <v>482</v>
      </c>
      <c r="E76" s="16" t="s">
        <v>478</v>
      </c>
      <c r="F76" s="16" t="s">
        <v>479</v>
      </c>
      <c r="G76" s="16" t="s">
        <v>461</v>
      </c>
      <c r="H76" s="16" t="s">
        <v>462</v>
      </c>
      <c r="I76" s="16" t="s">
        <v>198</v>
      </c>
      <c r="J76" s="16" t="s">
        <v>199</v>
      </c>
      <c r="K76" s="16">
        <v>2.1675360000000001</v>
      </c>
      <c r="L76" s="36">
        <v>1530</v>
      </c>
      <c r="M76" s="16">
        <v>249</v>
      </c>
      <c r="N76" s="16">
        <v>286</v>
      </c>
      <c r="O76" s="16">
        <v>493</v>
      </c>
      <c r="P76" s="16">
        <v>353</v>
      </c>
      <c r="Q76" s="16">
        <v>149</v>
      </c>
      <c r="R76" s="16">
        <v>3</v>
      </c>
      <c r="S76" s="16">
        <v>20.946999999999999</v>
      </c>
      <c r="T76" s="16">
        <v>2.8975399999999998</v>
      </c>
      <c r="U76" s="16">
        <v>0.85851175700000004</v>
      </c>
      <c r="V76" s="16">
        <v>6</v>
      </c>
      <c r="W76" s="16">
        <v>0.90492799999999995</v>
      </c>
      <c r="X76" s="16">
        <v>6.1988000000000001E-2</v>
      </c>
      <c r="Y76" s="16">
        <v>0.7</v>
      </c>
      <c r="Z76" s="16">
        <v>0.50232600000000005</v>
      </c>
      <c r="AA76" s="37"/>
    </row>
    <row r="77" spans="1:27">
      <c r="A77" s="16" t="s">
        <v>37</v>
      </c>
      <c r="B77" s="16" t="s">
        <v>483</v>
      </c>
      <c r="C77" s="16" t="s">
        <v>484</v>
      </c>
      <c r="D77" s="16" t="s">
        <v>485</v>
      </c>
      <c r="E77" s="16" t="s">
        <v>478</v>
      </c>
      <c r="F77" s="16" t="s">
        <v>479</v>
      </c>
      <c r="G77" s="16" t="s">
        <v>461</v>
      </c>
      <c r="H77" s="16" t="s">
        <v>462</v>
      </c>
      <c r="I77" s="16" t="s">
        <v>198</v>
      </c>
      <c r="J77" s="16" t="s">
        <v>199</v>
      </c>
      <c r="K77" s="16">
        <v>2.1124510000000001</v>
      </c>
      <c r="L77" s="36">
        <v>1529</v>
      </c>
      <c r="M77" s="16">
        <v>303</v>
      </c>
      <c r="N77" s="16">
        <v>235</v>
      </c>
      <c r="O77" s="16">
        <v>381</v>
      </c>
      <c r="P77" s="16">
        <v>346</v>
      </c>
      <c r="Q77" s="16">
        <v>264</v>
      </c>
      <c r="R77" s="16">
        <v>4</v>
      </c>
      <c r="S77" s="16">
        <v>22.930399999999999</v>
      </c>
      <c r="T77" s="16">
        <v>10.8607</v>
      </c>
      <c r="U77" s="16">
        <v>0.82006407000000003</v>
      </c>
      <c r="V77" s="16">
        <v>7</v>
      </c>
      <c r="W77" s="16">
        <v>0.904864</v>
      </c>
      <c r="X77" s="16">
        <v>8.2677E-2</v>
      </c>
      <c r="Y77" s="16">
        <v>0.7</v>
      </c>
      <c r="Z77" s="16">
        <v>0.423483</v>
      </c>
      <c r="AA77" s="37"/>
    </row>
    <row r="78" spans="1:27">
      <c r="A78" s="16" t="s">
        <v>37</v>
      </c>
      <c r="B78" s="16" t="s">
        <v>486</v>
      </c>
      <c r="C78" s="16" t="s">
        <v>487</v>
      </c>
      <c r="D78" s="16" t="s">
        <v>488</v>
      </c>
      <c r="E78" s="16" t="s">
        <v>478</v>
      </c>
      <c r="F78" s="16" t="s">
        <v>479</v>
      </c>
      <c r="G78" s="16" t="s">
        <v>461</v>
      </c>
      <c r="H78" s="16" t="s">
        <v>462</v>
      </c>
      <c r="I78" s="16" t="s">
        <v>198</v>
      </c>
      <c r="J78" s="16" t="s">
        <v>199</v>
      </c>
      <c r="K78" s="16">
        <v>2.218391</v>
      </c>
      <c r="L78" s="36">
        <v>1536</v>
      </c>
      <c r="M78" s="16">
        <v>254</v>
      </c>
      <c r="N78" s="16">
        <v>309</v>
      </c>
      <c r="O78" s="16">
        <v>336</v>
      </c>
      <c r="P78" s="16">
        <v>396</v>
      </c>
      <c r="Q78" s="16">
        <v>241</v>
      </c>
      <c r="R78" s="16">
        <v>4</v>
      </c>
      <c r="S78" s="16">
        <v>26.746400000000001</v>
      </c>
      <c r="T78" s="16">
        <v>9.2097300000000004</v>
      </c>
      <c r="U78" s="16">
        <v>0.78589959200000004</v>
      </c>
      <c r="V78" s="16">
        <v>7</v>
      </c>
      <c r="W78" s="16">
        <v>0.90675300000000003</v>
      </c>
      <c r="X78" s="16">
        <v>7.2911000000000004E-2</v>
      </c>
      <c r="Y78" s="16">
        <v>0.70804599999999995</v>
      </c>
      <c r="Z78" s="16">
        <v>0.52399399999999996</v>
      </c>
      <c r="AA78" s="37"/>
    </row>
    <row r="79" spans="1:27">
      <c r="A79" s="16" t="s">
        <v>37</v>
      </c>
      <c r="B79" s="16" t="s">
        <v>489</v>
      </c>
      <c r="C79" s="16" t="s">
        <v>490</v>
      </c>
      <c r="D79" s="16" t="s">
        <v>491</v>
      </c>
      <c r="E79" s="16" t="s">
        <v>459</v>
      </c>
      <c r="F79" s="16" t="s">
        <v>460</v>
      </c>
      <c r="G79" s="16" t="s">
        <v>461</v>
      </c>
      <c r="H79" s="16" t="s">
        <v>462</v>
      </c>
      <c r="I79" s="16" t="s">
        <v>198</v>
      </c>
      <c r="J79" s="16" t="s">
        <v>199</v>
      </c>
      <c r="K79" s="16">
        <v>2.070897</v>
      </c>
      <c r="L79" s="36">
        <v>1569</v>
      </c>
      <c r="M79" s="16">
        <v>245</v>
      </c>
      <c r="N79" s="16">
        <v>252</v>
      </c>
      <c r="O79" s="16">
        <v>470</v>
      </c>
      <c r="P79" s="16">
        <v>394</v>
      </c>
      <c r="Q79" s="16">
        <v>208</v>
      </c>
      <c r="R79" s="16">
        <v>3</v>
      </c>
      <c r="S79" s="16">
        <v>22.59</v>
      </c>
      <c r="T79" s="16">
        <v>0</v>
      </c>
      <c r="U79" s="16">
        <v>0.97679928400000005</v>
      </c>
      <c r="V79" s="16">
        <v>5</v>
      </c>
      <c r="W79" s="16">
        <v>0.90321499999999999</v>
      </c>
      <c r="X79" s="16">
        <v>9.6283999999999995E-2</v>
      </c>
      <c r="Y79" s="16">
        <v>0.70377299999999998</v>
      </c>
      <c r="Z79" s="16">
        <v>0.36672300000000002</v>
      </c>
      <c r="AA79" s="37"/>
    </row>
    <row r="80" spans="1:27">
      <c r="A80" s="16" t="s">
        <v>37</v>
      </c>
      <c r="B80" s="16" t="s">
        <v>492</v>
      </c>
      <c r="C80" s="16" t="s">
        <v>493</v>
      </c>
      <c r="D80" s="16" t="s">
        <v>494</v>
      </c>
      <c r="E80" s="16" t="s">
        <v>495</v>
      </c>
      <c r="F80" s="16" t="s">
        <v>496</v>
      </c>
      <c r="G80" s="16" t="s">
        <v>497</v>
      </c>
      <c r="H80" s="16" t="s">
        <v>498</v>
      </c>
      <c r="I80" s="16" t="s">
        <v>198</v>
      </c>
      <c r="J80" s="16" t="s">
        <v>199</v>
      </c>
      <c r="K80" s="16">
        <v>2.8668529999999999</v>
      </c>
      <c r="L80" s="36">
        <v>3608</v>
      </c>
      <c r="M80" s="16">
        <v>484</v>
      </c>
      <c r="N80" s="36">
        <v>1230</v>
      </c>
      <c r="O80" s="36">
        <v>1146</v>
      </c>
      <c r="P80" s="16">
        <v>554</v>
      </c>
      <c r="Q80" s="16">
        <v>194</v>
      </c>
      <c r="R80" s="16" t="s">
        <v>302</v>
      </c>
      <c r="S80" s="16">
        <v>45.4589</v>
      </c>
      <c r="T80" s="16">
        <v>13.449400000000001</v>
      </c>
      <c r="U80" s="16">
        <v>0.75426987899999998</v>
      </c>
      <c r="V80" s="16">
        <v>4</v>
      </c>
      <c r="W80" s="16">
        <v>0.92327700000000001</v>
      </c>
      <c r="X80" s="16">
        <v>0.30737999999999999</v>
      </c>
      <c r="Y80" s="16">
        <v>0.7</v>
      </c>
      <c r="Z80" s="16">
        <v>0.93461499999999997</v>
      </c>
      <c r="AA80" s="37"/>
    </row>
    <row r="81" spans="1:27">
      <c r="A81" s="16" t="s">
        <v>37</v>
      </c>
      <c r="B81" s="16" t="s">
        <v>499</v>
      </c>
      <c r="C81" s="16" t="s">
        <v>500</v>
      </c>
      <c r="D81" s="16" t="s">
        <v>501</v>
      </c>
      <c r="E81" s="16" t="s">
        <v>502</v>
      </c>
      <c r="F81" s="16" t="s">
        <v>503</v>
      </c>
      <c r="G81" s="16" t="s">
        <v>497</v>
      </c>
      <c r="H81" s="16" t="s">
        <v>498</v>
      </c>
      <c r="I81" s="16" t="s">
        <v>198</v>
      </c>
      <c r="J81" s="16" t="s">
        <v>199</v>
      </c>
      <c r="K81" s="16">
        <v>2.5514290000000002</v>
      </c>
      <c r="L81" s="36">
        <v>1594</v>
      </c>
      <c r="M81" s="16">
        <v>304</v>
      </c>
      <c r="N81" s="16">
        <v>396</v>
      </c>
      <c r="O81" s="16">
        <v>374</v>
      </c>
      <c r="P81" s="16">
        <v>382</v>
      </c>
      <c r="Q81" s="16">
        <v>138</v>
      </c>
      <c r="R81" s="16">
        <v>5</v>
      </c>
      <c r="S81" s="16">
        <v>38.963299999999997</v>
      </c>
      <c r="T81" s="16">
        <v>14.341799999999999</v>
      </c>
      <c r="U81" s="16">
        <v>0.76305081799999996</v>
      </c>
      <c r="V81" s="16">
        <v>6</v>
      </c>
      <c r="W81" s="16">
        <v>0.91220800000000002</v>
      </c>
      <c r="X81" s="16">
        <v>0.236458</v>
      </c>
      <c r="Y81" s="16">
        <v>0.75497400000000003</v>
      </c>
      <c r="Z81" s="16">
        <v>0.65729199999999999</v>
      </c>
      <c r="AA81" s="37"/>
    </row>
    <row r="82" spans="1:27">
      <c r="A82" s="16" t="s">
        <v>37</v>
      </c>
      <c r="B82" s="16" t="s">
        <v>504</v>
      </c>
      <c r="C82" s="16" t="s">
        <v>505</v>
      </c>
      <c r="D82" s="16" t="s">
        <v>506</v>
      </c>
      <c r="E82" s="16" t="s">
        <v>495</v>
      </c>
      <c r="F82" s="16" t="s">
        <v>496</v>
      </c>
      <c r="G82" s="16" t="s">
        <v>497</v>
      </c>
      <c r="H82" s="16" t="s">
        <v>498</v>
      </c>
      <c r="I82" s="16" t="s">
        <v>198</v>
      </c>
      <c r="J82" s="16" t="s">
        <v>199</v>
      </c>
      <c r="K82" s="16">
        <v>2.971104</v>
      </c>
      <c r="L82" s="36">
        <v>1708</v>
      </c>
      <c r="M82" s="16">
        <v>194</v>
      </c>
      <c r="N82" s="16">
        <v>648</v>
      </c>
      <c r="O82" s="16">
        <v>376</v>
      </c>
      <c r="P82" s="16">
        <v>304</v>
      </c>
      <c r="Q82" s="16">
        <v>186</v>
      </c>
      <c r="R82" s="16" t="s">
        <v>302</v>
      </c>
      <c r="S82" s="16">
        <v>37.1477</v>
      </c>
      <c r="T82" s="16">
        <v>19.7164</v>
      </c>
      <c r="U82" s="16">
        <v>0.80847234199999995</v>
      </c>
      <c r="V82" s="16">
        <v>3</v>
      </c>
      <c r="W82" s="16">
        <v>0.93831200000000003</v>
      </c>
      <c r="X82" s="16">
        <v>0.38344400000000001</v>
      </c>
      <c r="Y82" s="16">
        <v>0.7</v>
      </c>
      <c r="Z82" s="16">
        <v>0.96864700000000004</v>
      </c>
      <c r="AA82" s="37"/>
    </row>
    <row r="83" spans="1:27">
      <c r="A83" s="16" t="s">
        <v>37</v>
      </c>
      <c r="B83" s="16" t="s">
        <v>507</v>
      </c>
      <c r="C83" s="16" t="s">
        <v>508</v>
      </c>
      <c r="D83" s="16" t="s">
        <v>509</v>
      </c>
      <c r="E83" s="16" t="s">
        <v>510</v>
      </c>
      <c r="F83" s="16" t="s">
        <v>511</v>
      </c>
      <c r="G83" s="16" t="s">
        <v>497</v>
      </c>
      <c r="H83" s="16" t="s">
        <v>498</v>
      </c>
      <c r="I83" s="16" t="s">
        <v>198</v>
      </c>
      <c r="J83" s="16" t="s">
        <v>199</v>
      </c>
      <c r="K83" s="16">
        <v>2.6343649999999998</v>
      </c>
      <c r="L83" s="36">
        <v>1746</v>
      </c>
      <c r="M83" s="16">
        <v>249</v>
      </c>
      <c r="N83" s="16">
        <v>463</v>
      </c>
      <c r="O83" s="16">
        <v>499</v>
      </c>
      <c r="P83" s="16">
        <v>341</v>
      </c>
      <c r="Q83" s="16">
        <v>194</v>
      </c>
      <c r="R83" s="16" t="s">
        <v>302</v>
      </c>
      <c r="S83" s="16">
        <v>48.555199999999999</v>
      </c>
      <c r="T83" s="16">
        <v>15.1379</v>
      </c>
      <c r="U83" s="16">
        <v>0.87106552400000004</v>
      </c>
      <c r="V83" s="16">
        <v>3</v>
      </c>
      <c r="W83" s="16">
        <v>0.91921799999999998</v>
      </c>
      <c r="X83" s="16">
        <v>0.237925</v>
      </c>
      <c r="Y83" s="16">
        <v>0.79691100000000004</v>
      </c>
      <c r="Z83" s="16">
        <v>0.67483800000000005</v>
      </c>
      <c r="AA83" s="37"/>
    </row>
    <row r="84" spans="1:27">
      <c r="A84" s="16" t="s">
        <v>37</v>
      </c>
      <c r="B84" s="16" t="s">
        <v>512</v>
      </c>
      <c r="C84" s="16" t="s">
        <v>513</v>
      </c>
      <c r="D84" s="16" t="s">
        <v>514</v>
      </c>
      <c r="E84" s="16" t="s">
        <v>502</v>
      </c>
      <c r="F84" s="16" t="s">
        <v>503</v>
      </c>
      <c r="G84" s="16" t="s">
        <v>497</v>
      </c>
      <c r="H84" s="16" t="s">
        <v>498</v>
      </c>
      <c r="I84" s="16" t="s">
        <v>198</v>
      </c>
      <c r="J84" s="16" t="s">
        <v>199</v>
      </c>
      <c r="K84" s="16">
        <v>2.6885089999999998</v>
      </c>
      <c r="L84" s="36">
        <v>1909</v>
      </c>
      <c r="M84" s="16">
        <v>266</v>
      </c>
      <c r="N84" s="16">
        <v>597</v>
      </c>
      <c r="O84" s="16">
        <v>503</v>
      </c>
      <c r="P84" s="16">
        <v>374</v>
      </c>
      <c r="Q84" s="16">
        <v>169</v>
      </c>
      <c r="R84" s="16" t="s">
        <v>302</v>
      </c>
      <c r="S84" s="16">
        <v>41.827300000000001</v>
      </c>
      <c r="T84" s="16">
        <v>26.403099999999998</v>
      </c>
      <c r="U84" s="16">
        <v>0.84741800199999995</v>
      </c>
      <c r="V84" s="16">
        <v>3</v>
      </c>
      <c r="W84" s="16">
        <v>0.91583800000000004</v>
      </c>
      <c r="X84" s="16">
        <v>0.17539399999999999</v>
      </c>
      <c r="Y84" s="16">
        <v>0.8</v>
      </c>
      <c r="Z84" s="16">
        <v>0.8</v>
      </c>
      <c r="AA84" s="37"/>
    </row>
    <row r="85" spans="1:27">
      <c r="A85" s="16" t="s">
        <v>37</v>
      </c>
      <c r="B85" s="16" t="s">
        <v>515</v>
      </c>
      <c r="C85" s="16" t="s">
        <v>516</v>
      </c>
      <c r="D85" s="16" t="s">
        <v>517</v>
      </c>
      <c r="E85" s="16" t="s">
        <v>510</v>
      </c>
      <c r="F85" s="16" t="s">
        <v>511</v>
      </c>
      <c r="G85" s="16" t="s">
        <v>497</v>
      </c>
      <c r="H85" s="16" t="s">
        <v>498</v>
      </c>
      <c r="I85" s="16" t="s">
        <v>198</v>
      </c>
      <c r="J85" s="16" t="s">
        <v>199</v>
      </c>
      <c r="K85" s="16">
        <v>2.74777</v>
      </c>
      <c r="L85" s="36">
        <v>2382</v>
      </c>
      <c r="M85" s="16">
        <v>434</v>
      </c>
      <c r="N85" s="16">
        <v>580</v>
      </c>
      <c r="O85" s="16">
        <v>692</v>
      </c>
      <c r="P85" s="16">
        <v>476</v>
      </c>
      <c r="Q85" s="16">
        <v>200</v>
      </c>
      <c r="R85" s="16" t="s">
        <v>302</v>
      </c>
      <c r="S85" s="16">
        <v>38.897100000000002</v>
      </c>
      <c r="T85" s="16">
        <v>11.4086</v>
      </c>
      <c r="U85" s="16">
        <v>0.86373239099999999</v>
      </c>
      <c r="V85" s="16">
        <v>3</v>
      </c>
      <c r="W85" s="16">
        <v>0.91301100000000002</v>
      </c>
      <c r="X85" s="16">
        <v>0.242007</v>
      </c>
      <c r="Y85" s="16">
        <v>0.79776100000000005</v>
      </c>
      <c r="Z85" s="16">
        <v>0.79889100000000002</v>
      </c>
      <c r="AA85" s="37"/>
    </row>
    <row r="86" spans="1:27">
      <c r="A86" s="16" t="s">
        <v>37</v>
      </c>
      <c r="B86" s="16" t="s">
        <v>518</v>
      </c>
      <c r="C86" s="16" t="s">
        <v>519</v>
      </c>
      <c r="D86" s="16" t="s">
        <v>520</v>
      </c>
      <c r="E86" s="16" t="s">
        <v>521</v>
      </c>
      <c r="F86" s="16" t="s">
        <v>522</v>
      </c>
      <c r="G86" s="16" t="s">
        <v>497</v>
      </c>
      <c r="H86" s="16" t="s">
        <v>498</v>
      </c>
      <c r="I86" s="16" t="s">
        <v>198</v>
      </c>
      <c r="J86" s="16" t="s">
        <v>199</v>
      </c>
      <c r="K86" s="16">
        <v>2.417986</v>
      </c>
      <c r="L86" s="36">
        <v>2049</v>
      </c>
      <c r="M86" s="16">
        <v>424</v>
      </c>
      <c r="N86" s="16">
        <v>426</v>
      </c>
      <c r="O86" s="16">
        <v>505</v>
      </c>
      <c r="P86" s="16">
        <v>452</v>
      </c>
      <c r="Q86" s="16">
        <v>242</v>
      </c>
      <c r="R86" s="16">
        <v>4</v>
      </c>
      <c r="S86" s="16">
        <v>23.155999999999999</v>
      </c>
      <c r="T86" s="16">
        <v>10.076700000000001</v>
      </c>
      <c r="U86" s="16">
        <v>0.84932626600000005</v>
      </c>
      <c r="V86" s="16">
        <v>5</v>
      </c>
      <c r="W86" s="16">
        <v>0.90863300000000002</v>
      </c>
      <c r="X86" s="16">
        <v>9.7362000000000004E-2</v>
      </c>
      <c r="Y86" s="16">
        <v>0.70676300000000003</v>
      </c>
      <c r="Z86" s="16">
        <v>0.70676300000000003</v>
      </c>
      <c r="AA86" s="37"/>
    </row>
    <row r="87" spans="1:27">
      <c r="A87" s="16" t="s">
        <v>37</v>
      </c>
      <c r="B87" s="16" t="s">
        <v>523</v>
      </c>
      <c r="C87" s="16" t="s">
        <v>524</v>
      </c>
      <c r="D87" s="16" t="s">
        <v>525</v>
      </c>
      <c r="E87" s="16" t="s">
        <v>526</v>
      </c>
      <c r="F87" s="16" t="s">
        <v>527</v>
      </c>
      <c r="G87" s="16" t="s">
        <v>497</v>
      </c>
      <c r="H87" s="16" t="s">
        <v>498</v>
      </c>
      <c r="I87" s="16" t="s">
        <v>198</v>
      </c>
      <c r="J87" s="16" t="s">
        <v>199</v>
      </c>
      <c r="K87" s="16">
        <v>2.6519400000000002</v>
      </c>
      <c r="L87" s="36">
        <v>1663</v>
      </c>
      <c r="M87" s="16">
        <v>273</v>
      </c>
      <c r="N87" s="16">
        <v>483</v>
      </c>
      <c r="O87" s="16">
        <v>469</v>
      </c>
      <c r="P87" s="16">
        <v>304</v>
      </c>
      <c r="Q87" s="16">
        <v>134</v>
      </c>
      <c r="R87" s="16">
        <v>5</v>
      </c>
      <c r="S87" s="16">
        <v>34.321100000000001</v>
      </c>
      <c r="T87" s="16">
        <v>13.538600000000001</v>
      </c>
      <c r="U87" s="16">
        <v>1.0119068120000001</v>
      </c>
      <c r="V87" s="16">
        <v>2</v>
      </c>
      <c r="W87" s="16">
        <v>0.91731300000000005</v>
      </c>
      <c r="X87" s="16">
        <v>0.198187</v>
      </c>
      <c r="Y87" s="16">
        <v>0.7</v>
      </c>
      <c r="Z87" s="16">
        <v>0.81970100000000001</v>
      </c>
      <c r="AA87" s="37"/>
    </row>
    <row r="88" spans="1:27">
      <c r="A88" s="16" t="s">
        <v>37</v>
      </c>
      <c r="B88" s="16" t="s">
        <v>528</v>
      </c>
      <c r="C88" s="16" t="s">
        <v>529</v>
      </c>
      <c r="D88" s="16" t="s">
        <v>530</v>
      </c>
      <c r="E88" s="16" t="s">
        <v>531</v>
      </c>
      <c r="F88" s="16" t="s">
        <v>532</v>
      </c>
      <c r="G88" s="16" t="s">
        <v>497</v>
      </c>
      <c r="H88" s="16" t="s">
        <v>498</v>
      </c>
      <c r="I88" s="16" t="s">
        <v>198</v>
      </c>
      <c r="J88" s="16" t="s">
        <v>199</v>
      </c>
      <c r="K88" s="16">
        <v>2.5945260000000001</v>
      </c>
      <c r="L88" s="36">
        <v>1707</v>
      </c>
      <c r="M88" s="16">
        <v>288</v>
      </c>
      <c r="N88" s="16">
        <v>482</v>
      </c>
      <c r="O88" s="16">
        <v>425</v>
      </c>
      <c r="P88" s="16">
        <v>384</v>
      </c>
      <c r="Q88" s="16">
        <v>128</v>
      </c>
      <c r="R88" s="16">
        <v>4</v>
      </c>
      <c r="S88" s="16">
        <v>30.481999999999999</v>
      </c>
      <c r="T88" s="16">
        <v>11.258100000000001</v>
      </c>
      <c r="U88" s="16">
        <v>0.95343847900000001</v>
      </c>
      <c r="V88" s="16">
        <v>3</v>
      </c>
      <c r="W88" s="16">
        <v>0.90766400000000003</v>
      </c>
      <c r="X88" s="16">
        <v>0.13897100000000001</v>
      </c>
      <c r="Y88" s="16">
        <v>0.76678800000000003</v>
      </c>
      <c r="Z88" s="16">
        <v>0.8</v>
      </c>
      <c r="AA88" s="37"/>
    </row>
    <row r="89" spans="1:27">
      <c r="A89" s="16" t="s">
        <v>37</v>
      </c>
      <c r="B89" s="16" t="s">
        <v>533</v>
      </c>
      <c r="C89" s="16" t="s">
        <v>534</v>
      </c>
      <c r="D89" s="16" t="s">
        <v>535</v>
      </c>
      <c r="E89" s="16" t="s">
        <v>531</v>
      </c>
      <c r="F89" s="16" t="s">
        <v>532</v>
      </c>
      <c r="G89" s="16" t="s">
        <v>497</v>
      </c>
      <c r="H89" s="16" t="s">
        <v>498</v>
      </c>
      <c r="I89" s="16" t="s">
        <v>198</v>
      </c>
      <c r="J89" s="16" t="s">
        <v>199</v>
      </c>
      <c r="K89" s="16">
        <v>2.525954</v>
      </c>
      <c r="L89" s="36">
        <v>1692</v>
      </c>
      <c r="M89" s="16">
        <v>352</v>
      </c>
      <c r="N89" s="16">
        <v>350</v>
      </c>
      <c r="O89" s="16">
        <v>436</v>
      </c>
      <c r="P89" s="16">
        <v>392</v>
      </c>
      <c r="Q89" s="16">
        <v>162</v>
      </c>
      <c r="R89" s="16">
        <v>3</v>
      </c>
      <c r="S89" s="16">
        <v>19.920200000000001</v>
      </c>
      <c r="T89" s="16">
        <v>9.3346400000000003</v>
      </c>
      <c r="U89" s="16">
        <v>1.031818865</v>
      </c>
      <c r="V89" s="16">
        <v>2</v>
      </c>
      <c r="W89" s="16">
        <v>0.91259500000000005</v>
      </c>
      <c r="X89" s="16">
        <v>0.1</v>
      </c>
      <c r="Y89" s="16">
        <v>0.71274099999999996</v>
      </c>
      <c r="Z89" s="16">
        <v>0.8</v>
      </c>
      <c r="AA89" s="37"/>
    </row>
    <row r="90" spans="1:27">
      <c r="A90" s="16"/>
      <c r="B90" s="16"/>
      <c r="C90" s="16"/>
      <c r="D90" s="16"/>
      <c r="E90" s="16"/>
      <c r="F90" s="16"/>
      <c r="G90" s="16"/>
      <c r="H90" s="16"/>
      <c r="I90" s="16"/>
      <c r="J90" s="16"/>
      <c r="K90" s="16">
        <f>MEDIAN(K75:K89)</f>
        <v>2.5514290000000002</v>
      </c>
      <c r="L90" s="36">
        <f>AVERAGE(L75:L89)</f>
        <v>1848.6666666666667</v>
      </c>
      <c r="M90" s="16">
        <f t="shared" ref="M90:Q90" si="7">SUM(M75:M89)</f>
        <v>4582</v>
      </c>
      <c r="N90" s="16">
        <f t="shared" si="7"/>
        <v>7047</v>
      </c>
      <c r="O90" s="16">
        <f t="shared" si="7"/>
        <v>7669</v>
      </c>
      <c r="P90" s="16">
        <f t="shared" si="7"/>
        <v>5698</v>
      </c>
      <c r="Q90" s="16">
        <f t="shared" si="7"/>
        <v>2734</v>
      </c>
      <c r="R90" s="16"/>
      <c r="S90" s="16">
        <f t="shared" ref="S90:U90" si="8">MIN(S75:S89)</f>
        <v>17.606400000000001</v>
      </c>
      <c r="T90" s="16">
        <f t="shared" si="8"/>
        <v>0</v>
      </c>
      <c r="U90" s="16">
        <f t="shared" si="8"/>
        <v>0.75426987899999998</v>
      </c>
      <c r="V90" s="16">
        <f>MEDIAN(V75:V89)</f>
        <v>4</v>
      </c>
      <c r="W90" s="16"/>
      <c r="X90" s="16"/>
      <c r="Y90" s="16"/>
      <c r="Z90" s="16"/>
      <c r="AA90" s="37"/>
    </row>
    <row r="91" spans="1:27">
      <c r="A91" s="16" t="s">
        <v>38</v>
      </c>
      <c r="B91" s="16" t="s">
        <v>536</v>
      </c>
      <c r="C91" s="16" t="s">
        <v>537</v>
      </c>
      <c r="D91" s="16" t="s">
        <v>538</v>
      </c>
      <c r="E91" s="16" t="s">
        <v>539</v>
      </c>
      <c r="F91" s="16" t="s">
        <v>540</v>
      </c>
      <c r="G91" s="16" t="s">
        <v>412</v>
      </c>
      <c r="H91" s="16" t="s">
        <v>413</v>
      </c>
      <c r="I91" s="16" t="s">
        <v>198</v>
      </c>
      <c r="J91" s="16" t="s">
        <v>199</v>
      </c>
      <c r="K91" s="16">
        <v>2.401135</v>
      </c>
      <c r="L91" s="36">
        <v>2202</v>
      </c>
      <c r="M91" s="16">
        <v>440</v>
      </c>
      <c r="N91" s="16">
        <v>394</v>
      </c>
      <c r="O91" s="16">
        <v>645</v>
      </c>
      <c r="P91" s="16">
        <v>538</v>
      </c>
      <c r="Q91" s="16">
        <v>185</v>
      </c>
      <c r="R91" s="16">
        <v>2</v>
      </c>
      <c r="S91" s="16">
        <v>21.188700000000001</v>
      </c>
      <c r="T91" s="16">
        <v>0</v>
      </c>
      <c r="U91" s="16">
        <v>0.70641108399999997</v>
      </c>
      <c r="V91" s="16">
        <v>7</v>
      </c>
      <c r="W91" s="16">
        <v>0.89148700000000003</v>
      </c>
      <c r="X91" s="16">
        <v>0.21582599999999999</v>
      </c>
      <c r="Y91" s="16">
        <v>0.8</v>
      </c>
      <c r="Z91" s="16">
        <v>0.48612100000000003</v>
      </c>
      <c r="AA91" s="37"/>
    </row>
    <row r="92" spans="1:27">
      <c r="A92" s="16" t="s">
        <v>38</v>
      </c>
      <c r="B92" s="16" t="s">
        <v>541</v>
      </c>
      <c r="C92" s="16" t="s">
        <v>542</v>
      </c>
      <c r="D92" s="16" t="s">
        <v>543</v>
      </c>
      <c r="E92" s="16" t="s">
        <v>544</v>
      </c>
      <c r="F92" s="16" t="s">
        <v>545</v>
      </c>
      <c r="G92" s="16" t="s">
        <v>412</v>
      </c>
      <c r="H92" s="16" t="s">
        <v>413</v>
      </c>
      <c r="I92" s="16" t="s">
        <v>198</v>
      </c>
      <c r="J92" s="16" t="s">
        <v>199</v>
      </c>
      <c r="K92" s="16">
        <v>2.4106190000000001</v>
      </c>
      <c r="L92" s="36">
        <v>1703</v>
      </c>
      <c r="M92" s="16">
        <v>319</v>
      </c>
      <c r="N92" s="16">
        <v>312</v>
      </c>
      <c r="O92" s="16">
        <v>479</v>
      </c>
      <c r="P92" s="16">
        <v>437</v>
      </c>
      <c r="Q92" s="16">
        <v>156</v>
      </c>
      <c r="R92" s="16" t="s">
        <v>225</v>
      </c>
      <c r="S92" s="16">
        <v>8.2262500000000003</v>
      </c>
      <c r="T92" s="16">
        <v>0</v>
      </c>
      <c r="U92" s="16">
        <v>1.002648639</v>
      </c>
      <c r="V92" s="16">
        <v>3</v>
      </c>
      <c r="W92" s="16">
        <v>0.90708</v>
      </c>
      <c r="X92" s="16">
        <v>0.24903</v>
      </c>
      <c r="Y92" s="16">
        <v>0.8</v>
      </c>
      <c r="Z92" s="16">
        <v>0.452212</v>
      </c>
      <c r="AA92" s="37"/>
    </row>
    <row r="93" spans="1:27">
      <c r="A93" s="16" t="s">
        <v>38</v>
      </c>
      <c r="B93" s="16" t="s">
        <v>546</v>
      </c>
      <c r="C93" s="16" t="s">
        <v>547</v>
      </c>
      <c r="D93" s="16" t="s">
        <v>548</v>
      </c>
      <c r="E93" s="16" t="s">
        <v>544</v>
      </c>
      <c r="F93" s="16" t="s">
        <v>545</v>
      </c>
      <c r="G93" s="16" t="s">
        <v>412</v>
      </c>
      <c r="H93" s="16" t="s">
        <v>413</v>
      </c>
      <c r="I93" s="16" t="s">
        <v>198</v>
      </c>
      <c r="J93" s="16" t="s">
        <v>199</v>
      </c>
      <c r="K93" s="16">
        <v>2.2753809999999999</v>
      </c>
      <c r="L93" s="36">
        <v>1845</v>
      </c>
      <c r="M93" s="16">
        <v>421</v>
      </c>
      <c r="N93" s="16">
        <v>332</v>
      </c>
      <c r="O93" s="16">
        <v>476</v>
      </c>
      <c r="P93" s="16">
        <v>431</v>
      </c>
      <c r="Q93" s="16">
        <v>185</v>
      </c>
      <c r="R93" s="16">
        <v>2</v>
      </c>
      <c r="S93" s="16">
        <v>13.273199999999999</v>
      </c>
      <c r="T93" s="16">
        <v>0</v>
      </c>
      <c r="U93" s="16">
        <v>1.02143337</v>
      </c>
      <c r="V93" s="16">
        <v>4</v>
      </c>
      <c r="W93" s="16">
        <v>0.89404399999999995</v>
      </c>
      <c r="X93" s="16">
        <v>0.17205599999999999</v>
      </c>
      <c r="Y93" s="16">
        <v>0.8</v>
      </c>
      <c r="Z93" s="16">
        <v>0.41146700000000003</v>
      </c>
      <c r="AA93" s="37"/>
    </row>
    <row r="94" spans="1:27">
      <c r="A94" s="16" t="s">
        <v>38</v>
      </c>
      <c r="B94" s="16" t="s">
        <v>549</v>
      </c>
      <c r="C94" s="16" t="s">
        <v>550</v>
      </c>
      <c r="D94" s="16" t="s">
        <v>551</v>
      </c>
      <c r="E94" s="16" t="s">
        <v>544</v>
      </c>
      <c r="F94" s="16" t="s">
        <v>545</v>
      </c>
      <c r="G94" s="16" t="s">
        <v>412</v>
      </c>
      <c r="H94" s="16" t="s">
        <v>413</v>
      </c>
      <c r="I94" s="16" t="s">
        <v>198</v>
      </c>
      <c r="J94" s="16" t="s">
        <v>199</v>
      </c>
      <c r="K94" s="16">
        <v>2.2537750000000001</v>
      </c>
      <c r="L94" s="36">
        <v>1897</v>
      </c>
      <c r="M94" s="16">
        <v>371</v>
      </c>
      <c r="N94" s="16">
        <v>296</v>
      </c>
      <c r="O94" s="16">
        <v>475</v>
      </c>
      <c r="P94" s="16">
        <v>526</v>
      </c>
      <c r="Q94" s="16">
        <v>229</v>
      </c>
      <c r="R94" s="16">
        <v>2</v>
      </c>
      <c r="S94" s="16">
        <v>14.2826</v>
      </c>
      <c r="T94" s="16">
        <v>5.0400600000000004</v>
      </c>
      <c r="U94" s="16">
        <v>0.80761054399999999</v>
      </c>
      <c r="V94" s="16">
        <v>7</v>
      </c>
      <c r="W94" s="16">
        <v>0.89613299999999996</v>
      </c>
      <c r="X94" s="16">
        <v>7.8831999999999999E-2</v>
      </c>
      <c r="Y94" s="16">
        <v>0.8</v>
      </c>
      <c r="Z94" s="16">
        <v>0.47087899999999999</v>
      </c>
      <c r="AA94" s="37"/>
    </row>
    <row r="95" spans="1:27">
      <c r="A95" s="16" t="s">
        <v>38</v>
      </c>
      <c r="B95" s="16" t="s">
        <v>552</v>
      </c>
      <c r="C95" s="16" t="s">
        <v>553</v>
      </c>
      <c r="D95" s="16" t="s">
        <v>554</v>
      </c>
      <c r="E95" s="16" t="s">
        <v>555</v>
      </c>
      <c r="F95" s="16" t="s">
        <v>556</v>
      </c>
      <c r="G95" s="16" t="s">
        <v>412</v>
      </c>
      <c r="H95" s="16" t="s">
        <v>413</v>
      </c>
      <c r="I95" s="16" t="s">
        <v>198</v>
      </c>
      <c r="J95" s="16" t="s">
        <v>199</v>
      </c>
      <c r="K95" s="16">
        <v>2.421646</v>
      </c>
      <c r="L95" s="36">
        <v>1703</v>
      </c>
      <c r="M95" s="16">
        <v>301</v>
      </c>
      <c r="N95" s="16">
        <v>310</v>
      </c>
      <c r="O95" s="16">
        <v>353</v>
      </c>
      <c r="P95" s="16">
        <v>400</v>
      </c>
      <c r="Q95" s="16">
        <v>339</v>
      </c>
      <c r="R95" s="16" t="s">
        <v>225</v>
      </c>
      <c r="S95" s="16">
        <v>5.5321699999999998</v>
      </c>
      <c r="T95" s="16">
        <v>2.2001200000000001</v>
      </c>
      <c r="U95" s="16">
        <v>0.96345186000000005</v>
      </c>
      <c r="V95" s="16">
        <v>3</v>
      </c>
      <c r="W95" s="16">
        <v>0.91692099999999999</v>
      </c>
      <c r="X95" s="16">
        <v>0.34786600000000001</v>
      </c>
      <c r="Y95" s="16">
        <v>0.8</v>
      </c>
      <c r="Z95" s="16">
        <v>0.38137399999999999</v>
      </c>
      <c r="AA95" s="37"/>
    </row>
    <row r="96" spans="1:27">
      <c r="A96" s="16" t="s">
        <v>38</v>
      </c>
      <c r="B96" s="16" t="s">
        <v>557</v>
      </c>
      <c r="C96" s="16" t="s">
        <v>558</v>
      </c>
      <c r="D96" s="16" t="s">
        <v>559</v>
      </c>
      <c r="E96" s="16" t="s">
        <v>560</v>
      </c>
      <c r="F96" s="16" t="s">
        <v>561</v>
      </c>
      <c r="G96" s="16" t="s">
        <v>412</v>
      </c>
      <c r="H96" s="16" t="s">
        <v>413</v>
      </c>
      <c r="I96" s="16" t="s">
        <v>198</v>
      </c>
      <c r="J96" s="16" t="s">
        <v>199</v>
      </c>
      <c r="K96" s="16">
        <v>2.0711710000000001</v>
      </c>
      <c r="L96" s="36">
        <v>1780</v>
      </c>
      <c r="M96" s="16">
        <v>335</v>
      </c>
      <c r="N96" s="16">
        <v>279</v>
      </c>
      <c r="O96" s="16">
        <v>578</v>
      </c>
      <c r="P96" s="16">
        <v>451</v>
      </c>
      <c r="Q96" s="16">
        <v>137</v>
      </c>
      <c r="R96" s="16" t="s">
        <v>225</v>
      </c>
      <c r="S96" s="16">
        <v>4.3090200000000003</v>
      </c>
      <c r="T96" s="16">
        <v>2.3021099999999999</v>
      </c>
      <c r="U96" s="16">
        <v>0.79336304400000002</v>
      </c>
      <c r="V96" s="16">
        <v>9</v>
      </c>
      <c r="W96" s="16">
        <v>0.9</v>
      </c>
      <c r="X96" s="16">
        <v>1.0023000000000001E-2</v>
      </c>
      <c r="Y96" s="16">
        <v>0.8</v>
      </c>
      <c r="Z96" s="16">
        <v>0.36357499999999998</v>
      </c>
      <c r="AA96" s="37"/>
    </row>
    <row r="97" spans="1:27">
      <c r="A97" s="16" t="s">
        <v>38</v>
      </c>
      <c r="B97" s="16" t="s">
        <v>562</v>
      </c>
      <c r="C97" s="16" t="s">
        <v>563</v>
      </c>
      <c r="D97" s="16" t="s">
        <v>564</v>
      </c>
      <c r="E97" s="16" t="s">
        <v>555</v>
      </c>
      <c r="F97" s="16" t="s">
        <v>556</v>
      </c>
      <c r="G97" s="16" t="s">
        <v>412</v>
      </c>
      <c r="H97" s="16" t="s">
        <v>413</v>
      </c>
      <c r="I97" s="16" t="s">
        <v>198</v>
      </c>
      <c r="J97" s="16" t="s">
        <v>199</v>
      </c>
      <c r="K97" s="16">
        <v>2.3201839999999998</v>
      </c>
      <c r="L97" s="36">
        <v>1762</v>
      </c>
      <c r="M97" s="16">
        <v>410</v>
      </c>
      <c r="N97" s="16">
        <v>320</v>
      </c>
      <c r="O97" s="16">
        <v>409</v>
      </c>
      <c r="P97" s="16">
        <v>413</v>
      </c>
      <c r="Q97" s="16">
        <v>210</v>
      </c>
      <c r="R97" s="16" t="s">
        <v>214</v>
      </c>
      <c r="S97" s="16">
        <v>6.3629699999999998</v>
      </c>
      <c r="T97" s="16">
        <v>0</v>
      </c>
      <c r="U97" s="16">
        <v>1.0724450619999999</v>
      </c>
      <c r="V97" s="16">
        <v>3</v>
      </c>
      <c r="W97" s="16">
        <v>0.906999</v>
      </c>
      <c r="X97" s="16">
        <v>0.30895400000000001</v>
      </c>
      <c r="Y97" s="16">
        <v>0.8</v>
      </c>
      <c r="Z97" s="16">
        <v>0.32592599999999999</v>
      </c>
      <c r="AA97" s="37"/>
    </row>
    <row r="98" spans="1:27">
      <c r="A98" s="16" t="s">
        <v>38</v>
      </c>
      <c r="B98" s="16" t="s">
        <v>565</v>
      </c>
      <c r="C98" s="16" t="s">
        <v>566</v>
      </c>
      <c r="D98" s="16" t="s">
        <v>567</v>
      </c>
      <c r="E98" s="16" t="s">
        <v>568</v>
      </c>
      <c r="F98" s="16" t="s">
        <v>569</v>
      </c>
      <c r="G98" s="16" t="s">
        <v>412</v>
      </c>
      <c r="H98" s="16" t="s">
        <v>413</v>
      </c>
      <c r="I98" s="16" t="s">
        <v>198</v>
      </c>
      <c r="J98" s="16" t="s">
        <v>199</v>
      </c>
      <c r="K98" s="16">
        <v>2.2734079999999999</v>
      </c>
      <c r="L98" s="36">
        <v>1979</v>
      </c>
      <c r="M98" s="16">
        <v>371</v>
      </c>
      <c r="N98" s="16">
        <v>319</v>
      </c>
      <c r="O98" s="16">
        <v>595</v>
      </c>
      <c r="P98" s="16">
        <v>460</v>
      </c>
      <c r="Q98" s="16">
        <v>234</v>
      </c>
      <c r="R98" s="16">
        <v>2</v>
      </c>
      <c r="S98" s="16">
        <v>20.800799999999999</v>
      </c>
      <c r="T98" s="16">
        <v>3.4485600000000001</v>
      </c>
      <c r="U98" s="16">
        <v>0.75277128999999998</v>
      </c>
      <c r="V98" s="16">
        <v>7</v>
      </c>
      <c r="W98" s="16">
        <v>0.90361999999999998</v>
      </c>
      <c r="X98" s="16">
        <v>0.18254400000000001</v>
      </c>
      <c r="Y98" s="16">
        <v>0.8</v>
      </c>
      <c r="Z98" s="16">
        <v>0.37967600000000001</v>
      </c>
      <c r="AA98" s="37"/>
    </row>
    <row r="99" spans="1:27">
      <c r="A99" s="16" t="s">
        <v>38</v>
      </c>
      <c r="B99" s="16" t="s">
        <v>570</v>
      </c>
      <c r="C99" s="16" t="s">
        <v>571</v>
      </c>
      <c r="D99" s="16" t="s">
        <v>572</v>
      </c>
      <c r="E99" s="16" t="s">
        <v>573</v>
      </c>
      <c r="F99" s="16" t="s">
        <v>574</v>
      </c>
      <c r="G99" s="16" t="s">
        <v>412</v>
      </c>
      <c r="H99" s="16" t="s">
        <v>413</v>
      </c>
      <c r="I99" s="16" t="s">
        <v>198</v>
      </c>
      <c r="J99" s="16" t="s">
        <v>199</v>
      </c>
      <c r="K99" s="16">
        <v>2.5175519999999998</v>
      </c>
      <c r="L99" s="36">
        <v>1972</v>
      </c>
      <c r="M99" s="16">
        <v>393</v>
      </c>
      <c r="N99" s="16">
        <v>398</v>
      </c>
      <c r="O99" s="16">
        <v>430</v>
      </c>
      <c r="P99" s="16">
        <v>462</v>
      </c>
      <c r="Q99" s="16">
        <v>289</v>
      </c>
      <c r="R99" s="16">
        <v>2</v>
      </c>
      <c r="S99" s="16">
        <v>12.2234</v>
      </c>
      <c r="T99" s="16">
        <v>1.7630300000000001</v>
      </c>
      <c r="U99" s="16">
        <v>0.68641718900000004</v>
      </c>
      <c r="V99" s="16">
        <v>6</v>
      </c>
      <c r="W99" s="16">
        <v>0.90958399999999995</v>
      </c>
      <c r="X99" s="16">
        <v>0.37836599999999998</v>
      </c>
      <c r="Y99" s="16">
        <v>0.8</v>
      </c>
      <c r="Z99" s="16">
        <v>0.40127200000000002</v>
      </c>
      <c r="AA99" s="37"/>
    </row>
    <row r="100" spans="1:27">
      <c r="A100" s="16" t="s">
        <v>38</v>
      </c>
      <c r="B100" s="16" t="s">
        <v>463</v>
      </c>
      <c r="C100" s="16" t="s">
        <v>464</v>
      </c>
      <c r="D100" s="16" t="s">
        <v>465</v>
      </c>
      <c r="E100" s="16" t="s">
        <v>449</v>
      </c>
      <c r="F100" s="16" t="s">
        <v>450</v>
      </c>
      <c r="G100" s="16" t="s">
        <v>412</v>
      </c>
      <c r="H100" s="16" t="s">
        <v>413</v>
      </c>
      <c r="I100" s="16" t="s">
        <v>198</v>
      </c>
      <c r="J100" s="16" t="s">
        <v>199</v>
      </c>
      <c r="K100" s="16">
        <v>2.280287</v>
      </c>
      <c r="L100" s="36">
        <v>1669</v>
      </c>
      <c r="M100" s="16">
        <v>381</v>
      </c>
      <c r="N100" s="16">
        <v>206</v>
      </c>
      <c r="O100" s="16">
        <v>362</v>
      </c>
      <c r="P100" s="16">
        <v>416</v>
      </c>
      <c r="Q100" s="16">
        <v>304</v>
      </c>
      <c r="R100" s="16" t="s">
        <v>225</v>
      </c>
      <c r="S100" s="16">
        <v>8.3649799999999992</v>
      </c>
      <c r="T100" s="16">
        <v>2.4624999999999999</v>
      </c>
      <c r="U100" s="16">
        <v>0.66603405900000001</v>
      </c>
      <c r="V100" s="16">
        <v>9</v>
      </c>
      <c r="W100" s="16">
        <v>0.90545500000000001</v>
      </c>
      <c r="X100" s="16">
        <v>0.19922999999999999</v>
      </c>
      <c r="Y100" s="16">
        <v>0.8</v>
      </c>
      <c r="Z100" s="16">
        <v>0.383714</v>
      </c>
      <c r="AA100" s="37"/>
    </row>
    <row r="101" spans="1:27">
      <c r="A101" s="16" t="s">
        <v>38</v>
      </c>
      <c r="B101" s="16" t="s">
        <v>472</v>
      </c>
      <c r="C101" s="16" t="s">
        <v>473</v>
      </c>
      <c r="D101" s="16" t="s">
        <v>474</v>
      </c>
      <c r="E101" s="16" t="s">
        <v>454</v>
      </c>
      <c r="F101" s="16" t="s">
        <v>455</v>
      </c>
      <c r="G101" s="16" t="s">
        <v>412</v>
      </c>
      <c r="H101" s="16" t="s">
        <v>413</v>
      </c>
      <c r="I101" s="16" t="s">
        <v>198</v>
      </c>
      <c r="J101" s="16" t="s">
        <v>199</v>
      </c>
      <c r="K101" s="16">
        <v>2.1857660000000001</v>
      </c>
      <c r="L101" s="36">
        <v>1620</v>
      </c>
      <c r="M101" s="16">
        <v>416</v>
      </c>
      <c r="N101" s="16">
        <v>220</v>
      </c>
      <c r="O101" s="16">
        <v>341</v>
      </c>
      <c r="P101" s="16">
        <v>394</v>
      </c>
      <c r="Q101" s="16">
        <v>249</v>
      </c>
      <c r="R101" s="16" t="s">
        <v>225</v>
      </c>
      <c r="S101" s="16">
        <v>5.7403899999999997</v>
      </c>
      <c r="T101" s="16">
        <v>2.1108199999999999</v>
      </c>
      <c r="U101" s="16">
        <v>0.72647180600000005</v>
      </c>
      <c r="V101" s="16">
        <v>9</v>
      </c>
      <c r="W101" s="16">
        <v>0.90551899999999996</v>
      </c>
      <c r="X101" s="16">
        <v>0.15260899999999999</v>
      </c>
      <c r="Y101" s="16">
        <v>0.8</v>
      </c>
      <c r="Z101" s="16">
        <v>0.33333299999999999</v>
      </c>
      <c r="AA101" s="37"/>
    </row>
    <row r="102" spans="1:27">
      <c r="A102" s="16" t="s">
        <v>38</v>
      </c>
      <c r="B102" s="16" t="s">
        <v>446</v>
      </c>
      <c r="C102" s="16" t="s">
        <v>447</v>
      </c>
      <c r="D102" s="16" t="s">
        <v>448</v>
      </c>
      <c r="E102" s="16" t="s">
        <v>449</v>
      </c>
      <c r="F102" s="16" t="s">
        <v>450</v>
      </c>
      <c r="G102" s="16" t="s">
        <v>412</v>
      </c>
      <c r="H102" s="16" t="s">
        <v>413</v>
      </c>
      <c r="I102" s="16" t="s">
        <v>198</v>
      </c>
      <c r="J102" s="16" t="s">
        <v>199</v>
      </c>
      <c r="K102" s="16">
        <v>2.5775459999999999</v>
      </c>
      <c r="L102" s="36">
        <v>2286</v>
      </c>
      <c r="M102" s="16">
        <v>384</v>
      </c>
      <c r="N102" s="16">
        <v>544</v>
      </c>
      <c r="O102" s="16">
        <v>617</v>
      </c>
      <c r="P102" s="16">
        <v>460</v>
      </c>
      <c r="Q102" s="16">
        <v>281</v>
      </c>
      <c r="R102" s="16">
        <v>2</v>
      </c>
      <c r="S102" s="16">
        <v>10.0997</v>
      </c>
      <c r="T102" s="16">
        <v>4.7840800000000003</v>
      </c>
      <c r="U102" s="16">
        <v>0.66583141999999995</v>
      </c>
      <c r="V102" s="16">
        <v>6</v>
      </c>
      <c r="W102" s="16">
        <v>0.91840500000000003</v>
      </c>
      <c r="X102" s="16">
        <v>0.391876</v>
      </c>
      <c r="Y102" s="16">
        <v>0.8</v>
      </c>
      <c r="Z102" s="16">
        <v>0.46895700000000001</v>
      </c>
      <c r="AA102" s="37"/>
    </row>
    <row r="103" spans="1:27">
      <c r="A103" s="16" t="s">
        <v>38</v>
      </c>
      <c r="B103" s="16" t="s">
        <v>575</v>
      </c>
      <c r="C103" s="16" t="s">
        <v>576</v>
      </c>
      <c r="D103" s="16" t="s">
        <v>577</v>
      </c>
      <c r="E103" s="16" t="s">
        <v>555</v>
      </c>
      <c r="F103" s="16" t="s">
        <v>556</v>
      </c>
      <c r="G103" s="16" t="s">
        <v>412</v>
      </c>
      <c r="H103" s="16" t="s">
        <v>413</v>
      </c>
      <c r="I103" s="16" t="s">
        <v>198</v>
      </c>
      <c r="J103" s="16" t="s">
        <v>199</v>
      </c>
      <c r="K103" s="16">
        <v>2.254683</v>
      </c>
      <c r="L103" s="36">
        <v>1604</v>
      </c>
      <c r="M103" s="16">
        <v>312</v>
      </c>
      <c r="N103" s="16">
        <v>274</v>
      </c>
      <c r="O103" s="16">
        <v>486</v>
      </c>
      <c r="P103" s="16">
        <v>350</v>
      </c>
      <c r="Q103" s="16">
        <v>182</v>
      </c>
      <c r="R103" s="16">
        <v>2</v>
      </c>
      <c r="S103" s="16">
        <v>12.095000000000001</v>
      </c>
      <c r="T103" s="16">
        <v>3.1923300000000001</v>
      </c>
      <c r="U103" s="16">
        <v>0.73258102300000005</v>
      </c>
      <c r="V103" s="16">
        <v>8</v>
      </c>
      <c r="W103" s="16">
        <v>0.90181299999999998</v>
      </c>
      <c r="X103" s="16">
        <v>0.15228</v>
      </c>
      <c r="Y103" s="16">
        <v>0.8</v>
      </c>
      <c r="Z103" s="16">
        <v>0.38610299999999997</v>
      </c>
      <c r="AA103" s="37"/>
    </row>
    <row r="104" spans="1:27">
      <c r="A104" s="16" t="s">
        <v>38</v>
      </c>
      <c r="B104" s="16" t="s">
        <v>578</v>
      </c>
      <c r="C104" s="16" t="s">
        <v>579</v>
      </c>
      <c r="D104" s="16" t="s">
        <v>580</v>
      </c>
      <c r="E104" s="16" t="s">
        <v>544</v>
      </c>
      <c r="F104" s="16" t="s">
        <v>545</v>
      </c>
      <c r="G104" s="16" t="s">
        <v>412</v>
      </c>
      <c r="H104" s="16" t="s">
        <v>413</v>
      </c>
      <c r="I104" s="16" t="s">
        <v>198</v>
      </c>
      <c r="J104" s="16" t="s">
        <v>199</v>
      </c>
      <c r="K104" s="16">
        <v>2.2626719999999998</v>
      </c>
      <c r="L104" s="36">
        <v>1741</v>
      </c>
      <c r="M104" s="16">
        <v>344</v>
      </c>
      <c r="N104" s="16">
        <v>353</v>
      </c>
      <c r="O104" s="16">
        <v>269</v>
      </c>
      <c r="P104" s="16">
        <v>537</v>
      </c>
      <c r="Q104" s="16">
        <v>238</v>
      </c>
      <c r="R104" s="16" t="s">
        <v>225</v>
      </c>
      <c r="S104" s="16">
        <v>10.986700000000001</v>
      </c>
      <c r="T104" s="16">
        <v>0</v>
      </c>
      <c r="U104" s="16">
        <v>1.1010177619999999</v>
      </c>
      <c r="V104" s="16">
        <v>3</v>
      </c>
      <c r="W104" s="16">
        <v>0.89426300000000003</v>
      </c>
      <c r="X104" s="16">
        <v>0.24090600000000001</v>
      </c>
      <c r="Y104" s="16">
        <v>0.8</v>
      </c>
      <c r="Z104" s="16">
        <v>0.31953900000000002</v>
      </c>
      <c r="AA104" s="37"/>
    </row>
    <row r="105" spans="1:27">
      <c r="A105" s="16" t="s">
        <v>38</v>
      </c>
      <c r="B105" s="16" t="s">
        <v>581</v>
      </c>
      <c r="C105" s="16" t="s">
        <v>582</v>
      </c>
      <c r="D105" s="16" t="s">
        <v>583</v>
      </c>
      <c r="E105" s="16" t="s">
        <v>555</v>
      </c>
      <c r="F105" s="16" t="s">
        <v>556</v>
      </c>
      <c r="G105" s="16" t="s">
        <v>412</v>
      </c>
      <c r="H105" s="16" t="s">
        <v>413</v>
      </c>
      <c r="I105" s="16" t="s">
        <v>198</v>
      </c>
      <c r="J105" s="16" t="s">
        <v>199</v>
      </c>
      <c r="K105" s="16">
        <v>2.4564720000000002</v>
      </c>
      <c r="L105" s="36">
        <v>2519</v>
      </c>
      <c r="M105" s="16">
        <v>564</v>
      </c>
      <c r="N105" s="16">
        <v>455</v>
      </c>
      <c r="O105" s="16">
        <v>686</v>
      </c>
      <c r="P105" s="16">
        <v>530</v>
      </c>
      <c r="Q105" s="16">
        <v>284</v>
      </c>
      <c r="R105" s="16">
        <v>2</v>
      </c>
      <c r="S105" s="16">
        <v>11.7524</v>
      </c>
      <c r="T105" s="16">
        <v>3.2684299999999999</v>
      </c>
      <c r="U105" s="16">
        <v>0.79721573300000004</v>
      </c>
      <c r="V105" s="16">
        <v>5</v>
      </c>
      <c r="W105" s="16">
        <v>0.905053</v>
      </c>
      <c r="X105" s="16">
        <v>0.28262399999999999</v>
      </c>
      <c r="Y105" s="16">
        <v>0.8</v>
      </c>
      <c r="Z105" s="16">
        <v>0.45310299999999998</v>
      </c>
      <c r="AA105" s="37"/>
    </row>
    <row r="106" spans="1:27">
      <c r="A106" s="16" t="s">
        <v>38</v>
      </c>
      <c r="B106" s="16" t="s">
        <v>584</v>
      </c>
      <c r="C106" s="16" t="s">
        <v>585</v>
      </c>
      <c r="D106" s="16" t="s">
        <v>586</v>
      </c>
      <c r="E106" s="16" t="s">
        <v>555</v>
      </c>
      <c r="F106" s="16" t="s">
        <v>556</v>
      </c>
      <c r="G106" s="16" t="s">
        <v>412</v>
      </c>
      <c r="H106" s="16" t="s">
        <v>413</v>
      </c>
      <c r="I106" s="16" t="s">
        <v>198</v>
      </c>
      <c r="J106" s="16" t="s">
        <v>199</v>
      </c>
      <c r="K106" s="16">
        <v>2.2428569999999999</v>
      </c>
      <c r="L106" s="36">
        <v>1587</v>
      </c>
      <c r="M106" s="16">
        <v>331</v>
      </c>
      <c r="N106" s="16">
        <v>241</v>
      </c>
      <c r="O106" s="16">
        <v>349</v>
      </c>
      <c r="P106" s="16">
        <v>437</v>
      </c>
      <c r="Q106" s="16">
        <v>229</v>
      </c>
      <c r="R106" s="16">
        <v>2</v>
      </c>
      <c r="S106" s="16">
        <v>10.784700000000001</v>
      </c>
      <c r="T106" s="16">
        <v>3.13096</v>
      </c>
      <c r="U106" s="16">
        <v>0.72130640000000001</v>
      </c>
      <c r="V106" s="16">
        <v>8</v>
      </c>
      <c r="W106" s="16">
        <v>0.90170600000000001</v>
      </c>
      <c r="X106" s="16">
        <v>7.4152999999999997E-2</v>
      </c>
      <c r="Y106" s="16">
        <v>0.8</v>
      </c>
      <c r="Z106" s="16">
        <v>0.45435199999999998</v>
      </c>
      <c r="AA106" s="37"/>
    </row>
    <row r="107" spans="1:27">
      <c r="A107" s="16" t="s">
        <v>38</v>
      </c>
      <c r="B107" s="16" t="s">
        <v>587</v>
      </c>
      <c r="C107" s="16" t="s">
        <v>588</v>
      </c>
      <c r="D107" s="16" t="s">
        <v>589</v>
      </c>
      <c r="E107" s="16" t="s">
        <v>590</v>
      </c>
      <c r="F107" s="16" t="s">
        <v>591</v>
      </c>
      <c r="G107" s="16" t="s">
        <v>196</v>
      </c>
      <c r="H107" s="16" t="s">
        <v>197</v>
      </c>
      <c r="I107" s="16" t="s">
        <v>198</v>
      </c>
      <c r="J107" s="16" t="s">
        <v>199</v>
      </c>
      <c r="K107" s="16">
        <v>2.233689</v>
      </c>
      <c r="L107" s="36">
        <v>2083</v>
      </c>
      <c r="M107" s="16">
        <v>371</v>
      </c>
      <c r="N107" s="16">
        <v>391</v>
      </c>
      <c r="O107" s="16">
        <v>580</v>
      </c>
      <c r="P107" s="16">
        <v>518</v>
      </c>
      <c r="Q107" s="16">
        <v>223</v>
      </c>
      <c r="R107" s="16">
        <v>5</v>
      </c>
      <c r="S107" s="16">
        <v>26.113700000000001</v>
      </c>
      <c r="T107" s="16">
        <v>18.0854</v>
      </c>
      <c r="U107" s="16">
        <v>0.72661630099999996</v>
      </c>
      <c r="V107" s="16">
        <v>8</v>
      </c>
      <c r="W107" s="16">
        <v>0.90767600000000004</v>
      </c>
      <c r="X107" s="16">
        <v>7.4789999999999995E-2</v>
      </c>
      <c r="Y107" s="16">
        <v>0.8</v>
      </c>
      <c r="Z107" s="16">
        <v>0.44925999999999999</v>
      </c>
      <c r="AA107" s="37"/>
    </row>
    <row r="108" spans="1:27">
      <c r="A108" s="16" t="s">
        <v>38</v>
      </c>
      <c r="B108" s="16" t="s">
        <v>592</v>
      </c>
      <c r="C108" s="16" t="s">
        <v>593</v>
      </c>
      <c r="D108" s="16" t="s">
        <v>594</v>
      </c>
      <c r="E108" s="16" t="s">
        <v>590</v>
      </c>
      <c r="F108" s="16" t="s">
        <v>591</v>
      </c>
      <c r="G108" s="16" t="s">
        <v>196</v>
      </c>
      <c r="H108" s="16" t="s">
        <v>197</v>
      </c>
      <c r="I108" s="16" t="s">
        <v>198</v>
      </c>
      <c r="J108" s="16" t="s">
        <v>199</v>
      </c>
      <c r="K108" s="16">
        <v>2.3020830000000001</v>
      </c>
      <c r="L108" s="36">
        <v>2013</v>
      </c>
      <c r="M108" s="16">
        <v>319</v>
      </c>
      <c r="N108" s="16">
        <v>471</v>
      </c>
      <c r="O108" s="16">
        <v>626</v>
      </c>
      <c r="P108" s="16">
        <v>435</v>
      </c>
      <c r="Q108" s="16">
        <v>162</v>
      </c>
      <c r="R108" s="16">
        <v>3</v>
      </c>
      <c r="S108" s="16">
        <v>17.878699999999998</v>
      </c>
      <c r="T108" s="16">
        <v>3.6925699999999999</v>
      </c>
      <c r="U108" s="16">
        <v>0.96001062400000003</v>
      </c>
      <c r="V108" s="16">
        <v>4</v>
      </c>
      <c r="W108" s="16">
        <v>0.90833299999999995</v>
      </c>
      <c r="X108" s="16">
        <v>0.131298</v>
      </c>
      <c r="Y108" s="16">
        <v>0.8</v>
      </c>
      <c r="Z108" s="16">
        <v>0.47005200000000003</v>
      </c>
      <c r="AA108" s="37"/>
    </row>
    <row r="109" spans="1:27">
      <c r="A109" s="16" t="s">
        <v>38</v>
      </c>
      <c r="B109" s="16" t="s">
        <v>595</v>
      </c>
      <c r="C109" s="16" t="s">
        <v>596</v>
      </c>
      <c r="D109" s="16" t="s">
        <v>597</v>
      </c>
      <c r="E109" s="16" t="s">
        <v>598</v>
      </c>
      <c r="F109" s="16" t="s">
        <v>599</v>
      </c>
      <c r="G109" s="16" t="s">
        <v>196</v>
      </c>
      <c r="H109" s="16" t="s">
        <v>197</v>
      </c>
      <c r="I109" s="16" t="s">
        <v>198</v>
      </c>
      <c r="J109" s="16" t="s">
        <v>199</v>
      </c>
      <c r="K109" s="16">
        <v>2.3316870000000001</v>
      </c>
      <c r="L109" s="36">
        <v>1905</v>
      </c>
      <c r="M109" s="16">
        <v>380</v>
      </c>
      <c r="N109" s="16">
        <v>287</v>
      </c>
      <c r="O109" s="16">
        <v>519</v>
      </c>
      <c r="P109" s="16">
        <v>451</v>
      </c>
      <c r="Q109" s="16">
        <v>268</v>
      </c>
      <c r="R109" s="16">
        <v>4</v>
      </c>
      <c r="S109" s="16">
        <v>22.656500000000001</v>
      </c>
      <c r="T109" s="16">
        <v>3.2543600000000001</v>
      </c>
      <c r="U109" s="16">
        <v>0.68400017199999996</v>
      </c>
      <c r="V109" s="16">
        <v>8</v>
      </c>
      <c r="W109" s="16">
        <v>0.90493800000000002</v>
      </c>
      <c r="X109" s="16">
        <v>0.14896300000000001</v>
      </c>
      <c r="Y109" s="16">
        <v>0.8</v>
      </c>
      <c r="Z109" s="16">
        <v>0.48164899999999999</v>
      </c>
      <c r="AA109" s="37"/>
    </row>
    <row r="110" spans="1:27">
      <c r="A110" s="16" t="s">
        <v>38</v>
      </c>
      <c r="B110" s="16" t="s">
        <v>600</v>
      </c>
      <c r="C110" s="16" t="s">
        <v>601</v>
      </c>
      <c r="D110" s="16" t="s">
        <v>602</v>
      </c>
      <c r="E110" s="16" t="s">
        <v>590</v>
      </c>
      <c r="F110" s="16" t="s">
        <v>591</v>
      </c>
      <c r="G110" s="16" t="s">
        <v>196</v>
      </c>
      <c r="H110" s="16" t="s">
        <v>197</v>
      </c>
      <c r="I110" s="16" t="s">
        <v>198</v>
      </c>
      <c r="J110" s="16" t="s">
        <v>199</v>
      </c>
      <c r="K110" s="16">
        <v>2.2959179999999999</v>
      </c>
      <c r="L110" s="36">
        <v>2137</v>
      </c>
      <c r="M110" s="16">
        <v>390</v>
      </c>
      <c r="N110" s="16">
        <v>409</v>
      </c>
      <c r="O110" s="16">
        <v>716</v>
      </c>
      <c r="P110" s="16">
        <v>441</v>
      </c>
      <c r="Q110" s="16">
        <v>181</v>
      </c>
      <c r="R110" s="16">
        <v>4</v>
      </c>
      <c r="S110" s="16">
        <v>24.7685</v>
      </c>
      <c r="T110" s="16">
        <v>3.82857</v>
      </c>
      <c r="U110" s="16">
        <v>0.80278447600000002</v>
      </c>
      <c r="V110" s="16">
        <v>5</v>
      </c>
      <c r="W110" s="16">
        <v>0.909833</v>
      </c>
      <c r="X110" s="16">
        <v>0.21052599999999999</v>
      </c>
      <c r="Y110" s="16">
        <v>0.8</v>
      </c>
      <c r="Z110" s="16">
        <v>0.40037400000000001</v>
      </c>
      <c r="AA110" s="37"/>
    </row>
    <row r="111" spans="1:27">
      <c r="A111" s="16" t="s">
        <v>38</v>
      </c>
      <c r="B111" s="16" t="s">
        <v>603</v>
      </c>
      <c r="C111" s="16" t="s">
        <v>604</v>
      </c>
      <c r="D111" s="16" t="s">
        <v>605</v>
      </c>
      <c r="E111" s="16" t="s">
        <v>606</v>
      </c>
      <c r="F111" s="16" t="s">
        <v>607</v>
      </c>
      <c r="G111" s="16" t="s">
        <v>196</v>
      </c>
      <c r="H111" s="16" t="s">
        <v>197</v>
      </c>
      <c r="I111" s="16" t="s">
        <v>198</v>
      </c>
      <c r="J111" s="16" t="s">
        <v>199</v>
      </c>
      <c r="K111" s="16">
        <v>2.3355640000000002</v>
      </c>
      <c r="L111" s="36">
        <v>1899</v>
      </c>
      <c r="M111" s="16">
        <v>333</v>
      </c>
      <c r="N111" s="16">
        <v>353</v>
      </c>
      <c r="O111" s="16">
        <v>503</v>
      </c>
      <c r="P111" s="16">
        <v>429</v>
      </c>
      <c r="Q111" s="16">
        <v>281</v>
      </c>
      <c r="R111" s="16">
        <v>3</v>
      </c>
      <c r="S111" s="16">
        <v>18.1675</v>
      </c>
      <c r="T111" s="16">
        <v>5.3175400000000002</v>
      </c>
      <c r="U111" s="16">
        <v>0.99626830600000005</v>
      </c>
      <c r="V111" s="16">
        <v>3</v>
      </c>
      <c r="W111" s="16">
        <v>0.91338399999999997</v>
      </c>
      <c r="X111" s="16">
        <v>0.17829500000000001</v>
      </c>
      <c r="Y111" s="16">
        <v>0.8</v>
      </c>
      <c r="Z111" s="16">
        <v>0.473524</v>
      </c>
      <c r="AA111" s="37"/>
    </row>
    <row r="112" spans="1:27">
      <c r="A112" s="16" t="s">
        <v>38</v>
      </c>
      <c r="B112" s="16" t="s">
        <v>608</v>
      </c>
      <c r="C112" s="16" t="s">
        <v>609</v>
      </c>
      <c r="D112" s="16" t="s">
        <v>610</v>
      </c>
      <c r="E112" s="16" t="s">
        <v>606</v>
      </c>
      <c r="F112" s="16" t="s">
        <v>607</v>
      </c>
      <c r="G112" s="16" t="s">
        <v>196</v>
      </c>
      <c r="H112" s="16" t="s">
        <v>197</v>
      </c>
      <c r="I112" s="16" t="s">
        <v>198</v>
      </c>
      <c r="J112" s="16" t="s">
        <v>199</v>
      </c>
      <c r="K112" s="16">
        <v>2.3425229999999999</v>
      </c>
      <c r="L112" s="36">
        <v>2337</v>
      </c>
      <c r="M112" s="16">
        <v>518</v>
      </c>
      <c r="N112" s="16">
        <v>478</v>
      </c>
      <c r="O112" s="16">
        <v>594</v>
      </c>
      <c r="P112" s="16">
        <v>511</v>
      </c>
      <c r="Q112" s="16">
        <v>236</v>
      </c>
      <c r="R112" s="16">
        <v>2</v>
      </c>
      <c r="S112" s="16">
        <v>15.1782</v>
      </c>
      <c r="T112" s="16">
        <v>2.5306600000000001</v>
      </c>
      <c r="U112" s="16">
        <v>0.94451895299999999</v>
      </c>
      <c r="V112" s="16">
        <v>4</v>
      </c>
      <c r="W112" s="16">
        <v>0.91203299999999998</v>
      </c>
      <c r="X112" s="16">
        <v>0.22927400000000001</v>
      </c>
      <c r="Y112" s="16">
        <v>0.8</v>
      </c>
      <c r="Z112" s="16">
        <v>0.42084300000000002</v>
      </c>
      <c r="AA112" s="37"/>
    </row>
    <row r="113" spans="1:27">
      <c r="A113" s="16" t="s">
        <v>38</v>
      </c>
      <c r="B113" s="16" t="s">
        <v>611</v>
      </c>
      <c r="C113" s="16" t="s">
        <v>612</v>
      </c>
      <c r="D113" s="16" t="s">
        <v>613</v>
      </c>
      <c r="E113" s="16" t="s">
        <v>242</v>
      </c>
      <c r="F113" s="16" t="s">
        <v>243</v>
      </c>
      <c r="G113" s="16" t="s">
        <v>196</v>
      </c>
      <c r="H113" s="16" t="s">
        <v>197</v>
      </c>
      <c r="I113" s="16" t="s">
        <v>198</v>
      </c>
      <c r="J113" s="16" t="s">
        <v>199</v>
      </c>
      <c r="K113" s="16">
        <v>2.4828800000000002</v>
      </c>
      <c r="L113" s="36">
        <v>1573</v>
      </c>
      <c r="M113" s="16">
        <v>233</v>
      </c>
      <c r="N113" s="16">
        <v>322</v>
      </c>
      <c r="O113" s="16">
        <v>343</v>
      </c>
      <c r="P113" s="16">
        <v>402</v>
      </c>
      <c r="Q113" s="16">
        <v>273</v>
      </c>
      <c r="R113" s="16">
        <v>2</v>
      </c>
      <c r="S113" s="16">
        <v>14.219099999999999</v>
      </c>
      <c r="T113" s="16">
        <v>0</v>
      </c>
      <c r="U113" s="16">
        <v>0.77448049699999999</v>
      </c>
      <c r="V113" s="16">
        <v>4</v>
      </c>
      <c r="W113" s="16">
        <v>0.91056000000000004</v>
      </c>
      <c r="X113" s="16">
        <v>0.33814100000000002</v>
      </c>
      <c r="Y113" s="16">
        <v>0.8</v>
      </c>
      <c r="Z113" s="16">
        <v>0.41440100000000002</v>
      </c>
      <c r="AA113" s="37"/>
    </row>
    <row r="114" spans="1:27">
      <c r="A114" s="16" t="s">
        <v>38</v>
      </c>
      <c r="B114" s="16" t="s">
        <v>614</v>
      </c>
      <c r="C114" s="16" t="s">
        <v>615</v>
      </c>
      <c r="D114" s="16" t="s">
        <v>616</v>
      </c>
      <c r="E114" s="16" t="s">
        <v>606</v>
      </c>
      <c r="F114" s="16" t="s">
        <v>607</v>
      </c>
      <c r="G114" s="16" t="s">
        <v>196</v>
      </c>
      <c r="H114" s="16" t="s">
        <v>197</v>
      </c>
      <c r="I114" s="16" t="s">
        <v>198</v>
      </c>
      <c r="J114" s="16" t="s">
        <v>199</v>
      </c>
      <c r="K114" s="16">
        <v>2.3340429999999999</v>
      </c>
      <c r="L114" s="36">
        <v>1596</v>
      </c>
      <c r="M114" s="16">
        <v>320</v>
      </c>
      <c r="N114" s="16">
        <v>332</v>
      </c>
      <c r="O114" s="16">
        <v>355</v>
      </c>
      <c r="P114" s="16">
        <v>363</v>
      </c>
      <c r="Q114" s="16">
        <v>226</v>
      </c>
      <c r="R114" s="16">
        <v>2</v>
      </c>
      <c r="S114" s="16">
        <v>13.664899999999999</v>
      </c>
      <c r="T114" s="16">
        <v>0</v>
      </c>
      <c r="U114" s="16">
        <v>0.85204642100000005</v>
      </c>
      <c r="V114" s="16">
        <v>5</v>
      </c>
      <c r="W114" s="16">
        <v>0.90471100000000004</v>
      </c>
      <c r="X114" s="16">
        <v>0.184475</v>
      </c>
      <c r="Y114" s="16">
        <v>0.8</v>
      </c>
      <c r="Z114" s="16">
        <v>0.42701099999999997</v>
      </c>
      <c r="AA114" s="37"/>
    </row>
    <row r="115" spans="1:27">
      <c r="A115" s="16" t="s">
        <v>38</v>
      </c>
      <c r="B115" s="16" t="s">
        <v>617</v>
      </c>
      <c r="C115" s="16" t="s">
        <v>618</v>
      </c>
      <c r="D115" s="16" t="s">
        <v>619</v>
      </c>
      <c r="E115" s="16" t="s">
        <v>590</v>
      </c>
      <c r="F115" s="16" t="s">
        <v>591</v>
      </c>
      <c r="G115" s="16" t="s">
        <v>196</v>
      </c>
      <c r="H115" s="16" t="s">
        <v>197</v>
      </c>
      <c r="I115" s="16" t="s">
        <v>198</v>
      </c>
      <c r="J115" s="16" t="s">
        <v>199</v>
      </c>
      <c r="K115" s="16">
        <v>2.4096549999999999</v>
      </c>
      <c r="L115" s="36">
        <v>2238</v>
      </c>
      <c r="M115" s="16">
        <v>421</v>
      </c>
      <c r="N115" s="16">
        <v>408</v>
      </c>
      <c r="O115" s="16">
        <v>617</v>
      </c>
      <c r="P115" s="16">
        <v>515</v>
      </c>
      <c r="Q115" s="16">
        <v>277</v>
      </c>
      <c r="R115" s="16">
        <v>3</v>
      </c>
      <c r="S115" s="16">
        <v>18.758500000000002</v>
      </c>
      <c r="T115" s="16">
        <v>3.3266900000000001</v>
      </c>
      <c r="U115" s="16">
        <v>0.90359951100000002</v>
      </c>
      <c r="V115" s="16">
        <v>4</v>
      </c>
      <c r="W115" s="16">
        <v>0.90689699999999995</v>
      </c>
      <c r="X115" s="16">
        <v>0.26812900000000001</v>
      </c>
      <c r="Y115" s="16">
        <v>0.8</v>
      </c>
      <c r="Z115" s="16">
        <v>0.42926300000000001</v>
      </c>
      <c r="AA115" s="37"/>
    </row>
    <row r="116" spans="1:27">
      <c r="A116" s="16" t="s">
        <v>38</v>
      </c>
      <c r="B116" s="16" t="s">
        <v>620</v>
      </c>
      <c r="C116" s="16" t="s">
        <v>621</v>
      </c>
      <c r="D116" s="16" t="s">
        <v>622</v>
      </c>
      <c r="E116" s="16" t="s">
        <v>590</v>
      </c>
      <c r="F116" s="16" t="s">
        <v>591</v>
      </c>
      <c r="G116" s="16" t="s">
        <v>196</v>
      </c>
      <c r="H116" s="16" t="s">
        <v>197</v>
      </c>
      <c r="I116" s="16" t="s">
        <v>198</v>
      </c>
      <c r="J116" s="16" t="s">
        <v>199</v>
      </c>
      <c r="K116" s="16">
        <v>2.246696</v>
      </c>
      <c r="L116" s="36">
        <v>1688</v>
      </c>
      <c r="M116" s="16">
        <v>253</v>
      </c>
      <c r="N116" s="16">
        <v>278</v>
      </c>
      <c r="O116" s="16">
        <v>424</v>
      </c>
      <c r="P116" s="16">
        <v>431</v>
      </c>
      <c r="Q116" s="16">
        <v>302</v>
      </c>
      <c r="R116" s="16">
        <v>2</v>
      </c>
      <c r="S116" s="16">
        <v>18.014500000000002</v>
      </c>
      <c r="T116" s="16">
        <v>2.1347399999999999</v>
      </c>
      <c r="U116" s="16">
        <v>0.83389840199999998</v>
      </c>
      <c r="V116" s="16">
        <v>6</v>
      </c>
      <c r="W116" s="16">
        <v>0.90299600000000002</v>
      </c>
      <c r="X116" s="16">
        <v>0.21010599999999999</v>
      </c>
      <c r="Y116" s="16">
        <v>0.8</v>
      </c>
      <c r="Z116" s="16">
        <v>0.32791500000000001</v>
      </c>
      <c r="AA116" s="37"/>
    </row>
    <row r="117" spans="1:27">
      <c r="A117" s="16" t="s">
        <v>38</v>
      </c>
      <c r="B117" s="16" t="s">
        <v>623</v>
      </c>
      <c r="C117" s="16" t="s">
        <v>624</v>
      </c>
      <c r="D117" s="16" t="s">
        <v>625</v>
      </c>
      <c r="E117" s="16" t="s">
        <v>598</v>
      </c>
      <c r="F117" s="16" t="s">
        <v>599</v>
      </c>
      <c r="G117" s="16" t="s">
        <v>196</v>
      </c>
      <c r="H117" s="16" t="s">
        <v>197</v>
      </c>
      <c r="I117" s="16" t="s">
        <v>198</v>
      </c>
      <c r="J117" s="16" t="s">
        <v>199</v>
      </c>
      <c r="K117" s="16">
        <v>2.6726070000000002</v>
      </c>
      <c r="L117" s="36">
        <v>1411</v>
      </c>
      <c r="M117" s="16">
        <v>313</v>
      </c>
      <c r="N117" s="16">
        <v>285</v>
      </c>
      <c r="O117" s="16">
        <v>350</v>
      </c>
      <c r="P117" s="16">
        <v>310</v>
      </c>
      <c r="Q117" s="16">
        <v>153</v>
      </c>
      <c r="R117" s="16">
        <v>4</v>
      </c>
      <c r="S117" s="16">
        <v>23.697800000000001</v>
      </c>
      <c r="T117" s="16">
        <v>3.4933000000000001</v>
      </c>
      <c r="U117" s="16">
        <v>0.91130501100000005</v>
      </c>
      <c r="V117" s="16">
        <v>2</v>
      </c>
      <c r="W117" s="16">
        <v>0.91105599999999998</v>
      </c>
      <c r="X117" s="16">
        <v>0.38693499999999997</v>
      </c>
      <c r="Y117" s="16">
        <v>0.8</v>
      </c>
      <c r="Z117" s="16">
        <v>0.563967</v>
      </c>
      <c r="AA117" s="37"/>
    </row>
    <row r="118" spans="1:27">
      <c r="A118" s="16" t="s">
        <v>38</v>
      </c>
      <c r="B118" s="16" t="s">
        <v>626</v>
      </c>
      <c r="C118" s="16" t="s">
        <v>627</v>
      </c>
      <c r="D118" s="16" t="s">
        <v>628</v>
      </c>
      <c r="E118" s="16" t="s">
        <v>598</v>
      </c>
      <c r="F118" s="16" t="s">
        <v>599</v>
      </c>
      <c r="G118" s="16" t="s">
        <v>196</v>
      </c>
      <c r="H118" s="16" t="s">
        <v>197</v>
      </c>
      <c r="I118" s="16" t="s">
        <v>198</v>
      </c>
      <c r="J118" s="16" t="s">
        <v>199</v>
      </c>
      <c r="K118" s="16">
        <v>2.533725</v>
      </c>
      <c r="L118" s="36">
        <v>1760</v>
      </c>
      <c r="M118" s="16">
        <v>393</v>
      </c>
      <c r="N118" s="16">
        <v>354</v>
      </c>
      <c r="O118" s="16">
        <v>447</v>
      </c>
      <c r="P118" s="16">
        <v>361</v>
      </c>
      <c r="Q118" s="16">
        <v>205</v>
      </c>
      <c r="R118" s="16">
        <v>4</v>
      </c>
      <c r="S118" s="16">
        <v>23.4465</v>
      </c>
      <c r="T118" s="16">
        <v>0</v>
      </c>
      <c r="U118" s="16">
        <v>0.71750804999999995</v>
      </c>
      <c r="V118" s="16">
        <v>5</v>
      </c>
      <c r="W118" s="16">
        <v>0.91359100000000004</v>
      </c>
      <c r="X118" s="16">
        <v>0.36199999999999999</v>
      </c>
      <c r="Y118" s="16">
        <v>0.8</v>
      </c>
      <c r="Z118" s="16">
        <v>0.46208100000000002</v>
      </c>
      <c r="AA118" s="37"/>
    </row>
    <row r="119" spans="1:27">
      <c r="A119" s="16" t="s">
        <v>38</v>
      </c>
      <c r="B119" s="16" t="s">
        <v>629</v>
      </c>
      <c r="C119" s="16" t="s">
        <v>630</v>
      </c>
      <c r="D119" s="16" t="s">
        <v>631</v>
      </c>
      <c r="E119" s="16" t="s">
        <v>632</v>
      </c>
      <c r="F119" s="16" t="s">
        <v>633</v>
      </c>
      <c r="G119" s="16" t="s">
        <v>196</v>
      </c>
      <c r="H119" s="16" t="s">
        <v>197</v>
      </c>
      <c r="I119" s="16" t="s">
        <v>198</v>
      </c>
      <c r="J119" s="16" t="s">
        <v>199</v>
      </c>
      <c r="K119" s="16">
        <v>2.1342479999999999</v>
      </c>
      <c r="L119" s="36">
        <v>1378</v>
      </c>
      <c r="M119" s="16">
        <v>225</v>
      </c>
      <c r="N119" s="16">
        <v>179</v>
      </c>
      <c r="O119" s="16">
        <v>273</v>
      </c>
      <c r="P119" s="16">
        <v>385</v>
      </c>
      <c r="Q119" s="16">
        <v>316</v>
      </c>
      <c r="R119" s="16">
        <v>3</v>
      </c>
      <c r="S119" s="16">
        <v>25.763000000000002</v>
      </c>
      <c r="T119" s="16">
        <v>1.8243199999999999</v>
      </c>
      <c r="U119" s="16">
        <v>0.79616525400000004</v>
      </c>
      <c r="V119" s="16">
        <v>6</v>
      </c>
      <c r="W119" s="16">
        <v>0.90221200000000001</v>
      </c>
      <c r="X119" s="16">
        <v>0.100088</v>
      </c>
      <c r="Y119" s="16">
        <v>0.8</v>
      </c>
      <c r="Z119" s="16">
        <v>0.33277400000000001</v>
      </c>
      <c r="AA119" s="37"/>
    </row>
    <row r="120" spans="1:27">
      <c r="A120" s="16" t="s">
        <v>38</v>
      </c>
      <c r="B120" s="16" t="s">
        <v>634</v>
      </c>
      <c r="C120" s="16" t="s">
        <v>635</v>
      </c>
      <c r="D120" s="16" t="s">
        <v>636</v>
      </c>
      <c r="E120" s="16" t="s">
        <v>606</v>
      </c>
      <c r="F120" s="16" t="s">
        <v>607</v>
      </c>
      <c r="G120" s="16" t="s">
        <v>196</v>
      </c>
      <c r="H120" s="16" t="s">
        <v>197</v>
      </c>
      <c r="I120" s="16" t="s">
        <v>198</v>
      </c>
      <c r="J120" s="16" t="s">
        <v>199</v>
      </c>
      <c r="K120" s="16">
        <v>2.2328589999999999</v>
      </c>
      <c r="L120" s="36">
        <v>1635</v>
      </c>
      <c r="M120" s="16">
        <v>326</v>
      </c>
      <c r="N120" s="16">
        <v>283</v>
      </c>
      <c r="O120" s="16">
        <v>366</v>
      </c>
      <c r="P120" s="16">
        <v>389</v>
      </c>
      <c r="Q120" s="16">
        <v>271</v>
      </c>
      <c r="R120" s="16">
        <v>2</v>
      </c>
      <c r="S120" s="16">
        <v>11.7408</v>
      </c>
      <c r="T120" s="16">
        <v>0</v>
      </c>
      <c r="U120" s="16">
        <v>0.86017451</v>
      </c>
      <c r="V120" s="16">
        <v>5</v>
      </c>
      <c r="W120" s="16">
        <v>0.90189600000000003</v>
      </c>
      <c r="X120" s="16">
        <v>0.10127</v>
      </c>
      <c r="Y120" s="16">
        <v>0.8</v>
      </c>
      <c r="Z120" s="16">
        <v>0.42369699999999999</v>
      </c>
      <c r="AA120" s="37"/>
    </row>
    <row r="121" spans="1:27">
      <c r="A121" s="16" t="s">
        <v>38</v>
      </c>
      <c r="B121" s="16" t="s">
        <v>637</v>
      </c>
      <c r="C121" s="16" t="s">
        <v>638</v>
      </c>
      <c r="D121" s="16" t="s">
        <v>639</v>
      </c>
      <c r="E121" s="16" t="s">
        <v>640</v>
      </c>
      <c r="F121" s="16" t="s">
        <v>641</v>
      </c>
      <c r="G121" s="16" t="s">
        <v>461</v>
      </c>
      <c r="H121" s="16" t="s">
        <v>462</v>
      </c>
      <c r="I121" s="16" t="s">
        <v>198</v>
      </c>
      <c r="J121" s="16" t="s">
        <v>199</v>
      </c>
      <c r="K121" s="16">
        <v>2.2123279999999999</v>
      </c>
      <c r="L121" s="36">
        <v>1758</v>
      </c>
      <c r="M121" s="16">
        <v>495</v>
      </c>
      <c r="N121" s="16">
        <v>232</v>
      </c>
      <c r="O121" s="16">
        <v>363</v>
      </c>
      <c r="P121" s="16">
        <v>448</v>
      </c>
      <c r="Q121" s="16">
        <v>220</v>
      </c>
      <c r="R121" s="16" t="s">
        <v>225</v>
      </c>
      <c r="S121" s="16">
        <v>19.897600000000001</v>
      </c>
      <c r="T121" s="16">
        <v>0</v>
      </c>
      <c r="U121" s="16">
        <v>0.89031011299999996</v>
      </c>
      <c r="V121" s="16">
        <v>6</v>
      </c>
      <c r="W121" s="16">
        <v>0.89332</v>
      </c>
      <c r="X121" s="16">
        <v>0.11137</v>
      </c>
      <c r="Y121" s="16">
        <v>0.8</v>
      </c>
      <c r="Z121" s="16">
        <v>0.414157</v>
      </c>
      <c r="AA121" s="37"/>
    </row>
    <row r="122" spans="1:27">
      <c r="A122" s="16" t="s">
        <v>38</v>
      </c>
      <c r="B122" s="16" t="s">
        <v>642</v>
      </c>
      <c r="C122" s="16" t="s">
        <v>643</v>
      </c>
      <c r="D122" s="16" t="s">
        <v>644</v>
      </c>
      <c r="E122" s="16" t="s">
        <v>640</v>
      </c>
      <c r="F122" s="16" t="s">
        <v>641</v>
      </c>
      <c r="G122" s="16" t="s">
        <v>461</v>
      </c>
      <c r="H122" s="16" t="s">
        <v>462</v>
      </c>
      <c r="I122" s="16" t="s">
        <v>198</v>
      </c>
      <c r="J122" s="16" t="s">
        <v>199</v>
      </c>
      <c r="K122" s="16">
        <v>2.3516189999999999</v>
      </c>
      <c r="L122" s="36">
        <v>2549</v>
      </c>
      <c r="M122" s="16">
        <v>530</v>
      </c>
      <c r="N122" s="16">
        <v>389</v>
      </c>
      <c r="O122" s="16">
        <v>687</v>
      </c>
      <c r="P122" s="16">
        <v>594</v>
      </c>
      <c r="Q122" s="16">
        <v>349</v>
      </c>
      <c r="R122" s="16">
        <v>3</v>
      </c>
      <c r="S122" s="16">
        <v>27.0547</v>
      </c>
      <c r="T122" s="16">
        <v>1.8864799999999999</v>
      </c>
      <c r="U122" s="16">
        <v>0.84009474100000003</v>
      </c>
      <c r="V122" s="16">
        <v>5</v>
      </c>
      <c r="W122" s="16">
        <v>0.90818299999999996</v>
      </c>
      <c r="X122" s="16">
        <v>0.20596200000000001</v>
      </c>
      <c r="Y122" s="16">
        <v>0.8</v>
      </c>
      <c r="Z122" s="16">
        <v>0.443102</v>
      </c>
      <c r="AA122" s="37"/>
    </row>
    <row r="123" spans="1:27">
      <c r="A123" s="16" t="s">
        <v>38</v>
      </c>
      <c r="B123" s="16" t="s">
        <v>645</v>
      </c>
      <c r="C123" s="16" t="s">
        <v>646</v>
      </c>
      <c r="D123" s="16" t="s">
        <v>647</v>
      </c>
      <c r="E123" s="16" t="s">
        <v>648</v>
      </c>
      <c r="F123" s="16" t="s">
        <v>649</v>
      </c>
      <c r="G123" s="16" t="s">
        <v>461</v>
      </c>
      <c r="H123" s="16" t="s">
        <v>462</v>
      </c>
      <c r="I123" s="16" t="s">
        <v>198</v>
      </c>
      <c r="J123" s="16" t="s">
        <v>199</v>
      </c>
      <c r="K123" s="16">
        <v>1.982478</v>
      </c>
      <c r="L123" s="36">
        <v>2503</v>
      </c>
      <c r="M123" s="16">
        <v>686</v>
      </c>
      <c r="N123" s="16">
        <v>388</v>
      </c>
      <c r="O123" s="16">
        <v>553</v>
      </c>
      <c r="P123" s="16">
        <v>672</v>
      </c>
      <c r="Q123" s="16">
        <v>204</v>
      </c>
      <c r="R123" s="16" t="s">
        <v>225</v>
      </c>
      <c r="S123" s="16">
        <v>6.8056000000000001</v>
      </c>
      <c r="T123" s="16">
        <v>0</v>
      </c>
      <c r="U123" s="16">
        <v>1.1200681320000001</v>
      </c>
      <c r="V123" s="16">
        <v>4</v>
      </c>
      <c r="W123" s="16">
        <v>0.87610600000000005</v>
      </c>
      <c r="X123" s="16">
        <v>2.8851000000000002E-2</v>
      </c>
      <c r="Y123" s="16">
        <v>0.79946499999999998</v>
      </c>
      <c r="Z123" s="16">
        <v>0.281389</v>
      </c>
      <c r="AA123" s="37"/>
    </row>
    <row r="124" spans="1:27">
      <c r="A124" s="16"/>
      <c r="B124" s="16"/>
      <c r="C124" s="16"/>
      <c r="D124" s="16"/>
      <c r="E124" s="16"/>
      <c r="F124" s="16"/>
      <c r="G124" s="16"/>
      <c r="H124" s="16"/>
      <c r="I124" s="16"/>
      <c r="J124" s="16"/>
      <c r="K124" s="16">
        <f>MEDIAN(K91:K123)</f>
        <v>2.3020830000000001</v>
      </c>
      <c r="L124" s="36">
        <f>AVERAGE(L91:L123)</f>
        <v>1888.8484848484848</v>
      </c>
      <c r="M124" s="16">
        <f t="shared" ref="M124:Q124" si="9">SUM(M91:M123)</f>
        <v>12599</v>
      </c>
      <c r="N124" s="16">
        <f t="shared" si="9"/>
        <v>11092</v>
      </c>
      <c r="O124" s="16">
        <f t="shared" si="9"/>
        <v>15866</v>
      </c>
      <c r="P124" s="16">
        <f t="shared" si="9"/>
        <v>14897</v>
      </c>
      <c r="Q124" s="16">
        <f t="shared" si="9"/>
        <v>7878</v>
      </c>
      <c r="R124" s="16"/>
      <c r="S124" s="16">
        <f t="shared" ref="S124:U124" si="10">MIN(S91:S123)</f>
        <v>4.3090200000000003</v>
      </c>
      <c r="T124" s="16">
        <f t="shared" si="10"/>
        <v>0</v>
      </c>
      <c r="U124" s="16">
        <f t="shared" si="10"/>
        <v>0.66583141999999995</v>
      </c>
      <c r="V124" s="16">
        <f>MEDIAN(V91:V123)</f>
        <v>5</v>
      </c>
      <c r="W124" s="16"/>
      <c r="X124" s="16"/>
      <c r="Y124" s="16"/>
      <c r="Z124" s="16"/>
      <c r="AA124" s="37"/>
    </row>
    <row r="125" spans="1:27">
      <c r="A125" s="16" t="s">
        <v>88</v>
      </c>
      <c r="B125" s="16" t="s">
        <v>650</v>
      </c>
      <c r="C125" s="16" t="s">
        <v>651</v>
      </c>
      <c r="D125" s="16" t="s">
        <v>652</v>
      </c>
      <c r="E125" s="16" t="s">
        <v>653</v>
      </c>
      <c r="F125" s="16" t="s">
        <v>654</v>
      </c>
      <c r="G125" s="16" t="s">
        <v>655</v>
      </c>
      <c r="H125" s="16" t="s">
        <v>656</v>
      </c>
      <c r="I125" s="16" t="s">
        <v>198</v>
      </c>
      <c r="J125" s="16" t="s">
        <v>199</v>
      </c>
      <c r="K125" s="16">
        <v>2.6742919999999999</v>
      </c>
      <c r="L125" s="36">
        <v>1802</v>
      </c>
      <c r="M125" s="16">
        <v>370</v>
      </c>
      <c r="N125" s="16">
        <v>358</v>
      </c>
      <c r="O125" s="16">
        <v>547</v>
      </c>
      <c r="P125" s="16">
        <v>373</v>
      </c>
      <c r="Q125" s="16">
        <v>154</v>
      </c>
      <c r="R125" s="16">
        <v>5</v>
      </c>
      <c r="S125" s="16">
        <v>40.066499999999998</v>
      </c>
      <c r="T125" s="16">
        <v>2.8621500000000002</v>
      </c>
      <c r="U125" s="16">
        <v>1.185670193</v>
      </c>
      <c r="V125" s="16">
        <v>1</v>
      </c>
      <c r="W125" s="16">
        <v>0.90871500000000005</v>
      </c>
      <c r="X125" s="16">
        <v>0.20735899999999999</v>
      </c>
      <c r="Y125" s="16">
        <v>0.70151200000000002</v>
      </c>
      <c r="Z125" s="16">
        <v>0.87333300000000003</v>
      </c>
      <c r="AA125" s="37"/>
    </row>
    <row r="126" spans="1:27">
      <c r="A126" s="16" t="s">
        <v>88</v>
      </c>
      <c r="B126" s="16" t="s">
        <v>657</v>
      </c>
      <c r="C126" s="16" t="s">
        <v>658</v>
      </c>
      <c r="D126" s="16" t="s">
        <v>659</v>
      </c>
      <c r="E126" s="16" t="s">
        <v>660</v>
      </c>
      <c r="F126" s="16" t="s">
        <v>661</v>
      </c>
      <c r="G126" s="16" t="s">
        <v>655</v>
      </c>
      <c r="H126" s="16" t="s">
        <v>656</v>
      </c>
      <c r="I126" s="16" t="s">
        <v>198</v>
      </c>
      <c r="J126" s="16" t="s">
        <v>199</v>
      </c>
      <c r="K126" s="16">
        <v>2.412185</v>
      </c>
      <c r="L126" s="36">
        <v>1439</v>
      </c>
      <c r="M126" s="16">
        <v>148</v>
      </c>
      <c r="N126" s="16">
        <v>353</v>
      </c>
      <c r="O126" s="16">
        <v>654</v>
      </c>
      <c r="P126" s="16">
        <v>214</v>
      </c>
      <c r="Q126" s="16">
        <v>70</v>
      </c>
      <c r="R126" s="16" t="s">
        <v>302</v>
      </c>
      <c r="S126" s="16">
        <v>39.780700000000003</v>
      </c>
      <c r="T126" s="16">
        <v>24.2014</v>
      </c>
      <c r="U126" s="16">
        <v>0.953888179</v>
      </c>
      <c r="V126" s="16">
        <v>3</v>
      </c>
      <c r="W126" s="16">
        <v>0.9</v>
      </c>
      <c r="X126" s="16">
        <v>4.0677999999999999E-2</v>
      </c>
      <c r="Y126" s="16">
        <v>0.7</v>
      </c>
      <c r="Z126" s="16">
        <v>0.76861900000000005</v>
      </c>
      <c r="AA126" s="37"/>
    </row>
    <row r="127" spans="1:27">
      <c r="A127" s="16" t="s">
        <v>88</v>
      </c>
      <c r="B127" s="16" t="s">
        <v>662</v>
      </c>
      <c r="C127" s="16" t="s">
        <v>663</v>
      </c>
      <c r="D127" s="16" t="s">
        <v>664</v>
      </c>
      <c r="E127" s="16" t="s">
        <v>660</v>
      </c>
      <c r="F127" s="16" t="s">
        <v>661</v>
      </c>
      <c r="G127" s="16" t="s">
        <v>655</v>
      </c>
      <c r="H127" s="16" t="s">
        <v>656</v>
      </c>
      <c r="I127" s="16" t="s">
        <v>198</v>
      </c>
      <c r="J127" s="16" t="s">
        <v>199</v>
      </c>
      <c r="K127" s="16">
        <v>2.4848919999999999</v>
      </c>
      <c r="L127" s="36">
        <v>1722</v>
      </c>
      <c r="M127" s="16">
        <v>309</v>
      </c>
      <c r="N127" s="16">
        <v>461</v>
      </c>
      <c r="O127" s="16">
        <v>540</v>
      </c>
      <c r="P127" s="16">
        <v>297</v>
      </c>
      <c r="Q127" s="16">
        <v>115</v>
      </c>
      <c r="R127" s="16" t="s">
        <v>302</v>
      </c>
      <c r="S127" s="16">
        <v>50.633000000000003</v>
      </c>
      <c r="T127" s="16">
        <v>5.1069899999999997</v>
      </c>
      <c r="U127" s="16">
        <v>1.0438743559999999</v>
      </c>
      <c r="V127" s="16">
        <v>2</v>
      </c>
      <c r="W127" s="16">
        <v>0.91222999999999999</v>
      </c>
      <c r="X127" s="16">
        <v>0.2</v>
      </c>
      <c r="Y127" s="16">
        <v>0.7</v>
      </c>
      <c r="Z127" s="16">
        <v>0.71054499999999998</v>
      </c>
      <c r="AA127" s="37"/>
    </row>
    <row r="128" spans="1:27">
      <c r="A128" s="16" t="s">
        <v>88</v>
      </c>
      <c r="B128" s="16" t="s">
        <v>665</v>
      </c>
      <c r="C128" s="16" t="s">
        <v>666</v>
      </c>
      <c r="D128" s="16" t="s">
        <v>667</v>
      </c>
      <c r="E128" s="16" t="s">
        <v>660</v>
      </c>
      <c r="F128" s="16" t="s">
        <v>661</v>
      </c>
      <c r="G128" s="16" t="s">
        <v>655</v>
      </c>
      <c r="H128" s="16" t="s">
        <v>656</v>
      </c>
      <c r="I128" s="16" t="s">
        <v>198</v>
      </c>
      <c r="J128" s="16" t="s">
        <v>199</v>
      </c>
      <c r="K128" s="16">
        <v>2.5415030000000001</v>
      </c>
      <c r="L128" s="36">
        <v>1907</v>
      </c>
      <c r="M128" s="16">
        <v>181</v>
      </c>
      <c r="N128" s="16">
        <v>576</v>
      </c>
      <c r="O128" s="16">
        <v>744</v>
      </c>
      <c r="P128" s="16">
        <v>304</v>
      </c>
      <c r="Q128" s="16">
        <v>102</v>
      </c>
      <c r="R128" s="16" t="s">
        <v>668</v>
      </c>
      <c r="S128" s="16">
        <v>61.465800000000002</v>
      </c>
      <c r="T128" s="16">
        <v>36.224400000000003</v>
      </c>
      <c r="U128" s="16">
        <v>0.72286073100000003</v>
      </c>
      <c r="V128" s="16">
        <v>5</v>
      </c>
      <c r="W128" s="16">
        <v>0.91960799999999998</v>
      </c>
      <c r="X128" s="16">
        <v>0.15973599999999999</v>
      </c>
      <c r="Y128" s="16">
        <v>0.7</v>
      </c>
      <c r="Z128" s="16">
        <v>0.77719899999999997</v>
      </c>
      <c r="AA128" s="37"/>
    </row>
    <row r="129" spans="1:27">
      <c r="A129" s="16" t="s">
        <v>88</v>
      </c>
      <c r="B129" s="16" t="s">
        <v>669</v>
      </c>
      <c r="C129" s="16" t="s">
        <v>670</v>
      </c>
      <c r="D129" s="16" t="s">
        <v>671</v>
      </c>
      <c r="E129" s="16" t="s">
        <v>653</v>
      </c>
      <c r="F129" s="16" t="s">
        <v>654</v>
      </c>
      <c r="G129" s="16" t="s">
        <v>655</v>
      </c>
      <c r="H129" s="16" t="s">
        <v>656</v>
      </c>
      <c r="I129" s="16" t="s">
        <v>198</v>
      </c>
      <c r="J129" s="16" t="s">
        <v>199</v>
      </c>
      <c r="K129" s="16">
        <v>2.9202949999999999</v>
      </c>
      <c r="L129" s="36">
        <v>1524</v>
      </c>
      <c r="M129" s="16">
        <v>448</v>
      </c>
      <c r="N129" s="16">
        <v>235</v>
      </c>
      <c r="O129" s="16">
        <v>394</v>
      </c>
      <c r="P129" s="16">
        <v>307</v>
      </c>
      <c r="Q129" s="16">
        <v>140</v>
      </c>
      <c r="R129" s="16">
        <v>3</v>
      </c>
      <c r="S129" s="16">
        <v>24.819400000000002</v>
      </c>
      <c r="T129" s="16">
        <v>0</v>
      </c>
      <c r="U129" s="16">
        <v>0.99512676600000005</v>
      </c>
      <c r="V129" s="16">
        <v>1</v>
      </c>
      <c r="W129" s="16">
        <v>0.91476000000000002</v>
      </c>
      <c r="X129" s="16">
        <v>0.35203000000000001</v>
      </c>
      <c r="Y129" s="16">
        <v>0.8</v>
      </c>
      <c r="Z129" s="16">
        <v>0.86444399999999999</v>
      </c>
      <c r="AA129" s="37"/>
    </row>
    <row r="130" spans="1:27">
      <c r="A130" s="16" t="s">
        <v>88</v>
      </c>
      <c r="B130" s="16" t="s">
        <v>672</v>
      </c>
      <c r="C130" s="16" t="s">
        <v>673</v>
      </c>
      <c r="D130" s="16" t="s">
        <v>674</v>
      </c>
      <c r="E130" s="16" t="s">
        <v>653</v>
      </c>
      <c r="F130" s="16" t="s">
        <v>654</v>
      </c>
      <c r="G130" s="16" t="s">
        <v>655</v>
      </c>
      <c r="H130" s="16" t="s">
        <v>656</v>
      </c>
      <c r="I130" s="16" t="s">
        <v>198</v>
      </c>
      <c r="J130" s="16" t="s">
        <v>199</v>
      </c>
      <c r="K130" s="16">
        <v>2.9166080000000001</v>
      </c>
      <c r="L130" s="36">
        <v>1702</v>
      </c>
      <c r="M130" s="16">
        <v>392</v>
      </c>
      <c r="N130" s="16">
        <v>312</v>
      </c>
      <c r="O130" s="16">
        <v>441</v>
      </c>
      <c r="P130" s="16">
        <v>375</v>
      </c>
      <c r="Q130" s="16">
        <v>182</v>
      </c>
      <c r="R130" s="16" t="s">
        <v>302</v>
      </c>
      <c r="S130" s="16">
        <v>35.018300000000004</v>
      </c>
      <c r="T130" s="16">
        <v>22.3537</v>
      </c>
      <c r="U130" s="16">
        <v>1.039520614</v>
      </c>
      <c r="V130" s="16">
        <v>1</v>
      </c>
      <c r="W130" s="16">
        <v>0.912721</v>
      </c>
      <c r="X130" s="16">
        <v>0.361566</v>
      </c>
      <c r="Y130" s="16">
        <v>0.76142900000000002</v>
      </c>
      <c r="Z130" s="16">
        <v>0.86549299999999996</v>
      </c>
      <c r="AA130" s="37"/>
    </row>
    <row r="131" spans="1:27">
      <c r="A131" s="16" t="s">
        <v>88</v>
      </c>
      <c r="B131" s="16" t="s">
        <v>675</v>
      </c>
      <c r="C131" s="16" t="s">
        <v>676</v>
      </c>
      <c r="D131" s="16" t="s">
        <v>677</v>
      </c>
      <c r="E131" s="16" t="s">
        <v>678</v>
      </c>
      <c r="F131" s="16" t="s">
        <v>679</v>
      </c>
      <c r="G131" s="16" t="s">
        <v>461</v>
      </c>
      <c r="H131" s="16" t="s">
        <v>462</v>
      </c>
      <c r="I131" s="16" t="s">
        <v>198</v>
      </c>
      <c r="J131" s="16" t="s">
        <v>199</v>
      </c>
      <c r="K131" s="16">
        <v>2.611462</v>
      </c>
      <c r="L131" s="36">
        <v>1844</v>
      </c>
      <c r="M131" s="16">
        <v>224</v>
      </c>
      <c r="N131" s="16">
        <v>468</v>
      </c>
      <c r="O131" s="16">
        <v>621</v>
      </c>
      <c r="P131" s="16">
        <v>396</v>
      </c>
      <c r="Q131" s="16">
        <v>135</v>
      </c>
      <c r="R131" s="16" t="s">
        <v>302</v>
      </c>
      <c r="S131" s="16">
        <v>63.570999999999998</v>
      </c>
      <c r="T131" s="16">
        <v>11.288500000000001</v>
      </c>
      <c r="U131" s="16">
        <v>0.97004912499999996</v>
      </c>
      <c r="V131" s="16">
        <v>2</v>
      </c>
      <c r="W131" s="16">
        <v>0.90779200000000004</v>
      </c>
      <c r="X131" s="16">
        <v>0.35394100000000001</v>
      </c>
      <c r="Y131" s="16">
        <v>0.7</v>
      </c>
      <c r="Z131" s="16">
        <v>0.65081699999999998</v>
      </c>
      <c r="AA131" s="37"/>
    </row>
    <row r="132" spans="1:27">
      <c r="A132" s="16" t="s">
        <v>88</v>
      </c>
      <c r="B132" s="16" t="s">
        <v>680</v>
      </c>
      <c r="C132" s="16" t="s">
        <v>681</v>
      </c>
      <c r="D132" s="16" t="s">
        <v>682</v>
      </c>
      <c r="E132" s="16" t="s">
        <v>683</v>
      </c>
      <c r="F132" s="16" t="s">
        <v>684</v>
      </c>
      <c r="G132" s="16" t="s">
        <v>461</v>
      </c>
      <c r="H132" s="16" t="s">
        <v>462</v>
      </c>
      <c r="I132" s="16" t="s">
        <v>198</v>
      </c>
      <c r="J132" s="16" t="s">
        <v>199</v>
      </c>
      <c r="K132" s="16">
        <v>2.5902829999999999</v>
      </c>
      <c r="L132" s="36">
        <v>1911</v>
      </c>
      <c r="M132" s="16">
        <v>321</v>
      </c>
      <c r="N132" s="16">
        <v>354</v>
      </c>
      <c r="O132" s="16">
        <v>471</v>
      </c>
      <c r="P132" s="16">
        <v>459</v>
      </c>
      <c r="Q132" s="16">
        <v>306</v>
      </c>
      <c r="R132" s="16">
        <v>4</v>
      </c>
      <c r="S132" s="16">
        <v>33.326000000000001</v>
      </c>
      <c r="T132" s="16">
        <v>4.7173800000000004</v>
      </c>
      <c r="U132" s="16">
        <v>1.0357283420000001</v>
      </c>
      <c r="V132" s="16">
        <v>3</v>
      </c>
      <c r="W132" s="16">
        <v>0.9083</v>
      </c>
      <c r="X132" s="16">
        <v>0.210121</v>
      </c>
      <c r="Y132" s="16">
        <v>0.76282799999999995</v>
      </c>
      <c r="Z132" s="16">
        <v>0.7</v>
      </c>
      <c r="AA132" s="37"/>
    </row>
    <row r="133" spans="1:27">
      <c r="A133" s="16" t="s">
        <v>88</v>
      </c>
      <c r="B133" s="16" t="s">
        <v>685</v>
      </c>
      <c r="C133" s="16" t="s">
        <v>686</v>
      </c>
      <c r="D133" s="16" t="s">
        <v>687</v>
      </c>
      <c r="E133" s="16" t="s">
        <v>688</v>
      </c>
      <c r="F133" s="16" t="s">
        <v>689</v>
      </c>
      <c r="G133" s="16" t="s">
        <v>461</v>
      </c>
      <c r="H133" s="16" t="s">
        <v>462</v>
      </c>
      <c r="I133" s="16" t="s">
        <v>198</v>
      </c>
      <c r="J133" s="16" t="s">
        <v>199</v>
      </c>
      <c r="K133" s="16">
        <v>2.5794389999999998</v>
      </c>
      <c r="L133" s="36">
        <v>1876</v>
      </c>
      <c r="M133" s="16">
        <v>427</v>
      </c>
      <c r="N133" s="16">
        <v>388</v>
      </c>
      <c r="O133" s="16">
        <v>451</v>
      </c>
      <c r="P133" s="16">
        <v>423</v>
      </c>
      <c r="Q133" s="16">
        <v>187</v>
      </c>
      <c r="R133" s="16">
        <v>5</v>
      </c>
      <c r="S133" s="16">
        <v>29.607800000000001</v>
      </c>
      <c r="T133" s="16">
        <v>14.478199999999999</v>
      </c>
      <c r="U133" s="16">
        <v>1.044344795</v>
      </c>
      <c r="V133" s="16">
        <v>2</v>
      </c>
      <c r="W133" s="16">
        <v>0.90373800000000004</v>
      </c>
      <c r="X133" s="16">
        <v>0.128806</v>
      </c>
      <c r="Y133" s="16">
        <v>0.77458800000000005</v>
      </c>
      <c r="Z133" s="16">
        <v>0.76934000000000002</v>
      </c>
      <c r="AA133" s="37"/>
    </row>
    <row r="134" spans="1:27">
      <c r="A134" s="16" t="s">
        <v>88</v>
      </c>
      <c r="B134" s="16" t="s">
        <v>690</v>
      </c>
      <c r="C134" s="16" t="s">
        <v>691</v>
      </c>
      <c r="D134" s="16" t="s">
        <v>692</v>
      </c>
      <c r="E134" s="16" t="s">
        <v>688</v>
      </c>
      <c r="F134" s="16" t="s">
        <v>689</v>
      </c>
      <c r="G134" s="16" t="s">
        <v>461</v>
      </c>
      <c r="H134" s="16" t="s">
        <v>462</v>
      </c>
      <c r="I134" s="16" t="s">
        <v>198</v>
      </c>
      <c r="J134" s="16" t="s">
        <v>199</v>
      </c>
      <c r="K134" s="16">
        <v>2.6526519999999998</v>
      </c>
      <c r="L134" s="36">
        <v>1858</v>
      </c>
      <c r="M134" s="16">
        <v>439</v>
      </c>
      <c r="N134" s="16">
        <v>344</v>
      </c>
      <c r="O134" s="16">
        <v>450</v>
      </c>
      <c r="P134" s="16">
        <v>481</v>
      </c>
      <c r="Q134" s="16">
        <v>144</v>
      </c>
      <c r="R134" s="16">
        <v>3</v>
      </c>
      <c r="S134" s="16">
        <v>18.911000000000001</v>
      </c>
      <c r="T134" s="16">
        <v>5.9750699999999997</v>
      </c>
      <c r="U134" s="16">
        <v>1.011647467</v>
      </c>
      <c r="V134" s="16">
        <v>2</v>
      </c>
      <c r="W134" s="16">
        <v>0.91098500000000004</v>
      </c>
      <c r="X134" s="16">
        <v>0.25931599999999999</v>
      </c>
      <c r="Y134" s="16">
        <v>0.79398500000000005</v>
      </c>
      <c r="Z134" s="16">
        <v>0.712121</v>
      </c>
      <c r="AA134" s="37"/>
    </row>
    <row r="135" spans="1:27">
      <c r="A135" s="16" t="s">
        <v>88</v>
      </c>
      <c r="B135" s="16" t="s">
        <v>693</v>
      </c>
      <c r="C135" s="16" t="s">
        <v>694</v>
      </c>
      <c r="D135" s="16" t="s">
        <v>695</v>
      </c>
      <c r="E135" s="16" t="s">
        <v>688</v>
      </c>
      <c r="F135" s="16" t="s">
        <v>689</v>
      </c>
      <c r="G135" s="16" t="s">
        <v>461</v>
      </c>
      <c r="H135" s="16" t="s">
        <v>462</v>
      </c>
      <c r="I135" s="16" t="s">
        <v>198</v>
      </c>
      <c r="J135" s="16" t="s">
        <v>199</v>
      </c>
      <c r="K135" s="16">
        <v>2.6415190000000002</v>
      </c>
      <c r="L135" s="36">
        <v>2686</v>
      </c>
      <c r="M135" s="16">
        <v>477</v>
      </c>
      <c r="N135" s="16">
        <v>775</v>
      </c>
      <c r="O135" s="16">
        <v>777</v>
      </c>
      <c r="P135" s="16">
        <v>495</v>
      </c>
      <c r="Q135" s="16">
        <v>162</v>
      </c>
      <c r="R135" s="16">
        <v>3</v>
      </c>
      <c r="S135" s="16">
        <v>21.6294</v>
      </c>
      <c r="T135" s="16">
        <v>3.79176</v>
      </c>
      <c r="U135" s="16">
        <v>0.94529863700000005</v>
      </c>
      <c r="V135" s="16">
        <v>3</v>
      </c>
      <c r="W135" s="16">
        <v>0.903393</v>
      </c>
      <c r="X135" s="16">
        <v>0.11341900000000001</v>
      </c>
      <c r="Y135" s="16">
        <v>0.8</v>
      </c>
      <c r="Z135" s="16">
        <v>0.81621200000000005</v>
      </c>
      <c r="AA135" s="37"/>
    </row>
    <row r="136" spans="1:27">
      <c r="A136" s="16" t="s">
        <v>88</v>
      </c>
      <c r="B136" s="16" t="s">
        <v>696</v>
      </c>
      <c r="C136" s="16" t="s">
        <v>697</v>
      </c>
      <c r="D136" s="16" t="s">
        <v>698</v>
      </c>
      <c r="E136" s="16" t="s">
        <v>699</v>
      </c>
      <c r="F136" s="16" t="s">
        <v>700</v>
      </c>
      <c r="G136" s="16" t="s">
        <v>461</v>
      </c>
      <c r="H136" s="16" t="s">
        <v>462</v>
      </c>
      <c r="I136" s="16" t="s">
        <v>198</v>
      </c>
      <c r="J136" s="16" t="s">
        <v>199</v>
      </c>
      <c r="K136" s="16">
        <v>2.4794040000000002</v>
      </c>
      <c r="L136" s="36">
        <v>1660</v>
      </c>
      <c r="M136" s="16">
        <v>211</v>
      </c>
      <c r="N136" s="16">
        <v>375</v>
      </c>
      <c r="O136" s="16">
        <v>599</v>
      </c>
      <c r="P136" s="16">
        <v>324</v>
      </c>
      <c r="Q136" s="16">
        <v>151</v>
      </c>
      <c r="R136" s="16" t="s">
        <v>668</v>
      </c>
      <c r="S136" s="16">
        <v>63.709699999999998</v>
      </c>
      <c r="T136" s="16">
        <v>27.729299999999999</v>
      </c>
      <c r="U136" s="16">
        <v>0.84520052300000004</v>
      </c>
      <c r="V136" s="16">
        <v>3</v>
      </c>
      <c r="W136" s="16">
        <v>0.90818900000000002</v>
      </c>
      <c r="X136" s="16">
        <v>0.222943</v>
      </c>
      <c r="Y136" s="16">
        <v>0.7</v>
      </c>
      <c r="Z136" s="16">
        <v>0.63124999999999998</v>
      </c>
      <c r="AA136" s="37"/>
    </row>
    <row r="137" spans="1:27">
      <c r="A137" s="16" t="s">
        <v>88</v>
      </c>
      <c r="B137" s="16" t="s">
        <v>701</v>
      </c>
      <c r="C137" s="16" t="s">
        <v>702</v>
      </c>
      <c r="D137" s="16" t="s">
        <v>703</v>
      </c>
      <c r="E137" s="16" t="s">
        <v>704</v>
      </c>
      <c r="F137" s="16" t="s">
        <v>705</v>
      </c>
      <c r="G137" s="16" t="s">
        <v>461</v>
      </c>
      <c r="H137" s="16" t="s">
        <v>462</v>
      </c>
      <c r="I137" s="16" t="s">
        <v>198</v>
      </c>
      <c r="J137" s="16" t="s">
        <v>199</v>
      </c>
      <c r="K137" s="16">
        <v>2.5982889999999998</v>
      </c>
      <c r="L137" s="36">
        <v>2127</v>
      </c>
      <c r="M137" s="16">
        <v>366</v>
      </c>
      <c r="N137" s="16">
        <v>575</v>
      </c>
      <c r="O137" s="16">
        <v>466</v>
      </c>
      <c r="P137" s="16">
        <v>443</v>
      </c>
      <c r="Q137" s="16">
        <v>277</v>
      </c>
      <c r="R137" s="16" t="s">
        <v>302</v>
      </c>
      <c r="S137" s="16">
        <v>45.510899999999999</v>
      </c>
      <c r="T137" s="16">
        <v>23.158999999999999</v>
      </c>
      <c r="U137" s="16">
        <v>1.003836162</v>
      </c>
      <c r="V137" s="16">
        <v>2</v>
      </c>
      <c r="W137" s="16">
        <v>0.91216699999999995</v>
      </c>
      <c r="X137" s="16">
        <v>0.26233299999999998</v>
      </c>
      <c r="Y137" s="16">
        <v>0.7</v>
      </c>
      <c r="Z137" s="16">
        <v>0.73396600000000001</v>
      </c>
      <c r="AA137" s="37"/>
    </row>
    <row r="138" spans="1:27">
      <c r="A138" s="16" t="s">
        <v>88</v>
      </c>
      <c r="B138" s="16" t="s">
        <v>706</v>
      </c>
      <c r="C138" s="16" t="s">
        <v>707</v>
      </c>
      <c r="D138" s="16" t="s">
        <v>708</v>
      </c>
      <c r="E138" s="16" t="s">
        <v>709</v>
      </c>
      <c r="F138" s="16" t="s">
        <v>710</v>
      </c>
      <c r="G138" s="16" t="s">
        <v>461</v>
      </c>
      <c r="H138" s="16" t="s">
        <v>462</v>
      </c>
      <c r="I138" s="16" t="s">
        <v>198</v>
      </c>
      <c r="J138" s="16" t="s">
        <v>199</v>
      </c>
      <c r="K138" s="16">
        <v>2.473938</v>
      </c>
      <c r="L138" s="36">
        <v>1792</v>
      </c>
      <c r="M138" s="16">
        <v>383</v>
      </c>
      <c r="N138" s="16">
        <v>344</v>
      </c>
      <c r="O138" s="16">
        <v>507</v>
      </c>
      <c r="P138" s="16">
        <v>394</v>
      </c>
      <c r="Q138" s="16">
        <v>164</v>
      </c>
      <c r="R138" s="16">
        <v>5</v>
      </c>
      <c r="S138" s="16">
        <v>39.879600000000003</v>
      </c>
      <c r="T138" s="16">
        <v>12.974500000000001</v>
      </c>
      <c r="U138" s="16">
        <v>1.164886157</v>
      </c>
      <c r="V138" s="16">
        <v>2</v>
      </c>
      <c r="W138" s="16">
        <v>0.90481599999999995</v>
      </c>
      <c r="X138" s="16">
        <v>0.15662000000000001</v>
      </c>
      <c r="Y138" s="16">
        <v>0.70591499999999996</v>
      </c>
      <c r="Z138" s="16">
        <v>0.7</v>
      </c>
      <c r="AA138" s="37"/>
    </row>
    <row r="139" spans="1:27">
      <c r="A139" s="16" t="s">
        <v>88</v>
      </c>
      <c r="B139" s="16" t="s">
        <v>711</v>
      </c>
      <c r="C139" s="16" t="s">
        <v>712</v>
      </c>
      <c r="D139" s="16" t="s">
        <v>713</v>
      </c>
      <c r="E139" s="16" t="s">
        <v>495</v>
      </c>
      <c r="F139" s="16" t="s">
        <v>496</v>
      </c>
      <c r="G139" s="16" t="s">
        <v>497</v>
      </c>
      <c r="H139" s="16" t="s">
        <v>498</v>
      </c>
      <c r="I139" s="16" t="s">
        <v>198</v>
      </c>
      <c r="J139" s="16" t="s">
        <v>199</v>
      </c>
      <c r="K139" s="16">
        <v>2.9019370000000002</v>
      </c>
      <c r="L139" s="36">
        <v>2254</v>
      </c>
      <c r="M139" s="16">
        <v>282</v>
      </c>
      <c r="N139" s="36">
        <v>858</v>
      </c>
      <c r="O139" s="36">
        <v>568</v>
      </c>
      <c r="P139" s="16">
        <v>367</v>
      </c>
      <c r="Q139" s="16">
        <v>179</v>
      </c>
      <c r="R139" s="16" t="s">
        <v>668</v>
      </c>
      <c r="S139" s="16">
        <v>49.989600000000003</v>
      </c>
      <c r="T139" s="16">
        <v>27.659300000000002</v>
      </c>
      <c r="U139" s="16">
        <v>0.79698863900000005</v>
      </c>
      <c r="V139" s="16">
        <v>3</v>
      </c>
      <c r="W139" s="16">
        <v>0.92082299999999995</v>
      </c>
      <c r="X139" s="16">
        <v>0.301205</v>
      </c>
      <c r="Y139" s="16">
        <v>0.7</v>
      </c>
      <c r="Z139" s="16">
        <v>0.98543700000000001</v>
      </c>
      <c r="AA139" s="37"/>
    </row>
    <row r="140" spans="1:27">
      <c r="A140" s="16" t="s">
        <v>88</v>
      </c>
      <c r="B140" s="16" t="s">
        <v>492</v>
      </c>
      <c r="C140" s="16" t="s">
        <v>493</v>
      </c>
      <c r="D140" s="16" t="s">
        <v>494</v>
      </c>
      <c r="E140" s="16" t="s">
        <v>495</v>
      </c>
      <c r="F140" s="16" t="s">
        <v>496</v>
      </c>
      <c r="G140" s="16" t="s">
        <v>497</v>
      </c>
      <c r="H140" s="16" t="s">
        <v>498</v>
      </c>
      <c r="I140" s="16" t="s">
        <v>198</v>
      </c>
      <c r="J140" s="16" t="s">
        <v>199</v>
      </c>
      <c r="K140" s="16">
        <v>2.8668529999999999</v>
      </c>
      <c r="L140" s="36">
        <v>3608</v>
      </c>
      <c r="M140" s="16">
        <v>484</v>
      </c>
      <c r="N140" s="36">
        <v>1230</v>
      </c>
      <c r="O140" s="36">
        <v>1146</v>
      </c>
      <c r="P140" s="16">
        <v>554</v>
      </c>
      <c r="Q140" s="16">
        <v>194</v>
      </c>
      <c r="R140" s="16" t="s">
        <v>302</v>
      </c>
      <c r="S140" s="16">
        <v>45.4589</v>
      </c>
      <c r="T140" s="16">
        <v>13.449400000000001</v>
      </c>
      <c r="U140" s="16">
        <v>0.75426987899999998</v>
      </c>
      <c r="V140" s="16">
        <v>4</v>
      </c>
      <c r="W140" s="16">
        <v>0.92327700000000001</v>
      </c>
      <c r="X140" s="16">
        <v>0.30737999999999999</v>
      </c>
      <c r="Y140" s="16">
        <v>0.7</v>
      </c>
      <c r="Z140" s="16">
        <v>0.93461499999999997</v>
      </c>
      <c r="AA140" s="37"/>
    </row>
    <row r="141" spans="1:27">
      <c r="A141" s="16" t="s">
        <v>88</v>
      </c>
      <c r="B141" s="16" t="s">
        <v>714</v>
      </c>
      <c r="C141" s="16" t="s">
        <v>715</v>
      </c>
      <c r="D141" s="16" t="s">
        <v>716</v>
      </c>
      <c r="E141" s="16" t="s">
        <v>717</v>
      </c>
      <c r="F141" s="16" t="s">
        <v>718</v>
      </c>
      <c r="G141" s="16" t="s">
        <v>497</v>
      </c>
      <c r="H141" s="16" t="s">
        <v>498</v>
      </c>
      <c r="I141" s="16" t="s">
        <v>198</v>
      </c>
      <c r="J141" s="16" t="s">
        <v>199</v>
      </c>
      <c r="K141" s="16">
        <v>2.9928400000000002</v>
      </c>
      <c r="L141" s="36">
        <v>1953</v>
      </c>
      <c r="M141" s="16">
        <v>312</v>
      </c>
      <c r="N141" s="16">
        <v>486</v>
      </c>
      <c r="O141" s="16">
        <v>503</v>
      </c>
      <c r="P141" s="16">
        <v>470</v>
      </c>
      <c r="Q141" s="16">
        <v>182</v>
      </c>
      <c r="R141" s="16" t="s">
        <v>668</v>
      </c>
      <c r="S141" s="16">
        <v>52.354399999999998</v>
      </c>
      <c r="T141" s="16">
        <v>23.0871</v>
      </c>
      <c r="U141" s="16">
        <v>1.0808927500000001</v>
      </c>
      <c r="V141" s="16">
        <v>1</v>
      </c>
      <c r="W141" s="16">
        <v>0.91790000000000005</v>
      </c>
      <c r="X141" s="16">
        <v>0.40428599999999998</v>
      </c>
      <c r="Y141" s="16">
        <v>0.7</v>
      </c>
      <c r="Z141" s="16">
        <v>0.94343699999999997</v>
      </c>
      <c r="AA141" s="37"/>
    </row>
    <row r="142" spans="1:27">
      <c r="A142" s="16" t="s">
        <v>88</v>
      </c>
      <c r="B142" s="16" t="s">
        <v>719</v>
      </c>
      <c r="C142" s="16" t="s">
        <v>720</v>
      </c>
      <c r="D142" s="16" t="s">
        <v>721</v>
      </c>
      <c r="E142" s="16" t="s">
        <v>717</v>
      </c>
      <c r="F142" s="16" t="s">
        <v>718</v>
      </c>
      <c r="G142" s="16" t="s">
        <v>497</v>
      </c>
      <c r="H142" s="16" t="s">
        <v>498</v>
      </c>
      <c r="I142" s="16" t="s">
        <v>198</v>
      </c>
      <c r="J142" s="16" t="s">
        <v>199</v>
      </c>
      <c r="K142" s="16">
        <v>2.7767379999999999</v>
      </c>
      <c r="L142" s="36">
        <v>2676</v>
      </c>
      <c r="M142" s="16">
        <v>616</v>
      </c>
      <c r="N142" s="16">
        <v>996</v>
      </c>
      <c r="O142" s="16">
        <v>549</v>
      </c>
      <c r="P142" s="16">
        <v>399</v>
      </c>
      <c r="Q142" s="16">
        <v>116</v>
      </c>
      <c r="R142" s="16" t="s">
        <v>668</v>
      </c>
      <c r="S142" s="16">
        <v>64.159000000000006</v>
      </c>
      <c r="T142" s="16">
        <v>46.577199999999998</v>
      </c>
      <c r="U142" s="16">
        <v>1.306936683</v>
      </c>
      <c r="V142" s="16">
        <v>2</v>
      </c>
      <c r="W142" s="16">
        <v>0.92433200000000004</v>
      </c>
      <c r="X142" s="16">
        <v>0.28064499999999998</v>
      </c>
      <c r="Y142" s="16">
        <v>0.7</v>
      </c>
      <c r="Z142" s="16">
        <v>0.86336900000000005</v>
      </c>
      <c r="AA142" s="37"/>
    </row>
    <row r="143" spans="1:27">
      <c r="A143" s="16" t="s">
        <v>88</v>
      </c>
      <c r="B143" s="16" t="s">
        <v>722</v>
      </c>
      <c r="C143" s="16" t="s">
        <v>723</v>
      </c>
      <c r="D143" s="16" t="s">
        <v>724</v>
      </c>
      <c r="E143" s="16" t="s">
        <v>531</v>
      </c>
      <c r="F143" s="16" t="s">
        <v>532</v>
      </c>
      <c r="G143" s="16" t="s">
        <v>497</v>
      </c>
      <c r="H143" s="16" t="s">
        <v>498</v>
      </c>
      <c r="I143" s="16" t="s">
        <v>198</v>
      </c>
      <c r="J143" s="16" t="s">
        <v>199</v>
      </c>
      <c r="K143" s="16">
        <v>2.5153620000000001</v>
      </c>
      <c r="L143" s="36">
        <v>2408</v>
      </c>
      <c r="M143" s="16">
        <v>284</v>
      </c>
      <c r="N143" s="16">
        <v>917</v>
      </c>
      <c r="O143" s="16">
        <v>603</v>
      </c>
      <c r="P143" s="16">
        <v>447</v>
      </c>
      <c r="Q143" s="16">
        <v>157</v>
      </c>
      <c r="R143" s="16" t="s">
        <v>668</v>
      </c>
      <c r="S143" s="16">
        <v>67.6755</v>
      </c>
      <c r="T143" s="16">
        <v>37.213799999999999</v>
      </c>
      <c r="U143" s="16">
        <v>1.0241572969999999</v>
      </c>
      <c r="V143" s="16">
        <v>2</v>
      </c>
      <c r="W143" s="16">
        <v>0.90572299999999994</v>
      </c>
      <c r="X143" s="16">
        <v>0.1003</v>
      </c>
      <c r="Y143" s="16">
        <v>0.7</v>
      </c>
      <c r="Z143" s="16">
        <v>0.8</v>
      </c>
      <c r="AA143" s="37"/>
    </row>
    <row r="144" spans="1:27">
      <c r="A144" s="16" t="s">
        <v>88</v>
      </c>
      <c r="B144" s="16" t="s">
        <v>725</v>
      </c>
      <c r="C144" s="16" t="s">
        <v>726</v>
      </c>
      <c r="D144" s="16" t="s">
        <v>727</v>
      </c>
      <c r="E144" s="16" t="s">
        <v>717</v>
      </c>
      <c r="F144" s="16" t="s">
        <v>718</v>
      </c>
      <c r="G144" s="16" t="s">
        <v>497</v>
      </c>
      <c r="H144" s="16" t="s">
        <v>498</v>
      </c>
      <c r="I144" s="16" t="s">
        <v>198</v>
      </c>
      <c r="J144" s="16" t="s">
        <v>199</v>
      </c>
      <c r="K144" s="16">
        <v>2.4675319999999998</v>
      </c>
      <c r="L144" s="36">
        <v>1647</v>
      </c>
      <c r="M144" s="16">
        <v>349</v>
      </c>
      <c r="N144" s="16">
        <v>316</v>
      </c>
      <c r="O144" s="16">
        <v>309</v>
      </c>
      <c r="P144" s="16">
        <v>343</v>
      </c>
      <c r="Q144" s="16">
        <v>330</v>
      </c>
      <c r="R144" s="16" t="s">
        <v>302</v>
      </c>
      <c r="S144" s="16">
        <v>40.3401</v>
      </c>
      <c r="T144" s="16">
        <v>2.5383100000000001</v>
      </c>
      <c r="U144" s="16">
        <v>1.2381905719999999</v>
      </c>
      <c r="V144" s="16">
        <v>1</v>
      </c>
      <c r="W144" s="16">
        <v>0.9</v>
      </c>
      <c r="X144" s="16">
        <v>1.7240000000000001E-3</v>
      </c>
      <c r="Y144" s="16">
        <v>0.7</v>
      </c>
      <c r="Z144" s="16">
        <v>0.86422399999999999</v>
      </c>
      <c r="AA144" s="37"/>
    </row>
    <row r="145" spans="1:27">
      <c r="A145" s="16" t="s">
        <v>88</v>
      </c>
      <c r="B145" s="16" t="s">
        <v>728</v>
      </c>
      <c r="C145" s="16" t="s">
        <v>729</v>
      </c>
      <c r="D145" s="16" t="s">
        <v>730</v>
      </c>
      <c r="E145" s="16" t="s">
        <v>717</v>
      </c>
      <c r="F145" s="16" t="s">
        <v>718</v>
      </c>
      <c r="G145" s="16" t="s">
        <v>497</v>
      </c>
      <c r="H145" s="16" t="s">
        <v>498</v>
      </c>
      <c r="I145" s="16" t="s">
        <v>198</v>
      </c>
      <c r="J145" s="16" t="s">
        <v>199</v>
      </c>
      <c r="K145" s="16">
        <v>2.568924</v>
      </c>
      <c r="L145" s="36">
        <v>2007</v>
      </c>
      <c r="M145" s="16">
        <v>514</v>
      </c>
      <c r="N145" s="16">
        <v>519</v>
      </c>
      <c r="O145" s="16">
        <v>461</v>
      </c>
      <c r="P145" s="16">
        <v>366</v>
      </c>
      <c r="Q145" s="16">
        <v>147</v>
      </c>
      <c r="R145" s="16">
        <v>4</v>
      </c>
      <c r="S145" s="16">
        <v>37.968899999999998</v>
      </c>
      <c r="T145" s="16">
        <v>3.0625900000000001</v>
      </c>
      <c r="U145" s="16">
        <v>1.0360029630000001</v>
      </c>
      <c r="V145" s="16">
        <v>2</v>
      </c>
      <c r="W145" s="16">
        <v>0.90756999999999999</v>
      </c>
      <c r="X145" s="16">
        <v>8.6055999999999994E-2</v>
      </c>
      <c r="Y145" s="16">
        <v>0.7</v>
      </c>
      <c r="Z145" s="16">
        <v>0.87894700000000003</v>
      </c>
      <c r="AA145" s="37"/>
    </row>
    <row r="146" spans="1:27">
      <c r="A146" s="16" t="s">
        <v>88</v>
      </c>
      <c r="B146" s="16" t="s">
        <v>731</v>
      </c>
      <c r="C146" s="16" t="s">
        <v>732</v>
      </c>
      <c r="D146" s="16" t="s">
        <v>733</v>
      </c>
      <c r="E146" s="16" t="s">
        <v>734</v>
      </c>
      <c r="F146" s="16" t="s">
        <v>735</v>
      </c>
      <c r="G146" s="16" t="s">
        <v>497</v>
      </c>
      <c r="H146" s="16" t="s">
        <v>498</v>
      </c>
      <c r="I146" s="16" t="s">
        <v>198</v>
      </c>
      <c r="J146" s="16" t="s">
        <v>199</v>
      </c>
      <c r="K146" s="16">
        <v>2.5788989999999998</v>
      </c>
      <c r="L146" s="36">
        <v>1917</v>
      </c>
      <c r="M146" s="16">
        <v>359</v>
      </c>
      <c r="N146" s="16">
        <v>581</v>
      </c>
      <c r="O146" s="16">
        <v>458</v>
      </c>
      <c r="P146" s="16">
        <v>350</v>
      </c>
      <c r="Q146" s="16">
        <v>169</v>
      </c>
      <c r="R146" s="16" t="s">
        <v>302</v>
      </c>
      <c r="S146" s="16">
        <v>49.6845</v>
      </c>
      <c r="T146" s="16">
        <v>32.508499999999998</v>
      </c>
      <c r="U146" s="16">
        <v>0.62412716700000004</v>
      </c>
      <c r="V146" s="16">
        <v>7</v>
      </c>
      <c r="W146" s="16">
        <v>0.917431</v>
      </c>
      <c r="X146" s="16">
        <v>0.16211200000000001</v>
      </c>
      <c r="Y146" s="16">
        <v>0.7</v>
      </c>
      <c r="Z146" s="16">
        <v>0.79721399999999998</v>
      </c>
      <c r="AA146" s="37"/>
    </row>
    <row r="147" spans="1:27">
      <c r="A147" s="16" t="s">
        <v>88</v>
      </c>
      <c r="B147" s="16" t="s">
        <v>736</v>
      </c>
      <c r="C147" s="16" t="s">
        <v>737</v>
      </c>
      <c r="D147" s="16" t="s">
        <v>738</v>
      </c>
      <c r="E147" s="16" t="s">
        <v>734</v>
      </c>
      <c r="F147" s="16" t="s">
        <v>735</v>
      </c>
      <c r="G147" s="16" t="s">
        <v>497</v>
      </c>
      <c r="H147" s="16" t="s">
        <v>498</v>
      </c>
      <c r="I147" s="16" t="s">
        <v>198</v>
      </c>
      <c r="J147" s="16" t="s">
        <v>199</v>
      </c>
      <c r="K147" s="16">
        <v>2.8710279999999999</v>
      </c>
      <c r="L147" s="36">
        <v>1644</v>
      </c>
      <c r="M147" s="16">
        <v>348</v>
      </c>
      <c r="N147" s="16">
        <v>370</v>
      </c>
      <c r="O147" s="16">
        <v>461</v>
      </c>
      <c r="P147" s="16">
        <v>331</v>
      </c>
      <c r="Q147" s="16">
        <v>134</v>
      </c>
      <c r="R147" s="16" t="s">
        <v>668</v>
      </c>
      <c r="S147" s="16">
        <v>69.031199999999998</v>
      </c>
      <c r="T147" s="16">
        <v>21.2819</v>
      </c>
      <c r="U147" s="16">
        <v>0.98489754399999996</v>
      </c>
      <c r="V147" s="16">
        <v>2</v>
      </c>
      <c r="W147" s="16">
        <v>0.91892499999999999</v>
      </c>
      <c r="X147" s="16">
        <v>0.39351900000000001</v>
      </c>
      <c r="Y147" s="16">
        <v>0.7</v>
      </c>
      <c r="Z147" s="16">
        <v>0.89697700000000002</v>
      </c>
      <c r="AA147" s="37"/>
    </row>
    <row r="148" spans="1:27">
      <c r="A148" s="16" t="s">
        <v>88</v>
      </c>
      <c r="B148" s="16" t="s">
        <v>739</v>
      </c>
      <c r="C148" s="16" t="s">
        <v>740</v>
      </c>
      <c r="D148" s="16" t="s">
        <v>741</v>
      </c>
      <c r="E148" s="16" t="s">
        <v>717</v>
      </c>
      <c r="F148" s="16" t="s">
        <v>718</v>
      </c>
      <c r="G148" s="16" t="s">
        <v>497</v>
      </c>
      <c r="H148" s="16" t="s">
        <v>498</v>
      </c>
      <c r="I148" s="16" t="s">
        <v>198</v>
      </c>
      <c r="J148" s="16" t="s">
        <v>199</v>
      </c>
      <c r="K148" s="16">
        <v>3.0159180000000001</v>
      </c>
      <c r="L148" s="36">
        <v>2096</v>
      </c>
      <c r="M148" s="16">
        <v>457</v>
      </c>
      <c r="N148" s="16">
        <v>495</v>
      </c>
      <c r="O148" s="16">
        <v>528</v>
      </c>
      <c r="P148" s="16">
        <v>433</v>
      </c>
      <c r="Q148" s="16">
        <v>183</v>
      </c>
      <c r="R148" s="16" t="s">
        <v>302</v>
      </c>
      <c r="S148" s="16">
        <v>46.613399999999999</v>
      </c>
      <c r="T148" s="16">
        <v>8.0489700000000006</v>
      </c>
      <c r="U148" s="16">
        <v>0.92304046799999995</v>
      </c>
      <c r="V148" s="16">
        <v>2</v>
      </c>
      <c r="W148" s="16">
        <v>0.92898000000000003</v>
      </c>
      <c r="X148" s="16">
        <v>0.38755200000000001</v>
      </c>
      <c r="Y148" s="16">
        <v>0.7</v>
      </c>
      <c r="Z148" s="16">
        <v>1</v>
      </c>
      <c r="AA148" s="37"/>
    </row>
    <row r="149" spans="1:27">
      <c r="A149" s="16" t="s">
        <v>88</v>
      </c>
      <c r="B149" s="16" t="s">
        <v>742</v>
      </c>
      <c r="C149" s="16" t="s">
        <v>743</v>
      </c>
      <c r="D149" s="16" t="s">
        <v>744</v>
      </c>
      <c r="E149" s="16" t="s">
        <v>745</v>
      </c>
      <c r="F149" s="16" t="s">
        <v>746</v>
      </c>
      <c r="G149" s="16" t="s">
        <v>497</v>
      </c>
      <c r="H149" s="16" t="s">
        <v>498</v>
      </c>
      <c r="I149" s="16" t="s">
        <v>198</v>
      </c>
      <c r="J149" s="16" t="s">
        <v>199</v>
      </c>
      <c r="K149" s="16">
        <v>2.9021089999999998</v>
      </c>
      <c r="L149" s="36">
        <v>2238</v>
      </c>
      <c r="M149" s="16">
        <v>201</v>
      </c>
      <c r="N149" s="16">
        <v>800</v>
      </c>
      <c r="O149" s="16">
        <v>717</v>
      </c>
      <c r="P149" s="16">
        <v>389</v>
      </c>
      <c r="Q149" s="16">
        <v>131</v>
      </c>
      <c r="R149" s="16" t="s">
        <v>302</v>
      </c>
      <c r="S149" s="16">
        <v>40.942999999999998</v>
      </c>
      <c r="T149" s="16">
        <v>17.037299999999998</v>
      </c>
      <c r="U149" s="16">
        <v>0.82167089100000001</v>
      </c>
      <c r="V149" s="16">
        <v>3</v>
      </c>
      <c r="W149" s="16">
        <v>0.93005300000000002</v>
      </c>
      <c r="X149" s="16">
        <v>0.289825</v>
      </c>
      <c r="Y149" s="16">
        <v>0.7</v>
      </c>
      <c r="Z149" s="16">
        <v>1</v>
      </c>
      <c r="AA149" s="37"/>
    </row>
    <row r="150" spans="1:27">
      <c r="A150" s="16" t="s">
        <v>88</v>
      </c>
      <c r="B150" s="16" t="s">
        <v>747</v>
      </c>
      <c r="C150" s="16" t="s">
        <v>748</v>
      </c>
      <c r="D150" s="16" t="s">
        <v>749</v>
      </c>
      <c r="E150" s="16" t="s">
        <v>653</v>
      </c>
      <c r="F150" s="16" t="s">
        <v>654</v>
      </c>
      <c r="G150" s="16" t="s">
        <v>655</v>
      </c>
      <c r="H150" s="16" t="s">
        <v>656</v>
      </c>
      <c r="I150" s="16" t="s">
        <v>198</v>
      </c>
      <c r="J150" s="16" t="s">
        <v>199</v>
      </c>
      <c r="K150" s="16">
        <v>2.7464629999999999</v>
      </c>
      <c r="L150" s="36">
        <v>3149</v>
      </c>
      <c r="M150" s="16">
        <v>647</v>
      </c>
      <c r="N150" s="16">
        <v>642</v>
      </c>
      <c r="O150" s="36">
        <v>1063</v>
      </c>
      <c r="P150" s="16">
        <v>542</v>
      </c>
      <c r="Q150" s="16">
        <v>255</v>
      </c>
      <c r="R150" s="16">
        <v>5</v>
      </c>
      <c r="S150" s="16">
        <v>30.164200000000001</v>
      </c>
      <c r="T150" s="16">
        <v>2.7490100000000002</v>
      </c>
      <c r="U150" s="16">
        <v>1.1593732859999999</v>
      </c>
      <c r="V150" s="16">
        <v>1</v>
      </c>
      <c r="W150" s="16">
        <v>0.91026399999999996</v>
      </c>
      <c r="X150" s="16">
        <v>0.20472199999999999</v>
      </c>
      <c r="Y150" s="16">
        <v>0.76838399999999996</v>
      </c>
      <c r="Z150" s="16">
        <v>0.86988799999999999</v>
      </c>
      <c r="AA150" s="37"/>
    </row>
    <row r="151" spans="1:27">
      <c r="A151" s="16"/>
      <c r="B151" s="16"/>
      <c r="C151" s="16"/>
      <c r="D151" s="16"/>
      <c r="E151" s="16"/>
      <c r="F151" s="16"/>
      <c r="G151" s="16"/>
      <c r="H151" s="16"/>
      <c r="I151" s="16"/>
      <c r="J151" s="16"/>
      <c r="K151" s="16">
        <f>MEDIAN(K125:K150)</f>
        <v>2.6264905000000001</v>
      </c>
      <c r="L151" s="36">
        <f>AVERAGE(L125:L150)</f>
        <v>2055.6538461538462</v>
      </c>
      <c r="M151" s="16">
        <f t="shared" ref="M151:Q151" si="11">SUM(M125:M150)</f>
        <v>9549</v>
      </c>
      <c r="N151" s="16">
        <f t="shared" si="11"/>
        <v>14128</v>
      </c>
      <c r="O151" s="16">
        <f t="shared" si="11"/>
        <v>15028</v>
      </c>
      <c r="P151" s="16">
        <f t="shared" si="11"/>
        <v>10276</v>
      </c>
      <c r="Q151" s="16">
        <f t="shared" si="11"/>
        <v>4466</v>
      </c>
      <c r="R151" s="16"/>
      <c r="S151" s="16">
        <f t="shared" ref="S151:U151" si="12">MIN(S125:S150)</f>
        <v>18.911000000000001</v>
      </c>
      <c r="T151" s="16">
        <f t="shared" si="12"/>
        <v>0</v>
      </c>
      <c r="U151" s="16">
        <f t="shared" si="12"/>
        <v>0.62412716700000004</v>
      </c>
      <c r="V151" s="16">
        <f>MEDIAN(V125:V150)</f>
        <v>2</v>
      </c>
      <c r="W151" s="16"/>
      <c r="X151" s="16"/>
      <c r="Y151" s="16"/>
      <c r="Z151" s="16"/>
      <c r="AA151" s="37"/>
    </row>
    <row r="152" spans="1:27">
      <c r="A152" s="16" t="s">
        <v>64</v>
      </c>
      <c r="B152" s="16" t="s">
        <v>750</v>
      </c>
      <c r="C152" s="16" t="s">
        <v>751</v>
      </c>
      <c r="D152" s="16" t="s">
        <v>752</v>
      </c>
      <c r="E152" s="16" t="s">
        <v>753</v>
      </c>
      <c r="F152" s="16" t="s">
        <v>754</v>
      </c>
      <c r="G152" s="16" t="s">
        <v>332</v>
      </c>
      <c r="H152" s="16" t="s">
        <v>333</v>
      </c>
      <c r="I152" s="16" t="s">
        <v>198</v>
      </c>
      <c r="J152" s="16" t="s">
        <v>199</v>
      </c>
      <c r="K152" s="16">
        <v>2.8168169999999999</v>
      </c>
      <c r="L152" s="36">
        <v>1889</v>
      </c>
      <c r="M152" s="16">
        <v>184</v>
      </c>
      <c r="N152" s="16">
        <v>883</v>
      </c>
      <c r="O152" s="16">
        <v>390</v>
      </c>
      <c r="P152" s="16">
        <v>267</v>
      </c>
      <c r="Q152" s="16">
        <v>165</v>
      </c>
      <c r="R152" s="16">
        <v>4</v>
      </c>
      <c r="S152" s="16">
        <v>33.005699999999997</v>
      </c>
      <c r="T152" s="16">
        <v>10.5259</v>
      </c>
      <c r="U152" s="16">
        <v>0.53663249999999996</v>
      </c>
      <c r="V152" s="16">
        <v>7</v>
      </c>
      <c r="W152" s="16">
        <v>0.97207200000000005</v>
      </c>
      <c r="X152" s="16">
        <v>0.18292700000000001</v>
      </c>
      <c r="Y152" s="16">
        <v>0.72738100000000006</v>
      </c>
      <c r="Z152" s="16">
        <v>0.93373499999999998</v>
      </c>
      <c r="AA152" s="37"/>
    </row>
    <row r="153" spans="1:27">
      <c r="A153" s="16" t="s">
        <v>64</v>
      </c>
      <c r="B153" s="16" t="s">
        <v>755</v>
      </c>
      <c r="C153" s="16" t="s">
        <v>756</v>
      </c>
      <c r="D153" s="16" t="s">
        <v>757</v>
      </c>
      <c r="E153" s="16" t="s">
        <v>753</v>
      </c>
      <c r="F153" s="16" t="s">
        <v>754</v>
      </c>
      <c r="G153" s="16" t="s">
        <v>332</v>
      </c>
      <c r="H153" s="16" t="s">
        <v>333</v>
      </c>
      <c r="I153" s="16" t="s">
        <v>198</v>
      </c>
      <c r="J153" s="16" t="s">
        <v>199</v>
      </c>
      <c r="K153" s="16">
        <v>3.1639219999999999</v>
      </c>
      <c r="L153" s="36">
        <v>2079</v>
      </c>
      <c r="M153" s="16">
        <v>308</v>
      </c>
      <c r="N153" s="16">
        <v>706</v>
      </c>
      <c r="O153" s="16">
        <v>531</v>
      </c>
      <c r="P153" s="16">
        <v>351</v>
      </c>
      <c r="Q153" s="16">
        <v>183</v>
      </c>
      <c r="R153" s="16" t="s">
        <v>302</v>
      </c>
      <c r="S153" s="16">
        <v>39.845300000000002</v>
      </c>
      <c r="T153" s="16">
        <v>29.853300000000001</v>
      </c>
      <c r="U153" s="16">
        <v>0.72200119299999999</v>
      </c>
      <c r="V153" s="16">
        <v>3</v>
      </c>
      <c r="W153" s="16">
        <v>0.99490199999999995</v>
      </c>
      <c r="X153" s="16">
        <v>0.39683800000000002</v>
      </c>
      <c r="Y153" s="16">
        <v>0.78404700000000005</v>
      </c>
      <c r="Z153" s="16">
        <v>0.98223899999999997</v>
      </c>
      <c r="AA153" s="37"/>
    </row>
    <row r="154" spans="1:27">
      <c r="A154" s="16" t="s">
        <v>64</v>
      </c>
      <c r="B154" s="16" t="s">
        <v>758</v>
      </c>
      <c r="C154" s="16" t="s">
        <v>759</v>
      </c>
      <c r="D154" s="16" t="s">
        <v>760</v>
      </c>
      <c r="E154" s="16" t="s">
        <v>753</v>
      </c>
      <c r="F154" s="16" t="s">
        <v>754</v>
      </c>
      <c r="G154" s="16" t="s">
        <v>332</v>
      </c>
      <c r="H154" s="16" t="s">
        <v>333</v>
      </c>
      <c r="I154" s="16" t="s">
        <v>198</v>
      </c>
      <c r="J154" s="16" t="s">
        <v>199</v>
      </c>
      <c r="K154" s="16">
        <v>2.8531979999999999</v>
      </c>
      <c r="L154" s="36">
        <v>2466</v>
      </c>
      <c r="M154" s="16">
        <v>351</v>
      </c>
      <c r="N154" s="16">
        <v>762</v>
      </c>
      <c r="O154" s="16">
        <v>654</v>
      </c>
      <c r="P154" s="16">
        <v>433</v>
      </c>
      <c r="Q154" s="16">
        <v>266</v>
      </c>
      <c r="R154" s="16">
        <v>3</v>
      </c>
      <c r="S154" s="16">
        <v>23.2057</v>
      </c>
      <c r="T154" s="16">
        <v>9.1452899999999993</v>
      </c>
      <c r="U154" s="16">
        <v>0.67124958800000001</v>
      </c>
      <c r="V154" s="16">
        <v>4</v>
      </c>
      <c r="W154" s="16">
        <v>0.94418599999999997</v>
      </c>
      <c r="X154" s="16">
        <v>0.25806499999999999</v>
      </c>
      <c r="Y154" s="16">
        <v>0.7</v>
      </c>
      <c r="Z154" s="16">
        <v>0.95672500000000005</v>
      </c>
      <c r="AA154" s="37"/>
    </row>
    <row r="155" spans="1:27">
      <c r="A155" s="16" t="s">
        <v>64</v>
      </c>
      <c r="B155" s="16" t="s">
        <v>761</v>
      </c>
      <c r="C155" s="16" t="s">
        <v>762</v>
      </c>
      <c r="D155" s="16" t="s">
        <v>763</v>
      </c>
      <c r="E155" s="16" t="s">
        <v>764</v>
      </c>
      <c r="F155" s="16" t="s">
        <v>765</v>
      </c>
      <c r="G155" s="16" t="s">
        <v>332</v>
      </c>
      <c r="H155" s="16" t="s">
        <v>333</v>
      </c>
      <c r="I155" s="16" t="s">
        <v>198</v>
      </c>
      <c r="J155" s="16" t="s">
        <v>199</v>
      </c>
      <c r="K155" s="16">
        <v>2.717403</v>
      </c>
      <c r="L155" s="36">
        <v>1898</v>
      </c>
      <c r="M155" s="16">
        <v>320</v>
      </c>
      <c r="N155" s="16">
        <v>440</v>
      </c>
      <c r="O155" s="16">
        <v>429</v>
      </c>
      <c r="P155" s="16">
        <v>502</v>
      </c>
      <c r="Q155" s="16">
        <v>207</v>
      </c>
      <c r="R155" s="16">
        <v>5</v>
      </c>
      <c r="S155" s="16">
        <v>28.332999999999998</v>
      </c>
      <c r="T155" s="16">
        <v>12.4024</v>
      </c>
      <c r="U155" s="16">
        <v>0.87865896899999996</v>
      </c>
      <c r="V155" s="16">
        <v>3</v>
      </c>
      <c r="W155" s="16">
        <v>0.92155799999999999</v>
      </c>
      <c r="X155" s="16">
        <v>0.21706700000000001</v>
      </c>
      <c r="Y155" s="16">
        <v>0.7</v>
      </c>
      <c r="Z155" s="16">
        <v>0.88605299999999998</v>
      </c>
      <c r="AA155" s="37"/>
    </row>
    <row r="156" spans="1:27">
      <c r="A156" s="16" t="s">
        <v>64</v>
      </c>
      <c r="B156" s="16" t="s">
        <v>766</v>
      </c>
      <c r="C156" s="16" t="s">
        <v>767</v>
      </c>
      <c r="D156" s="16" t="s">
        <v>768</v>
      </c>
      <c r="E156" s="16" t="s">
        <v>764</v>
      </c>
      <c r="F156" s="16" t="s">
        <v>765</v>
      </c>
      <c r="G156" s="16" t="s">
        <v>332</v>
      </c>
      <c r="H156" s="16" t="s">
        <v>333</v>
      </c>
      <c r="I156" s="16" t="s">
        <v>198</v>
      </c>
      <c r="J156" s="16" t="s">
        <v>199</v>
      </c>
      <c r="K156" s="16">
        <v>2.778397</v>
      </c>
      <c r="L156" s="36">
        <v>2051</v>
      </c>
      <c r="M156" s="16">
        <v>258</v>
      </c>
      <c r="N156" s="16">
        <v>500</v>
      </c>
      <c r="O156" s="36">
        <v>795</v>
      </c>
      <c r="P156" s="16">
        <v>343</v>
      </c>
      <c r="Q156" s="16">
        <v>155</v>
      </c>
      <c r="R156" s="16">
        <v>4</v>
      </c>
      <c r="S156" s="16">
        <v>21.814900000000002</v>
      </c>
      <c r="T156" s="16">
        <v>11.6479</v>
      </c>
      <c r="U156" s="16">
        <v>0.665488894</v>
      </c>
      <c r="V156" s="16">
        <v>6</v>
      </c>
      <c r="W156" s="16">
        <v>0.92613199999999996</v>
      </c>
      <c r="X156" s="16">
        <v>0.30555599999999999</v>
      </c>
      <c r="Y156" s="16">
        <v>0.7</v>
      </c>
      <c r="Z156" s="16">
        <v>0.831959</v>
      </c>
      <c r="AA156" s="37"/>
    </row>
    <row r="157" spans="1:27">
      <c r="A157" s="16" t="s">
        <v>64</v>
      </c>
      <c r="B157" s="16" t="s">
        <v>769</v>
      </c>
      <c r="C157" s="16" t="s">
        <v>770</v>
      </c>
      <c r="D157" s="16" t="s">
        <v>771</v>
      </c>
      <c r="E157" s="16" t="s">
        <v>745</v>
      </c>
      <c r="F157" s="16" t="s">
        <v>746</v>
      </c>
      <c r="G157" s="16" t="s">
        <v>497</v>
      </c>
      <c r="H157" s="16" t="s">
        <v>498</v>
      </c>
      <c r="I157" s="16" t="s">
        <v>198</v>
      </c>
      <c r="J157" s="16" t="s">
        <v>199</v>
      </c>
      <c r="K157" s="16">
        <v>2.8601640000000002</v>
      </c>
      <c r="L157" s="36">
        <v>2209</v>
      </c>
      <c r="M157" s="16">
        <v>242</v>
      </c>
      <c r="N157" s="16">
        <v>767</v>
      </c>
      <c r="O157" s="16">
        <v>634</v>
      </c>
      <c r="P157" s="16">
        <v>392</v>
      </c>
      <c r="Q157" s="16">
        <v>174</v>
      </c>
      <c r="R157" s="16" t="s">
        <v>302</v>
      </c>
      <c r="S157" s="16">
        <v>37.1325</v>
      </c>
      <c r="T157" s="16">
        <v>19.274799999999999</v>
      </c>
      <c r="U157" s="16">
        <v>0.64193217400000002</v>
      </c>
      <c r="V157" s="16">
        <v>5</v>
      </c>
      <c r="W157" s="16">
        <v>0.918686</v>
      </c>
      <c r="X157" s="16">
        <v>0.239673</v>
      </c>
      <c r="Y157" s="16">
        <v>0.7</v>
      </c>
      <c r="Z157" s="16">
        <v>0.99674799999999997</v>
      </c>
      <c r="AA157" s="37"/>
    </row>
    <row r="158" spans="1:27">
      <c r="A158" s="16" t="s">
        <v>64</v>
      </c>
      <c r="B158" s="16" t="s">
        <v>504</v>
      </c>
      <c r="C158" s="16" t="s">
        <v>505</v>
      </c>
      <c r="D158" s="16" t="s">
        <v>506</v>
      </c>
      <c r="E158" s="16" t="s">
        <v>495</v>
      </c>
      <c r="F158" s="16" t="s">
        <v>496</v>
      </c>
      <c r="G158" s="16" t="s">
        <v>497</v>
      </c>
      <c r="H158" s="16" t="s">
        <v>498</v>
      </c>
      <c r="I158" s="16" t="s">
        <v>198</v>
      </c>
      <c r="J158" s="16" t="s">
        <v>199</v>
      </c>
      <c r="K158" s="16">
        <v>2.971104</v>
      </c>
      <c r="L158" s="36">
        <v>1708</v>
      </c>
      <c r="M158" s="16">
        <v>194</v>
      </c>
      <c r="N158" s="16">
        <v>648</v>
      </c>
      <c r="O158" s="16">
        <v>376</v>
      </c>
      <c r="P158" s="16">
        <v>304</v>
      </c>
      <c r="Q158" s="16">
        <v>186</v>
      </c>
      <c r="R158" s="16" t="s">
        <v>302</v>
      </c>
      <c r="S158" s="16">
        <v>37.1477</v>
      </c>
      <c r="T158" s="16">
        <v>19.7164</v>
      </c>
      <c r="U158" s="16">
        <v>0.80847234199999995</v>
      </c>
      <c r="V158" s="16">
        <v>3</v>
      </c>
      <c r="W158" s="16">
        <v>0.93831200000000003</v>
      </c>
      <c r="X158" s="16">
        <v>0.38344400000000001</v>
      </c>
      <c r="Y158" s="16">
        <v>0.7</v>
      </c>
      <c r="Z158" s="16">
        <v>0.96864700000000004</v>
      </c>
      <c r="AA158" s="37"/>
    </row>
    <row r="159" spans="1:27">
      <c r="A159" s="16" t="s">
        <v>64</v>
      </c>
      <c r="B159" s="16" t="s">
        <v>772</v>
      </c>
      <c r="C159" s="16" t="s">
        <v>773</v>
      </c>
      <c r="D159" s="16" t="s">
        <v>774</v>
      </c>
      <c r="E159" s="16" t="s">
        <v>526</v>
      </c>
      <c r="F159" s="16" t="s">
        <v>527</v>
      </c>
      <c r="G159" s="16" t="s">
        <v>497</v>
      </c>
      <c r="H159" s="16" t="s">
        <v>498</v>
      </c>
      <c r="I159" s="16" t="s">
        <v>198</v>
      </c>
      <c r="J159" s="16" t="s">
        <v>199</v>
      </c>
      <c r="K159" s="16">
        <v>2.7353540000000001</v>
      </c>
      <c r="L159" s="36">
        <v>1957</v>
      </c>
      <c r="M159" s="16">
        <v>338</v>
      </c>
      <c r="N159" s="16">
        <v>600</v>
      </c>
      <c r="O159" s="16">
        <v>488</v>
      </c>
      <c r="P159" s="16">
        <v>337</v>
      </c>
      <c r="Q159" s="16">
        <v>194</v>
      </c>
      <c r="R159" s="16">
        <v>5</v>
      </c>
      <c r="S159" s="16">
        <v>28.960699999999999</v>
      </c>
      <c r="T159" s="16">
        <v>13.701700000000001</v>
      </c>
      <c r="U159" s="16">
        <v>0.90518988600000005</v>
      </c>
      <c r="V159" s="16">
        <v>3</v>
      </c>
      <c r="W159" s="16">
        <v>0.92727300000000001</v>
      </c>
      <c r="X159" s="16">
        <v>0.238071</v>
      </c>
      <c r="Y159" s="16">
        <v>0.7</v>
      </c>
      <c r="Z159" s="16">
        <v>0.90405100000000005</v>
      </c>
      <c r="AA159" s="37"/>
    </row>
    <row r="160" spans="1:27">
      <c r="A160" s="16" t="s">
        <v>64</v>
      </c>
      <c r="B160" s="16" t="s">
        <v>775</v>
      </c>
      <c r="C160" s="16" t="s">
        <v>776</v>
      </c>
      <c r="D160" s="16" t="s">
        <v>777</v>
      </c>
      <c r="E160" s="16" t="s">
        <v>778</v>
      </c>
      <c r="F160" s="16" t="s">
        <v>779</v>
      </c>
      <c r="G160" s="16" t="s">
        <v>497</v>
      </c>
      <c r="H160" s="16" t="s">
        <v>498</v>
      </c>
      <c r="I160" s="16" t="s">
        <v>198</v>
      </c>
      <c r="J160" s="16" t="s">
        <v>199</v>
      </c>
      <c r="K160" s="16">
        <v>2.7199520000000001</v>
      </c>
      <c r="L160" s="36">
        <v>2524</v>
      </c>
      <c r="M160" s="16">
        <v>438</v>
      </c>
      <c r="N160" s="16">
        <v>857</v>
      </c>
      <c r="O160" s="16">
        <v>563</v>
      </c>
      <c r="P160" s="16">
        <v>451</v>
      </c>
      <c r="Q160" s="16">
        <v>215</v>
      </c>
      <c r="R160" s="16">
        <v>4</v>
      </c>
      <c r="S160" s="16">
        <v>22.526900000000001</v>
      </c>
      <c r="T160" s="16">
        <v>7.9254300000000004</v>
      </c>
      <c r="U160" s="16">
        <v>0.98518672799999996</v>
      </c>
      <c r="V160" s="16">
        <v>3</v>
      </c>
      <c r="W160" s="16">
        <v>0.92067299999999996</v>
      </c>
      <c r="X160" s="16">
        <v>0.147596</v>
      </c>
      <c r="Y160" s="16">
        <v>0.7</v>
      </c>
      <c r="Z160" s="16">
        <v>0.965534</v>
      </c>
      <c r="AA160" s="37"/>
    </row>
    <row r="161" spans="1:27">
      <c r="A161" s="16" t="s">
        <v>64</v>
      </c>
      <c r="B161" s="16" t="s">
        <v>780</v>
      </c>
      <c r="C161" s="16" t="s">
        <v>781</v>
      </c>
      <c r="D161" s="16" t="s">
        <v>782</v>
      </c>
      <c r="E161" s="16" t="s">
        <v>745</v>
      </c>
      <c r="F161" s="16" t="s">
        <v>746</v>
      </c>
      <c r="G161" s="16" t="s">
        <v>497</v>
      </c>
      <c r="H161" s="16" t="s">
        <v>498</v>
      </c>
      <c r="I161" s="16" t="s">
        <v>198</v>
      </c>
      <c r="J161" s="16" t="s">
        <v>199</v>
      </c>
      <c r="K161" s="16">
        <v>2.9994100000000001</v>
      </c>
      <c r="L161" s="36">
        <v>2267</v>
      </c>
      <c r="M161" s="16">
        <v>357</v>
      </c>
      <c r="N161" s="16">
        <v>655</v>
      </c>
      <c r="O161" s="16">
        <v>555</v>
      </c>
      <c r="P161" s="16">
        <v>476</v>
      </c>
      <c r="Q161" s="16">
        <v>224</v>
      </c>
      <c r="R161" s="16" t="s">
        <v>302</v>
      </c>
      <c r="S161" s="16">
        <v>33.923200000000001</v>
      </c>
      <c r="T161" s="16">
        <v>15.1798</v>
      </c>
      <c r="U161" s="16">
        <v>0.823025279</v>
      </c>
      <c r="V161" s="16">
        <v>2</v>
      </c>
      <c r="W161" s="16">
        <v>0.92595899999999998</v>
      </c>
      <c r="X161" s="16">
        <v>0.37976900000000002</v>
      </c>
      <c r="Y161" s="16">
        <v>0.7</v>
      </c>
      <c r="Z161" s="16">
        <v>1</v>
      </c>
      <c r="AA161" s="37"/>
    </row>
    <row r="162" spans="1:27">
      <c r="A162" s="16" t="s">
        <v>64</v>
      </c>
      <c r="B162" s="16" t="s">
        <v>783</v>
      </c>
      <c r="C162" s="16" t="s">
        <v>784</v>
      </c>
      <c r="D162" s="16" t="s">
        <v>785</v>
      </c>
      <c r="E162" s="16" t="s">
        <v>526</v>
      </c>
      <c r="F162" s="16" t="s">
        <v>527</v>
      </c>
      <c r="G162" s="16" t="s">
        <v>497</v>
      </c>
      <c r="H162" s="16" t="s">
        <v>498</v>
      </c>
      <c r="I162" s="16" t="s">
        <v>198</v>
      </c>
      <c r="J162" s="16" t="s">
        <v>199</v>
      </c>
      <c r="K162" s="16">
        <v>2.7489729999999999</v>
      </c>
      <c r="L162" s="36">
        <v>1745</v>
      </c>
      <c r="M162" s="16">
        <v>316</v>
      </c>
      <c r="N162" s="16">
        <v>447</v>
      </c>
      <c r="O162" s="16">
        <v>413</v>
      </c>
      <c r="P162" s="16">
        <v>397</v>
      </c>
      <c r="Q162" s="16">
        <v>172</v>
      </c>
      <c r="R162" s="16">
        <v>4</v>
      </c>
      <c r="S162" s="16">
        <v>25.147500000000001</v>
      </c>
      <c r="T162" s="16">
        <v>8.6426099999999995</v>
      </c>
      <c r="U162" s="16">
        <v>1.128395381</v>
      </c>
      <c r="V162" s="16">
        <v>1</v>
      </c>
      <c r="W162" s="16">
        <v>0.91678099999999996</v>
      </c>
      <c r="X162" s="16">
        <v>0.245139</v>
      </c>
      <c r="Y162" s="16">
        <v>0.7</v>
      </c>
      <c r="Z162" s="16">
        <v>0.864236</v>
      </c>
      <c r="AA162" s="37"/>
    </row>
    <row r="163" spans="1:27">
      <c r="A163" s="16" t="s">
        <v>64</v>
      </c>
      <c r="B163" s="16" t="s">
        <v>523</v>
      </c>
      <c r="C163" s="16" t="s">
        <v>524</v>
      </c>
      <c r="D163" s="16" t="s">
        <v>525</v>
      </c>
      <c r="E163" s="16" t="s">
        <v>526</v>
      </c>
      <c r="F163" s="16" t="s">
        <v>527</v>
      </c>
      <c r="G163" s="16" t="s">
        <v>497</v>
      </c>
      <c r="H163" s="16" t="s">
        <v>498</v>
      </c>
      <c r="I163" s="16" t="s">
        <v>198</v>
      </c>
      <c r="J163" s="16" t="s">
        <v>199</v>
      </c>
      <c r="K163" s="16">
        <v>2.6519400000000002</v>
      </c>
      <c r="L163" s="36">
        <v>1663</v>
      </c>
      <c r="M163" s="16">
        <v>273</v>
      </c>
      <c r="N163" s="16">
        <v>483</v>
      </c>
      <c r="O163" s="16">
        <v>469</v>
      </c>
      <c r="P163" s="16">
        <v>304</v>
      </c>
      <c r="Q163" s="16">
        <v>134</v>
      </c>
      <c r="R163" s="16">
        <v>5</v>
      </c>
      <c r="S163" s="16">
        <v>34.321100000000001</v>
      </c>
      <c r="T163" s="16">
        <v>13.538600000000001</v>
      </c>
      <c r="U163" s="16">
        <v>1.0119068120000001</v>
      </c>
      <c r="V163" s="16">
        <v>2</v>
      </c>
      <c r="W163" s="16">
        <v>0.91731300000000005</v>
      </c>
      <c r="X163" s="16">
        <v>0.198187</v>
      </c>
      <c r="Y163" s="16">
        <v>0.7</v>
      </c>
      <c r="Z163" s="16">
        <v>0.81970100000000001</v>
      </c>
      <c r="AA163" s="37"/>
    </row>
    <row r="164" spans="1:27">
      <c r="A164" s="16" t="s">
        <v>64</v>
      </c>
      <c r="B164" s="16" t="s">
        <v>786</v>
      </c>
      <c r="C164" s="16" t="s">
        <v>787</v>
      </c>
      <c r="D164" s="16" t="s">
        <v>788</v>
      </c>
      <c r="E164" s="16" t="s">
        <v>526</v>
      </c>
      <c r="F164" s="16" t="s">
        <v>527</v>
      </c>
      <c r="G164" s="16" t="s">
        <v>497</v>
      </c>
      <c r="H164" s="16" t="s">
        <v>498</v>
      </c>
      <c r="I164" s="16" t="s">
        <v>198</v>
      </c>
      <c r="J164" s="16" t="s">
        <v>199</v>
      </c>
      <c r="K164" s="16">
        <v>2.5328650000000001</v>
      </c>
      <c r="L164" s="36">
        <v>1454</v>
      </c>
      <c r="M164" s="16">
        <v>239</v>
      </c>
      <c r="N164" s="16">
        <v>449</v>
      </c>
      <c r="O164" s="16">
        <v>389</v>
      </c>
      <c r="P164" s="16">
        <v>260</v>
      </c>
      <c r="Q164" s="16">
        <v>117</v>
      </c>
      <c r="R164" s="16">
        <v>4</v>
      </c>
      <c r="S164" s="16">
        <v>35.450600000000001</v>
      </c>
      <c r="T164" s="16">
        <v>2.0123099999999998</v>
      </c>
      <c r="U164" s="16">
        <v>1.0254137990000001</v>
      </c>
      <c r="V164" s="16">
        <v>3</v>
      </c>
      <c r="W164" s="16">
        <v>0.90449400000000002</v>
      </c>
      <c r="X164" s="16">
        <v>0.117978</v>
      </c>
      <c r="Y164" s="16">
        <v>0.7</v>
      </c>
      <c r="Z164" s="16">
        <v>0.79014099999999998</v>
      </c>
      <c r="AA164" s="37"/>
    </row>
    <row r="165" spans="1:27">
      <c r="A165" s="16"/>
      <c r="B165" s="16"/>
      <c r="C165" s="16"/>
      <c r="D165" s="16"/>
      <c r="E165" s="16"/>
      <c r="F165" s="16"/>
      <c r="G165" s="16"/>
      <c r="H165" s="16"/>
      <c r="I165" s="16"/>
      <c r="J165" s="16"/>
      <c r="K165" s="16">
        <f>MEDIAN(K152:K164)</f>
        <v>2.778397</v>
      </c>
      <c r="L165" s="36">
        <f>AVERAGE(L152:L164)</f>
        <v>1993.0769230769231</v>
      </c>
      <c r="M165" s="16">
        <f t="shared" ref="M165:Q165" si="13">SUM(M152:M164)</f>
        <v>3818</v>
      </c>
      <c r="N165" s="16">
        <f t="shared" si="13"/>
        <v>8197</v>
      </c>
      <c r="O165" s="16">
        <f t="shared" si="13"/>
        <v>6686</v>
      </c>
      <c r="P165" s="16">
        <f t="shared" si="13"/>
        <v>4817</v>
      </c>
      <c r="Q165" s="16">
        <f t="shared" si="13"/>
        <v>2392</v>
      </c>
      <c r="R165" s="16"/>
      <c r="S165" s="16">
        <f t="shared" ref="S165:U165" si="14">MIN(S152:S164)</f>
        <v>21.814900000000002</v>
      </c>
      <c r="T165" s="16">
        <f t="shared" si="14"/>
        <v>2.0123099999999998</v>
      </c>
      <c r="U165" s="16">
        <f t="shared" si="14"/>
        <v>0.53663249999999996</v>
      </c>
      <c r="V165" s="16">
        <f>MEDIAN(V152:V164)</f>
        <v>3</v>
      </c>
      <c r="W165" s="16"/>
      <c r="X165" s="16"/>
      <c r="Y165" s="16"/>
      <c r="Z165" s="16"/>
      <c r="AA165" s="37"/>
    </row>
    <row r="166" spans="1:27">
      <c r="A166" s="16" t="s">
        <v>41</v>
      </c>
      <c r="B166" s="16" t="s">
        <v>789</v>
      </c>
      <c r="C166" s="16" t="s">
        <v>790</v>
      </c>
      <c r="D166" s="16" t="s">
        <v>791</v>
      </c>
      <c r="E166" s="16" t="s">
        <v>792</v>
      </c>
      <c r="F166" s="16" t="s">
        <v>793</v>
      </c>
      <c r="G166" s="16" t="s">
        <v>497</v>
      </c>
      <c r="H166" s="16" t="s">
        <v>498</v>
      </c>
      <c r="I166" s="16" t="s">
        <v>198</v>
      </c>
      <c r="J166" s="16" t="s">
        <v>199</v>
      </c>
      <c r="K166" s="16">
        <v>2.6681940000000002</v>
      </c>
      <c r="L166" s="36">
        <v>2057</v>
      </c>
      <c r="M166" s="16">
        <v>390</v>
      </c>
      <c r="N166" s="16">
        <v>452</v>
      </c>
      <c r="O166" s="16">
        <v>517</v>
      </c>
      <c r="P166" s="16">
        <v>455</v>
      </c>
      <c r="Q166" s="16">
        <v>243</v>
      </c>
      <c r="R166" s="16" t="s">
        <v>302</v>
      </c>
      <c r="S166" s="16">
        <v>36.525199999999998</v>
      </c>
      <c r="T166" s="16">
        <v>14.1478</v>
      </c>
      <c r="U166" s="16">
        <v>0.65316505999999996</v>
      </c>
      <c r="V166" s="16">
        <v>6</v>
      </c>
      <c r="W166" s="16">
        <v>0.92102399999999995</v>
      </c>
      <c r="X166" s="16">
        <v>5.4447000000000002E-2</v>
      </c>
      <c r="Y166" s="16">
        <v>0.7</v>
      </c>
      <c r="Z166" s="16">
        <v>0.997305</v>
      </c>
      <c r="AA166" s="37"/>
    </row>
    <row r="167" spans="1:27">
      <c r="A167" s="16" t="s">
        <v>41</v>
      </c>
      <c r="B167" s="16" t="s">
        <v>794</v>
      </c>
      <c r="C167" s="16" t="s">
        <v>795</v>
      </c>
      <c r="D167" s="16" t="s">
        <v>796</v>
      </c>
      <c r="E167" s="16" t="s">
        <v>792</v>
      </c>
      <c r="F167" s="16" t="s">
        <v>793</v>
      </c>
      <c r="G167" s="16" t="s">
        <v>497</v>
      </c>
      <c r="H167" s="16" t="s">
        <v>498</v>
      </c>
      <c r="I167" s="16" t="s">
        <v>198</v>
      </c>
      <c r="J167" s="16" t="s">
        <v>199</v>
      </c>
      <c r="K167" s="16">
        <v>2.73122</v>
      </c>
      <c r="L167" s="36">
        <v>2533</v>
      </c>
      <c r="M167" s="16">
        <v>467</v>
      </c>
      <c r="N167" s="16">
        <v>547</v>
      </c>
      <c r="O167" s="16">
        <v>811</v>
      </c>
      <c r="P167" s="16">
        <v>518</v>
      </c>
      <c r="Q167" s="16">
        <v>190</v>
      </c>
      <c r="R167" s="16" t="s">
        <v>302</v>
      </c>
      <c r="S167" s="16">
        <v>49.8125</v>
      </c>
      <c r="T167" s="16">
        <v>26.59</v>
      </c>
      <c r="U167" s="16">
        <v>0.63102987499999996</v>
      </c>
      <c r="V167" s="16">
        <v>6</v>
      </c>
      <c r="W167" s="16">
        <v>0.91822499999999996</v>
      </c>
      <c r="X167" s="16">
        <v>0.14154800000000001</v>
      </c>
      <c r="Y167" s="16">
        <v>0.7</v>
      </c>
      <c r="Z167" s="16">
        <v>0.960032</v>
      </c>
      <c r="AA167" s="37"/>
    </row>
    <row r="168" spans="1:27">
      <c r="A168" s="16" t="s">
        <v>41</v>
      </c>
      <c r="B168" s="16" t="s">
        <v>780</v>
      </c>
      <c r="C168" s="16" t="s">
        <v>781</v>
      </c>
      <c r="D168" s="16" t="s">
        <v>782</v>
      </c>
      <c r="E168" s="16" t="s">
        <v>745</v>
      </c>
      <c r="F168" s="16" t="s">
        <v>746</v>
      </c>
      <c r="G168" s="16" t="s">
        <v>497</v>
      </c>
      <c r="H168" s="16" t="s">
        <v>498</v>
      </c>
      <c r="I168" s="16" t="s">
        <v>198</v>
      </c>
      <c r="J168" s="16" t="s">
        <v>199</v>
      </c>
      <c r="K168" s="16">
        <v>2.9994100000000001</v>
      </c>
      <c r="L168" s="36">
        <v>2267</v>
      </c>
      <c r="M168" s="16">
        <v>357</v>
      </c>
      <c r="N168" s="16">
        <v>655</v>
      </c>
      <c r="O168" s="16">
        <v>555</v>
      </c>
      <c r="P168" s="16">
        <v>476</v>
      </c>
      <c r="Q168" s="16">
        <v>224</v>
      </c>
      <c r="R168" s="16" t="s">
        <v>302</v>
      </c>
      <c r="S168" s="16">
        <v>33.923200000000001</v>
      </c>
      <c r="T168" s="16">
        <v>15.1798</v>
      </c>
      <c r="U168" s="16">
        <v>0.823025279</v>
      </c>
      <c r="V168" s="16">
        <v>2</v>
      </c>
      <c r="W168" s="16">
        <v>0.92595899999999998</v>
      </c>
      <c r="X168" s="16">
        <v>0.37976900000000002</v>
      </c>
      <c r="Y168" s="16">
        <v>0.7</v>
      </c>
      <c r="Z168" s="16">
        <v>1</v>
      </c>
      <c r="AA168" s="37"/>
    </row>
    <row r="169" spans="1:27">
      <c r="A169" s="16" t="s">
        <v>41</v>
      </c>
      <c r="B169" s="16" t="s">
        <v>797</v>
      </c>
      <c r="C169" s="16" t="s">
        <v>798</v>
      </c>
      <c r="D169" s="16" t="s">
        <v>799</v>
      </c>
      <c r="E169" s="16" t="s">
        <v>800</v>
      </c>
      <c r="F169" s="16" t="s">
        <v>801</v>
      </c>
      <c r="G169" s="16" t="s">
        <v>497</v>
      </c>
      <c r="H169" s="16" t="s">
        <v>498</v>
      </c>
      <c r="I169" s="16" t="s">
        <v>198</v>
      </c>
      <c r="J169" s="16" t="s">
        <v>199</v>
      </c>
      <c r="K169" s="16">
        <v>2.740856</v>
      </c>
      <c r="L169" s="36">
        <v>1604</v>
      </c>
      <c r="M169" s="16">
        <v>311</v>
      </c>
      <c r="N169" s="16">
        <v>326</v>
      </c>
      <c r="O169" s="16">
        <v>364</v>
      </c>
      <c r="P169" s="16">
        <v>392</v>
      </c>
      <c r="Q169" s="16">
        <v>211</v>
      </c>
      <c r="R169" s="16" t="s">
        <v>302</v>
      </c>
      <c r="S169" s="16">
        <v>41.270899999999997</v>
      </c>
      <c r="T169" s="16">
        <v>23.646599999999999</v>
      </c>
      <c r="U169" s="16">
        <v>1.059433308</v>
      </c>
      <c r="V169" s="16">
        <v>2</v>
      </c>
      <c r="W169" s="16">
        <v>0.96459099999999998</v>
      </c>
      <c r="X169" s="16">
        <v>0.163359</v>
      </c>
      <c r="Y169" s="16">
        <v>0.7</v>
      </c>
      <c r="Z169" s="16">
        <v>0.93201599999999996</v>
      </c>
      <c r="AA169" s="37"/>
    </row>
    <row r="170" spans="1:27">
      <c r="A170" s="16" t="s">
        <v>41</v>
      </c>
      <c r="B170" s="16" t="s">
        <v>802</v>
      </c>
      <c r="C170" s="16" t="s">
        <v>803</v>
      </c>
      <c r="D170" s="16" t="s">
        <v>804</v>
      </c>
      <c r="E170" s="16" t="s">
        <v>800</v>
      </c>
      <c r="F170" s="16" t="s">
        <v>801</v>
      </c>
      <c r="G170" s="16" t="s">
        <v>497</v>
      </c>
      <c r="H170" s="16" t="s">
        <v>498</v>
      </c>
      <c r="I170" s="16" t="s">
        <v>198</v>
      </c>
      <c r="J170" s="16" t="s">
        <v>199</v>
      </c>
      <c r="K170" s="16">
        <v>2.9341979999999999</v>
      </c>
      <c r="L170" s="36">
        <v>2162</v>
      </c>
      <c r="M170" s="16">
        <v>348</v>
      </c>
      <c r="N170" s="16">
        <v>454</v>
      </c>
      <c r="O170" s="16">
        <v>719</v>
      </c>
      <c r="P170" s="16">
        <v>411</v>
      </c>
      <c r="Q170" s="16">
        <v>230</v>
      </c>
      <c r="R170" s="16" t="s">
        <v>302</v>
      </c>
      <c r="S170" s="16">
        <v>44.353299999999997</v>
      </c>
      <c r="T170" s="16">
        <v>35.471899999999998</v>
      </c>
      <c r="U170" s="16">
        <v>0.52760964099999996</v>
      </c>
      <c r="V170" s="16">
        <v>7</v>
      </c>
      <c r="W170" s="16">
        <v>0.98467000000000005</v>
      </c>
      <c r="X170" s="16">
        <v>0.340723</v>
      </c>
      <c r="Y170" s="16">
        <v>0.7</v>
      </c>
      <c r="Z170" s="16">
        <v>0.91431899999999999</v>
      </c>
      <c r="AA170" s="37"/>
    </row>
    <row r="171" spans="1:27">
      <c r="A171" s="16" t="s">
        <v>41</v>
      </c>
      <c r="B171" s="16" t="s">
        <v>805</v>
      </c>
      <c r="C171" s="16" t="s">
        <v>806</v>
      </c>
      <c r="D171" s="16" t="s">
        <v>807</v>
      </c>
      <c r="E171" s="16" t="s">
        <v>808</v>
      </c>
      <c r="F171" s="16" t="s">
        <v>809</v>
      </c>
      <c r="G171" s="16" t="s">
        <v>497</v>
      </c>
      <c r="H171" s="16" t="s">
        <v>498</v>
      </c>
      <c r="I171" s="16" t="s">
        <v>198</v>
      </c>
      <c r="J171" s="16" t="s">
        <v>199</v>
      </c>
      <c r="K171" s="16">
        <v>2.6658379999999999</v>
      </c>
      <c r="L171" s="36">
        <v>2190</v>
      </c>
      <c r="M171" s="16">
        <v>336</v>
      </c>
      <c r="N171" s="16">
        <v>536</v>
      </c>
      <c r="O171" s="16">
        <v>716</v>
      </c>
      <c r="P171" s="16">
        <v>407</v>
      </c>
      <c r="Q171" s="16">
        <v>195</v>
      </c>
      <c r="R171" s="16" t="s">
        <v>302</v>
      </c>
      <c r="S171" s="16">
        <v>34.0428</v>
      </c>
      <c r="T171" s="16">
        <v>5.8839199999999998</v>
      </c>
      <c r="U171" s="16">
        <v>0.69811288999999999</v>
      </c>
      <c r="V171" s="16">
        <v>6</v>
      </c>
      <c r="W171" s="16">
        <v>0.99720500000000001</v>
      </c>
      <c r="X171" s="16">
        <v>5.4375E-2</v>
      </c>
      <c r="Y171" s="16">
        <v>0.7</v>
      </c>
      <c r="Z171" s="16">
        <v>0.91401900000000003</v>
      </c>
      <c r="AA171" s="37"/>
    </row>
    <row r="172" spans="1:27">
      <c r="A172" s="16" t="s">
        <v>41</v>
      </c>
      <c r="B172" s="16" t="s">
        <v>810</v>
      </c>
      <c r="C172" s="16" t="s">
        <v>811</v>
      </c>
      <c r="D172" s="16" t="s">
        <v>812</v>
      </c>
      <c r="E172" s="16" t="s">
        <v>813</v>
      </c>
      <c r="F172" s="16" t="s">
        <v>814</v>
      </c>
      <c r="G172" s="16" t="s">
        <v>497</v>
      </c>
      <c r="H172" s="16" t="s">
        <v>498</v>
      </c>
      <c r="I172" s="16" t="s">
        <v>198</v>
      </c>
      <c r="J172" s="16" t="s">
        <v>199</v>
      </c>
      <c r="K172" s="16">
        <v>2.9063080000000001</v>
      </c>
      <c r="L172" s="36">
        <v>2039</v>
      </c>
      <c r="M172" s="16">
        <v>211</v>
      </c>
      <c r="N172" s="16">
        <v>576</v>
      </c>
      <c r="O172" s="16">
        <v>606</v>
      </c>
      <c r="P172" s="16">
        <v>409</v>
      </c>
      <c r="Q172" s="16">
        <v>237</v>
      </c>
      <c r="R172" s="16" t="s">
        <v>302</v>
      </c>
      <c r="S172" s="16">
        <v>41.887099999999997</v>
      </c>
      <c r="T172" s="16">
        <v>20.028400000000001</v>
      </c>
      <c r="U172" s="16">
        <v>0.58520330600000003</v>
      </c>
      <c r="V172" s="16">
        <v>4</v>
      </c>
      <c r="W172" s="16">
        <v>1</v>
      </c>
      <c r="X172" s="16">
        <v>0.21326000000000001</v>
      </c>
      <c r="Y172" s="16">
        <v>0.7</v>
      </c>
      <c r="Z172" s="16">
        <v>0.97314800000000001</v>
      </c>
      <c r="AA172" s="37"/>
    </row>
    <row r="173" spans="1:27">
      <c r="A173" s="16" t="s">
        <v>41</v>
      </c>
      <c r="B173" s="16" t="s">
        <v>815</v>
      </c>
      <c r="C173" s="16" t="s">
        <v>816</v>
      </c>
      <c r="D173" s="16" t="s">
        <v>817</v>
      </c>
      <c r="E173" s="16" t="s">
        <v>792</v>
      </c>
      <c r="F173" s="16" t="s">
        <v>793</v>
      </c>
      <c r="G173" s="16" t="s">
        <v>497</v>
      </c>
      <c r="H173" s="16" t="s">
        <v>498</v>
      </c>
      <c r="I173" s="16" t="s">
        <v>198</v>
      </c>
      <c r="J173" s="16" t="s">
        <v>199</v>
      </c>
      <c r="K173" s="16">
        <v>2.8568630000000002</v>
      </c>
      <c r="L173" s="36">
        <v>2173</v>
      </c>
      <c r="M173" s="16">
        <v>276</v>
      </c>
      <c r="N173" s="16">
        <v>568</v>
      </c>
      <c r="O173" s="16">
        <v>746</v>
      </c>
      <c r="P173" s="16">
        <v>402</v>
      </c>
      <c r="Q173" s="16">
        <v>181</v>
      </c>
      <c r="R173" s="16" t="s">
        <v>302</v>
      </c>
      <c r="S173" s="16">
        <v>48.653799999999997</v>
      </c>
      <c r="T173" s="16">
        <v>18.210999999999999</v>
      </c>
      <c r="U173" s="16">
        <v>0.74395794699999995</v>
      </c>
      <c r="V173" s="16">
        <v>4</v>
      </c>
      <c r="W173" s="16">
        <v>0.93156899999999998</v>
      </c>
      <c r="X173" s="16">
        <v>0.21906600000000001</v>
      </c>
      <c r="Y173" s="16">
        <v>0.7</v>
      </c>
      <c r="Z173" s="16">
        <v>1</v>
      </c>
      <c r="AA173" s="37"/>
    </row>
    <row r="174" spans="1:27">
      <c r="A174" s="16" t="s">
        <v>41</v>
      </c>
      <c r="B174" s="16" t="s">
        <v>818</v>
      </c>
      <c r="C174" s="16" t="s">
        <v>819</v>
      </c>
      <c r="D174" s="16" t="s">
        <v>820</v>
      </c>
      <c r="E174" s="16" t="s">
        <v>745</v>
      </c>
      <c r="F174" s="16" t="s">
        <v>746</v>
      </c>
      <c r="G174" s="16" t="s">
        <v>497</v>
      </c>
      <c r="H174" s="16" t="s">
        <v>498</v>
      </c>
      <c r="I174" s="16" t="s">
        <v>198</v>
      </c>
      <c r="J174" s="16" t="s">
        <v>199</v>
      </c>
      <c r="K174" s="16">
        <v>2.685238</v>
      </c>
      <c r="L174" s="36">
        <v>1153</v>
      </c>
      <c r="M174" s="16">
        <v>205</v>
      </c>
      <c r="N174" s="16">
        <v>379</v>
      </c>
      <c r="O174" s="16">
        <v>289</v>
      </c>
      <c r="P174" s="16">
        <v>223</v>
      </c>
      <c r="Q174" s="16">
        <v>57</v>
      </c>
      <c r="R174" s="16" t="s">
        <v>302</v>
      </c>
      <c r="S174" s="16">
        <v>37.088700000000003</v>
      </c>
      <c r="T174" s="16">
        <v>29.6005</v>
      </c>
      <c r="U174" s="16">
        <v>0.974936209</v>
      </c>
      <c r="V174" s="16">
        <v>2</v>
      </c>
      <c r="W174" s="16">
        <v>0.92142900000000005</v>
      </c>
      <c r="X174" s="16">
        <v>7.0141999999999996E-2</v>
      </c>
      <c r="Y174" s="16">
        <v>0.7</v>
      </c>
      <c r="Z174" s="16">
        <v>0.99613499999999999</v>
      </c>
      <c r="AA174" s="37"/>
    </row>
    <row r="175" spans="1:27">
      <c r="A175" s="16" t="s">
        <v>41</v>
      </c>
      <c r="B175" s="16" t="s">
        <v>821</v>
      </c>
      <c r="C175" s="16" t="s">
        <v>822</v>
      </c>
      <c r="D175" s="16" t="s">
        <v>823</v>
      </c>
      <c r="E175" s="16" t="s">
        <v>745</v>
      </c>
      <c r="F175" s="16" t="s">
        <v>746</v>
      </c>
      <c r="G175" s="16" t="s">
        <v>497</v>
      </c>
      <c r="H175" s="16" t="s">
        <v>498</v>
      </c>
      <c r="I175" s="16" t="s">
        <v>198</v>
      </c>
      <c r="J175" s="16" t="s">
        <v>199</v>
      </c>
      <c r="K175" s="16">
        <v>2.704142</v>
      </c>
      <c r="L175" s="36">
        <v>2499</v>
      </c>
      <c r="M175" s="16">
        <v>247</v>
      </c>
      <c r="N175" s="36">
        <v>1396</v>
      </c>
      <c r="O175" s="16">
        <v>511</v>
      </c>
      <c r="P175" s="16">
        <v>241</v>
      </c>
      <c r="Q175" s="16">
        <v>104</v>
      </c>
      <c r="R175" s="16" t="s">
        <v>302</v>
      </c>
      <c r="S175" s="16">
        <v>44.124299999999998</v>
      </c>
      <c r="T175" s="16">
        <v>27.293600000000001</v>
      </c>
      <c r="U175" s="16">
        <v>0.92875050800000003</v>
      </c>
      <c r="V175" s="16">
        <v>3</v>
      </c>
      <c r="W175" s="16">
        <v>0.91124300000000003</v>
      </c>
      <c r="X175" s="16">
        <v>0.11820899999999999</v>
      </c>
      <c r="Y175" s="16">
        <v>0.7</v>
      </c>
      <c r="Z175" s="16">
        <v>0.98123199999999999</v>
      </c>
      <c r="AA175" s="37"/>
    </row>
    <row r="176" spans="1:27">
      <c r="A176" s="16" t="s">
        <v>41</v>
      </c>
      <c r="B176" s="16" t="s">
        <v>742</v>
      </c>
      <c r="C176" s="16" t="s">
        <v>743</v>
      </c>
      <c r="D176" s="16" t="s">
        <v>744</v>
      </c>
      <c r="E176" s="16" t="s">
        <v>745</v>
      </c>
      <c r="F176" s="16" t="s">
        <v>746</v>
      </c>
      <c r="G176" s="16" t="s">
        <v>497</v>
      </c>
      <c r="H176" s="16" t="s">
        <v>498</v>
      </c>
      <c r="I176" s="16" t="s">
        <v>198</v>
      </c>
      <c r="J176" s="16" t="s">
        <v>199</v>
      </c>
      <c r="K176" s="16">
        <v>2.9021089999999998</v>
      </c>
      <c r="L176" s="36">
        <v>2238</v>
      </c>
      <c r="M176" s="16">
        <v>201</v>
      </c>
      <c r="N176" s="16">
        <v>800</v>
      </c>
      <c r="O176" s="16">
        <v>717</v>
      </c>
      <c r="P176" s="16">
        <v>389</v>
      </c>
      <c r="Q176" s="16">
        <v>131</v>
      </c>
      <c r="R176" s="16" t="s">
        <v>302</v>
      </c>
      <c r="S176" s="16">
        <v>40.942999999999998</v>
      </c>
      <c r="T176" s="16">
        <v>17.037299999999998</v>
      </c>
      <c r="U176" s="16">
        <v>0.82167089100000001</v>
      </c>
      <c r="V176" s="16">
        <v>3</v>
      </c>
      <c r="W176" s="16">
        <v>0.93005300000000002</v>
      </c>
      <c r="X176" s="16">
        <v>0.289825</v>
      </c>
      <c r="Y176" s="16">
        <v>0.7</v>
      </c>
      <c r="Z176" s="16">
        <v>1</v>
      </c>
      <c r="AA176" s="37"/>
    </row>
    <row r="177" spans="1:27">
      <c r="A177" s="16"/>
      <c r="B177" s="16"/>
      <c r="C177" s="16"/>
      <c r="D177" s="16"/>
      <c r="E177" s="16"/>
      <c r="F177" s="16"/>
      <c r="G177" s="16"/>
      <c r="H177" s="16"/>
      <c r="I177" s="16"/>
      <c r="J177" s="16"/>
      <c r="K177" s="16">
        <f>MEDIAN(K166:K176)</f>
        <v>2.740856</v>
      </c>
      <c r="L177" s="36">
        <f>AVERAGE(L166:L176)</f>
        <v>2083.181818181818</v>
      </c>
      <c r="M177" s="16">
        <f t="shared" ref="M177:Q177" si="15">SUM(M166:M176)</f>
        <v>3349</v>
      </c>
      <c r="N177" s="16">
        <f t="shared" si="15"/>
        <v>6689</v>
      </c>
      <c r="O177" s="16">
        <f t="shared" si="15"/>
        <v>6551</v>
      </c>
      <c r="P177" s="16">
        <f t="shared" si="15"/>
        <v>4323</v>
      </c>
      <c r="Q177" s="16">
        <f t="shared" si="15"/>
        <v>2003</v>
      </c>
      <c r="R177" s="16">
        <f t="shared" ref="R177:U177" si="16">MIN(R166:R176)</f>
        <v>0</v>
      </c>
      <c r="S177" s="16">
        <f t="shared" si="16"/>
        <v>33.923200000000001</v>
      </c>
      <c r="T177" s="16">
        <f t="shared" si="16"/>
        <v>5.8839199999999998</v>
      </c>
      <c r="U177" s="16">
        <f t="shared" si="16"/>
        <v>0.52760964099999996</v>
      </c>
      <c r="V177" s="16">
        <f>MEDIAN(V166:V176)</f>
        <v>4</v>
      </c>
      <c r="W177" s="16"/>
      <c r="X177" s="16"/>
      <c r="Y177" s="16"/>
      <c r="Z177" s="16"/>
      <c r="AA177" s="37"/>
    </row>
    <row r="178" spans="1:27">
      <c r="A178" s="16" t="s">
        <v>33</v>
      </c>
      <c r="B178" s="16" t="s">
        <v>824</v>
      </c>
      <c r="C178" s="16" t="s">
        <v>825</v>
      </c>
      <c r="D178" s="16" t="s">
        <v>826</v>
      </c>
      <c r="E178" s="16" t="s">
        <v>827</v>
      </c>
      <c r="F178" s="16" t="s">
        <v>828</v>
      </c>
      <c r="G178" s="16" t="s">
        <v>332</v>
      </c>
      <c r="H178" s="16" t="s">
        <v>333</v>
      </c>
      <c r="I178" s="16" t="s">
        <v>198</v>
      </c>
      <c r="J178" s="16" t="s">
        <v>199</v>
      </c>
      <c r="K178" s="16">
        <v>3.1735039999999999</v>
      </c>
      <c r="L178" s="36">
        <v>1747</v>
      </c>
      <c r="M178" s="16">
        <v>194</v>
      </c>
      <c r="N178" s="16">
        <v>534</v>
      </c>
      <c r="O178" s="16">
        <v>466</v>
      </c>
      <c r="P178" s="16">
        <v>369</v>
      </c>
      <c r="Q178" s="16">
        <v>184</v>
      </c>
      <c r="R178" s="16" t="s">
        <v>668</v>
      </c>
      <c r="S178" s="16">
        <v>50.612200000000001</v>
      </c>
      <c r="T178" s="16">
        <v>33.657899999999998</v>
      </c>
      <c r="U178" s="16">
        <v>0.642511524</v>
      </c>
      <c r="V178" s="16">
        <v>2</v>
      </c>
      <c r="W178" s="16">
        <v>1</v>
      </c>
      <c r="X178" s="16">
        <v>0.40397699999999997</v>
      </c>
      <c r="Y178" s="16">
        <v>0.771671</v>
      </c>
      <c r="Z178" s="16">
        <v>1</v>
      </c>
      <c r="AA178" s="37"/>
    </row>
    <row r="179" spans="1:27">
      <c r="A179" s="16" t="s">
        <v>33</v>
      </c>
      <c r="B179" s="16" t="s">
        <v>829</v>
      </c>
      <c r="C179" s="16" t="s">
        <v>830</v>
      </c>
      <c r="D179" s="16" t="s">
        <v>831</v>
      </c>
      <c r="E179" s="16" t="s">
        <v>832</v>
      </c>
      <c r="F179" s="16" t="s">
        <v>833</v>
      </c>
      <c r="G179" s="16" t="s">
        <v>332</v>
      </c>
      <c r="H179" s="16" t="s">
        <v>333</v>
      </c>
      <c r="I179" s="16" t="s">
        <v>198</v>
      </c>
      <c r="J179" s="16" t="s">
        <v>199</v>
      </c>
      <c r="K179" s="16">
        <v>3.0244810000000002</v>
      </c>
      <c r="L179" s="36">
        <v>1917</v>
      </c>
      <c r="M179" s="16">
        <v>188</v>
      </c>
      <c r="N179" s="16">
        <v>667</v>
      </c>
      <c r="O179" s="16">
        <v>559</v>
      </c>
      <c r="P179" s="16">
        <v>387</v>
      </c>
      <c r="Q179" s="16">
        <v>116</v>
      </c>
      <c r="R179" s="16" t="s">
        <v>668</v>
      </c>
      <c r="S179" s="16">
        <v>56.330100000000002</v>
      </c>
      <c r="T179" s="16">
        <v>32.737900000000003</v>
      </c>
      <c r="U179" s="16">
        <v>0.75323575200000004</v>
      </c>
      <c r="V179" s="16">
        <v>2</v>
      </c>
      <c r="W179" s="16">
        <v>1</v>
      </c>
      <c r="X179" s="16">
        <v>0.319415</v>
      </c>
      <c r="Y179" s="16">
        <v>0.7</v>
      </c>
      <c r="Z179" s="16">
        <v>1</v>
      </c>
      <c r="AA179" s="37"/>
    </row>
    <row r="180" spans="1:27">
      <c r="A180" s="16" t="s">
        <v>33</v>
      </c>
      <c r="B180" s="16" t="s">
        <v>834</v>
      </c>
      <c r="C180" s="16" t="s">
        <v>835</v>
      </c>
      <c r="D180" s="16" t="s">
        <v>836</v>
      </c>
      <c r="E180" s="16" t="s">
        <v>837</v>
      </c>
      <c r="F180" s="16" t="s">
        <v>838</v>
      </c>
      <c r="G180" s="16" t="s">
        <v>332</v>
      </c>
      <c r="H180" s="16" t="s">
        <v>333</v>
      </c>
      <c r="I180" s="16" t="s">
        <v>198</v>
      </c>
      <c r="J180" s="16" t="s">
        <v>199</v>
      </c>
      <c r="K180" s="16">
        <v>2.7672219999999998</v>
      </c>
      <c r="L180" s="36">
        <v>2205</v>
      </c>
      <c r="M180" s="16">
        <v>376</v>
      </c>
      <c r="N180" s="16">
        <v>933</v>
      </c>
      <c r="O180" s="16">
        <v>346</v>
      </c>
      <c r="P180" s="16">
        <v>350</v>
      </c>
      <c r="Q180" s="16">
        <v>200</v>
      </c>
      <c r="R180" s="16" t="s">
        <v>302</v>
      </c>
      <c r="S180" s="16">
        <v>39.720999999999997</v>
      </c>
      <c r="T180" s="16">
        <v>21.381799999999998</v>
      </c>
      <c r="U180" s="16">
        <v>0.73676798700000001</v>
      </c>
      <c r="V180" s="16">
        <v>4</v>
      </c>
      <c r="W180" s="16">
        <v>1</v>
      </c>
      <c r="X180" s="16">
        <v>0.134463</v>
      </c>
      <c r="Y180" s="16">
        <v>0.7</v>
      </c>
      <c r="Z180" s="16">
        <v>0.94021699999999997</v>
      </c>
      <c r="AA180" s="37"/>
    </row>
    <row r="181" spans="1:27">
      <c r="A181" s="16" t="s">
        <v>33</v>
      </c>
      <c r="B181" s="16" t="s">
        <v>839</v>
      </c>
      <c r="C181" s="16" t="s">
        <v>840</v>
      </c>
      <c r="D181" s="16" t="s">
        <v>841</v>
      </c>
      <c r="E181" s="16" t="s">
        <v>837</v>
      </c>
      <c r="F181" s="16" t="s">
        <v>838</v>
      </c>
      <c r="G181" s="16" t="s">
        <v>332</v>
      </c>
      <c r="H181" s="16" t="s">
        <v>333</v>
      </c>
      <c r="I181" s="16" t="s">
        <v>198</v>
      </c>
      <c r="J181" s="16" t="s">
        <v>199</v>
      </c>
      <c r="K181" s="16">
        <v>2.99641</v>
      </c>
      <c r="L181" s="36">
        <v>1786</v>
      </c>
      <c r="M181" s="16">
        <v>294</v>
      </c>
      <c r="N181" s="16">
        <v>882</v>
      </c>
      <c r="O181" s="16">
        <v>301</v>
      </c>
      <c r="P181" s="16">
        <v>179</v>
      </c>
      <c r="Q181" s="16">
        <v>130</v>
      </c>
      <c r="R181" s="16" t="s">
        <v>668</v>
      </c>
      <c r="S181" s="16">
        <v>100.747</v>
      </c>
      <c r="T181" s="16">
        <v>19.673999999999999</v>
      </c>
      <c r="U181" s="16">
        <v>0.62084541100000001</v>
      </c>
      <c r="V181" s="16">
        <v>3</v>
      </c>
      <c r="W181" s="16">
        <v>1</v>
      </c>
      <c r="X181" s="16">
        <v>0.28589900000000001</v>
      </c>
      <c r="Y181" s="16">
        <v>0.7</v>
      </c>
      <c r="Z181" s="16">
        <v>1</v>
      </c>
      <c r="AA181" s="37"/>
    </row>
    <row r="182" spans="1:27">
      <c r="A182" s="16" t="s">
        <v>33</v>
      </c>
      <c r="B182" s="16" t="s">
        <v>842</v>
      </c>
      <c r="C182" s="16" t="s">
        <v>843</v>
      </c>
      <c r="D182" s="16" t="s">
        <v>844</v>
      </c>
      <c r="E182" s="16" t="s">
        <v>832</v>
      </c>
      <c r="F182" s="16" t="s">
        <v>833</v>
      </c>
      <c r="G182" s="16" t="s">
        <v>332</v>
      </c>
      <c r="H182" s="16" t="s">
        <v>333</v>
      </c>
      <c r="I182" s="16" t="s">
        <v>198</v>
      </c>
      <c r="J182" s="16" t="s">
        <v>199</v>
      </c>
      <c r="K182" s="16">
        <v>2.6418119999999998</v>
      </c>
      <c r="L182" s="36">
        <v>2269</v>
      </c>
      <c r="M182" s="16">
        <v>379</v>
      </c>
      <c r="N182" s="16">
        <v>672</v>
      </c>
      <c r="O182" s="16">
        <v>519</v>
      </c>
      <c r="P182" s="16">
        <v>444</v>
      </c>
      <c r="Q182" s="16">
        <v>255</v>
      </c>
      <c r="R182" s="16">
        <v>5</v>
      </c>
      <c r="S182" s="16">
        <v>85.358000000000004</v>
      </c>
      <c r="T182" s="16">
        <v>0</v>
      </c>
      <c r="U182" s="16">
        <v>0.588208705</v>
      </c>
      <c r="V182" s="16">
        <v>6</v>
      </c>
      <c r="W182" s="16">
        <v>0.99007199999999995</v>
      </c>
      <c r="X182" s="16">
        <v>0.184249</v>
      </c>
      <c r="Y182" s="16">
        <v>0.7</v>
      </c>
      <c r="Z182" s="16">
        <v>0.75901200000000002</v>
      </c>
      <c r="AA182" s="37"/>
    </row>
    <row r="183" spans="1:27">
      <c r="A183" s="16" t="s">
        <v>33</v>
      </c>
      <c r="B183" s="16" t="s">
        <v>845</v>
      </c>
      <c r="C183" s="16" t="s">
        <v>846</v>
      </c>
      <c r="D183" s="16" t="s">
        <v>847</v>
      </c>
      <c r="E183" s="16" t="s">
        <v>832</v>
      </c>
      <c r="F183" s="16" t="s">
        <v>833</v>
      </c>
      <c r="G183" s="16" t="s">
        <v>332</v>
      </c>
      <c r="H183" s="16" t="s">
        <v>333</v>
      </c>
      <c r="I183" s="16" t="s">
        <v>198</v>
      </c>
      <c r="J183" s="16" t="s">
        <v>199</v>
      </c>
      <c r="K183" s="16">
        <v>3.1273680000000001</v>
      </c>
      <c r="L183" s="36">
        <v>2308</v>
      </c>
      <c r="M183" s="16">
        <v>261</v>
      </c>
      <c r="N183" s="16">
        <v>697</v>
      </c>
      <c r="O183" s="16">
        <v>761</v>
      </c>
      <c r="P183" s="16">
        <v>410</v>
      </c>
      <c r="Q183" s="16">
        <v>179</v>
      </c>
      <c r="R183" s="16" t="s">
        <v>302</v>
      </c>
      <c r="S183" s="16">
        <v>49.837699999999998</v>
      </c>
      <c r="T183" s="16">
        <v>25.107500000000002</v>
      </c>
      <c r="U183" s="16">
        <v>0.60744553400000001</v>
      </c>
      <c r="V183" s="16">
        <v>4</v>
      </c>
      <c r="W183" s="16">
        <v>1</v>
      </c>
      <c r="X183" s="16">
        <v>0.412134</v>
      </c>
      <c r="Y183" s="16">
        <v>0.71484499999999995</v>
      </c>
      <c r="Z183" s="16">
        <v>1</v>
      </c>
      <c r="AA183" s="37"/>
    </row>
    <row r="184" spans="1:27">
      <c r="A184" s="16" t="s">
        <v>33</v>
      </c>
      <c r="B184" s="16" t="s">
        <v>848</v>
      </c>
      <c r="C184" s="16" t="s">
        <v>849</v>
      </c>
      <c r="D184" s="16" t="s">
        <v>850</v>
      </c>
      <c r="E184" s="16" t="s">
        <v>837</v>
      </c>
      <c r="F184" s="16" t="s">
        <v>838</v>
      </c>
      <c r="G184" s="16" t="s">
        <v>332</v>
      </c>
      <c r="H184" s="16" t="s">
        <v>333</v>
      </c>
      <c r="I184" s="16" t="s">
        <v>198</v>
      </c>
      <c r="J184" s="16" t="s">
        <v>199</v>
      </c>
      <c r="K184" s="16">
        <v>3.0674009999999998</v>
      </c>
      <c r="L184" s="36">
        <v>1309</v>
      </c>
      <c r="M184" s="16">
        <v>295</v>
      </c>
      <c r="N184" s="16">
        <v>362</v>
      </c>
      <c r="O184" s="16">
        <v>238</v>
      </c>
      <c r="P184" s="16">
        <v>290</v>
      </c>
      <c r="Q184" s="16">
        <v>124</v>
      </c>
      <c r="R184" s="16" t="s">
        <v>302</v>
      </c>
      <c r="S184" s="16">
        <v>42.825899999999997</v>
      </c>
      <c r="T184" s="16">
        <v>16.334800000000001</v>
      </c>
      <c r="U184" s="16">
        <v>0.80022077199999997</v>
      </c>
      <c r="V184" s="16">
        <v>2</v>
      </c>
      <c r="W184" s="16">
        <v>1</v>
      </c>
      <c r="X184" s="16">
        <v>0.349356</v>
      </c>
      <c r="Y184" s="16">
        <v>0.7</v>
      </c>
      <c r="Z184" s="16">
        <v>0.995946</v>
      </c>
      <c r="AA184" s="37"/>
    </row>
    <row r="185" spans="1:27">
      <c r="A185" s="16" t="s">
        <v>33</v>
      </c>
      <c r="B185" s="16" t="s">
        <v>851</v>
      </c>
      <c r="C185" s="16" t="s">
        <v>852</v>
      </c>
      <c r="D185" s="16" t="s">
        <v>853</v>
      </c>
      <c r="E185" s="16" t="s">
        <v>837</v>
      </c>
      <c r="F185" s="16" t="s">
        <v>838</v>
      </c>
      <c r="G185" s="16" t="s">
        <v>332</v>
      </c>
      <c r="H185" s="16" t="s">
        <v>333</v>
      </c>
      <c r="I185" s="16" t="s">
        <v>198</v>
      </c>
      <c r="J185" s="16" t="s">
        <v>199</v>
      </c>
      <c r="K185" s="16">
        <v>2.7147239999999999</v>
      </c>
      <c r="L185" s="36">
        <v>1835</v>
      </c>
      <c r="M185" s="16">
        <v>401</v>
      </c>
      <c r="N185" s="16">
        <v>565</v>
      </c>
      <c r="O185" s="16">
        <v>375</v>
      </c>
      <c r="P185" s="16">
        <v>311</v>
      </c>
      <c r="Q185" s="16">
        <v>183</v>
      </c>
      <c r="R185" s="16" t="s">
        <v>302</v>
      </c>
      <c r="S185" s="16">
        <v>46.432200000000002</v>
      </c>
      <c r="T185" s="16">
        <v>25.3431</v>
      </c>
      <c r="U185" s="16">
        <v>0.87842401299999995</v>
      </c>
      <c r="V185" s="16">
        <v>2</v>
      </c>
      <c r="W185" s="16">
        <v>1</v>
      </c>
      <c r="X185" s="16">
        <v>2.4204E-2</v>
      </c>
      <c r="Y185" s="16">
        <v>0.7</v>
      </c>
      <c r="Z185" s="16">
        <v>0.99117599999999995</v>
      </c>
      <c r="AA185" s="37"/>
    </row>
    <row r="186" spans="1:27">
      <c r="A186" s="16" t="s">
        <v>33</v>
      </c>
      <c r="B186" s="16" t="s">
        <v>854</v>
      </c>
      <c r="C186" s="16" t="s">
        <v>855</v>
      </c>
      <c r="D186" s="16" t="s">
        <v>856</v>
      </c>
      <c r="E186" s="16" t="s">
        <v>857</v>
      </c>
      <c r="F186" s="16" t="s">
        <v>858</v>
      </c>
      <c r="G186" s="16" t="s">
        <v>332</v>
      </c>
      <c r="H186" s="16" t="s">
        <v>333</v>
      </c>
      <c r="I186" s="16" t="s">
        <v>198</v>
      </c>
      <c r="J186" s="16" t="s">
        <v>199</v>
      </c>
      <c r="K186" s="16">
        <v>2.823105</v>
      </c>
      <c r="L186" s="36">
        <v>1904</v>
      </c>
      <c r="M186" s="16">
        <v>360</v>
      </c>
      <c r="N186" s="16">
        <v>553</v>
      </c>
      <c r="O186" s="16">
        <v>394</v>
      </c>
      <c r="P186" s="16">
        <v>399</v>
      </c>
      <c r="Q186" s="16">
        <v>198</v>
      </c>
      <c r="R186" s="16" t="s">
        <v>668</v>
      </c>
      <c r="S186" s="16">
        <v>56.875100000000003</v>
      </c>
      <c r="T186" s="16">
        <v>25.6462</v>
      </c>
      <c r="U186" s="16">
        <v>0.89622688500000003</v>
      </c>
      <c r="V186" s="16">
        <v>2</v>
      </c>
      <c r="W186" s="16">
        <v>1</v>
      </c>
      <c r="X186" s="16">
        <v>0.13780899999999999</v>
      </c>
      <c r="Y186" s="16">
        <v>0.70760900000000004</v>
      </c>
      <c r="Z186" s="16">
        <v>1</v>
      </c>
      <c r="AA186" s="37"/>
    </row>
    <row r="187" spans="1:27">
      <c r="A187" s="16" t="s">
        <v>33</v>
      </c>
      <c r="B187" s="16" t="s">
        <v>859</v>
      </c>
      <c r="C187" s="16" t="s">
        <v>860</v>
      </c>
      <c r="D187" s="16" t="s">
        <v>861</v>
      </c>
      <c r="E187" s="16" t="s">
        <v>857</v>
      </c>
      <c r="F187" s="16" t="s">
        <v>858</v>
      </c>
      <c r="G187" s="16" t="s">
        <v>332</v>
      </c>
      <c r="H187" s="16" t="s">
        <v>333</v>
      </c>
      <c r="I187" s="16" t="s">
        <v>198</v>
      </c>
      <c r="J187" s="16" t="s">
        <v>199</v>
      </c>
      <c r="K187" s="16">
        <v>2.9754290000000001</v>
      </c>
      <c r="L187" s="36">
        <v>1922</v>
      </c>
      <c r="M187" s="16">
        <v>547</v>
      </c>
      <c r="N187" s="16">
        <v>439</v>
      </c>
      <c r="O187" s="16">
        <v>384</v>
      </c>
      <c r="P187" s="16">
        <v>356</v>
      </c>
      <c r="Q187" s="16">
        <v>196</v>
      </c>
      <c r="R187" s="16" t="s">
        <v>302</v>
      </c>
      <c r="S187" s="16">
        <v>54.665100000000002</v>
      </c>
      <c r="T187" s="16">
        <v>21.958200000000001</v>
      </c>
      <c r="U187" s="16">
        <v>0.79213426899999995</v>
      </c>
      <c r="V187" s="16">
        <v>2</v>
      </c>
      <c r="W187" s="16">
        <v>1</v>
      </c>
      <c r="X187" s="16">
        <v>0.29608899999999999</v>
      </c>
      <c r="Y187" s="16">
        <v>0.7</v>
      </c>
      <c r="Z187" s="16">
        <v>1</v>
      </c>
      <c r="AA187" s="37"/>
    </row>
    <row r="188" spans="1:27">
      <c r="A188" s="16" t="s">
        <v>33</v>
      </c>
      <c r="B188" s="16" t="s">
        <v>862</v>
      </c>
      <c r="C188" s="16" t="s">
        <v>863</v>
      </c>
      <c r="D188" s="16" t="s">
        <v>864</v>
      </c>
      <c r="E188" s="16" t="s">
        <v>827</v>
      </c>
      <c r="F188" s="16" t="s">
        <v>828</v>
      </c>
      <c r="G188" s="16" t="s">
        <v>332</v>
      </c>
      <c r="H188" s="16" t="s">
        <v>333</v>
      </c>
      <c r="I188" s="16" t="s">
        <v>198</v>
      </c>
      <c r="J188" s="16" t="s">
        <v>199</v>
      </c>
      <c r="K188" s="16">
        <v>3.117343</v>
      </c>
      <c r="L188" s="36">
        <v>3614</v>
      </c>
      <c r="M188" s="16">
        <v>513</v>
      </c>
      <c r="N188" s="36">
        <v>1519</v>
      </c>
      <c r="O188" s="16">
        <v>953</v>
      </c>
      <c r="P188" s="16">
        <v>504</v>
      </c>
      <c r="Q188" s="16">
        <v>125</v>
      </c>
      <c r="R188" s="16" t="s">
        <v>302</v>
      </c>
      <c r="S188" s="16">
        <v>56.979900000000001</v>
      </c>
      <c r="T188" s="16">
        <v>2.5082599999999999</v>
      </c>
      <c r="U188" s="16">
        <v>0.65343286300000003</v>
      </c>
      <c r="V188" s="16">
        <v>4</v>
      </c>
      <c r="W188" s="16">
        <v>1</v>
      </c>
      <c r="X188" s="16">
        <v>0.32461800000000002</v>
      </c>
      <c r="Y188" s="16">
        <v>0.79525800000000002</v>
      </c>
      <c r="Z188" s="16">
        <v>1</v>
      </c>
      <c r="AA188" s="37"/>
    </row>
    <row r="189" spans="1:27">
      <c r="A189" s="16" t="s">
        <v>33</v>
      </c>
      <c r="B189" s="16" t="s">
        <v>865</v>
      </c>
      <c r="C189" s="16" t="s">
        <v>866</v>
      </c>
      <c r="D189" s="16" t="s">
        <v>867</v>
      </c>
      <c r="E189" s="16" t="s">
        <v>827</v>
      </c>
      <c r="F189" s="16" t="s">
        <v>828</v>
      </c>
      <c r="G189" s="16" t="s">
        <v>332</v>
      </c>
      <c r="H189" s="16" t="s">
        <v>333</v>
      </c>
      <c r="I189" s="16" t="s">
        <v>198</v>
      </c>
      <c r="J189" s="16" t="s">
        <v>199</v>
      </c>
      <c r="K189" s="16">
        <v>3.0223629999999999</v>
      </c>
      <c r="L189" s="36">
        <v>1863</v>
      </c>
      <c r="M189" s="16">
        <v>333</v>
      </c>
      <c r="N189" s="16">
        <v>615</v>
      </c>
      <c r="O189" s="16">
        <v>330</v>
      </c>
      <c r="P189" s="16">
        <v>396</v>
      </c>
      <c r="Q189" s="16">
        <v>189</v>
      </c>
      <c r="R189" s="16" t="s">
        <v>668</v>
      </c>
      <c r="S189" s="16">
        <v>61.795000000000002</v>
      </c>
      <c r="T189" s="16">
        <v>31.278600000000001</v>
      </c>
      <c r="U189" s="16">
        <v>0.80698887500000005</v>
      </c>
      <c r="V189" s="16">
        <v>2</v>
      </c>
      <c r="W189" s="16">
        <v>1</v>
      </c>
      <c r="X189" s="16">
        <v>0.222689</v>
      </c>
      <c r="Y189" s="16">
        <v>0.79790799999999995</v>
      </c>
      <c r="Z189" s="16">
        <v>1</v>
      </c>
      <c r="AA189" s="37"/>
    </row>
    <row r="190" spans="1:27">
      <c r="A190" s="16"/>
      <c r="B190" s="16"/>
      <c r="C190" s="16"/>
      <c r="D190" s="16"/>
      <c r="E190" s="16"/>
      <c r="F190" s="16"/>
      <c r="G190" s="16"/>
      <c r="H190" s="16"/>
      <c r="I190" s="16"/>
      <c r="J190" s="16"/>
      <c r="K190" s="16">
        <f>MEDIAN(K178:K189)</f>
        <v>3.0093864999999997</v>
      </c>
      <c r="L190" s="36">
        <f>AVERAGE(L178:L189)</f>
        <v>2056.5833333333335</v>
      </c>
      <c r="M190" s="16">
        <f t="shared" ref="M190:Q190" si="17">SUM(M178:M189)</f>
        <v>4141</v>
      </c>
      <c r="N190" s="16">
        <f t="shared" si="17"/>
        <v>8438</v>
      </c>
      <c r="O190" s="16">
        <f t="shared" si="17"/>
        <v>5626</v>
      </c>
      <c r="P190" s="16">
        <f t="shared" si="17"/>
        <v>4395</v>
      </c>
      <c r="Q190" s="16">
        <f t="shared" si="17"/>
        <v>2079</v>
      </c>
      <c r="R190" s="16"/>
      <c r="S190" s="16">
        <f t="shared" ref="S190:U190" si="18">MIN(S178:S189)</f>
        <v>39.720999999999997</v>
      </c>
      <c r="T190" s="16">
        <f t="shared" si="18"/>
        <v>0</v>
      </c>
      <c r="U190" s="16">
        <f t="shared" si="18"/>
        <v>0.588208705</v>
      </c>
      <c r="V190" s="16">
        <f>MEDIAN(V178:V189)</f>
        <v>2</v>
      </c>
      <c r="W190" s="16"/>
      <c r="X190" s="16"/>
      <c r="Y190" s="16"/>
      <c r="Z190" s="16"/>
      <c r="AA190" s="37"/>
    </row>
    <row r="191" spans="1:27">
      <c r="A191" s="16" t="s">
        <v>43</v>
      </c>
      <c r="B191" s="16" t="s">
        <v>868</v>
      </c>
      <c r="C191" s="16" t="s">
        <v>869</v>
      </c>
      <c r="D191" s="16" t="s">
        <v>870</v>
      </c>
      <c r="E191" s="16" t="s">
        <v>871</v>
      </c>
      <c r="F191" s="16" t="s">
        <v>872</v>
      </c>
      <c r="G191" s="16" t="s">
        <v>873</v>
      </c>
      <c r="H191" s="16" t="s">
        <v>874</v>
      </c>
      <c r="I191" s="16" t="s">
        <v>198</v>
      </c>
      <c r="J191" s="16" t="s">
        <v>199</v>
      </c>
      <c r="K191" s="16">
        <v>2.944566</v>
      </c>
      <c r="L191" s="36">
        <v>1478</v>
      </c>
      <c r="M191" s="16">
        <v>135</v>
      </c>
      <c r="N191" s="16">
        <v>445</v>
      </c>
      <c r="O191" s="16">
        <v>294</v>
      </c>
      <c r="P191" s="16">
        <v>451</v>
      </c>
      <c r="Q191" s="16">
        <v>153</v>
      </c>
      <c r="R191" s="16" t="s">
        <v>668</v>
      </c>
      <c r="S191" s="16">
        <v>84.524900000000002</v>
      </c>
      <c r="T191" s="16">
        <v>30.764600000000002</v>
      </c>
      <c r="U191" s="16">
        <v>0.43234755499999999</v>
      </c>
      <c r="V191" s="16">
        <v>6</v>
      </c>
      <c r="W191" s="16">
        <v>1</v>
      </c>
      <c r="X191" s="16">
        <v>0.26466200000000001</v>
      </c>
      <c r="Y191" s="16">
        <v>0.67799100000000001</v>
      </c>
      <c r="Z191" s="16">
        <v>1</v>
      </c>
      <c r="AA191" s="37"/>
    </row>
    <row r="192" spans="1:27">
      <c r="A192" s="16" t="s">
        <v>43</v>
      </c>
      <c r="B192" s="16" t="s">
        <v>875</v>
      </c>
      <c r="C192" s="16" t="s">
        <v>876</v>
      </c>
      <c r="D192" s="16" t="s">
        <v>877</v>
      </c>
      <c r="E192" s="16" t="s">
        <v>878</v>
      </c>
      <c r="F192" s="16" t="s">
        <v>879</v>
      </c>
      <c r="G192" s="16" t="s">
        <v>332</v>
      </c>
      <c r="H192" s="16" t="s">
        <v>333</v>
      </c>
      <c r="I192" s="16" t="s">
        <v>198</v>
      </c>
      <c r="J192" s="16" t="s">
        <v>199</v>
      </c>
      <c r="K192" s="16">
        <v>2.848843</v>
      </c>
      <c r="L192" s="36">
        <v>2547</v>
      </c>
      <c r="M192" s="16">
        <v>274</v>
      </c>
      <c r="N192" s="16">
        <v>724</v>
      </c>
      <c r="O192" s="16">
        <v>770</v>
      </c>
      <c r="P192" s="16">
        <v>543</v>
      </c>
      <c r="Q192" s="16">
        <v>236</v>
      </c>
      <c r="R192" s="16" t="s">
        <v>668</v>
      </c>
      <c r="S192" s="16">
        <v>69.147599999999997</v>
      </c>
      <c r="T192" s="16">
        <v>47.419400000000003</v>
      </c>
      <c r="U192" s="16">
        <v>0.63295456500000002</v>
      </c>
      <c r="V192" s="16">
        <v>5</v>
      </c>
      <c r="W192" s="16">
        <v>1</v>
      </c>
      <c r="X192" s="16">
        <v>0.23059399999999999</v>
      </c>
      <c r="Y192" s="16">
        <v>0.6</v>
      </c>
      <c r="Z192" s="16">
        <v>1</v>
      </c>
      <c r="AA192" s="37"/>
    </row>
    <row r="193" spans="1:27">
      <c r="A193" s="16" t="s">
        <v>43</v>
      </c>
      <c r="B193" s="16" t="s">
        <v>880</v>
      </c>
      <c r="C193" s="16" t="s">
        <v>881</v>
      </c>
      <c r="D193" s="16" t="s">
        <v>882</v>
      </c>
      <c r="E193" s="16" t="s">
        <v>883</v>
      </c>
      <c r="F193" s="16" t="s">
        <v>884</v>
      </c>
      <c r="G193" s="16" t="s">
        <v>332</v>
      </c>
      <c r="H193" s="16" t="s">
        <v>333</v>
      </c>
      <c r="I193" s="16" t="s">
        <v>198</v>
      </c>
      <c r="J193" s="16" t="s">
        <v>199</v>
      </c>
      <c r="K193" s="16">
        <v>2.813806</v>
      </c>
      <c r="L193" s="36">
        <v>2003</v>
      </c>
      <c r="M193" s="16">
        <v>257</v>
      </c>
      <c r="N193" s="16">
        <v>799</v>
      </c>
      <c r="O193" s="16">
        <v>439</v>
      </c>
      <c r="P193" s="16">
        <v>321</v>
      </c>
      <c r="Q193" s="16">
        <v>187</v>
      </c>
      <c r="R193" s="16" t="s">
        <v>302</v>
      </c>
      <c r="S193" s="16">
        <v>50.424500000000002</v>
      </c>
      <c r="T193" s="16">
        <v>8.3911800000000003</v>
      </c>
      <c r="U193" s="16">
        <v>0.69393988600000001</v>
      </c>
      <c r="V193" s="16">
        <v>5</v>
      </c>
      <c r="W193" s="16">
        <v>1</v>
      </c>
      <c r="X193" s="16">
        <v>0.17851900000000001</v>
      </c>
      <c r="Y193" s="16">
        <v>0.63185199999999997</v>
      </c>
      <c r="Z193" s="16">
        <v>1</v>
      </c>
      <c r="AA193" s="37"/>
    </row>
    <row r="194" spans="1:27">
      <c r="A194" s="16" t="s">
        <v>43</v>
      </c>
      <c r="B194" s="16" t="s">
        <v>885</v>
      </c>
      <c r="C194" s="16" t="s">
        <v>886</v>
      </c>
      <c r="D194" s="16" t="s">
        <v>887</v>
      </c>
      <c r="E194" s="16" t="s">
        <v>883</v>
      </c>
      <c r="F194" s="16" t="s">
        <v>884</v>
      </c>
      <c r="G194" s="16" t="s">
        <v>332</v>
      </c>
      <c r="H194" s="16" t="s">
        <v>333</v>
      </c>
      <c r="I194" s="16" t="s">
        <v>198</v>
      </c>
      <c r="J194" s="16" t="s">
        <v>199</v>
      </c>
      <c r="K194" s="16">
        <v>3.0931030000000002</v>
      </c>
      <c r="L194" s="36">
        <v>2077</v>
      </c>
      <c r="M194" s="16">
        <v>468</v>
      </c>
      <c r="N194" s="16">
        <v>648</v>
      </c>
      <c r="O194" s="16">
        <v>525</v>
      </c>
      <c r="P194" s="16">
        <v>325</v>
      </c>
      <c r="Q194" s="16">
        <v>111</v>
      </c>
      <c r="R194" s="16" t="s">
        <v>668</v>
      </c>
      <c r="S194" s="16">
        <v>87.729699999999994</v>
      </c>
      <c r="T194" s="16">
        <v>66.464600000000004</v>
      </c>
      <c r="U194" s="16">
        <v>0.73295058599999996</v>
      </c>
      <c r="V194" s="16">
        <v>2</v>
      </c>
      <c r="W194" s="16">
        <v>1</v>
      </c>
      <c r="X194" s="16">
        <v>0.40842899999999999</v>
      </c>
      <c r="Y194" s="16">
        <v>0.7</v>
      </c>
      <c r="Z194" s="16">
        <v>1</v>
      </c>
      <c r="AA194" s="37"/>
    </row>
    <row r="195" spans="1:27">
      <c r="A195" s="16" t="s">
        <v>43</v>
      </c>
      <c r="B195" s="16" t="s">
        <v>888</v>
      </c>
      <c r="C195" s="16" t="s">
        <v>889</v>
      </c>
      <c r="D195" s="16" t="s">
        <v>890</v>
      </c>
      <c r="E195" s="16" t="s">
        <v>891</v>
      </c>
      <c r="F195" s="16" t="s">
        <v>892</v>
      </c>
      <c r="G195" s="16" t="s">
        <v>497</v>
      </c>
      <c r="H195" s="16" t="s">
        <v>498</v>
      </c>
      <c r="I195" s="16" t="s">
        <v>198</v>
      </c>
      <c r="J195" s="16" t="s">
        <v>199</v>
      </c>
      <c r="K195" s="16">
        <v>2.8131900000000001</v>
      </c>
      <c r="L195" s="36">
        <v>2660</v>
      </c>
      <c r="M195" s="16">
        <v>167</v>
      </c>
      <c r="N195" s="36">
        <v>1143</v>
      </c>
      <c r="O195" s="16">
        <v>711</v>
      </c>
      <c r="P195" s="16">
        <v>496</v>
      </c>
      <c r="Q195" s="16">
        <v>143</v>
      </c>
      <c r="R195" s="16" t="s">
        <v>668</v>
      </c>
      <c r="S195" s="16">
        <v>64.398600000000002</v>
      </c>
      <c r="T195" s="16">
        <v>32.351900000000001</v>
      </c>
      <c r="U195" s="16">
        <v>0.51890512</v>
      </c>
      <c r="V195" s="16">
        <v>6</v>
      </c>
      <c r="W195" s="16">
        <v>1</v>
      </c>
      <c r="X195" s="16">
        <v>0.219277</v>
      </c>
      <c r="Y195" s="16">
        <v>0.6</v>
      </c>
      <c r="Z195" s="16">
        <v>1</v>
      </c>
      <c r="AA195" s="37"/>
    </row>
    <row r="196" spans="1:27">
      <c r="A196" s="16" t="s">
        <v>43</v>
      </c>
      <c r="B196" s="16" t="s">
        <v>893</v>
      </c>
      <c r="C196" s="16" t="s">
        <v>894</v>
      </c>
      <c r="D196" s="16" t="s">
        <v>895</v>
      </c>
      <c r="E196" s="16" t="s">
        <v>891</v>
      </c>
      <c r="F196" s="16" t="s">
        <v>892</v>
      </c>
      <c r="G196" s="16" t="s">
        <v>497</v>
      </c>
      <c r="H196" s="16" t="s">
        <v>498</v>
      </c>
      <c r="I196" s="16" t="s">
        <v>198</v>
      </c>
      <c r="J196" s="16" t="s">
        <v>199</v>
      </c>
      <c r="K196" s="16">
        <v>2.8531439999999999</v>
      </c>
      <c r="L196" s="36">
        <v>1709</v>
      </c>
      <c r="M196" s="16">
        <v>250</v>
      </c>
      <c r="N196" s="16">
        <v>473</v>
      </c>
      <c r="O196" s="16">
        <v>471</v>
      </c>
      <c r="P196" s="16">
        <v>387</v>
      </c>
      <c r="Q196" s="16">
        <v>128</v>
      </c>
      <c r="R196" s="16" t="s">
        <v>302</v>
      </c>
      <c r="S196" s="16">
        <v>49.551400000000001</v>
      </c>
      <c r="T196" s="16">
        <v>22.885400000000001</v>
      </c>
      <c r="U196" s="16">
        <v>0.70603531399999997</v>
      </c>
      <c r="V196" s="16">
        <v>4</v>
      </c>
      <c r="W196" s="16">
        <v>1</v>
      </c>
      <c r="X196" s="16">
        <v>0.21463399999999999</v>
      </c>
      <c r="Y196" s="16">
        <v>0.63428600000000002</v>
      </c>
      <c r="Z196" s="16">
        <v>1</v>
      </c>
      <c r="AA196" s="37"/>
    </row>
    <row r="197" spans="1:27">
      <c r="A197" s="16" t="s">
        <v>43</v>
      </c>
      <c r="B197" s="16" t="s">
        <v>896</v>
      </c>
      <c r="C197" s="16" t="s">
        <v>897</v>
      </c>
      <c r="D197" s="16" t="s">
        <v>898</v>
      </c>
      <c r="E197" s="16" t="s">
        <v>899</v>
      </c>
      <c r="F197" s="16" t="s">
        <v>900</v>
      </c>
      <c r="G197" s="16" t="s">
        <v>497</v>
      </c>
      <c r="H197" s="16" t="s">
        <v>498</v>
      </c>
      <c r="I197" s="16" t="s">
        <v>198</v>
      </c>
      <c r="J197" s="16" t="s">
        <v>199</v>
      </c>
      <c r="K197" s="16">
        <v>3.043056</v>
      </c>
      <c r="L197" s="36">
        <v>1896</v>
      </c>
      <c r="M197" s="16">
        <v>194</v>
      </c>
      <c r="N197" s="36">
        <v>1030</v>
      </c>
      <c r="O197" s="16">
        <v>312</v>
      </c>
      <c r="P197" s="16">
        <v>284</v>
      </c>
      <c r="Q197" s="16">
        <v>76</v>
      </c>
      <c r="R197" s="16" t="s">
        <v>668</v>
      </c>
      <c r="S197" s="16">
        <v>74.6203</v>
      </c>
      <c r="T197" s="16">
        <v>36.997900000000001</v>
      </c>
      <c r="U197" s="16">
        <v>0.59144312499999996</v>
      </c>
      <c r="V197" s="16">
        <v>3</v>
      </c>
      <c r="W197" s="16">
        <v>1</v>
      </c>
      <c r="X197" s="16">
        <v>0.38531500000000002</v>
      </c>
      <c r="Y197" s="16">
        <v>0.7</v>
      </c>
      <c r="Z197" s="16">
        <v>1</v>
      </c>
      <c r="AA197" s="37"/>
    </row>
    <row r="198" spans="1:27">
      <c r="A198" s="16" t="s">
        <v>43</v>
      </c>
      <c r="B198" s="16" t="s">
        <v>901</v>
      </c>
      <c r="C198" s="16" t="s">
        <v>902</v>
      </c>
      <c r="D198" s="16" t="s">
        <v>903</v>
      </c>
      <c r="E198" s="16" t="s">
        <v>899</v>
      </c>
      <c r="F198" s="16" t="s">
        <v>900</v>
      </c>
      <c r="G198" s="16" t="s">
        <v>497</v>
      </c>
      <c r="H198" s="16" t="s">
        <v>498</v>
      </c>
      <c r="I198" s="16" t="s">
        <v>198</v>
      </c>
      <c r="J198" s="16" t="s">
        <v>199</v>
      </c>
      <c r="K198" s="16">
        <v>2.7592210000000001</v>
      </c>
      <c r="L198" s="36">
        <v>1728</v>
      </c>
      <c r="M198" s="16">
        <v>209</v>
      </c>
      <c r="N198" s="16">
        <v>392</v>
      </c>
      <c r="O198" s="16">
        <v>445</v>
      </c>
      <c r="P198" s="16">
        <v>460</v>
      </c>
      <c r="Q198" s="16">
        <v>222</v>
      </c>
      <c r="R198" s="16" t="s">
        <v>302</v>
      </c>
      <c r="S198" s="16">
        <v>67.521500000000003</v>
      </c>
      <c r="T198" s="16">
        <v>18.441500000000001</v>
      </c>
      <c r="U198" s="16">
        <v>0.85904001900000004</v>
      </c>
      <c r="V198" s="16">
        <v>3</v>
      </c>
      <c r="W198" s="16">
        <v>1</v>
      </c>
      <c r="X198" s="16">
        <v>6.4810000000000006E-2</v>
      </c>
      <c r="Y198" s="16">
        <v>0.7</v>
      </c>
      <c r="Z198" s="16">
        <v>1</v>
      </c>
      <c r="AA198" s="37"/>
    </row>
    <row r="199" spans="1:27">
      <c r="A199" s="16"/>
      <c r="B199" s="16"/>
      <c r="C199" s="16"/>
      <c r="D199" s="16"/>
      <c r="E199" s="16"/>
      <c r="F199" s="16"/>
      <c r="G199" s="16"/>
      <c r="H199" s="16"/>
      <c r="I199" s="16"/>
      <c r="J199" s="16"/>
      <c r="K199" s="16">
        <f>MEDIAN(K191:K198)</f>
        <v>2.8509935</v>
      </c>
      <c r="L199" s="36">
        <f>AVERAGE(L191:L198)</f>
        <v>2012.25</v>
      </c>
      <c r="M199" s="16">
        <f t="shared" ref="M199:Q199" si="19">SUM(M191:M198)</f>
        <v>1954</v>
      </c>
      <c r="N199" s="16">
        <f t="shared" si="19"/>
        <v>5654</v>
      </c>
      <c r="O199" s="16">
        <f t="shared" si="19"/>
        <v>3967</v>
      </c>
      <c r="P199" s="16">
        <f t="shared" si="19"/>
        <v>3267</v>
      </c>
      <c r="Q199" s="16">
        <f t="shared" si="19"/>
        <v>1256</v>
      </c>
      <c r="R199" s="16"/>
      <c r="S199" s="16">
        <f t="shared" ref="S199:U199" si="20">MIN(S191:S198)</f>
        <v>49.551400000000001</v>
      </c>
      <c r="T199" s="16">
        <f t="shared" si="20"/>
        <v>8.3911800000000003</v>
      </c>
      <c r="U199" s="16">
        <f t="shared" si="20"/>
        <v>0.43234755499999999</v>
      </c>
      <c r="V199" s="16">
        <f>MEDIAN(V191:V198)</f>
        <v>4.5</v>
      </c>
      <c r="W199" s="16"/>
      <c r="X199" s="16"/>
      <c r="Y199" s="16"/>
      <c r="Z199" s="16"/>
      <c r="AA199" s="37"/>
    </row>
    <row r="200" spans="1:27">
      <c r="A200" s="16" t="s">
        <v>39</v>
      </c>
      <c r="B200" s="16" t="s">
        <v>904</v>
      </c>
      <c r="C200" s="16" t="s">
        <v>905</v>
      </c>
      <c r="D200" s="16" t="s">
        <v>906</v>
      </c>
      <c r="E200" s="16" t="s">
        <v>907</v>
      </c>
      <c r="F200" s="16" t="s">
        <v>908</v>
      </c>
      <c r="G200" s="16" t="s">
        <v>383</v>
      </c>
      <c r="H200" s="16" t="s">
        <v>384</v>
      </c>
      <c r="I200" s="16" t="s">
        <v>198</v>
      </c>
      <c r="J200" s="16" t="s">
        <v>199</v>
      </c>
      <c r="K200" s="16">
        <v>2.9602740000000001</v>
      </c>
      <c r="L200" s="36">
        <v>1898</v>
      </c>
      <c r="M200" s="16">
        <v>135</v>
      </c>
      <c r="N200" s="16">
        <v>226</v>
      </c>
      <c r="O200" s="16">
        <v>558</v>
      </c>
      <c r="P200" s="16">
        <v>700</v>
      </c>
      <c r="Q200" s="16">
        <v>279</v>
      </c>
      <c r="R200" s="16" t="s">
        <v>668</v>
      </c>
      <c r="S200" s="16">
        <v>114.39</v>
      </c>
      <c r="T200" s="16">
        <v>68.278000000000006</v>
      </c>
      <c r="U200" s="16">
        <v>0.71050444199999996</v>
      </c>
      <c r="V200" s="16">
        <v>3</v>
      </c>
      <c r="W200" s="16">
        <v>1</v>
      </c>
      <c r="X200" s="16">
        <v>0.25957400000000003</v>
      </c>
      <c r="Y200" s="16">
        <v>0.7</v>
      </c>
      <c r="Z200" s="16">
        <v>1</v>
      </c>
      <c r="AA200" s="37"/>
    </row>
    <row r="201" spans="1:27">
      <c r="A201" s="16" t="s">
        <v>39</v>
      </c>
      <c r="B201" s="16" t="s">
        <v>909</v>
      </c>
      <c r="C201" s="16" t="s">
        <v>910</v>
      </c>
      <c r="D201" s="16" t="s">
        <v>911</v>
      </c>
      <c r="E201" s="16" t="s">
        <v>907</v>
      </c>
      <c r="F201" s="16" t="s">
        <v>908</v>
      </c>
      <c r="G201" s="16" t="s">
        <v>383</v>
      </c>
      <c r="H201" s="16" t="s">
        <v>384</v>
      </c>
      <c r="I201" s="16" t="s">
        <v>198</v>
      </c>
      <c r="J201" s="16" t="s">
        <v>199</v>
      </c>
      <c r="K201" s="16">
        <v>3.0068329999999999</v>
      </c>
      <c r="L201" s="36">
        <v>1369</v>
      </c>
      <c r="M201" s="16">
        <v>168</v>
      </c>
      <c r="N201" s="16">
        <v>59</v>
      </c>
      <c r="O201" s="16">
        <v>333</v>
      </c>
      <c r="P201" s="16">
        <v>551</v>
      </c>
      <c r="Q201" s="16">
        <v>258</v>
      </c>
      <c r="R201" s="16" t="s">
        <v>668</v>
      </c>
      <c r="S201" s="16">
        <v>133.91300000000001</v>
      </c>
      <c r="T201" s="16">
        <v>57.430799999999998</v>
      </c>
      <c r="U201" s="16">
        <v>0.62493053799999998</v>
      </c>
      <c r="V201" s="16">
        <v>2</v>
      </c>
      <c r="W201" s="16">
        <v>1</v>
      </c>
      <c r="X201" s="16">
        <v>0.29838900000000002</v>
      </c>
      <c r="Y201" s="16">
        <v>0.7</v>
      </c>
      <c r="Z201" s="16">
        <v>1</v>
      </c>
      <c r="AA201" s="37"/>
    </row>
    <row r="202" spans="1:27">
      <c r="A202" s="16"/>
      <c r="B202" s="16"/>
      <c r="C202" s="16"/>
      <c r="D202" s="16"/>
      <c r="E202" s="16"/>
      <c r="F202" s="16"/>
      <c r="G202" s="16"/>
      <c r="H202" s="16"/>
      <c r="I202" s="16"/>
      <c r="J202" s="16"/>
      <c r="K202" s="16">
        <f>MAX(K200:K201)</f>
        <v>3.0068329999999999</v>
      </c>
      <c r="L202" s="36">
        <f>AVERAGE(L200:L201)</f>
        <v>1633.5</v>
      </c>
      <c r="M202" s="16">
        <f t="shared" ref="M202:Q202" si="21">SUM(M200:M201)</f>
        <v>303</v>
      </c>
      <c r="N202" s="16">
        <f t="shared" si="21"/>
        <v>285</v>
      </c>
      <c r="O202" s="16">
        <f t="shared" si="21"/>
        <v>891</v>
      </c>
      <c r="P202" s="16">
        <f t="shared" si="21"/>
        <v>1251</v>
      </c>
      <c r="Q202" s="16">
        <f t="shared" si="21"/>
        <v>537</v>
      </c>
      <c r="R202" s="16"/>
      <c r="S202" s="16"/>
      <c r="T202" s="16"/>
      <c r="U202" s="16"/>
      <c r="V202" s="16">
        <f>MEDIAN(V200:V201)</f>
        <v>2.5</v>
      </c>
      <c r="W202" s="16"/>
      <c r="X202" s="16"/>
      <c r="Y202" s="16"/>
      <c r="Z202" s="16"/>
      <c r="AA202" s="37"/>
    </row>
    <row r="203" spans="1:27">
      <c r="A203" s="16" t="s">
        <v>45</v>
      </c>
      <c r="B203" s="16" t="s">
        <v>912</v>
      </c>
      <c r="C203" s="16" t="s">
        <v>913</v>
      </c>
      <c r="D203" s="16" t="s">
        <v>914</v>
      </c>
      <c r="E203" s="16" t="s">
        <v>915</v>
      </c>
      <c r="F203" s="16" t="s">
        <v>916</v>
      </c>
      <c r="G203" s="16" t="s">
        <v>332</v>
      </c>
      <c r="H203" s="16" t="s">
        <v>333</v>
      </c>
      <c r="I203" s="16" t="s">
        <v>198</v>
      </c>
      <c r="J203" s="16" t="s">
        <v>199</v>
      </c>
      <c r="K203" s="16">
        <v>2.8579949999999998</v>
      </c>
      <c r="L203" s="36">
        <v>2559</v>
      </c>
      <c r="M203" s="16">
        <v>182</v>
      </c>
      <c r="N203" s="36">
        <v>1266</v>
      </c>
      <c r="O203" s="16">
        <v>519</v>
      </c>
      <c r="P203" s="16">
        <v>423</v>
      </c>
      <c r="Q203" s="16">
        <v>169</v>
      </c>
      <c r="R203" s="16" t="s">
        <v>668</v>
      </c>
      <c r="S203" s="16">
        <v>59.911299999999997</v>
      </c>
      <c r="T203" s="16">
        <v>51.917000000000002</v>
      </c>
      <c r="U203" s="16">
        <v>0.48500618499999998</v>
      </c>
      <c r="V203" s="16">
        <v>6</v>
      </c>
      <c r="W203" s="16">
        <v>1</v>
      </c>
      <c r="X203" s="16">
        <v>0.163466</v>
      </c>
      <c r="Y203" s="16">
        <v>0.7</v>
      </c>
      <c r="Z203" s="16">
        <v>1</v>
      </c>
      <c r="AA203" s="37"/>
    </row>
    <row r="204" spans="1:27">
      <c r="A204" s="16" t="s">
        <v>45</v>
      </c>
      <c r="B204" s="16" t="s">
        <v>917</v>
      </c>
      <c r="C204" s="16" t="s">
        <v>918</v>
      </c>
      <c r="D204" s="16" t="s">
        <v>919</v>
      </c>
      <c r="E204" s="16" t="s">
        <v>915</v>
      </c>
      <c r="F204" s="16" t="s">
        <v>916</v>
      </c>
      <c r="G204" s="16" t="s">
        <v>332</v>
      </c>
      <c r="H204" s="16" t="s">
        <v>333</v>
      </c>
      <c r="I204" s="16" t="s">
        <v>198</v>
      </c>
      <c r="J204" s="16" t="s">
        <v>199</v>
      </c>
      <c r="K204" s="16">
        <v>3.0755729999999999</v>
      </c>
      <c r="L204" s="36">
        <v>2037</v>
      </c>
      <c r="M204" s="16">
        <v>84</v>
      </c>
      <c r="N204" s="36">
        <v>1225</v>
      </c>
      <c r="O204" s="16">
        <v>325</v>
      </c>
      <c r="P204" s="16">
        <v>228</v>
      </c>
      <c r="Q204" s="16">
        <v>175</v>
      </c>
      <c r="R204" s="16" t="s">
        <v>668</v>
      </c>
      <c r="S204" s="16">
        <v>100.488</v>
      </c>
      <c r="T204" s="16">
        <v>58.369799999999998</v>
      </c>
      <c r="U204" s="16">
        <v>0.43545276500000002</v>
      </c>
      <c r="V204" s="16">
        <v>6</v>
      </c>
      <c r="W204" s="16">
        <v>1</v>
      </c>
      <c r="X204" s="16">
        <v>0.39693099999999998</v>
      </c>
      <c r="Y204" s="16">
        <v>0.7</v>
      </c>
      <c r="Z204" s="16">
        <v>1</v>
      </c>
      <c r="AA204" s="37"/>
    </row>
    <row r="205" spans="1:27">
      <c r="A205" s="16" t="s">
        <v>45</v>
      </c>
      <c r="B205" s="16" t="s">
        <v>920</v>
      </c>
      <c r="C205" s="16" t="s">
        <v>921</v>
      </c>
      <c r="D205" s="16" t="s">
        <v>922</v>
      </c>
      <c r="E205" s="16" t="s">
        <v>915</v>
      </c>
      <c r="F205" s="16" t="s">
        <v>916</v>
      </c>
      <c r="G205" s="16" t="s">
        <v>332</v>
      </c>
      <c r="H205" s="16" t="s">
        <v>333</v>
      </c>
      <c r="I205" s="16" t="s">
        <v>198</v>
      </c>
      <c r="J205" s="16" t="s">
        <v>199</v>
      </c>
      <c r="K205" s="16">
        <v>2.9647459999999999</v>
      </c>
      <c r="L205" s="36">
        <v>2036</v>
      </c>
      <c r="M205" s="16">
        <v>311</v>
      </c>
      <c r="N205" s="16">
        <v>865</v>
      </c>
      <c r="O205" s="16">
        <v>357</v>
      </c>
      <c r="P205" s="16">
        <v>315</v>
      </c>
      <c r="Q205" s="16">
        <v>188</v>
      </c>
      <c r="R205" s="16" t="s">
        <v>668</v>
      </c>
      <c r="S205" s="16">
        <v>100.44799999999999</v>
      </c>
      <c r="T205" s="16">
        <v>49.334200000000003</v>
      </c>
      <c r="U205" s="16">
        <v>0.51214058500000004</v>
      </c>
      <c r="V205" s="16">
        <v>6</v>
      </c>
      <c r="W205" s="16">
        <v>1</v>
      </c>
      <c r="X205" s="16">
        <v>0.27890199999999998</v>
      </c>
      <c r="Y205" s="16">
        <v>0.7</v>
      </c>
      <c r="Z205" s="16">
        <v>1</v>
      </c>
      <c r="AA205" s="37"/>
    </row>
    <row r="206" spans="1:27">
      <c r="A206" s="16" t="s">
        <v>45</v>
      </c>
      <c r="B206" s="16" t="s">
        <v>923</v>
      </c>
      <c r="C206" s="16" t="s">
        <v>924</v>
      </c>
      <c r="D206" s="16" t="s">
        <v>925</v>
      </c>
      <c r="E206" s="16" t="s">
        <v>883</v>
      </c>
      <c r="F206" s="16" t="s">
        <v>884</v>
      </c>
      <c r="G206" s="16" t="s">
        <v>332</v>
      </c>
      <c r="H206" s="16" t="s">
        <v>333</v>
      </c>
      <c r="I206" s="16" t="s">
        <v>198</v>
      </c>
      <c r="J206" s="16" t="s">
        <v>199</v>
      </c>
      <c r="K206" s="16">
        <v>2.9231410000000002</v>
      </c>
      <c r="L206" s="36">
        <v>1583</v>
      </c>
      <c r="M206" s="16">
        <v>330</v>
      </c>
      <c r="N206" s="16">
        <v>529</v>
      </c>
      <c r="O206" s="16">
        <v>329</v>
      </c>
      <c r="P206" s="16">
        <v>256</v>
      </c>
      <c r="Q206" s="16">
        <v>139</v>
      </c>
      <c r="R206" s="16" t="s">
        <v>668</v>
      </c>
      <c r="S206" s="16">
        <v>104.09099999999999</v>
      </c>
      <c r="T206" s="16">
        <v>65.030900000000003</v>
      </c>
      <c r="U206" s="16">
        <v>0.92625557599999997</v>
      </c>
      <c r="V206" s="16">
        <v>2</v>
      </c>
      <c r="W206" s="16">
        <v>1</v>
      </c>
      <c r="X206" s="16">
        <v>0.24390200000000001</v>
      </c>
      <c r="Y206" s="16">
        <v>0.7</v>
      </c>
      <c r="Z206" s="16">
        <v>1</v>
      </c>
      <c r="AA206" s="37"/>
    </row>
    <row r="207" spans="1:27">
      <c r="A207" s="16" t="s">
        <v>45</v>
      </c>
      <c r="B207" s="16" t="s">
        <v>926</v>
      </c>
      <c r="C207" s="16" t="s">
        <v>927</v>
      </c>
      <c r="D207" s="16" t="s">
        <v>928</v>
      </c>
      <c r="E207" s="16" t="s">
        <v>929</v>
      </c>
      <c r="F207" s="16" t="s">
        <v>930</v>
      </c>
      <c r="G207" s="16" t="s">
        <v>332</v>
      </c>
      <c r="H207" s="16" t="s">
        <v>333</v>
      </c>
      <c r="I207" s="16" t="s">
        <v>198</v>
      </c>
      <c r="J207" s="16" t="s">
        <v>199</v>
      </c>
      <c r="K207" s="16">
        <v>2.6954250000000002</v>
      </c>
      <c r="L207" s="36">
        <v>1360</v>
      </c>
      <c r="M207" s="16">
        <v>275</v>
      </c>
      <c r="N207" s="16">
        <v>278</v>
      </c>
      <c r="O207" s="16">
        <v>303</v>
      </c>
      <c r="P207" s="16">
        <v>359</v>
      </c>
      <c r="Q207" s="16">
        <v>145</v>
      </c>
      <c r="R207" s="16" t="s">
        <v>668</v>
      </c>
      <c r="S207" s="16">
        <v>79.512900000000002</v>
      </c>
      <c r="T207" s="16">
        <v>53.949199999999998</v>
      </c>
      <c r="U207" s="16">
        <v>0.99879557299999999</v>
      </c>
      <c r="V207" s="16">
        <v>2</v>
      </c>
      <c r="W207" s="16">
        <v>1</v>
      </c>
      <c r="X207" s="16">
        <v>3.947E-3</v>
      </c>
      <c r="Y207" s="16">
        <v>0.694079</v>
      </c>
      <c r="Z207" s="16">
        <v>1</v>
      </c>
      <c r="AA207" s="37"/>
    </row>
    <row r="208" spans="1:27">
      <c r="A208" s="16" t="s">
        <v>45</v>
      </c>
      <c r="B208" s="16" t="s">
        <v>931</v>
      </c>
      <c r="C208" s="16" t="s">
        <v>932</v>
      </c>
      <c r="D208" s="16" t="s">
        <v>933</v>
      </c>
      <c r="E208" s="16" t="s">
        <v>929</v>
      </c>
      <c r="F208" s="16" t="s">
        <v>930</v>
      </c>
      <c r="G208" s="16" t="s">
        <v>332</v>
      </c>
      <c r="H208" s="16" t="s">
        <v>333</v>
      </c>
      <c r="I208" s="16" t="s">
        <v>198</v>
      </c>
      <c r="J208" s="16" t="s">
        <v>199</v>
      </c>
      <c r="K208" s="16">
        <v>2.951082</v>
      </c>
      <c r="L208" s="36">
        <v>2473</v>
      </c>
      <c r="M208" s="16">
        <v>132</v>
      </c>
      <c r="N208" s="36">
        <v>1514</v>
      </c>
      <c r="O208" s="16">
        <v>409</v>
      </c>
      <c r="P208" s="16">
        <v>253</v>
      </c>
      <c r="Q208" s="16">
        <v>165</v>
      </c>
      <c r="R208" s="16" t="s">
        <v>668</v>
      </c>
      <c r="S208" s="16">
        <v>103.096</v>
      </c>
      <c r="T208" s="16">
        <v>83.173400000000001</v>
      </c>
      <c r="U208" s="16">
        <v>0.43941463400000003</v>
      </c>
      <c r="V208" s="16">
        <v>6</v>
      </c>
      <c r="W208" s="16">
        <v>1</v>
      </c>
      <c r="X208" s="16">
        <v>0.30427399999999999</v>
      </c>
      <c r="Y208" s="16">
        <v>0.7</v>
      </c>
      <c r="Z208" s="16">
        <v>1</v>
      </c>
      <c r="AA208" s="37"/>
    </row>
    <row r="209" spans="1:27">
      <c r="A209" s="16" t="s">
        <v>45</v>
      </c>
      <c r="B209" s="16" t="s">
        <v>934</v>
      </c>
      <c r="C209" s="16" t="s">
        <v>935</v>
      </c>
      <c r="D209" s="16" t="s">
        <v>936</v>
      </c>
      <c r="E209" s="16" t="s">
        <v>929</v>
      </c>
      <c r="F209" s="16" t="s">
        <v>930</v>
      </c>
      <c r="G209" s="16" t="s">
        <v>332</v>
      </c>
      <c r="H209" s="16" t="s">
        <v>333</v>
      </c>
      <c r="I209" s="16" t="s">
        <v>198</v>
      </c>
      <c r="J209" s="16" t="s">
        <v>199</v>
      </c>
      <c r="K209" s="16">
        <v>2.8009219999999999</v>
      </c>
      <c r="L209" s="36">
        <v>1144</v>
      </c>
      <c r="M209" s="16">
        <v>62</v>
      </c>
      <c r="N209" s="16">
        <v>385</v>
      </c>
      <c r="O209" s="16">
        <v>303</v>
      </c>
      <c r="P209" s="16">
        <v>235</v>
      </c>
      <c r="Q209" s="16">
        <v>159</v>
      </c>
      <c r="R209" s="16" t="s">
        <v>668</v>
      </c>
      <c r="S209" s="16">
        <v>86.019800000000004</v>
      </c>
      <c r="T209" s="16">
        <v>71.562600000000003</v>
      </c>
      <c r="U209" s="16">
        <v>0.63660163299999994</v>
      </c>
      <c r="V209" s="16">
        <v>5</v>
      </c>
      <c r="W209" s="16">
        <v>1</v>
      </c>
      <c r="X209" s="16">
        <v>0.115207</v>
      </c>
      <c r="Y209" s="16">
        <v>0.69403700000000002</v>
      </c>
      <c r="Z209" s="16">
        <v>1</v>
      </c>
      <c r="AA209" s="37"/>
    </row>
    <row r="210" spans="1:27">
      <c r="A210" s="16" t="s">
        <v>45</v>
      </c>
      <c r="B210" s="16" t="s">
        <v>839</v>
      </c>
      <c r="C210" s="16" t="s">
        <v>840</v>
      </c>
      <c r="D210" s="16" t="s">
        <v>841</v>
      </c>
      <c r="E210" s="16" t="s">
        <v>837</v>
      </c>
      <c r="F210" s="16" t="s">
        <v>838</v>
      </c>
      <c r="G210" s="16" t="s">
        <v>332</v>
      </c>
      <c r="H210" s="16" t="s">
        <v>333</v>
      </c>
      <c r="I210" s="16" t="s">
        <v>198</v>
      </c>
      <c r="J210" s="16" t="s">
        <v>199</v>
      </c>
      <c r="K210" s="16">
        <v>2.99641</v>
      </c>
      <c r="L210" s="36">
        <v>1786</v>
      </c>
      <c r="M210" s="16">
        <v>294</v>
      </c>
      <c r="N210" s="16">
        <v>882</v>
      </c>
      <c r="O210" s="16">
        <v>301</v>
      </c>
      <c r="P210" s="16">
        <v>179</v>
      </c>
      <c r="Q210" s="16">
        <v>130</v>
      </c>
      <c r="R210" s="16" t="s">
        <v>668</v>
      </c>
      <c r="S210" s="16">
        <v>100.747</v>
      </c>
      <c r="T210" s="16">
        <v>19.673999999999999</v>
      </c>
      <c r="U210" s="16">
        <v>0.62084541100000001</v>
      </c>
      <c r="V210" s="16">
        <v>3</v>
      </c>
      <c r="W210" s="16">
        <v>1</v>
      </c>
      <c r="X210" s="16">
        <v>0.28589900000000001</v>
      </c>
      <c r="Y210" s="16">
        <v>0.7</v>
      </c>
      <c r="Z210" s="16">
        <v>1</v>
      </c>
      <c r="AA210" s="37"/>
    </row>
    <row r="211" spans="1:27">
      <c r="A211" s="16" t="s">
        <v>45</v>
      </c>
      <c r="B211" s="16" t="s">
        <v>937</v>
      </c>
      <c r="C211" s="16" t="s">
        <v>938</v>
      </c>
      <c r="D211" s="16" t="s">
        <v>939</v>
      </c>
      <c r="E211" s="16" t="s">
        <v>857</v>
      </c>
      <c r="F211" s="16" t="s">
        <v>858</v>
      </c>
      <c r="G211" s="16" t="s">
        <v>332</v>
      </c>
      <c r="H211" s="16" t="s">
        <v>333</v>
      </c>
      <c r="I211" s="16" t="s">
        <v>198</v>
      </c>
      <c r="J211" s="16" t="s">
        <v>199</v>
      </c>
      <c r="K211" s="16">
        <v>3.0352939999999999</v>
      </c>
      <c r="L211" s="36">
        <v>2032</v>
      </c>
      <c r="M211" s="16">
        <v>397</v>
      </c>
      <c r="N211" s="16">
        <v>678</v>
      </c>
      <c r="O211" s="16">
        <v>478</v>
      </c>
      <c r="P211" s="16">
        <v>350</v>
      </c>
      <c r="Q211" s="16">
        <v>129</v>
      </c>
      <c r="R211" s="16" t="s">
        <v>668</v>
      </c>
      <c r="S211" s="16">
        <v>118.512</v>
      </c>
      <c r="T211" s="16">
        <v>47.735700000000001</v>
      </c>
      <c r="U211" s="16">
        <v>0.75143655600000003</v>
      </c>
      <c r="V211" s="16">
        <v>2</v>
      </c>
      <c r="W211" s="16">
        <v>1</v>
      </c>
      <c r="X211" s="16">
        <v>0.318998</v>
      </c>
      <c r="Y211" s="16">
        <v>0.7</v>
      </c>
      <c r="Z211" s="16">
        <v>1</v>
      </c>
      <c r="AA211" s="37"/>
    </row>
    <row r="212" spans="1:27">
      <c r="A212" s="16" t="s">
        <v>45</v>
      </c>
      <c r="B212" s="16" t="s">
        <v>940</v>
      </c>
      <c r="C212" s="16" t="s">
        <v>941</v>
      </c>
      <c r="D212" s="16" t="s">
        <v>942</v>
      </c>
      <c r="E212" s="16" t="s">
        <v>943</v>
      </c>
      <c r="F212" s="16" t="s">
        <v>944</v>
      </c>
      <c r="G212" s="16" t="s">
        <v>383</v>
      </c>
      <c r="H212" s="16" t="s">
        <v>384</v>
      </c>
      <c r="I212" s="16" t="s">
        <v>198</v>
      </c>
      <c r="J212" s="16" t="s">
        <v>199</v>
      </c>
      <c r="K212" s="16">
        <v>2.7468840000000001</v>
      </c>
      <c r="L212" s="36">
        <v>2228</v>
      </c>
      <c r="M212" s="16">
        <v>219</v>
      </c>
      <c r="N212" s="16">
        <v>717</v>
      </c>
      <c r="O212" s="16">
        <v>676</v>
      </c>
      <c r="P212" s="16">
        <v>380</v>
      </c>
      <c r="Q212" s="16">
        <v>236</v>
      </c>
      <c r="R212" s="16" t="s">
        <v>668</v>
      </c>
      <c r="S212" s="16">
        <v>60.376899999999999</v>
      </c>
      <c r="T212" s="16">
        <v>42.141800000000003</v>
      </c>
      <c r="U212" s="16">
        <v>0.52724459599999995</v>
      </c>
      <c r="V212" s="16">
        <v>9</v>
      </c>
      <c r="W212" s="16">
        <v>1</v>
      </c>
      <c r="X212" s="16">
        <v>9.2447000000000001E-2</v>
      </c>
      <c r="Y212" s="16">
        <v>0.7</v>
      </c>
      <c r="Z212" s="16">
        <v>0.94371300000000002</v>
      </c>
      <c r="AA212" s="37"/>
    </row>
    <row r="213" spans="1:27">
      <c r="A213" s="16" t="s">
        <v>45</v>
      </c>
      <c r="B213" s="16" t="s">
        <v>945</v>
      </c>
      <c r="C213" s="16" t="s">
        <v>946</v>
      </c>
      <c r="D213" s="16" t="s">
        <v>947</v>
      </c>
      <c r="E213" s="16" t="s">
        <v>943</v>
      </c>
      <c r="F213" s="16" t="s">
        <v>944</v>
      </c>
      <c r="G213" s="16" t="s">
        <v>383</v>
      </c>
      <c r="H213" s="16" t="s">
        <v>384</v>
      </c>
      <c r="I213" s="16" t="s">
        <v>198</v>
      </c>
      <c r="J213" s="16" t="s">
        <v>199</v>
      </c>
      <c r="K213" s="16">
        <v>3.0069119999999998</v>
      </c>
      <c r="L213" s="36">
        <v>2451</v>
      </c>
      <c r="M213" s="16">
        <v>458</v>
      </c>
      <c r="N213" s="16">
        <v>613</v>
      </c>
      <c r="O213" s="16">
        <v>607</v>
      </c>
      <c r="P213" s="16">
        <v>480</v>
      </c>
      <c r="Q213" s="16">
        <v>293</v>
      </c>
      <c r="R213" s="16" t="s">
        <v>668</v>
      </c>
      <c r="S213" s="16">
        <v>75.859700000000004</v>
      </c>
      <c r="T213" s="16">
        <v>57.398200000000003</v>
      </c>
      <c r="U213" s="16">
        <v>0.36728011599999999</v>
      </c>
      <c r="V213" s="16">
        <v>9</v>
      </c>
      <c r="W213" s="16">
        <v>1</v>
      </c>
      <c r="X213" s="16">
        <v>0.45023299999999999</v>
      </c>
      <c r="Y213" s="16">
        <v>0.7</v>
      </c>
      <c r="Z213" s="16">
        <v>0.85137600000000002</v>
      </c>
      <c r="AA213" s="37"/>
    </row>
    <row r="214" spans="1:27">
      <c r="A214" s="16" t="s">
        <v>45</v>
      </c>
      <c r="B214" s="16" t="s">
        <v>948</v>
      </c>
      <c r="C214" s="16" t="s">
        <v>949</v>
      </c>
      <c r="D214" s="16" t="s">
        <v>950</v>
      </c>
      <c r="E214" s="16" t="s">
        <v>951</v>
      </c>
      <c r="F214" s="16" t="s">
        <v>952</v>
      </c>
      <c r="G214" s="16" t="s">
        <v>383</v>
      </c>
      <c r="H214" s="16" t="s">
        <v>384</v>
      </c>
      <c r="I214" s="16" t="s">
        <v>198</v>
      </c>
      <c r="J214" s="16" t="s">
        <v>199</v>
      </c>
      <c r="K214" s="16">
        <v>3.120098</v>
      </c>
      <c r="L214" s="36">
        <v>2476</v>
      </c>
      <c r="M214" s="16">
        <v>360</v>
      </c>
      <c r="N214" s="16">
        <v>594</v>
      </c>
      <c r="O214" s="16">
        <v>750</v>
      </c>
      <c r="P214" s="16">
        <v>546</v>
      </c>
      <c r="Q214" s="16">
        <v>226</v>
      </c>
      <c r="R214" s="16" t="s">
        <v>668</v>
      </c>
      <c r="S214" s="16">
        <v>76.498599999999996</v>
      </c>
      <c r="T214" s="16">
        <v>53.675899999999999</v>
      </c>
      <c r="U214" s="16">
        <v>0.55764482299999996</v>
      </c>
      <c r="V214" s="16">
        <v>5</v>
      </c>
      <c r="W214" s="16">
        <v>1</v>
      </c>
      <c r="X214" s="16">
        <v>0.43333300000000002</v>
      </c>
      <c r="Y214" s="16">
        <v>0.7</v>
      </c>
      <c r="Z214" s="16">
        <v>1</v>
      </c>
      <c r="AA214" s="37"/>
    </row>
    <row r="215" spans="1:27">
      <c r="A215" s="16" t="s">
        <v>45</v>
      </c>
      <c r="B215" s="16" t="s">
        <v>953</v>
      </c>
      <c r="C215" s="16" t="s">
        <v>954</v>
      </c>
      <c r="D215" s="16" t="s">
        <v>955</v>
      </c>
      <c r="E215" s="16" t="s">
        <v>951</v>
      </c>
      <c r="F215" s="16" t="s">
        <v>952</v>
      </c>
      <c r="G215" s="16" t="s">
        <v>383</v>
      </c>
      <c r="H215" s="16" t="s">
        <v>384</v>
      </c>
      <c r="I215" s="16" t="s">
        <v>198</v>
      </c>
      <c r="J215" s="16" t="s">
        <v>199</v>
      </c>
      <c r="K215" s="16">
        <v>3.0305559999999998</v>
      </c>
      <c r="L215" s="36">
        <v>2189</v>
      </c>
      <c r="M215" s="16">
        <v>265</v>
      </c>
      <c r="N215" s="16">
        <v>612</v>
      </c>
      <c r="O215" s="16">
        <v>618</v>
      </c>
      <c r="P215" s="16">
        <v>460</v>
      </c>
      <c r="Q215" s="16">
        <v>234</v>
      </c>
      <c r="R215" s="16" t="s">
        <v>668</v>
      </c>
      <c r="S215" s="16">
        <v>70.202100000000002</v>
      </c>
      <c r="T215" s="16">
        <v>60.538699999999999</v>
      </c>
      <c r="U215" s="16">
        <v>0.43048003800000001</v>
      </c>
      <c r="V215" s="16">
        <v>7</v>
      </c>
      <c r="W215" s="16">
        <v>1</v>
      </c>
      <c r="X215" s="16">
        <v>0.35585299999999997</v>
      </c>
      <c r="Y215" s="16">
        <v>0.7</v>
      </c>
      <c r="Z215" s="16">
        <v>0.96448299999999998</v>
      </c>
      <c r="AA215" s="37"/>
    </row>
    <row r="216" spans="1:27">
      <c r="A216" s="16" t="s">
        <v>45</v>
      </c>
      <c r="B216" s="16" t="s">
        <v>956</v>
      </c>
      <c r="C216" s="16" t="s">
        <v>957</v>
      </c>
      <c r="D216" s="16" t="s">
        <v>958</v>
      </c>
      <c r="E216" s="16" t="s">
        <v>943</v>
      </c>
      <c r="F216" s="16" t="s">
        <v>944</v>
      </c>
      <c r="G216" s="16" t="s">
        <v>383</v>
      </c>
      <c r="H216" s="16" t="s">
        <v>384</v>
      </c>
      <c r="I216" s="16" t="s">
        <v>198</v>
      </c>
      <c r="J216" s="16" t="s">
        <v>199</v>
      </c>
      <c r="K216" s="16">
        <v>2.974434</v>
      </c>
      <c r="L216" s="36">
        <v>2167</v>
      </c>
      <c r="M216" s="16">
        <v>272</v>
      </c>
      <c r="N216" s="16">
        <v>655</v>
      </c>
      <c r="O216" s="16">
        <v>576</v>
      </c>
      <c r="P216" s="16">
        <v>406</v>
      </c>
      <c r="Q216" s="16">
        <v>258</v>
      </c>
      <c r="R216" s="16" t="s">
        <v>668</v>
      </c>
      <c r="S216" s="16">
        <v>76.268299999999996</v>
      </c>
      <c r="T216" s="16">
        <v>50.235199999999999</v>
      </c>
      <c r="U216" s="16">
        <v>0.42969916600000002</v>
      </c>
      <c r="V216" s="16">
        <v>8</v>
      </c>
      <c r="W216" s="16">
        <v>1</v>
      </c>
      <c r="X216" s="16">
        <v>0.31318299999999999</v>
      </c>
      <c r="Y216" s="16">
        <v>0.7</v>
      </c>
      <c r="Z216" s="16">
        <v>0.99902599999999997</v>
      </c>
      <c r="AA216" s="37"/>
    </row>
    <row r="217" spans="1:27">
      <c r="A217" s="16" t="s">
        <v>45</v>
      </c>
      <c r="B217" s="16" t="s">
        <v>959</v>
      </c>
      <c r="C217" s="16" t="s">
        <v>960</v>
      </c>
      <c r="D217" s="16" t="s">
        <v>961</v>
      </c>
      <c r="E217" s="16" t="s">
        <v>962</v>
      </c>
      <c r="F217" s="16" t="s">
        <v>963</v>
      </c>
      <c r="G217" s="16" t="s">
        <v>383</v>
      </c>
      <c r="H217" s="16" t="s">
        <v>384</v>
      </c>
      <c r="I217" s="16" t="s">
        <v>198</v>
      </c>
      <c r="J217" s="16" t="s">
        <v>199</v>
      </c>
      <c r="K217" s="16">
        <v>2.824551</v>
      </c>
      <c r="L217" s="36">
        <v>2747</v>
      </c>
      <c r="M217" s="16">
        <v>342</v>
      </c>
      <c r="N217" s="36">
        <v>1130</v>
      </c>
      <c r="O217" s="16">
        <v>584</v>
      </c>
      <c r="P217" s="16">
        <v>442</v>
      </c>
      <c r="Q217" s="16">
        <v>249</v>
      </c>
      <c r="R217" s="16" t="s">
        <v>668</v>
      </c>
      <c r="S217" s="16">
        <v>66.364500000000007</v>
      </c>
      <c r="T217" s="16">
        <v>42.694299999999998</v>
      </c>
      <c r="U217" s="16">
        <v>0.62301309199999999</v>
      </c>
      <c r="V217" s="16">
        <v>6</v>
      </c>
      <c r="W217" s="16">
        <v>1</v>
      </c>
      <c r="X217" s="16">
        <v>0.14523800000000001</v>
      </c>
      <c r="Y217" s="16">
        <v>0.7</v>
      </c>
      <c r="Z217" s="16">
        <v>0.98828800000000006</v>
      </c>
      <c r="AA217" s="37"/>
    </row>
    <row r="218" spans="1:27">
      <c r="A218" s="16" t="s">
        <v>45</v>
      </c>
      <c r="B218" s="16" t="s">
        <v>964</v>
      </c>
      <c r="C218" s="16" t="s">
        <v>965</v>
      </c>
      <c r="D218" s="16" t="s">
        <v>966</v>
      </c>
      <c r="E218" s="16" t="s">
        <v>967</v>
      </c>
      <c r="F218" s="16" t="s">
        <v>968</v>
      </c>
      <c r="G218" s="16" t="s">
        <v>383</v>
      </c>
      <c r="H218" s="16" t="s">
        <v>384</v>
      </c>
      <c r="I218" s="16" t="s">
        <v>198</v>
      </c>
      <c r="J218" s="16" t="s">
        <v>199</v>
      </c>
      <c r="K218" s="16">
        <v>2.976</v>
      </c>
      <c r="L218" s="36">
        <v>1934</v>
      </c>
      <c r="M218" s="16">
        <v>337</v>
      </c>
      <c r="N218" s="16">
        <v>369</v>
      </c>
      <c r="O218" s="16">
        <v>558</v>
      </c>
      <c r="P218" s="16">
        <v>423</v>
      </c>
      <c r="Q218" s="16">
        <v>247</v>
      </c>
      <c r="R218" s="16" t="s">
        <v>668</v>
      </c>
      <c r="S218" s="16">
        <v>60.444800000000001</v>
      </c>
      <c r="T218" s="16">
        <v>33.395400000000002</v>
      </c>
      <c r="U218" s="16">
        <v>0.37130516400000002</v>
      </c>
      <c r="V218" s="16">
        <v>9</v>
      </c>
      <c r="W218" s="16">
        <v>1</v>
      </c>
      <c r="X218" s="16">
        <v>0.34139900000000001</v>
      </c>
      <c r="Y218" s="16">
        <v>0.7</v>
      </c>
      <c r="Z218" s="16">
        <v>0.93695200000000001</v>
      </c>
      <c r="AA218" s="37"/>
    </row>
    <row r="219" spans="1:27">
      <c r="A219" s="16" t="s">
        <v>45</v>
      </c>
      <c r="B219" s="16" t="s">
        <v>969</v>
      </c>
      <c r="C219" s="16" t="s">
        <v>970</v>
      </c>
      <c r="D219" s="16" t="s">
        <v>971</v>
      </c>
      <c r="E219" s="16" t="s">
        <v>967</v>
      </c>
      <c r="F219" s="16" t="s">
        <v>968</v>
      </c>
      <c r="G219" s="16" t="s">
        <v>383</v>
      </c>
      <c r="H219" s="16" t="s">
        <v>384</v>
      </c>
      <c r="I219" s="16" t="s">
        <v>198</v>
      </c>
      <c r="J219" s="16" t="s">
        <v>199</v>
      </c>
      <c r="K219" s="16">
        <v>2.7506490000000001</v>
      </c>
      <c r="L219" s="36">
        <v>1889</v>
      </c>
      <c r="M219" s="16">
        <v>195</v>
      </c>
      <c r="N219" s="16">
        <v>501</v>
      </c>
      <c r="O219" s="16">
        <v>581</v>
      </c>
      <c r="P219" s="16">
        <v>374</v>
      </c>
      <c r="Q219" s="16">
        <v>238</v>
      </c>
      <c r="R219" s="16" t="s">
        <v>668</v>
      </c>
      <c r="S219" s="16">
        <v>61.480400000000003</v>
      </c>
      <c r="T219" s="16">
        <v>47.712899999999998</v>
      </c>
      <c r="U219" s="16">
        <v>0.53798689200000005</v>
      </c>
      <c r="V219" s="16">
        <v>7</v>
      </c>
      <c r="W219" s="16">
        <v>1</v>
      </c>
      <c r="X219" s="16">
        <v>6.6031999999999993E-2</v>
      </c>
      <c r="Y219" s="16">
        <v>0.7</v>
      </c>
      <c r="Z219" s="16">
        <v>0.99044600000000005</v>
      </c>
      <c r="AA219" s="37"/>
    </row>
    <row r="220" spans="1:27">
      <c r="A220" s="16" t="s">
        <v>45</v>
      </c>
      <c r="B220" s="16" t="s">
        <v>972</v>
      </c>
      <c r="C220" s="16" t="s">
        <v>973</v>
      </c>
      <c r="D220" s="16" t="s">
        <v>974</v>
      </c>
      <c r="E220" s="16" t="s">
        <v>975</v>
      </c>
      <c r="F220" s="16" t="s">
        <v>976</v>
      </c>
      <c r="G220" s="16" t="s">
        <v>383</v>
      </c>
      <c r="H220" s="16" t="s">
        <v>384</v>
      </c>
      <c r="I220" s="16" t="s">
        <v>198</v>
      </c>
      <c r="J220" s="16" t="s">
        <v>199</v>
      </c>
      <c r="K220" s="16">
        <v>2.9767299999999999</v>
      </c>
      <c r="L220" s="36">
        <v>1448</v>
      </c>
      <c r="M220" s="16">
        <v>167</v>
      </c>
      <c r="N220" s="16">
        <v>336</v>
      </c>
      <c r="O220" s="16">
        <v>424</v>
      </c>
      <c r="P220" s="16">
        <v>378</v>
      </c>
      <c r="Q220" s="16">
        <v>143</v>
      </c>
      <c r="R220" s="16" t="s">
        <v>668</v>
      </c>
      <c r="S220" s="16">
        <v>64.331000000000003</v>
      </c>
      <c r="T220" s="16">
        <v>44.5242</v>
      </c>
      <c r="U220" s="16">
        <v>0.95845841899999995</v>
      </c>
      <c r="V220" s="16">
        <v>2</v>
      </c>
      <c r="W220" s="16">
        <v>1</v>
      </c>
      <c r="X220" s="16">
        <v>0.25822800000000001</v>
      </c>
      <c r="Y220" s="16">
        <v>0.7</v>
      </c>
      <c r="Z220" s="16">
        <v>1</v>
      </c>
      <c r="AA220" s="37"/>
    </row>
    <row r="221" spans="1:27">
      <c r="A221" s="16" t="s">
        <v>45</v>
      </c>
      <c r="B221" s="16" t="s">
        <v>977</v>
      </c>
      <c r="C221" s="16" t="s">
        <v>978</v>
      </c>
      <c r="D221" s="16" t="s">
        <v>979</v>
      </c>
      <c r="E221" s="16" t="s">
        <v>975</v>
      </c>
      <c r="F221" s="16" t="s">
        <v>976</v>
      </c>
      <c r="G221" s="16" t="s">
        <v>383</v>
      </c>
      <c r="H221" s="16" t="s">
        <v>384</v>
      </c>
      <c r="I221" s="16" t="s">
        <v>198</v>
      </c>
      <c r="J221" s="16" t="s">
        <v>199</v>
      </c>
      <c r="K221" s="16">
        <v>3.0952000000000002</v>
      </c>
      <c r="L221" s="36">
        <v>1485</v>
      </c>
      <c r="M221" s="16">
        <v>227</v>
      </c>
      <c r="N221" s="16">
        <v>255</v>
      </c>
      <c r="O221" s="16">
        <v>432</v>
      </c>
      <c r="P221" s="16">
        <v>417</v>
      </c>
      <c r="Q221" s="16">
        <v>154</v>
      </c>
      <c r="R221" s="16" t="s">
        <v>668</v>
      </c>
      <c r="S221" s="16">
        <v>63.651000000000003</v>
      </c>
      <c r="T221" s="16">
        <v>37.860399999999998</v>
      </c>
      <c r="U221" s="16">
        <v>0.88578546800000002</v>
      </c>
      <c r="V221" s="16">
        <v>2</v>
      </c>
      <c r="W221" s="16">
        <v>1</v>
      </c>
      <c r="X221" s="16">
        <v>0.38893299999999997</v>
      </c>
      <c r="Y221" s="16">
        <v>0.7</v>
      </c>
      <c r="Z221" s="16">
        <v>1</v>
      </c>
      <c r="AA221" s="37"/>
    </row>
    <row r="222" spans="1:27">
      <c r="A222" s="16"/>
      <c r="B222" s="16"/>
      <c r="C222" s="16"/>
      <c r="D222" s="16"/>
      <c r="E222" s="16"/>
      <c r="F222" s="16"/>
      <c r="G222" s="16"/>
      <c r="H222" s="16"/>
      <c r="I222" s="16"/>
      <c r="J222" s="16"/>
      <c r="K222" s="16">
        <f>MEDIAN(K203:K221)</f>
        <v>2.974434</v>
      </c>
      <c r="L222" s="36">
        <f>AVERAGE(L203:L221)</f>
        <v>2001.2631578947369</v>
      </c>
      <c r="M222" s="16">
        <f t="shared" ref="M222:Q222" si="22">SUM(M203:M221)</f>
        <v>4909</v>
      </c>
      <c r="N222" s="36">
        <f t="shared" si="22"/>
        <v>13404</v>
      </c>
      <c r="O222" s="16">
        <f t="shared" si="22"/>
        <v>9130</v>
      </c>
      <c r="P222" s="16">
        <f t="shared" si="22"/>
        <v>6904</v>
      </c>
      <c r="Q222" s="16">
        <f t="shared" si="22"/>
        <v>3677</v>
      </c>
      <c r="R222" s="16">
        <f t="shared" ref="R222:U222" si="23">MIN(R203:R221)</f>
        <v>0</v>
      </c>
      <c r="S222" s="16">
        <f t="shared" si="23"/>
        <v>59.911299999999997</v>
      </c>
      <c r="T222" s="16">
        <f t="shared" si="23"/>
        <v>19.673999999999999</v>
      </c>
      <c r="U222" s="16">
        <f t="shared" si="23"/>
        <v>0.36728011599999999</v>
      </c>
      <c r="V222" s="16">
        <f>MEDIAN(V203:V221)</f>
        <v>6</v>
      </c>
      <c r="W222" s="16"/>
      <c r="X222" s="16"/>
      <c r="Y222" s="16"/>
      <c r="Z222" s="16"/>
      <c r="AA222" s="37"/>
    </row>
    <row r="223" spans="1:27">
      <c r="A223" s="16" t="s">
        <v>57</v>
      </c>
      <c r="B223" s="16" t="s">
        <v>980</v>
      </c>
      <c r="C223" s="16" t="s">
        <v>981</v>
      </c>
      <c r="D223" s="16" t="s">
        <v>982</v>
      </c>
      <c r="E223" s="16" t="s">
        <v>983</v>
      </c>
      <c r="F223" s="16" t="s">
        <v>984</v>
      </c>
      <c r="G223" s="16" t="s">
        <v>300</v>
      </c>
      <c r="H223" s="16" t="s">
        <v>301</v>
      </c>
      <c r="I223" s="16" t="s">
        <v>198</v>
      </c>
      <c r="J223" s="16" t="s">
        <v>199</v>
      </c>
      <c r="K223" s="16">
        <v>2.9160949999999999</v>
      </c>
      <c r="L223" s="36">
        <v>2915</v>
      </c>
      <c r="M223" s="16">
        <v>424</v>
      </c>
      <c r="N223" s="16">
        <v>835</v>
      </c>
      <c r="O223" s="36">
        <v>1141</v>
      </c>
      <c r="P223" s="16">
        <v>423</v>
      </c>
      <c r="Q223" s="16">
        <v>92</v>
      </c>
      <c r="R223" s="16">
        <v>5</v>
      </c>
      <c r="S223" s="16">
        <v>28.653700000000001</v>
      </c>
      <c r="T223" s="16">
        <v>4.1451500000000001</v>
      </c>
      <c r="U223" s="16">
        <v>0.53820393</v>
      </c>
      <c r="V223" s="16">
        <v>5</v>
      </c>
      <c r="W223" s="16">
        <v>0.91635900000000003</v>
      </c>
      <c r="X223" s="16">
        <v>0.30133300000000002</v>
      </c>
      <c r="Y223" s="16">
        <v>0.7</v>
      </c>
      <c r="Z223" s="16">
        <v>1</v>
      </c>
      <c r="AA223" s="37"/>
    </row>
    <row r="224" spans="1:27">
      <c r="A224" s="16" t="s">
        <v>57</v>
      </c>
      <c r="B224" s="16" t="s">
        <v>985</v>
      </c>
      <c r="C224" s="16" t="s">
        <v>986</v>
      </c>
      <c r="D224" s="16" t="s">
        <v>987</v>
      </c>
      <c r="E224" s="16" t="s">
        <v>983</v>
      </c>
      <c r="F224" s="16" t="s">
        <v>984</v>
      </c>
      <c r="G224" s="16" t="s">
        <v>300</v>
      </c>
      <c r="H224" s="16" t="s">
        <v>301</v>
      </c>
      <c r="I224" s="16" t="s">
        <v>198</v>
      </c>
      <c r="J224" s="16" t="s">
        <v>199</v>
      </c>
      <c r="K224" s="16">
        <v>2.877707</v>
      </c>
      <c r="L224" s="36">
        <v>1643</v>
      </c>
      <c r="M224" s="16">
        <v>335</v>
      </c>
      <c r="N224" s="16">
        <v>387</v>
      </c>
      <c r="O224" s="16">
        <v>460</v>
      </c>
      <c r="P224" s="16">
        <v>334</v>
      </c>
      <c r="Q224" s="16">
        <v>127</v>
      </c>
      <c r="R224" s="16" t="s">
        <v>302</v>
      </c>
      <c r="S224" s="16">
        <v>34.577800000000003</v>
      </c>
      <c r="T224" s="16">
        <v>25.290199999999999</v>
      </c>
      <c r="U224" s="16">
        <v>0.76664357000000005</v>
      </c>
      <c r="V224" s="16">
        <v>4</v>
      </c>
      <c r="W224" s="16">
        <v>0.90541400000000005</v>
      </c>
      <c r="X224" s="16">
        <v>0.30632900000000002</v>
      </c>
      <c r="Y224" s="16">
        <v>0.7</v>
      </c>
      <c r="Z224" s="16">
        <v>0.97365100000000004</v>
      </c>
      <c r="AA224" s="37"/>
    </row>
    <row r="225" spans="1:27">
      <c r="A225" s="16" t="s">
        <v>57</v>
      </c>
      <c r="B225" s="16" t="s">
        <v>988</v>
      </c>
      <c r="C225" s="16" t="s">
        <v>989</v>
      </c>
      <c r="D225" s="16" t="s">
        <v>990</v>
      </c>
      <c r="E225" s="16" t="s">
        <v>983</v>
      </c>
      <c r="F225" s="16" t="s">
        <v>984</v>
      </c>
      <c r="G225" s="16" t="s">
        <v>300</v>
      </c>
      <c r="H225" s="16" t="s">
        <v>301</v>
      </c>
      <c r="I225" s="16" t="s">
        <v>198</v>
      </c>
      <c r="J225" s="16" t="s">
        <v>199</v>
      </c>
      <c r="K225" s="16">
        <v>2.9697819999999999</v>
      </c>
      <c r="L225" s="36">
        <v>1937</v>
      </c>
      <c r="M225" s="16">
        <v>441</v>
      </c>
      <c r="N225" s="16">
        <v>482</v>
      </c>
      <c r="O225" s="16">
        <v>542</v>
      </c>
      <c r="P225" s="16">
        <v>310</v>
      </c>
      <c r="Q225" s="16">
        <v>162</v>
      </c>
      <c r="R225" s="16" t="s">
        <v>302</v>
      </c>
      <c r="S225" s="16">
        <v>41.072899999999997</v>
      </c>
      <c r="T225" s="16">
        <v>18.177700000000002</v>
      </c>
      <c r="U225" s="16">
        <v>0.84414346399999995</v>
      </c>
      <c r="V225" s="16">
        <v>3</v>
      </c>
      <c r="W225" s="16">
        <v>0.90996900000000003</v>
      </c>
      <c r="X225" s="16">
        <v>0.36386299999999999</v>
      </c>
      <c r="Y225" s="16">
        <v>0.7</v>
      </c>
      <c r="Z225" s="16">
        <v>0.99968500000000005</v>
      </c>
      <c r="AA225" s="37"/>
    </row>
    <row r="226" spans="1:27">
      <c r="A226" s="16" t="s">
        <v>57</v>
      </c>
      <c r="B226" s="16" t="s">
        <v>312</v>
      </c>
      <c r="C226" s="16" t="s">
        <v>313</v>
      </c>
      <c r="D226" s="16" t="s">
        <v>314</v>
      </c>
      <c r="E226" s="16" t="s">
        <v>315</v>
      </c>
      <c r="F226" s="16" t="s">
        <v>316</v>
      </c>
      <c r="G226" s="16" t="s">
        <v>300</v>
      </c>
      <c r="H226" s="16" t="s">
        <v>301</v>
      </c>
      <c r="I226" s="16" t="s">
        <v>198</v>
      </c>
      <c r="J226" s="16" t="s">
        <v>199</v>
      </c>
      <c r="K226" s="16">
        <v>2.854562</v>
      </c>
      <c r="L226" s="36">
        <v>1900</v>
      </c>
      <c r="M226" s="16">
        <v>329</v>
      </c>
      <c r="N226" s="16">
        <v>512</v>
      </c>
      <c r="O226" s="16">
        <v>550</v>
      </c>
      <c r="P226" s="16">
        <v>371</v>
      </c>
      <c r="Q226" s="16">
        <v>138</v>
      </c>
      <c r="R226" s="16" t="s">
        <v>302</v>
      </c>
      <c r="S226" s="16">
        <v>42.923499999999997</v>
      </c>
      <c r="T226" s="16">
        <v>1.86382</v>
      </c>
      <c r="U226" s="16">
        <v>0.61190477600000004</v>
      </c>
      <c r="V226" s="16">
        <v>5</v>
      </c>
      <c r="W226" s="16">
        <v>0.91240900000000003</v>
      </c>
      <c r="X226" s="16">
        <v>0.32783899999999999</v>
      </c>
      <c r="Y226" s="16">
        <v>0.68143399999999998</v>
      </c>
      <c r="Z226" s="16">
        <v>0.93376099999999995</v>
      </c>
      <c r="AA226" s="37"/>
    </row>
    <row r="227" spans="1:27">
      <c r="A227" s="16" t="s">
        <v>57</v>
      </c>
      <c r="B227" s="16" t="s">
        <v>991</v>
      </c>
      <c r="C227" s="16" t="s">
        <v>992</v>
      </c>
      <c r="D227" s="16" t="s">
        <v>993</v>
      </c>
      <c r="E227" s="16" t="s">
        <v>994</v>
      </c>
      <c r="F227" s="16" t="s">
        <v>995</v>
      </c>
      <c r="G227" s="16" t="s">
        <v>300</v>
      </c>
      <c r="H227" s="16" t="s">
        <v>301</v>
      </c>
      <c r="I227" s="16" t="s">
        <v>198</v>
      </c>
      <c r="J227" s="16" t="s">
        <v>199</v>
      </c>
      <c r="K227" s="16">
        <v>3.0207999999999999</v>
      </c>
      <c r="L227" s="36">
        <v>1347</v>
      </c>
      <c r="M227" s="16">
        <v>360</v>
      </c>
      <c r="N227" s="16">
        <v>248</v>
      </c>
      <c r="O227" s="16">
        <v>384</v>
      </c>
      <c r="P227" s="16">
        <v>235</v>
      </c>
      <c r="Q227" s="16">
        <v>120</v>
      </c>
      <c r="R227" s="16" t="s">
        <v>302</v>
      </c>
      <c r="S227" s="16">
        <v>27.3492</v>
      </c>
      <c r="T227" s="16">
        <v>23.572099999999999</v>
      </c>
      <c r="U227" s="16">
        <v>0.78421632600000002</v>
      </c>
      <c r="V227" s="16">
        <v>3</v>
      </c>
      <c r="W227" s="16">
        <v>0.95920000000000005</v>
      </c>
      <c r="X227" s="16">
        <v>0.39687499999999998</v>
      </c>
      <c r="Y227" s="16">
        <v>0.7</v>
      </c>
      <c r="Z227" s="16">
        <v>1</v>
      </c>
      <c r="AA227" s="37"/>
    </row>
    <row r="228" spans="1:27">
      <c r="A228" s="16" t="s">
        <v>57</v>
      </c>
      <c r="B228" s="16" t="s">
        <v>996</v>
      </c>
      <c r="C228" s="16" t="s">
        <v>997</v>
      </c>
      <c r="D228" s="16" t="s">
        <v>998</v>
      </c>
      <c r="E228" s="16" t="s">
        <v>994</v>
      </c>
      <c r="F228" s="16" t="s">
        <v>995</v>
      </c>
      <c r="G228" s="16" t="s">
        <v>300</v>
      </c>
      <c r="H228" s="16" t="s">
        <v>301</v>
      </c>
      <c r="I228" s="16" t="s">
        <v>198</v>
      </c>
      <c r="J228" s="16" t="s">
        <v>199</v>
      </c>
      <c r="K228" s="16">
        <v>2.7171430000000001</v>
      </c>
      <c r="L228" s="36">
        <v>1622</v>
      </c>
      <c r="M228" s="16">
        <v>483</v>
      </c>
      <c r="N228" s="16">
        <v>305</v>
      </c>
      <c r="O228" s="16">
        <v>447</v>
      </c>
      <c r="P228" s="16">
        <v>252</v>
      </c>
      <c r="Q228" s="16">
        <v>135</v>
      </c>
      <c r="R228" s="16">
        <v>4</v>
      </c>
      <c r="S228" s="16">
        <v>29.132200000000001</v>
      </c>
      <c r="T228" s="16">
        <v>2.4624299999999999</v>
      </c>
      <c r="U228" s="16">
        <v>0.96901701500000004</v>
      </c>
      <c r="V228" s="16">
        <v>3</v>
      </c>
      <c r="W228" s="16">
        <v>0.92</v>
      </c>
      <c r="X228" s="16">
        <v>0.117703</v>
      </c>
      <c r="Y228" s="16">
        <v>0.7</v>
      </c>
      <c r="Z228" s="16">
        <v>1</v>
      </c>
      <c r="AA228" s="37"/>
    </row>
    <row r="229" spans="1:27">
      <c r="A229" s="16" t="s">
        <v>57</v>
      </c>
      <c r="B229" s="16" t="s">
        <v>999</v>
      </c>
      <c r="C229" s="16" t="s">
        <v>1000</v>
      </c>
      <c r="D229" s="16" t="s">
        <v>1001</v>
      </c>
      <c r="E229" s="16" t="s">
        <v>1002</v>
      </c>
      <c r="F229" s="16" t="s">
        <v>1003</v>
      </c>
      <c r="G229" s="16" t="s">
        <v>300</v>
      </c>
      <c r="H229" s="16" t="s">
        <v>301</v>
      </c>
      <c r="I229" s="16" t="s">
        <v>198</v>
      </c>
      <c r="J229" s="16" t="s">
        <v>199</v>
      </c>
      <c r="K229" s="16">
        <v>2.7405889999999999</v>
      </c>
      <c r="L229" s="36">
        <v>2340</v>
      </c>
      <c r="M229" s="16">
        <v>434</v>
      </c>
      <c r="N229" s="16">
        <v>699</v>
      </c>
      <c r="O229" s="16">
        <v>694</v>
      </c>
      <c r="P229" s="16">
        <v>390</v>
      </c>
      <c r="Q229" s="16">
        <v>123</v>
      </c>
      <c r="R229" s="16">
        <v>5</v>
      </c>
      <c r="S229" s="16">
        <v>38.763199999999998</v>
      </c>
      <c r="T229" s="16">
        <v>4.6943000000000001</v>
      </c>
      <c r="U229" s="16">
        <v>1.001435267</v>
      </c>
      <c r="V229" s="16">
        <v>3</v>
      </c>
      <c r="W229" s="16">
        <v>0.91161999999999999</v>
      </c>
      <c r="X229" s="16">
        <v>0.14365700000000001</v>
      </c>
      <c r="Y229" s="16">
        <v>0.7</v>
      </c>
      <c r="Z229" s="16">
        <v>0.99062499999999998</v>
      </c>
      <c r="AA229" s="37"/>
    </row>
    <row r="230" spans="1:27">
      <c r="A230" s="16" t="s">
        <v>57</v>
      </c>
      <c r="B230" s="16" t="s">
        <v>1004</v>
      </c>
      <c r="C230" s="16" t="s">
        <v>1005</v>
      </c>
      <c r="D230" s="16" t="s">
        <v>1006</v>
      </c>
      <c r="E230" s="16" t="s">
        <v>1002</v>
      </c>
      <c r="F230" s="16" t="s">
        <v>1003</v>
      </c>
      <c r="G230" s="16" t="s">
        <v>300</v>
      </c>
      <c r="H230" s="16" t="s">
        <v>301</v>
      </c>
      <c r="I230" s="16" t="s">
        <v>198</v>
      </c>
      <c r="J230" s="16" t="s">
        <v>199</v>
      </c>
      <c r="K230" s="16">
        <v>2.6798739999999999</v>
      </c>
      <c r="L230" s="36">
        <v>1906</v>
      </c>
      <c r="M230" s="16">
        <v>390</v>
      </c>
      <c r="N230" s="16">
        <v>457</v>
      </c>
      <c r="O230" s="16">
        <v>580</v>
      </c>
      <c r="P230" s="16">
        <v>353</v>
      </c>
      <c r="Q230" s="16">
        <v>126</v>
      </c>
      <c r="R230" s="16">
        <v>5</v>
      </c>
      <c r="S230" s="16">
        <v>31.360399999999998</v>
      </c>
      <c r="T230" s="16">
        <v>7.1876100000000003</v>
      </c>
      <c r="U230" s="16">
        <v>1.018140413</v>
      </c>
      <c r="V230" s="16">
        <v>2</v>
      </c>
      <c r="W230" s="16">
        <v>0.92138399999999998</v>
      </c>
      <c r="X230" s="16">
        <v>0.128302</v>
      </c>
      <c r="Y230" s="16">
        <v>0.7</v>
      </c>
      <c r="Z230" s="16">
        <v>0.96037700000000004</v>
      </c>
      <c r="AA230" s="37"/>
    </row>
    <row r="231" spans="1:27">
      <c r="A231" s="16" t="s">
        <v>57</v>
      </c>
      <c r="B231" s="16" t="s">
        <v>295</v>
      </c>
      <c r="C231" s="16" t="s">
        <v>296</v>
      </c>
      <c r="D231" s="16" t="s">
        <v>297</v>
      </c>
      <c r="E231" s="16" t="s">
        <v>298</v>
      </c>
      <c r="F231" s="16" t="s">
        <v>299</v>
      </c>
      <c r="G231" s="16" t="s">
        <v>300</v>
      </c>
      <c r="H231" s="16" t="s">
        <v>301</v>
      </c>
      <c r="I231" s="16" t="s">
        <v>198</v>
      </c>
      <c r="J231" s="16" t="s">
        <v>199</v>
      </c>
      <c r="K231" s="16">
        <v>2.6546639999999999</v>
      </c>
      <c r="L231" s="36">
        <v>2823</v>
      </c>
      <c r="M231" s="16">
        <v>641</v>
      </c>
      <c r="N231" s="16">
        <v>739</v>
      </c>
      <c r="O231" s="16">
        <v>830</v>
      </c>
      <c r="P231" s="16">
        <v>404</v>
      </c>
      <c r="Q231" s="16">
        <v>209</v>
      </c>
      <c r="R231" s="16" t="s">
        <v>302</v>
      </c>
      <c r="S231" s="16">
        <v>45.7074</v>
      </c>
      <c r="T231" s="16">
        <v>11.418200000000001</v>
      </c>
      <c r="U231" s="16">
        <v>1.0562853640000001</v>
      </c>
      <c r="V231" s="16">
        <v>3</v>
      </c>
      <c r="W231" s="16">
        <v>0.924512</v>
      </c>
      <c r="X231" s="16">
        <v>0.14513999999999999</v>
      </c>
      <c r="Y231" s="16">
        <v>0.7</v>
      </c>
      <c r="Z231" s="16">
        <v>0.90907099999999996</v>
      </c>
      <c r="AA231" s="37"/>
    </row>
    <row r="232" spans="1:27">
      <c r="A232" s="16"/>
      <c r="B232" s="16"/>
      <c r="C232" s="16"/>
      <c r="D232" s="16"/>
      <c r="E232" s="16"/>
      <c r="F232" s="16"/>
      <c r="G232" s="16"/>
      <c r="H232" s="16"/>
      <c r="I232" s="16"/>
      <c r="J232" s="16"/>
      <c r="K232" s="16">
        <f>MAX(K223:K231)</f>
        <v>3.0207999999999999</v>
      </c>
      <c r="L232" s="36">
        <f>AVERAGE(L223:L231)</f>
        <v>2048.1111111111113</v>
      </c>
      <c r="M232" s="36">
        <f>SUM(M223:M231)</f>
        <v>3837</v>
      </c>
      <c r="N232" s="16"/>
      <c r="O232" s="16"/>
      <c r="P232" s="16"/>
      <c r="Q232" s="36">
        <f>SUM(Q223:Q231)</f>
        <v>1232</v>
      </c>
      <c r="R232" s="16"/>
      <c r="S232" s="16"/>
      <c r="T232" s="16"/>
      <c r="U232" s="16"/>
      <c r="V232" s="16">
        <f>MAX(V223:V231)</f>
        <v>5</v>
      </c>
      <c r="W232" s="16"/>
      <c r="X232" s="16"/>
      <c r="Y232" s="16"/>
      <c r="Z232" s="16"/>
      <c r="AA232" s="37"/>
    </row>
    <row r="233" spans="1:27">
      <c r="A233" s="16" t="s">
        <v>47</v>
      </c>
      <c r="B233" s="16" t="s">
        <v>940</v>
      </c>
      <c r="C233" s="16" t="s">
        <v>941</v>
      </c>
      <c r="D233" s="16" t="s">
        <v>942</v>
      </c>
      <c r="E233" s="16" t="s">
        <v>943</v>
      </c>
      <c r="F233" s="16" t="s">
        <v>944</v>
      </c>
      <c r="G233" s="16" t="s">
        <v>383</v>
      </c>
      <c r="H233" s="16" t="s">
        <v>384</v>
      </c>
      <c r="I233" s="16" t="s">
        <v>198</v>
      </c>
      <c r="J233" s="16" t="s">
        <v>199</v>
      </c>
      <c r="K233" s="16">
        <v>2.7468840000000001</v>
      </c>
      <c r="L233" s="36">
        <v>2228</v>
      </c>
      <c r="M233" s="16">
        <v>219</v>
      </c>
      <c r="N233" s="16">
        <v>717</v>
      </c>
      <c r="O233" s="16">
        <v>676</v>
      </c>
      <c r="P233" s="16">
        <v>380</v>
      </c>
      <c r="Q233" s="16">
        <v>236</v>
      </c>
      <c r="R233" s="16" t="s">
        <v>668</v>
      </c>
      <c r="S233" s="16">
        <v>60.376899999999999</v>
      </c>
      <c r="T233" s="16">
        <v>42.141800000000003</v>
      </c>
      <c r="U233" s="16">
        <v>0.52724459599999995</v>
      </c>
      <c r="V233" s="16">
        <v>9</v>
      </c>
      <c r="W233" s="16">
        <v>1</v>
      </c>
      <c r="X233" s="16">
        <v>9.2447000000000001E-2</v>
      </c>
      <c r="Y233" s="16">
        <v>0.7</v>
      </c>
      <c r="Z233" s="16">
        <v>0.94371300000000002</v>
      </c>
      <c r="AA233" s="37"/>
    </row>
    <row r="234" spans="1:27">
      <c r="A234" s="16" t="s">
        <v>47</v>
      </c>
      <c r="B234" s="16" t="s">
        <v>945</v>
      </c>
      <c r="C234" s="16" t="s">
        <v>946</v>
      </c>
      <c r="D234" s="16" t="s">
        <v>947</v>
      </c>
      <c r="E234" s="16" t="s">
        <v>943</v>
      </c>
      <c r="F234" s="16" t="s">
        <v>944</v>
      </c>
      <c r="G234" s="16" t="s">
        <v>383</v>
      </c>
      <c r="H234" s="16" t="s">
        <v>384</v>
      </c>
      <c r="I234" s="16" t="s">
        <v>198</v>
      </c>
      <c r="J234" s="16" t="s">
        <v>199</v>
      </c>
      <c r="K234" s="16">
        <v>3.0069119999999998</v>
      </c>
      <c r="L234" s="36">
        <v>2451</v>
      </c>
      <c r="M234" s="16">
        <v>458</v>
      </c>
      <c r="N234" s="16">
        <v>613</v>
      </c>
      <c r="O234" s="16">
        <v>607</v>
      </c>
      <c r="P234" s="16">
        <v>480</v>
      </c>
      <c r="Q234" s="16">
        <v>293</v>
      </c>
      <c r="R234" s="16" t="s">
        <v>668</v>
      </c>
      <c r="S234" s="16">
        <v>75.859700000000004</v>
      </c>
      <c r="T234" s="16">
        <v>57.398200000000003</v>
      </c>
      <c r="U234" s="16">
        <v>0.36728011599999999</v>
      </c>
      <c r="V234" s="16">
        <v>9</v>
      </c>
      <c r="W234" s="16">
        <v>1</v>
      </c>
      <c r="X234" s="16">
        <v>0.45023299999999999</v>
      </c>
      <c r="Y234" s="16">
        <v>0.7</v>
      </c>
      <c r="Z234" s="16">
        <v>0.85137600000000002</v>
      </c>
      <c r="AA234" s="37"/>
    </row>
    <row r="235" spans="1:27">
      <c r="A235" s="16" t="s">
        <v>47</v>
      </c>
      <c r="B235" s="16" t="s">
        <v>948</v>
      </c>
      <c r="C235" s="16" t="s">
        <v>949</v>
      </c>
      <c r="D235" s="16" t="s">
        <v>950</v>
      </c>
      <c r="E235" s="16" t="s">
        <v>951</v>
      </c>
      <c r="F235" s="16" t="s">
        <v>952</v>
      </c>
      <c r="G235" s="16" t="s">
        <v>383</v>
      </c>
      <c r="H235" s="16" t="s">
        <v>384</v>
      </c>
      <c r="I235" s="16" t="s">
        <v>198</v>
      </c>
      <c r="J235" s="16" t="s">
        <v>199</v>
      </c>
      <c r="K235" s="16">
        <v>3.120098</v>
      </c>
      <c r="L235" s="36">
        <v>2476</v>
      </c>
      <c r="M235" s="16">
        <v>360</v>
      </c>
      <c r="N235" s="16">
        <v>594</v>
      </c>
      <c r="O235" s="16">
        <v>750</v>
      </c>
      <c r="P235" s="16">
        <v>546</v>
      </c>
      <c r="Q235" s="16">
        <v>226</v>
      </c>
      <c r="R235" s="16" t="s">
        <v>668</v>
      </c>
      <c r="S235" s="16">
        <v>76.498599999999996</v>
      </c>
      <c r="T235" s="16">
        <v>53.675899999999999</v>
      </c>
      <c r="U235" s="16">
        <v>0.55764482299999996</v>
      </c>
      <c r="V235" s="16">
        <v>5</v>
      </c>
      <c r="W235" s="16">
        <v>1</v>
      </c>
      <c r="X235" s="16">
        <v>0.43333300000000002</v>
      </c>
      <c r="Y235" s="16">
        <v>0.7</v>
      </c>
      <c r="Z235" s="16">
        <v>1</v>
      </c>
      <c r="AA235" s="37"/>
    </row>
    <row r="236" spans="1:27">
      <c r="A236" s="16" t="s">
        <v>47</v>
      </c>
      <c r="B236" s="16" t="s">
        <v>953</v>
      </c>
      <c r="C236" s="16" t="s">
        <v>954</v>
      </c>
      <c r="D236" s="16" t="s">
        <v>955</v>
      </c>
      <c r="E236" s="16" t="s">
        <v>951</v>
      </c>
      <c r="F236" s="16" t="s">
        <v>952</v>
      </c>
      <c r="G236" s="16" t="s">
        <v>383</v>
      </c>
      <c r="H236" s="16" t="s">
        <v>384</v>
      </c>
      <c r="I236" s="16" t="s">
        <v>198</v>
      </c>
      <c r="J236" s="16" t="s">
        <v>199</v>
      </c>
      <c r="K236" s="16">
        <v>3.0305559999999998</v>
      </c>
      <c r="L236" s="36">
        <v>2189</v>
      </c>
      <c r="M236" s="16">
        <v>265</v>
      </c>
      <c r="N236" s="16">
        <v>612</v>
      </c>
      <c r="O236" s="16">
        <v>618</v>
      </c>
      <c r="P236" s="16">
        <v>460</v>
      </c>
      <c r="Q236" s="16">
        <v>234</v>
      </c>
      <c r="R236" s="16" t="s">
        <v>668</v>
      </c>
      <c r="S236" s="16">
        <v>70.202100000000002</v>
      </c>
      <c r="T236" s="16">
        <v>60.538699999999999</v>
      </c>
      <c r="U236" s="16">
        <v>0.43048003800000001</v>
      </c>
      <c r="V236" s="16">
        <v>7</v>
      </c>
      <c r="W236" s="16">
        <v>1</v>
      </c>
      <c r="X236" s="16">
        <v>0.35585299999999997</v>
      </c>
      <c r="Y236" s="16">
        <v>0.7</v>
      </c>
      <c r="Z236" s="16">
        <v>0.96448299999999998</v>
      </c>
      <c r="AA236" s="37"/>
    </row>
    <row r="237" spans="1:27">
      <c r="A237" s="16" t="s">
        <v>47</v>
      </c>
      <c r="B237" s="16" t="s">
        <v>1007</v>
      </c>
      <c r="C237" s="16" t="s">
        <v>1008</v>
      </c>
      <c r="D237" s="16" t="s">
        <v>1009</v>
      </c>
      <c r="E237" s="16" t="s">
        <v>951</v>
      </c>
      <c r="F237" s="16" t="s">
        <v>952</v>
      </c>
      <c r="G237" s="16" t="s">
        <v>383</v>
      </c>
      <c r="H237" s="16" t="s">
        <v>384</v>
      </c>
      <c r="I237" s="16" t="s">
        <v>198</v>
      </c>
      <c r="J237" s="16" t="s">
        <v>199</v>
      </c>
      <c r="K237" s="16">
        <v>2.8217110000000001</v>
      </c>
      <c r="L237" s="36">
        <v>1790</v>
      </c>
      <c r="M237" s="16">
        <v>294</v>
      </c>
      <c r="N237" s="16">
        <v>280</v>
      </c>
      <c r="O237" s="16">
        <v>438</v>
      </c>
      <c r="P237" s="16">
        <v>459</v>
      </c>
      <c r="Q237" s="16">
        <v>319</v>
      </c>
      <c r="R237" s="16" t="s">
        <v>668</v>
      </c>
      <c r="S237" s="16">
        <v>76.7714</v>
      </c>
      <c r="T237" s="16">
        <v>45.4831</v>
      </c>
      <c r="U237" s="16">
        <v>0.61386867000000001</v>
      </c>
      <c r="V237" s="16">
        <v>5</v>
      </c>
      <c r="W237" s="16">
        <v>1</v>
      </c>
      <c r="X237" s="16">
        <v>9.2928999999999998E-2</v>
      </c>
      <c r="Y237" s="16">
        <v>0.73501700000000003</v>
      </c>
      <c r="Z237" s="16">
        <v>1</v>
      </c>
      <c r="AA237" s="37"/>
    </row>
    <row r="238" spans="1:27">
      <c r="A238" s="16" t="s">
        <v>47</v>
      </c>
      <c r="B238" s="16" t="s">
        <v>1010</v>
      </c>
      <c r="C238" s="16" t="s">
        <v>1011</v>
      </c>
      <c r="D238" s="16" t="s">
        <v>1012</v>
      </c>
      <c r="E238" s="16" t="s">
        <v>975</v>
      </c>
      <c r="F238" s="16" t="s">
        <v>976</v>
      </c>
      <c r="G238" s="16" t="s">
        <v>383</v>
      </c>
      <c r="H238" s="16" t="s">
        <v>384</v>
      </c>
      <c r="I238" s="16" t="s">
        <v>198</v>
      </c>
      <c r="J238" s="16" t="s">
        <v>199</v>
      </c>
      <c r="K238" s="16">
        <v>2.7634690000000002</v>
      </c>
      <c r="L238" s="36">
        <v>2927</v>
      </c>
      <c r="M238" s="16">
        <v>769</v>
      </c>
      <c r="N238" s="16">
        <v>551</v>
      </c>
      <c r="O238" s="16">
        <v>495</v>
      </c>
      <c r="P238" s="16">
        <v>637</v>
      </c>
      <c r="Q238" s="16">
        <v>475</v>
      </c>
      <c r="R238" s="16">
        <v>5</v>
      </c>
      <c r="S238" s="16">
        <v>46.296700000000001</v>
      </c>
      <c r="T238" s="16">
        <v>13.579499999999999</v>
      </c>
      <c r="U238" s="16">
        <v>1.2173940519999999</v>
      </c>
      <c r="V238" s="16">
        <v>1</v>
      </c>
      <c r="W238" s="16">
        <v>1</v>
      </c>
      <c r="X238" s="16">
        <v>9.4853000000000007E-2</v>
      </c>
      <c r="Y238" s="16">
        <v>0.7</v>
      </c>
      <c r="Z238" s="16">
        <v>0.95970100000000003</v>
      </c>
      <c r="AA238" s="37"/>
    </row>
    <row r="239" spans="1:27">
      <c r="A239" s="16" t="s">
        <v>47</v>
      </c>
      <c r="B239" s="16" t="s">
        <v>1013</v>
      </c>
      <c r="C239" s="16" t="s">
        <v>1014</v>
      </c>
      <c r="D239" s="16" t="s">
        <v>1015</v>
      </c>
      <c r="E239" s="16" t="s">
        <v>975</v>
      </c>
      <c r="F239" s="16" t="s">
        <v>976</v>
      </c>
      <c r="G239" s="16" t="s">
        <v>383</v>
      </c>
      <c r="H239" s="16" t="s">
        <v>384</v>
      </c>
      <c r="I239" s="16" t="s">
        <v>198</v>
      </c>
      <c r="J239" s="16" t="s">
        <v>199</v>
      </c>
      <c r="K239" s="16">
        <v>2.701031</v>
      </c>
      <c r="L239" s="36">
        <v>1711</v>
      </c>
      <c r="M239" s="16">
        <v>365</v>
      </c>
      <c r="N239" s="16">
        <v>329</v>
      </c>
      <c r="O239" s="16">
        <v>348</v>
      </c>
      <c r="P239" s="16">
        <v>374</v>
      </c>
      <c r="Q239" s="16">
        <v>295</v>
      </c>
      <c r="R239" s="16" t="s">
        <v>302</v>
      </c>
      <c r="S239" s="16">
        <v>38.056899999999999</v>
      </c>
      <c r="T239" s="16">
        <v>17.845099999999999</v>
      </c>
      <c r="U239" s="16">
        <v>0.98130928299999998</v>
      </c>
      <c r="V239" s="16">
        <v>3</v>
      </c>
      <c r="W239" s="16">
        <v>1</v>
      </c>
      <c r="X239" s="16">
        <v>1.042E-3</v>
      </c>
      <c r="Y239" s="16">
        <v>0.7</v>
      </c>
      <c r="Z239" s="16">
        <v>1</v>
      </c>
      <c r="AA239" s="37"/>
    </row>
    <row r="240" spans="1:27">
      <c r="A240" s="16" t="s">
        <v>47</v>
      </c>
      <c r="B240" s="16" t="s">
        <v>1016</v>
      </c>
      <c r="C240" s="16" t="s">
        <v>1017</v>
      </c>
      <c r="D240" s="16" t="s">
        <v>1018</v>
      </c>
      <c r="E240" s="16" t="s">
        <v>975</v>
      </c>
      <c r="F240" s="16" t="s">
        <v>976</v>
      </c>
      <c r="G240" s="16" t="s">
        <v>383</v>
      </c>
      <c r="H240" s="16" t="s">
        <v>384</v>
      </c>
      <c r="I240" s="16" t="s">
        <v>198</v>
      </c>
      <c r="J240" s="16" t="s">
        <v>199</v>
      </c>
      <c r="K240" s="16">
        <v>2.7010640000000001</v>
      </c>
      <c r="L240" s="36">
        <v>1953</v>
      </c>
      <c r="M240" s="16">
        <v>505</v>
      </c>
      <c r="N240" s="16">
        <v>412</v>
      </c>
      <c r="O240" s="16">
        <v>389</v>
      </c>
      <c r="P240" s="16">
        <v>416</v>
      </c>
      <c r="Q240" s="16">
        <v>231</v>
      </c>
      <c r="R240" s="16" t="s">
        <v>302</v>
      </c>
      <c r="S240" s="16">
        <v>44.689599999999999</v>
      </c>
      <c r="T240" s="16">
        <v>4.1519599999999999</v>
      </c>
      <c r="U240" s="16">
        <v>1.1752431029999999</v>
      </c>
      <c r="V240" s="16">
        <v>2</v>
      </c>
      <c r="W240" s="16">
        <v>1</v>
      </c>
      <c r="X240" s="16">
        <v>1.0640000000000001E-3</v>
      </c>
      <c r="Y240" s="16">
        <v>0.7</v>
      </c>
      <c r="Z240" s="16">
        <v>1</v>
      </c>
      <c r="AA240" s="37"/>
    </row>
    <row r="241" spans="1:27">
      <c r="A241" s="16" t="s">
        <v>47</v>
      </c>
      <c r="B241" s="16" t="s">
        <v>972</v>
      </c>
      <c r="C241" s="16" t="s">
        <v>973</v>
      </c>
      <c r="D241" s="16" t="s">
        <v>974</v>
      </c>
      <c r="E241" s="16" t="s">
        <v>975</v>
      </c>
      <c r="F241" s="16" t="s">
        <v>976</v>
      </c>
      <c r="G241" s="16" t="s">
        <v>383</v>
      </c>
      <c r="H241" s="16" t="s">
        <v>384</v>
      </c>
      <c r="I241" s="16" t="s">
        <v>198</v>
      </c>
      <c r="J241" s="16" t="s">
        <v>199</v>
      </c>
      <c r="K241" s="16">
        <v>2.9767299999999999</v>
      </c>
      <c r="L241" s="36">
        <v>1448</v>
      </c>
      <c r="M241" s="16">
        <v>167</v>
      </c>
      <c r="N241" s="16">
        <v>336</v>
      </c>
      <c r="O241" s="16">
        <v>424</v>
      </c>
      <c r="P241" s="16">
        <v>378</v>
      </c>
      <c r="Q241" s="16">
        <v>143</v>
      </c>
      <c r="R241" s="16" t="s">
        <v>668</v>
      </c>
      <c r="S241" s="16">
        <v>64.331000000000003</v>
      </c>
      <c r="T241" s="16">
        <v>44.5242</v>
      </c>
      <c r="U241" s="16">
        <v>0.95845841899999995</v>
      </c>
      <c r="V241" s="16">
        <v>2</v>
      </c>
      <c r="W241" s="16">
        <v>1</v>
      </c>
      <c r="X241" s="16">
        <v>0.25822800000000001</v>
      </c>
      <c r="Y241" s="16">
        <v>0.7</v>
      </c>
      <c r="Z241" s="16">
        <v>1</v>
      </c>
      <c r="AA241" s="37"/>
    </row>
    <row r="242" spans="1:27">
      <c r="A242" s="16"/>
      <c r="B242" s="16"/>
      <c r="C242" s="16"/>
      <c r="D242" s="16"/>
      <c r="E242" s="16"/>
      <c r="F242" s="16"/>
      <c r="G242" s="16"/>
      <c r="H242" s="16"/>
      <c r="I242" s="16"/>
      <c r="J242" s="16"/>
      <c r="K242" s="16">
        <f>MEDIAN(K233:K241)</f>
        <v>2.8217110000000001</v>
      </c>
      <c r="L242" s="36">
        <f>AVERAGE(L233:L241)</f>
        <v>2130.3333333333335</v>
      </c>
      <c r="M242" s="16">
        <f t="shared" ref="M242:Q242" si="24">SUM(M233:M241)</f>
        <v>3402</v>
      </c>
      <c r="N242" s="16">
        <f t="shared" si="24"/>
        <v>4444</v>
      </c>
      <c r="O242" s="16">
        <f t="shared" si="24"/>
        <v>4745</v>
      </c>
      <c r="P242" s="16">
        <f t="shared" si="24"/>
        <v>4130</v>
      </c>
      <c r="Q242" s="16">
        <f t="shared" si="24"/>
        <v>2452</v>
      </c>
      <c r="R242" s="16">
        <f t="shared" ref="R242:U242" si="25">MIN(R233:R241)</f>
        <v>5</v>
      </c>
      <c r="S242" s="16">
        <f t="shared" si="25"/>
        <v>38.056899999999999</v>
      </c>
      <c r="T242" s="16">
        <f t="shared" si="25"/>
        <v>4.1519599999999999</v>
      </c>
      <c r="U242" s="16">
        <f t="shared" si="25"/>
        <v>0.36728011599999999</v>
      </c>
      <c r="V242" s="16">
        <f>MEDIAN(V233:V241)</f>
        <v>5</v>
      </c>
      <c r="W242" s="16"/>
      <c r="X242" s="16"/>
      <c r="Y242" s="16"/>
      <c r="Z242" s="16"/>
      <c r="AA242" s="37"/>
    </row>
    <row r="243" spans="1:27">
      <c r="A243" s="16" t="s">
        <v>48</v>
      </c>
      <c r="B243" s="16" t="s">
        <v>1019</v>
      </c>
      <c r="C243" s="16" t="s">
        <v>1020</v>
      </c>
      <c r="D243" s="16" t="s">
        <v>1021</v>
      </c>
      <c r="E243" s="16" t="s">
        <v>951</v>
      </c>
      <c r="F243" s="16" t="s">
        <v>952</v>
      </c>
      <c r="G243" s="16" t="s">
        <v>383</v>
      </c>
      <c r="H243" s="16" t="s">
        <v>384</v>
      </c>
      <c r="I243" s="16" t="s">
        <v>198</v>
      </c>
      <c r="J243" s="16" t="s">
        <v>199</v>
      </c>
      <c r="K243" s="16">
        <v>3.1501519999999998</v>
      </c>
      <c r="L243" s="36">
        <v>1809</v>
      </c>
      <c r="M243" s="16">
        <v>197</v>
      </c>
      <c r="N243" s="16">
        <v>724</v>
      </c>
      <c r="O243" s="16">
        <v>463</v>
      </c>
      <c r="P243" s="16">
        <v>257</v>
      </c>
      <c r="Q243" s="16">
        <v>168</v>
      </c>
      <c r="R243" s="16" t="s">
        <v>668</v>
      </c>
      <c r="S243" s="16">
        <v>66.372200000000007</v>
      </c>
      <c r="T243" s="16">
        <v>54.127299999999998</v>
      </c>
      <c r="U243" s="16">
        <v>0.51519706799999998</v>
      </c>
      <c r="V243" s="16">
        <v>6</v>
      </c>
      <c r="W243" s="16">
        <v>1</v>
      </c>
      <c r="X243" s="16">
        <v>0.36886200000000002</v>
      </c>
      <c r="Y243" s="16">
        <v>0.79545500000000002</v>
      </c>
      <c r="Z243" s="16">
        <v>1</v>
      </c>
      <c r="AA243" s="37"/>
    </row>
    <row r="244" spans="1:27">
      <c r="A244" s="16" t="s">
        <v>48</v>
      </c>
      <c r="B244" s="16" t="s">
        <v>948</v>
      </c>
      <c r="C244" s="16" t="s">
        <v>949</v>
      </c>
      <c r="D244" s="16" t="s">
        <v>950</v>
      </c>
      <c r="E244" s="16" t="s">
        <v>951</v>
      </c>
      <c r="F244" s="16" t="s">
        <v>952</v>
      </c>
      <c r="G244" s="16" t="s">
        <v>383</v>
      </c>
      <c r="H244" s="16" t="s">
        <v>384</v>
      </c>
      <c r="I244" s="16" t="s">
        <v>198</v>
      </c>
      <c r="J244" s="16" t="s">
        <v>199</v>
      </c>
      <c r="K244" s="16">
        <v>3.120098</v>
      </c>
      <c r="L244" s="36">
        <v>2476</v>
      </c>
      <c r="M244" s="16">
        <v>360</v>
      </c>
      <c r="N244" s="16">
        <v>594</v>
      </c>
      <c r="O244" s="16">
        <v>750</v>
      </c>
      <c r="P244" s="16">
        <v>546</v>
      </c>
      <c r="Q244" s="16">
        <v>226</v>
      </c>
      <c r="R244" s="16" t="s">
        <v>668</v>
      </c>
      <c r="S244" s="16">
        <v>76.498599999999996</v>
      </c>
      <c r="T244" s="16">
        <v>53.675899999999999</v>
      </c>
      <c r="U244" s="16">
        <v>0.55764482299999996</v>
      </c>
      <c r="V244" s="16">
        <v>5</v>
      </c>
      <c r="W244" s="16">
        <v>1</v>
      </c>
      <c r="X244" s="16">
        <v>0.43333300000000002</v>
      </c>
      <c r="Y244" s="16">
        <v>0.7</v>
      </c>
      <c r="Z244" s="16">
        <v>1</v>
      </c>
      <c r="AA244" s="37"/>
    </row>
    <row r="245" spans="1:27">
      <c r="A245" s="16" t="s">
        <v>48</v>
      </c>
      <c r="B245" s="16" t="s">
        <v>1007</v>
      </c>
      <c r="C245" s="16" t="s">
        <v>1008</v>
      </c>
      <c r="D245" s="16" t="s">
        <v>1009</v>
      </c>
      <c r="E245" s="16" t="s">
        <v>951</v>
      </c>
      <c r="F245" s="16" t="s">
        <v>952</v>
      </c>
      <c r="G245" s="16" t="s">
        <v>383</v>
      </c>
      <c r="H245" s="16" t="s">
        <v>384</v>
      </c>
      <c r="I245" s="16" t="s">
        <v>198</v>
      </c>
      <c r="J245" s="16" t="s">
        <v>199</v>
      </c>
      <c r="K245" s="16">
        <v>2.8217110000000001</v>
      </c>
      <c r="L245" s="36">
        <v>1790</v>
      </c>
      <c r="M245" s="16">
        <v>294</v>
      </c>
      <c r="N245" s="16">
        <v>280</v>
      </c>
      <c r="O245" s="16">
        <v>438</v>
      </c>
      <c r="P245" s="16">
        <v>459</v>
      </c>
      <c r="Q245" s="16">
        <v>319</v>
      </c>
      <c r="R245" s="16" t="s">
        <v>668</v>
      </c>
      <c r="S245" s="16">
        <v>76.7714</v>
      </c>
      <c r="T245" s="16">
        <v>45.4831</v>
      </c>
      <c r="U245" s="16">
        <v>0.61386867000000001</v>
      </c>
      <c r="V245" s="16">
        <v>5</v>
      </c>
      <c r="W245" s="16">
        <v>1</v>
      </c>
      <c r="X245" s="16">
        <v>9.2928999999999998E-2</v>
      </c>
      <c r="Y245" s="16">
        <v>0.73501700000000003</v>
      </c>
      <c r="Z245" s="16">
        <v>1</v>
      </c>
      <c r="AA245" s="37"/>
    </row>
    <row r="246" spans="1:27">
      <c r="A246" s="16" t="s">
        <v>48</v>
      </c>
      <c r="B246" s="16" t="s">
        <v>1022</v>
      </c>
      <c r="C246" s="16" t="s">
        <v>1023</v>
      </c>
      <c r="D246" s="16" t="s">
        <v>1024</v>
      </c>
      <c r="E246" s="16" t="s">
        <v>1025</v>
      </c>
      <c r="F246" s="16" t="s">
        <v>1026</v>
      </c>
      <c r="G246" s="16" t="s">
        <v>383</v>
      </c>
      <c r="H246" s="16" t="s">
        <v>384</v>
      </c>
      <c r="I246" s="16" t="s">
        <v>198</v>
      </c>
      <c r="J246" s="16" t="s">
        <v>199</v>
      </c>
      <c r="K246" s="16">
        <v>3.099405</v>
      </c>
      <c r="L246" s="36">
        <v>1509</v>
      </c>
      <c r="M246" s="16">
        <v>234</v>
      </c>
      <c r="N246" s="16">
        <v>230</v>
      </c>
      <c r="O246" s="16">
        <v>367</v>
      </c>
      <c r="P246" s="16">
        <v>365</v>
      </c>
      <c r="Q246" s="16">
        <v>313</v>
      </c>
      <c r="R246" s="16" t="s">
        <v>668</v>
      </c>
      <c r="S246" s="16">
        <v>66.874700000000004</v>
      </c>
      <c r="T246" s="16">
        <v>41.834400000000002</v>
      </c>
      <c r="U246" s="16">
        <v>0.36504526999999998</v>
      </c>
      <c r="V246" s="16">
        <v>8</v>
      </c>
      <c r="W246" s="16">
        <v>1</v>
      </c>
      <c r="X246" s="16">
        <v>0.27321400000000001</v>
      </c>
      <c r="Y246" s="16">
        <v>0.8</v>
      </c>
      <c r="Z246" s="16">
        <v>1</v>
      </c>
      <c r="AA246" s="37"/>
    </row>
    <row r="247" spans="1:27">
      <c r="A247" s="16" t="s">
        <v>48</v>
      </c>
      <c r="B247" s="16" t="s">
        <v>1027</v>
      </c>
      <c r="C247" s="16" t="s">
        <v>1028</v>
      </c>
      <c r="D247" s="16" t="s">
        <v>1029</v>
      </c>
      <c r="E247" s="16" t="s">
        <v>1025</v>
      </c>
      <c r="F247" s="16" t="s">
        <v>1026</v>
      </c>
      <c r="G247" s="16" t="s">
        <v>383</v>
      </c>
      <c r="H247" s="16" t="s">
        <v>384</v>
      </c>
      <c r="I247" s="16" t="s">
        <v>198</v>
      </c>
      <c r="J247" s="16" t="s">
        <v>199</v>
      </c>
      <c r="K247" s="16">
        <v>3.0717650000000001</v>
      </c>
      <c r="L247" s="36">
        <v>1946</v>
      </c>
      <c r="M247" s="16">
        <v>287</v>
      </c>
      <c r="N247" s="16">
        <v>732</v>
      </c>
      <c r="O247" s="16">
        <v>429</v>
      </c>
      <c r="P247" s="16">
        <v>272</v>
      </c>
      <c r="Q247" s="16">
        <v>226</v>
      </c>
      <c r="R247" s="16" t="s">
        <v>668</v>
      </c>
      <c r="S247" s="16">
        <v>65.553399999999996</v>
      </c>
      <c r="T247" s="16">
        <v>50.591200000000001</v>
      </c>
      <c r="U247" s="16">
        <v>0.62210847800000002</v>
      </c>
      <c r="V247" s="16">
        <v>5</v>
      </c>
      <c r="W247" s="16">
        <v>1</v>
      </c>
      <c r="X247" s="16">
        <v>0.32031300000000001</v>
      </c>
      <c r="Y247" s="16">
        <v>0.76305199999999995</v>
      </c>
      <c r="Z247" s="16">
        <v>1</v>
      </c>
      <c r="AA247" s="37"/>
    </row>
    <row r="248" spans="1:27">
      <c r="A248" s="16" t="s">
        <v>48</v>
      </c>
      <c r="B248" s="16" t="s">
        <v>1030</v>
      </c>
      <c r="C248" s="16" t="s">
        <v>1031</v>
      </c>
      <c r="D248" s="16" t="s">
        <v>1032</v>
      </c>
      <c r="E248" s="16" t="s">
        <v>1025</v>
      </c>
      <c r="F248" s="16" t="s">
        <v>1026</v>
      </c>
      <c r="G248" s="16" t="s">
        <v>383</v>
      </c>
      <c r="H248" s="16" t="s">
        <v>384</v>
      </c>
      <c r="I248" s="16" t="s">
        <v>198</v>
      </c>
      <c r="J248" s="16" t="s">
        <v>199</v>
      </c>
      <c r="K248" s="16">
        <v>2.941176</v>
      </c>
      <c r="L248" s="36">
        <v>1609</v>
      </c>
      <c r="M248" s="16">
        <v>222</v>
      </c>
      <c r="N248" s="16">
        <v>285</v>
      </c>
      <c r="O248" s="16">
        <v>538</v>
      </c>
      <c r="P248" s="16">
        <v>340</v>
      </c>
      <c r="Q248" s="16">
        <v>224</v>
      </c>
      <c r="R248" s="16" t="s">
        <v>668</v>
      </c>
      <c r="S248" s="16">
        <v>57.3142</v>
      </c>
      <c r="T248" s="16">
        <v>50.459699999999998</v>
      </c>
      <c r="U248" s="16">
        <v>0.75975180200000003</v>
      </c>
      <c r="V248" s="16">
        <v>4</v>
      </c>
      <c r="W248" s="16">
        <v>1</v>
      </c>
      <c r="X248" s="16">
        <v>0.108081</v>
      </c>
      <c r="Y248" s="16">
        <v>0.8</v>
      </c>
      <c r="Z248" s="16">
        <v>1</v>
      </c>
      <c r="AA248" s="37"/>
    </row>
    <row r="249" spans="1:27">
      <c r="A249" s="16" t="s">
        <v>48</v>
      </c>
      <c r="B249" s="16" t="s">
        <v>1033</v>
      </c>
      <c r="C249" s="16" t="s">
        <v>1034</v>
      </c>
      <c r="D249" s="16" t="s">
        <v>1035</v>
      </c>
      <c r="E249" s="16" t="s">
        <v>1036</v>
      </c>
      <c r="F249" s="16" t="s">
        <v>1037</v>
      </c>
      <c r="G249" s="16" t="s">
        <v>383</v>
      </c>
      <c r="H249" s="16" t="s">
        <v>384</v>
      </c>
      <c r="I249" s="16" t="s">
        <v>198</v>
      </c>
      <c r="J249" s="16" t="s">
        <v>199</v>
      </c>
      <c r="K249" s="16">
        <v>2.731773</v>
      </c>
      <c r="L249" s="36">
        <v>1724</v>
      </c>
      <c r="M249" s="16">
        <v>285</v>
      </c>
      <c r="N249" s="16">
        <v>462</v>
      </c>
      <c r="O249" s="16">
        <v>383</v>
      </c>
      <c r="P249" s="16">
        <v>406</v>
      </c>
      <c r="Q249" s="16">
        <v>188</v>
      </c>
      <c r="R249" s="16">
        <v>5</v>
      </c>
      <c r="S249" s="16">
        <v>66.064800000000005</v>
      </c>
      <c r="T249" s="16">
        <v>0</v>
      </c>
      <c r="U249" s="16">
        <v>0.61501092599999996</v>
      </c>
      <c r="V249" s="16">
        <v>6</v>
      </c>
      <c r="W249" s="16">
        <v>0.99863100000000005</v>
      </c>
      <c r="X249" s="16">
        <v>0.26862599999999998</v>
      </c>
      <c r="Y249" s="16">
        <v>0.71981399999999995</v>
      </c>
      <c r="Z249" s="16">
        <v>0.74482800000000005</v>
      </c>
      <c r="AA249" s="37"/>
    </row>
    <row r="250" spans="1:27">
      <c r="A250" s="16" t="s">
        <v>48</v>
      </c>
      <c r="B250" s="16" t="s">
        <v>1038</v>
      </c>
      <c r="C250" s="16" t="s">
        <v>1039</v>
      </c>
      <c r="D250" s="16" t="s">
        <v>1040</v>
      </c>
      <c r="E250" s="16" t="s">
        <v>967</v>
      </c>
      <c r="F250" s="16" t="s">
        <v>968</v>
      </c>
      <c r="G250" s="16" t="s">
        <v>383</v>
      </c>
      <c r="H250" s="16" t="s">
        <v>384</v>
      </c>
      <c r="I250" s="16" t="s">
        <v>198</v>
      </c>
      <c r="J250" s="16" t="s">
        <v>199</v>
      </c>
      <c r="K250" s="16">
        <v>2.9827590000000002</v>
      </c>
      <c r="L250" s="36">
        <v>2776</v>
      </c>
      <c r="M250" s="16">
        <v>360</v>
      </c>
      <c r="N250" s="16">
        <v>548</v>
      </c>
      <c r="O250" s="16">
        <v>709</v>
      </c>
      <c r="P250" s="16">
        <v>755</v>
      </c>
      <c r="Q250" s="16">
        <v>404</v>
      </c>
      <c r="R250" s="16" t="s">
        <v>668</v>
      </c>
      <c r="S250" s="16">
        <v>76.297899999999998</v>
      </c>
      <c r="T250" s="16">
        <v>40.358800000000002</v>
      </c>
      <c r="U250" s="16">
        <v>0.39535223800000002</v>
      </c>
      <c r="V250" s="16">
        <v>8</v>
      </c>
      <c r="W250" s="16">
        <v>1</v>
      </c>
      <c r="X250" s="16">
        <v>0.226773</v>
      </c>
      <c r="Y250" s="16">
        <v>0.77692300000000003</v>
      </c>
      <c r="Z250" s="16">
        <v>1</v>
      </c>
      <c r="AA250" s="37"/>
    </row>
    <row r="251" spans="1:27">
      <c r="A251" s="16" t="s">
        <v>48</v>
      </c>
      <c r="B251" s="16" t="s">
        <v>1041</v>
      </c>
      <c r="C251" s="16" t="s">
        <v>1042</v>
      </c>
      <c r="D251" s="16" t="s">
        <v>1043</v>
      </c>
      <c r="E251" s="16" t="s">
        <v>1025</v>
      </c>
      <c r="F251" s="16" t="s">
        <v>1026</v>
      </c>
      <c r="G251" s="16" t="s">
        <v>383</v>
      </c>
      <c r="H251" s="16" t="s">
        <v>384</v>
      </c>
      <c r="I251" s="16" t="s">
        <v>198</v>
      </c>
      <c r="J251" s="16" t="s">
        <v>199</v>
      </c>
      <c r="K251" s="16">
        <v>2.96461</v>
      </c>
      <c r="L251" s="36">
        <v>1346</v>
      </c>
      <c r="M251" s="16">
        <v>142</v>
      </c>
      <c r="N251" s="16">
        <v>357</v>
      </c>
      <c r="O251" s="16">
        <v>343</v>
      </c>
      <c r="P251" s="16">
        <v>297</v>
      </c>
      <c r="Q251" s="16">
        <v>207</v>
      </c>
      <c r="R251" s="16" t="s">
        <v>668</v>
      </c>
      <c r="S251" s="16">
        <v>76.215400000000002</v>
      </c>
      <c r="T251" s="16">
        <v>42.8611</v>
      </c>
      <c r="U251" s="16">
        <v>0.72315726999999996</v>
      </c>
      <c r="V251" s="16">
        <v>3</v>
      </c>
      <c r="W251" s="16">
        <v>1</v>
      </c>
      <c r="X251" s="16">
        <v>0.26418199999999997</v>
      </c>
      <c r="Y251" s="16">
        <v>0.70047800000000005</v>
      </c>
      <c r="Z251" s="16">
        <v>1</v>
      </c>
      <c r="AA251" s="37"/>
    </row>
    <row r="252" spans="1:27">
      <c r="A252" s="16"/>
      <c r="B252" s="16"/>
      <c r="C252" s="16"/>
      <c r="D252" s="16"/>
      <c r="E252" s="16"/>
      <c r="F252" s="16"/>
      <c r="G252" s="16"/>
      <c r="H252" s="16"/>
      <c r="I252" s="16"/>
      <c r="J252" s="16"/>
      <c r="K252" s="16">
        <f>MEDIAN(K243:K251)</f>
        <v>2.9827590000000002</v>
      </c>
      <c r="L252" s="36">
        <f>AVERAGE(L243:L251)</f>
        <v>1887.2222222222222</v>
      </c>
      <c r="M252" s="16">
        <f t="shared" ref="M252:Q252" si="26">SUM(M243:M251)</f>
        <v>2381</v>
      </c>
      <c r="N252" s="16">
        <f t="shared" si="26"/>
        <v>4212</v>
      </c>
      <c r="O252" s="16">
        <f t="shared" si="26"/>
        <v>4420</v>
      </c>
      <c r="P252" s="16">
        <f t="shared" si="26"/>
        <v>3697</v>
      </c>
      <c r="Q252" s="16">
        <f t="shared" si="26"/>
        <v>2275</v>
      </c>
      <c r="R252" s="16">
        <f t="shared" ref="R252:U252" si="27">MIN(R243:R251)</f>
        <v>5</v>
      </c>
      <c r="S252" s="16">
        <f t="shared" si="27"/>
        <v>57.3142</v>
      </c>
      <c r="T252" s="16">
        <f t="shared" si="27"/>
        <v>0</v>
      </c>
      <c r="U252" s="16">
        <f t="shared" si="27"/>
        <v>0.36504526999999998</v>
      </c>
      <c r="V252" s="16">
        <f>MEDIAN(V243:V251)</f>
        <v>5</v>
      </c>
      <c r="W252" s="16"/>
      <c r="X252" s="16"/>
      <c r="Y252" s="16"/>
      <c r="Z252" s="16"/>
      <c r="AA252" s="37"/>
    </row>
    <row r="253" spans="1:27">
      <c r="A253" s="16" t="s">
        <v>49</v>
      </c>
      <c r="B253" s="16" t="s">
        <v>1044</v>
      </c>
      <c r="C253" s="16" t="s">
        <v>1045</v>
      </c>
      <c r="D253" s="16" t="s">
        <v>1046</v>
      </c>
      <c r="E253" s="16" t="s">
        <v>1047</v>
      </c>
      <c r="F253" s="16" t="s">
        <v>1048</v>
      </c>
      <c r="G253" s="16" t="s">
        <v>1049</v>
      </c>
      <c r="H253" s="16" t="s">
        <v>1050</v>
      </c>
      <c r="I253" s="16" t="s">
        <v>198</v>
      </c>
      <c r="J253" s="16" t="s">
        <v>199</v>
      </c>
      <c r="K253" s="16">
        <v>2.7988810000000002</v>
      </c>
      <c r="L253" s="36">
        <v>1962</v>
      </c>
      <c r="M253" s="16">
        <v>312</v>
      </c>
      <c r="N253" s="16">
        <v>517</v>
      </c>
      <c r="O253" s="16">
        <v>497</v>
      </c>
      <c r="P253" s="16">
        <v>384</v>
      </c>
      <c r="Q253" s="16">
        <v>252</v>
      </c>
      <c r="R253" s="16">
        <v>5</v>
      </c>
      <c r="S253" s="16">
        <v>26.026900000000001</v>
      </c>
      <c r="T253" s="16">
        <v>17.461200000000002</v>
      </c>
      <c r="U253" s="16">
        <v>0.47439204800000001</v>
      </c>
      <c r="V253" s="16">
        <v>7</v>
      </c>
      <c r="W253" s="16">
        <v>0.96753699999999998</v>
      </c>
      <c r="X253" s="16">
        <v>0.119245</v>
      </c>
      <c r="Y253" s="16">
        <v>0.8</v>
      </c>
      <c r="Z253" s="16">
        <v>0.9</v>
      </c>
      <c r="AA253" s="37"/>
    </row>
    <row r="254" spans="1:27">
      <c r="A254" s="16" t="s">
        <v>49</v>
      </c>
      <c r="B254" s="16" t="s">
        <v>1051</v>
      </c>
      <c r="C254" s="16" t="s">
        <v>1052</v>
      </c>
      <c r="D254" s="16" t="s">
        <v>1053</v>
      </c>
      <c r="E254" s="16" t="s">
        <v>1054</v>
      </c>
      <c r="F254" s="16" t="s">
        <v>1055</v>
      </c>
      <c r="G254" s="16" t="s">
        <v>1049</v>
      </c>
      <c r="H254" s="16" t="s">
        <v>1050</v>
      </c>
      <c r="I254" s="16" t="s">
        <v>198</v>
      </c>
      <c r="J254" s="16" t="s">
        <v>199</v>
      </c>
      <c r="K254" s="16">
        <v>3.0623809999999998</v>
      </c>
      <c r="L254" s="36">
        <v>1357</v>
      </c>
      <c r="M254" s="16">
        <v>172</v>
      </c>
      <c r="N254" s="16">
        <v>313</v>
      </c>
      <c r="O254" s="16">
        <v>398</v>
      </c>
      <c r="P254" s="16">
        <v>298</v>
      </c>
      <c r="Q254" s="16">
        <v>176</v>
      </c>
      <c r="R254" s="16" t="s">
        <v>302</v>
      </c>
      <c r="S254" s="16">
        <v>34.552900000000001</v>
      </c>
      <c r="T254" s="16">
        <v>24.914300000000001</v>
      </c>
      <c r="U254" s="16">
        <v>0.45747183000000002</v>
      </c>
      <c r="V254" s="16">
        <v>5</v>
      </c>
      <c r="W254" s="16">
        <v>0.95952400000000004</v>
      </c>
      <c r="X254" s="16">
        <v>0.39134600000000003</v>
      </c>
      <c r="Y254" s="16">
        <v>0.8</v>
      </c>
      <c r="Z254" s="16">
        <v>0.9</v>
      </c>
      <c r="AA254" s="37"/>
    </row>
    <row r="255" spans="1:27">
      <c r="A255" s="16" t="s">
        <v>49</v>
      </c>
      <c r="B255" s="16" t="s">
        <v>1056</v>
      </c>
      <c r="C255" s="16" t="s">
        <v>1057</v>
      </c>
      <c r="D255" s="16" t="s">
        <v>1058</v>
      </c>
      <c r="E255" s="16" t="s">
        <v>1059</v>
      </c>
      <c r="F255" s="16" t="s">
        <v>1060</v>
      </c>
      <c r="G255" s="16" t="s">
        <v>1049</v>
      </c>
      <c r="H255" s="16" t="s">
        <v>1050</v>
      </c>
      <c r="I255" s="16" t="s">
        <v>198</v>
      </c>
      <c r="J255" s="16" t="s">
        <v>199</v>
      </c>
      <c r="K255" s="16">
        <v>2.8736060000000001</v>
      </c>
      <c r="L255" s="36">
        <v>1868</v>
      </c>
      <c r="M255" s="16">
        <v>224</v>
      </c>
      <c r="N255" s="16">
        <v>367</v>
      </c>
      <c r="O255" s="16">
        <v>521</v>
      </c>
      <c r="P255" s="16">
        <v>451</v>
      </c>
      <c r="Q255" s="16">
        <v>305</v>
      </c>
      <c r="R255" s="16" t="s">
        <v>302</v>
      </c>
      <c r="S255" s="16">
        <v>45.134999999999998</v>
      </c>
      <c r="T255" s="16">
        <v>24.783100000000001</v>
      </c>
      <c r="U255" s="16">
        <v>0.47611172800000001</v>
      </c>
      <c r="V255" s="16">
        <v>7</v>
      </c>
      <c r="W255" s="16">
        <v>1</v>
      </c>
      <c r="X255" s="16">
        <v>0.188497</v>
      </c>
      <c r="Y255" s="16">
        <v>0.7</v>
      </c>
      <c r="Z255" s="16">
        <v>1</v>
      </c>
      <c r="AA255" s="37"/>
    </row>
    <row r="256" spans="1:27">
      <c r="A256" s="16" t="s">
        <v>49</v>
      </c>
      <c r="B256" s="16" t="s">
        <v>1061</v>
      </c>
      <c r="C256" s="16" t="s">
        <v>1062</v>
      </c>
      <c r="D256" s="16" t="s">
        <v>1063</v>
      </c>
      <c r="E256" s="16" t="s">
        <v>1059</v>
      </c>
      <c r="F256" s="16" t="s">
        <v>1060</v>
      </c>
      <c r="G256" s="16" t="s">
        <v>1049</v>
      </c>
      <c r="H256" s="16" t="s">
        <v>1050</v>
      </c>
      <c r="I256" s="16" t="s">
        <v>198</v>
      </c>
      <c r="J256" s="16" t="s">
        <v>199</v>
      </c>
      <c r="K256" s="16">
        <v>2.8940160000000001</v>
      </c>
      <c r="L256" s="36">
        <v>1463</v>
      </c>
      <c r="M256" s="16">
        <v>218</v>
      </c>
      <c r="N256" s="16">
        <v>282</v>
      </c>
      <c r="O256" s="16">
        <v>369</v>
      </c>
      <c r="P256" s="16">
        <v>330</v>
      </c>
      <c r="Q256" s="16">
        <v>264</v>
      </c>
      <c r="R256" s="16" t="s">
        <v>302</v>
      </c>
      <c r="S256" s="16">
        <v>37.480800000000002</v>
      </c>
      <c r="T256" s="16">
        <v>14.1591</v>
      </c>
      <c r="U256" s="16">
        <v>0.418962905</v>
      </c>
      <c r="V256" s="16">
        <v>8</v>
      </c>
      <c r="W256" s="16">
        <v>1</v>
      </c>
      <c r="X256" s="16">
        <v>0.198125</v>
      </c>
      <c r="Y256" s="16">
        <v>0.7</v>
      </c>
      <c r="Z256" s="16">
        <v>1</v>
      </c>
      <c r="AA256" s="37"/>
    </row>
    <row r="257" spans="1:27">
      <c r="A257" s="16" t="s">
        <v>49</v>
      </c>
      <c r="B257" s="16" t="s">
        <v>1064</v>
      </c>
      <c r="C257" s="16" t="s">
        <v>1065</v>
      </c>
      <c r="D257" s="16" t="s">
        <v>1066</v>
      </c>
      <c r="E257" s="16" t="s">
        <v>1067</v>
      </c>
      <c r="F257" s="16" t="s">
        <v>1068</v>
      </c>
      <c r="G257" s="16" t="s">
        <v>1049</v>
      </c>
      <c r="H257" s="16" t="s">
        <v>1050</v>
      </c>
      <c r="I257" s="16" t="s">
        <v>198</v>
      </c>
      <c r="J257" s="16" t="s">
        <v>199</v>
      </c>
      <c r="K257" s="16">
        <v>2.8302</v>
      </c>
      <c r="L257" s="36">
        <v>1387</v>
      </c>
      <c r="M257" s="16">
        <v>255</v>
      </c>
      <c r="N257" s="16">
        <v>251</v>
      </c>
      <c r="O257" s="16">
        <v>414</v>
      </c>
      <c r="P257" s="16">
        <v>309</v>
      </c>
      <c r="Q257" s="16">
        <v>158</v>
      </c>
      <c r="R257" s="16" t="s">
        <v>302</v>
      </c>
      <c r="S257" s="16">
        <v>40.573599999999999</v>
      </c>
      <c r="T257" s="16">
        <v>23.3415</v>
      </c>
      <c r="U257" s="16">
        <v>0.41774633300000003</v>
      </c>
      <c r="V257" s="16">
        <v>8</v>
      </c>
      <c r="W257" s="16">
        <v>1</v>
      </c>
      <c r="X257" s="16">
        <v>0.20715700000000001</v>
      </c>
      <c r="Y257" s="16">
        <v>0.7</v>
      </c>
      <c r="Z257" s="16">
        <v>0.93433100000000002</v>
      </c>
      <c r="AA257" s="37"/>
    </row>
    <row r="258" spans="1:27">
      <c r="A258" s="16" t="s">
        <v>49</v>
      </c>
      <c r="B258" s="16" t="s">
        <v>1069</v>
      </c>
      <c r="C258" s="16" t="s">
        <v>1070</v>
      </c>
      <c r="D258" s="16" t="s">
        <v>1071</v>
      </c>
      <c r="E258" s="16" t="s">
        <v>1072</v>
      </c>
      <c r="F258" s="16" t="s">
        <v>1073</v>
      </c>
      <c r="G258" s="16" t="s">
        <v>1049</v>
      </c>
      <c r="H258" s="16" t="s">
        <v>1050</v>
      </c>
      <c r="I258" s="16" t="s">
        <v>198</v>
      </c>
      <c r="J258" s="16" t="s">
        <v>199</v>
      </c>
      <c r="K258" s="16">
        <v>3.0620210000000001</v>
      </c>
      <c r="L258" s="36">
        <v>1521</v>
      </c>
      <c r="M258" s="16">
        <v>270</v>
      </c>
      <c r="N258" s="16">
        <v>270</v>
      </c>
      <c r="O258" s="16">
        <v>357</v>
      </c>
      <c r="P258" s="16">
        <v>392</v>
      </c>
      <c r="Q258" s="16">
        <v>232</v>
      </c>
      <c r="R258" s="16" t="s">
        <v>302</v>
      </c>
      <c r="S258" s="16">
        <v>50.942999999999998</v>
      </c>
      <c r="T258" s="16">
        <v>24.894100000000002</v>
      </c>
      <c r="U258" s="16">
        <v>0.345689682</v>
      </c>
      <c r="V258" s="16">
        <v>8</v>
      </c>
      <c r="W258" s="16">
        <v>1</v>
      </c>
      <c r="X258" s="16">
        <v>0.35874099999999998</v>
      </c>
      <c r="Y258" s="16">
        <v>0.7</v>
      </c>
      <c r="Z258" s="16">
        <v>1</v>
      </c>
      <c r="AA258" s="37"/>
    </row>
    <row r="259" spans="1:27">
      <c r="A259" s="16" t="s">
        <v>49</v>
      </c>
      <c r="B259" s="16" t="s">
        <v>1074</v>
      </c>
      <c r="C259" s="16" t="s">
        <v>1075</v>
      </c>
      <c r="D259" s="16" t="s">
        <v>1076</v>
      </c>
      <c r="E259" s="16" t="s">
        <v>1067</v>
      </c>
      <c r="F259" s="16" t="s">
        <v>1068</v>
      </c>
      <c r="G259" s="16" t="s">
        <v>1049</v>
      </c>
      <c r="H259" s="16" t="s">
        <v>1050</v>
      </c>
      <c r="I259" s="16" t="s">
        <v>198</v>
      </c>
      <c r="J259" s="16" t="s">
        <v>199</v>
      </c>
      <c r="K259" s="16">
        <v>2.8263760000000002</v>
      </c>
      <c r="L259" s="36">
        <v>1613</v>
      </c>
      <c r="M259" s="16">
        <v>274</v>
      </c>
      <c r="N259" s="16">
        <v>348</v>
      </c>
      <c r="O259" s="16">
        <v>449</v>
      </c>
      <c r="P259" s="16">
        <v>330</v>
      </c>
      <c r="Q259" s="16">
        <v>212</v>
      </c>
      <c r="R259" s="16" t="s">
        <v>302</v>
      </c>
      <c r="S259" s="16">
        <v>41.035600000000002</v>
      </c>
      <c r="T259" s="16">
        <v>30.882300000000001</v>
      </c>
      <c r="U259" s="16">
        <v>0.438047772</v>
      </c>
      <c r="V259" s="16">
        <v>8</v>
      </c>
      <c r="W259" s="16">
        <v>1</v>
      </c>
      <c r="X259" s="16">
        <v>0.20230400000000001</v>
      </c>
      <c r="Y259" s="16">
        <v>0.709677</v>
      </c>
      <c r="Z259" s="16">
        <v>0.92263300000000004</v>
      </c>
      <c r="AA259" s="37"/>
    </row>
    <row r="260" spans="1:27">
      <c r="A260" s="16" t="s">
        <v>49</v>
      </c>
      <c r="B260" s="16" t="s">
        <v>1077</v>
      </c>
      <c r="C260" s="16" t="s">
        <v>1078</v>
      </c>
      <c r="D260" s="16" t="s">
        <v>1079</v>
      </c>
      <c r="E260" s="16" t="s">
        <v>1047</v>
      </c>
      <c r="F260" s="16" t="s">
        <v>1048</v>
      </c>
      <c r="G260" s="16" t="s">
        <v>1049</v>
      </c>
      <c r="H260" s="16" t="s">
        <v>1050</v>
      </c>
      <c r="I260" s="16" t="s">
        <v>198</v>
      </c>
      <c r="J260" s="16" t="s">
        <v>199</v>
      </c>
      <c r="K260" s="16">
        <v>2.9174890000000002</v>
      </c>
      <c r="L260" s="36">
        <v>1449</v>
      </c>
      <c r="M260" s="16">
        <v>183</v>
      </c>
      <c r="N260" s="16">
        <v>330</v>
      </c>
      <c r="O260" s="16">
        <v>436</v>
      </c>
      <c r="P260" s="16">
        <v>325</v>
      </c>
      <c r="Q260" s="16">
        <v>175</v>
      </c>
      <c r="R260" s="16" t="s">
        <v>302</v>
      </c>
      <c r="S260" s="16">
        <v>35.563600000000001</v>
      </c>
      <c r="T260" s="16">
        <v>29.031600000000001</v>
      </c>
      <c r="U260" s="16">
        <v>0.69441396200000005</v>
      </c>
      <c r="V260" s="16">
        <v>4</v>
      </c>
      <c r="W260" s="16">
        <v>1</v>
      </c>
      <c r="X260" s="16">
        <v>0.19447</v>
      </c>
      <c r="Y260" s="16">
        <v>0.79508900000000005</v>
      </c>
      <c r="Z260" s="16">
        <v>0.94009200000000004</v>
      </c>
      <c r="AA260" s="37"/>
    </row>
    <row r="261" spans="1:27">
      <c r="A261" s="16" t="s">
        <v>49</v>
      </c>
      <c r="B261" s="16" t="s">
        <v>1080</v>
      </c>
      <c r="C261" s="16" t="s">
        <v>1081</v>
      </c>
      <c r="D261" s="16" t="s">
        <v>1082</v>
      </c>
      <c r="E261" s="16" t="s">
        <v>1047</v>
      </c>
      <c r="F261" s="16" t="s">
        <v>1048</v>
      </c>
      <c r="G261" s="16" t="s">
        <v>1049</v>
      </c>
      <c r="H261" s="16" t="s">
        <v>1050</v>
      </c>
      <c r="I261" s="16" t="s">
        <v>198</v>
      </c>
      <c r="J261" s="16" t="s">
        <v>199</v>
      </c>
      <c r="K261" s="16">
        <v>2.9144739999999998</v>
      </c>
      <c r="L261" s="36">
        <v>1475</v>
      </c>
      <c r="M261" s="16">
        <v>188</v>
      </c>
      <c r="N261" s="16">
        <v>421</v>
      </c>
      <c r="O261" s="16">
        <v>392</v>
      </c>
      <c r="P261" s="16">
        <v>322</v>
      </c>
      <c r="Q261" s="16">
        <v>152</v>
      </c>
      <c r="R261" s="16" t="s">
        <v>302</v>
      </c>
      <c r="S261" s="16">
        <v>50.070999999999998</v>
      </c>
      <c r="T261" s="16">
        <v>28.558299999999999</v>
      </c>
      <c r="U261" s="16">
        <v>0.66087689800000005</v>
      </c>
      <c r="V261" s="16">
        <v>4</v>
      </c>
      <c r="W261" s="16">
        <v>1</v>
      </c>
      <c r="X261" s="16">
        <v>0.23305100000000001</v>
      </c>
      <c r="Y261" s="16">
        <v>0.8</v>
      </c>
      <c r="Z261" s="16">
        <v>0.91315800000000003</v>
      </c>
      <c r="AA261" s="37"/>
    </row>
    <row r="262" spans="1:27">
      <c r="A262" s="16" t="s">
        <v>49</v>
      </c>
      <c r="B262" s="16" t="s">
        <v>1083</v>
      </c>
      <c r="C262" s="16" t="s">
        <v>1084</v>
      </c>
      <c r="D262" s="16" t="s">
        <v>1085</v>
      </c>
      <c r="E262" s="16" t="s">
        <v>1086</v>
      </c>
      <c r="F262" s="16" t="s">
        <v>1087</v>
      </c>
      <c r="G262" s="16" t="s">
        <v>1049</v>
      </c>
      <c r="H262" s="16" t="s">
        <v>1050</v>
      </c>
      <c r="I262" s="16" t="s">
        <v>198</v>
      </c>
      <c r="J262" s="16" t="s">
        <v>199</v>
      </c>
      <c r="K262" s="16">
        <v>3.1112739999999999</v>
      </c>
      <c r="L262" s="36">
        <v>1526</v>
      </c>
      <c r="M262" s="16">
        <v>142</v>
      </c>
      <c r="N262" s="16">
        <v>255</v>
      </c>
      <c r="O262" s="16">
        <v>400</v>
      </c>
      <c r="P262" s="16">
        <v>395</v>
      </c>
      <c r="Q262" s="16">
        <v>334</v>
      </c>
      <c r="R262" s="16" t="s">
        <v>302</v>
      </c>
      <c r="S262" s="16">
        <v>41.596200000000003</v>
      </c>
      <c r="T262" s="16">
        <v>27.1188</v>
      </c>
      <c r="U262" s="16">
        <v>0.76919232800000004</v>
      </c>
      <c r="V262" s="16">
        <v>2</v>
      </c>
      <c r="W262" s="16">
        <v>0.99754900000000002</v>
      </c>
      <c r="X262" s="16">
        <v>0.36748799999999998</v>
      </c>
      <c r="Y262" s="16">
        <v>0.8</v>
      </c>
      <c r="Z262" s="16">
        <v>0.97609800000000002</v>
      </c>
      <c r="AA262" s="37"/>
    </row>
    <row r="263" spans="1:27">
      <c r="A263" s="16" t="s">
        <v>49</v>
      </c>
      <c r="B263" s="16" t="s">
        <v>1088</v>
      </c>
      <c r="C263" s="16" t="s">
        <v>1089</v>
      </c>
      <c r="D263" s="16" t="s">
        <v>1090</v>
      </c>
      <c r="E263" s="16" t="s">
        <v>1091</v>
      </c>
      <c r="F263" s="16" t="s">
        <v>1092</v>
      </c>
      <c r="G263" s="16" t="s">
        <v>1049</v>
      </c>
      <c r="H263" s="16" t="s">
        <v>1050</v>
      </c>
      <c r="I263" s="16" t="s">
        <v>198</v>
      </c>
      <c r="J263" s="16" t="s">
        <v>199</v>
      </c>
      <c r="K263" s="16">
        <v>2.75813</v>
      </c>
      <c r="L263" s="36">
        <v>1444</v>
      </c>
      <c r="M263" s="16">
        <v>187</v>
      </c>
      <c r="N263" s="16">
        <v>373</v>
      </c>
      <c r="O263" s="16">
        <v>399</v>
      </c>
      <c r="P263" s="16">
        <v>316</v>
      </c>
      <c r="Q263" s="16">
        <v>169</v>
      </c>
      <c r="R263" s="16" t="s">
        <v>302</v>
      </c>
      <c r="S263" s="16">
        <v>37.547800000000002</v>
      </c>
      <c r="T263" s="16">
        <v>24.557300000000001</v>
      </c>
      <c r="U263" s="16">
        <v>0.53936582099999997</v>
      </c>
      <c r="V263" s="16">
        <v>7</v>
      </c>
      <c r="W263" s="16">
        <v>1</v>
      </c>
      <c r="X263" s="16">
        <v>0.138017</v>
      </c>
      <c r="Y263" s="16">
        <v>0.71295500000000001</v>
      </c>
      <c r="Z263" s="16">
        <v>0.88983699999999999</v>
      </c>
      <c r="AA263" s="37"/>
    </row>
    <row r="264" spans="1:27">
      <c r="A264" s="16" t="s">
        <v>49</v>
      </c>
      <c r="B264" s="16" t="s">
        <v>1093</v>
      </c>
      <c r="C264" s="16" t="s">
        <v>1094</v>
      </c>
      <c r="D264" s="16" t="s">
        <v>1095</v>
      </c>
      <c r="E264" s="16" t="s">
        <v>1047</v>
      </c>
      <c r="F264" s="16" t="s">
        <v>1048</v>
      </c>
      <c r="G264" s="16" t="s">
        <v>1049</v>
      </c>
      <c r="H264" s="16" t="s">
        <v>1050</v>
      </c>
      <c r="I264" s="16" t="s">
        <v>198</v>
      </c>
      <c r="J264" s="16" t="s">
        <v>199</v>
      </c>
      <c r="K264" s="16">
        <v>2.875769</v>
      </c>
      <c r="L264" s="36">
        <v>2454</v>
      </c>
      <c r="M264" s="16">
        <v>259</v>
      </c>
      <c r="N264" s="16">
        <v>876</v>
      </c>
      <c r="O264" s="16">
        <v>676</v>
      </c>
      <c r="P264" s="16">
        <v>428</v>
      </c>
      <c r="Q264" s="16">
        <v>215</v>
      </c>
      <c r="R264" s="16">
        <v>5</v>
      </c>
      <c r="S264" s="16">
        <v>28.545400000000001</v>
      </c>
      <c r="T264" s="16">
        <v>6.0856700000000004</v>
      </c>
      <c r="U264" s="16">
        <v>0.445794888</v>
      </c>
      <c r="V264" s="16">
        <v>8</v>
      </c>
      <c r="W264" s="16">
        <v>0.98499999999999999</v>
      </c>
      <c r="X264" s="16">
        <v>0.18687300000000001</v>
      </c>
      <c r="Y264" s="16">
        <v>0.78473300000000001</v>
      </c>
      <c r="Z264" s="16">
        <v>0.9</v>
      </c>
      <c r="AA264" s="37"/>
    </row>
    <row r="265" spans="1:27">
      <c r="A265" s="16" t="s">
        <v>49</v>
      </c>
      <c r="B265" s="16" t="s">
        <v>1096</v>
      </c>
      <c r="C265" s="16" t="s">
        <v>1097</v>
      </c>
      <c r="D265" s="16" t="s">
        <v>1098</v>
      </c>
      <c r="E265" s="16" t="s">
        <v>1091</v>
      </c>
      <c r="F265" s="16" t="s">
        <v>1092</v>
      </c>
      <c r="G265" s="16" t="s">
        <v>1049</v>
      </c>
      <c r="H265" s="16" t="s">
        <v>1050</v>
      </c>
      <c r="I265" s="16" t="s">
        <v>198</v>
      </c>
      <c r="J265" s="16" t="s">
        <v>199</v>
      </c>
      <c r="K265" s="16">
        <v>2.636625</v>
      </c>
      <c r="L265" s="36">
        <v>1939</v>
      </c>
      <c r="M265" s="16">
        <v>254</v>
      </c>
      <c r="N265" s="16">
        <v>538</v>
      </c>
      <c r="O265" s="16">
        <v>533</v>
      </c>
      <c r="P265" s="16">
        <v>423</v>
      </c>
      <c r="Q265" s="16">
        <v>191</v>
      </c>
      <c r="R265" s="16" t="s">
        <v>302</v>
      </c>
      <c r="S265" s="16">
        <v>35.458599999999997</v>
      </c>
      <c r="T265" s="16">
        <v>26.929400000000001</v>
      </c>
      <c r="U265" s="16">
        <v>0.53005638700000002</v>
      </c>
      <c r="V265" s="16">
        <v>9</v>
      </c>
      <c r="W265" s="16">
        <v>1</v>
      </c>
      <c r="X265" s="16">
        <v>7.9674999999999996E-2</v>
      </c>
      <c r="Y265" s="16">
        <v>0.7</v>
      </c>
      <c r="Z265" s="16">
        <v>0.845082</v>
      </c>
      <c r="AA265" s="37"/>
    </row>
    <row r="266" spans="1:27">
      <c r="A266" s="16" t="s">
        <v>49</v>
      </c>
      <c r="B266" s="16" t="s">
        <v>1099</v>
      </c>
      <c r="C266" s="16" t="s">
        <v>1100</v>
      </c>
      <c r="D266" s="16" t="s">
        <v>1101</v>
      </c>
      <c r="E266" s="16" t="s">
        <v>1036</v>
      </c>
      <c r="F266" s="16" t="s">
        <v>1037</v>
      </c>
      <c r="G266" s="16" t="s">
        <v>383</v>
      </c>
      <c r="H266" s="16" t="s">
        <v>384</v>
      </c>
      <c r="I266" s="16" t="s">
        <v>198</v>
      </c>
      <c r="J266" s="16" t="s">
        <v>199</v>
      </c>
      <c r="K266" s="16">
        <v>2.8802219999999998</v>
      </c>
      <c r="L266" s="36">
        <v>1764</v>
      </c>
      <c r="M266" s="16">
        <v>233</v>
      </c>
      <c r="N266" s="16">
        <v>304</v>
      </c>
      <c r="O266" s="16">
        <v>448</v>
      </c>
      <c r="P266" s="16">
        <v>508</v>
      </c>
      <c r="Q266" s="16">
        <v>271</v>
      </c>
      <c r="R266" s="16" t="s">
        <v>302</v>
      </c>
      <c r="S266" s="16">
        <v>96.160700000000006</v>
      </c>
      <c r="T266" s="16">
        <v>19.757899999999999</v>
      </c>
      <c r="U266" s="16">
        <v>0.45616233699999997</v>
      </c>
      <c r="V266" s="16">
        <v>8</v>
      </c>
      <c r="W266" s="16">
        <v>1</v>
      </c>
      <c r="X266" s="16">
        <v>0.19010099999999999</v>
      </c>
      <c r="Y266" s="16">
        <v>0.7</v>
      </c>
      <c r="Z266" s="16">
        <v>0.98911300000000002</v>
      </c>
      <c r="AA266" s="37"/>
    </row>
    <row r="267" spans="1:27">
      <c r="A267" s="16"/>
      <c r="B267" s="16"/>
      <c r="C267" s="16"/>
      <c r="D267" s="16"/>
      <c r="E267" s="16"/>
      <c r="F267" s="16"/>
      <c r="G267" s="16"/>
      <c r="H267" s="16"/>
      <c r="I267" s="16"/>
      <c r="J267" s="16"/>
      <c r="K267" s="16">
        <f>MEDIAN(K253:K266)</f>
        <v>2.8779954999999999</v>
      </c>
      <c r="L267" s="36">
        <f>AVERAGE(L253:L266)</f>
        <v>1658.7142857142858</v>
      </c>
      <c r="M267" s="16">
        <f t="shared" ref="M267:Q267" si="28">SUM(M253:M266)</f>
        <v>3171</v>
      </c>
      <c r="N267" s="16">
        <f t="shared" si="28"/>
        <v>5445</v>
      </c>
      <c r="O267" s="16">
        <f t="shared" si="28"/>
        <v>6289</v>
      </c>
      <c r="P267" s="16">
        <f t="shared" si="28"/>
        <v>5211</v>
      </c>
      <c r="Q267" s="16">
        <f t="shared" si="28"/>
        <v>3106</v>
      </c>
      <c r="R267" s="16"/>
      <c r="S267" s="16">
        <f t="shared" ref="S267:U267" si="29">MIN(S253:S266)</f>
        <v>26.026900000000001</v>
      </c>
      <c r="T267" s="16">
        <f t="shared" si="29"/>
        <v>6.0856700000000004</v>
      </c>
      <c r="U267" s="16">
        <f t="shared" si="29"/>
        <v>0.345689682</v>
      </c>
      <c r="V267" s="16">
        <f>MEDIAN(V253:V266)</f>
        <v>7.5</v>
      </c>
      <c r="W267" s="16"/>
      <c r="X267" s="16"/>
      <c r="Y267" s="16"/>
      <c r="Z267" s="16"/>
      <c r="AA267" s="37"/>
    </row>
    <row r="268" spans="1:27">
      <c r="A268" s="16" t="s">
        <v>50</v>
      </c>
      <c r="B268" s="16" t="s">
        <v>1102</v>
      </c>
      <c r="C268" s="16" t="s">
        <v>1103</v>
      </c>
      <c r="D268" s="16" t="s">
        <v>1104</v>
      </c>
      <c r="E268" s="16" t="s">
        <v>1105</v>
      </c>
      <c r="F268" s="16" t="s">
        <v>1106</v>
      </c>
      <c r="G268" s="16" t="s">
        <v>1049</v>
      </c>
      <c r="H268" s="16" t="s">
        <v>1050</v>
      </c>
      <c r="I268" s="16" t="s">
        <v>198</v>
      </c>
      <c r="J268" s="16" t="s">
        <v>199</v>
      </c>
      <c r="K268" s="16">
        <v>2.6536590000000002</v>
      </c>
      <c r="L268" s="36">
        <v>1601</v>
      </c>
      <c r="M268" s="16">
        <v>252</v>
      </c>
      <c r="N268" s="16">
        <v>207</v>
      </c>
      <c r="O268" s="16">
        <v>285</v>
      </c>
      <c r="P268" s="16">
        <v>484</v>
      </c>
      <c r="Q268" s="16">
        <v>373</v>
      </c>
      <c r="R268" s="16">
        <v>2</v>
      </c>
      <c r="S268" s="16">
        <v>12.797700000000001</v>
      </c>
      <c r="T268" s="16">
        <v>3.43004</v>
      </c>
      <c r="U268" s="16">
        <v>0.50360103599999995</v>
      </c>
      <c r="V268" s="16">
        <v>9</v>
      </c>
      <c r="W268" s="16">
        <v>0.95560999999999996</v>
      </c>
      <c r="X268" s="16">
        <v>0.293431</v>
      </c>
      <c r="Y268" s="16">
        <v>0.7</v>
      </c>
      <c r="Z268" s="16">
        <v>0.68956300000000004</v>
      </c>
      <c r="AA268" s="37"/>
    </row>
    <row r="269" spans="1:27">
      <c r="A269" s="16" t="s">
        <v>50</v>
      </c>
      <c r="B269" s="16" t="s">
        <v>1107</v>
      </c>
      <c r="C269" s="16" t="s">
        <v>1108</v>
      </c>
      <c r="D269" s="16" t="s">
        <v>1109</v>
      </c>
      <c r="E269" s="16" t="s">
        <v>1110</v>
      </c>
      <c r="F269" s="16" t="s">
        <v>1111</v>
      </c>
      <c r="G269" s="16" t="s">
        <v>1049</v>
      </c>
      <c r="H269" s="16" t="s">
        <v>1050</v>
      </c>
      <c r="I269" s="16" t="s">
        <v>198</v>
      </c>
      <c r="J269" s="16" t="s">
        <v>199</v>
      </c>
      <c r="K269" s="16">
        <v>2.9850500000000002</v>
      </c>
      <c r="L269" s="36">
        <v>1234</v>
      </c>
      <c r="M269" s="16">
        <v>207</v>
      </c>
      <c r="N269" s="16">
        <v>140</v>
      </c>
      <c r="O269" s="16">
        <v>240</v>
      </c>
      <c r="P269" s="16">
        <v>317</v>
      </c>
      <c r="Q269" s="16">
        <v>330</v>
      </c>
      <c r="R269" s="16">
        <v>4</v>
      </c>
      <c r="S269" s="16">
        <v>21.186800000000002</v>
      </c>
      <c r="T269" s="16">
        <v>15.408099999999999</v>
      </c>
      <c r="U269" s="16">
        <v>0.78322755700000002</v>
      </c>
      <c r="V269" s="16">
        <v>2</v>
      </c>
      <c r="W269" s="16">
        <v>0.97076399999999996</v>
      </c>
      <c r="X269" s="16">
        <v>0.39866699999999999</v>
      </c>
      <c r="Y269" s="16">
        <v>0.78691299999999997</v>
      </c>
      <c r="Z269" s="16">
        <v>0.83333299999999999</v>
      </c>
      <c r="AA269" s="37"/>
    </row>
    <row r="270" spans="1:27">
      <c r="A270" s="16" t="s">
        <v>50</v>
      </c>
      <c r="B270" s="16" t="s">
        <v>1112</v>
      </c>
      <c r="C270" s="16" t="s">
        <v>1113</v>
      </c>
      <c r="D270" s="16" t="s">
        <v>1114</v>
      </c>
      <c r="E270" s="16" t="s">
        <v>1105</v>
      </c>
      <c r="F270" s="16" t="s">
        <v>1106</v>
      </c>
      <c r="G270" s="16" t="s">
        <v>1049</v>
      </c>
      <c r="H270" s="16" t="s">
        <v>1050</v>
      </c>
      <c r="I270" s="16" t="s">
        <v>198</v>
      </c>
      <c r="J270" s="16" t="s">
        <v>199</v>
      </c>
      <c r="K270" s="16">
        <v>2.828163</v>
      </c>
      <c r="L270" s="36">
        <v>1303</v>
      </c>
      <c r="M270" s="16">
        <v>126</v>
      </c>
      <c r="N270" s="16">
        <v>135</v>
      </c>
      <c r="O270" s="16">
        <v>183</v>
      </c>
      <c r="P270" s="16">
        <v>278</v>
      </c>
      <c r="Q270" s="16">
        <v>581</v>
      </c>
      <c r="R270" s="16">
        <v>4</v>
      </c>
      <c r="S270" s="16">
        <v>29.035900000000002</v>
      </c>
      <c r="T270" s="16">
        <v>3.0977700000000001</v>
      </c>
      <c r="U270" s="16">
        <v>0.50155802400000005</v>
      </c>
      <c r="V270" s="16">
        <v>6</v>
      </c>
      <c r="W270" s="16">
        <v>0.97227699999999995</v>
      </c>
      <c r="X270" s="16">
        <v>0.24106</v>
      </c>
      <c r="Y270" s="16">
        <v>0.7</v>
      </c>
      <c r="Z270" s="16">
        <v>0.90771800000000002</v>
      </c>
      <c r="AA270" s="37"/>
    </row>
    <row r="271" spans="1:27">
      <c r="A271" s="16" t="s">
        <v>50</v>
      </c>
      <c r="B271" s="16" t="s">
        <v>1115</v>
      </c>
      <c r="C271" s="16" t="s">
        <v>1116</v>
      </c>
      <c r="D271" s="16" t="s">
        <v>1117</v>
      </c>
      <c r="E271" s="16" t="s">
        <v>1110</v>
      </c>
      <c r="F271" s="16" t="s">
        <v>1111</v>
      </c>
      <c r="G271" s="16" t="s">
        <v>1049</v>
      </c>
      <c r="H271" s="16" t="s">
        <v>1050</v>
      </c>
      <c r="I271" s="16" t="s">
        <v>198</v>
      </c>
      <c r="J271" s="16" t="s">
        <v>199</v>
      </c>
      <c r="K271" s="16">
        <v>2.8513510000000002</v>
      </c>
      <c r="L271" s="36">
        <v>1271</v>
      </c>
      <c r="M271" s="16">
        <v>176</v>
      </c>
      <c r="N271" s="16">
        <v>184</v>
      </c>
      <c r="O271" s="16">
        <v>380</v>
      </c>
      <c r="P271" s="16">
        <v>348</v>
      </c>
      <c r="Q271" s="16">
        <v>183</v>
      </c>
      <c r="R271" s="16">
        <v>4</v>
      </c>
      <c r="S271" s="16">
        <v>22.071400000000001</v>
      </c>
      <c r="T271" s="16">
        <v>11.430899999999999</v>
      </c>
      <c r="U271" s="16">
        <v>0.67320509900000003</v>
      </c>
      <c r="V271" s="16">
        <v>4</v>
      </c>
      <c r="W271" s="16">
        <v>0.91381400000000002</v>
      </c>
      <c r="X271" s="16">
        <v>0.14437900000000001</v>
      </c>
      <c r="Y271" s="16">
        <v>0.8</v>
      </c>
      <c r="Z271" s="16">
        <v>1</v>
      </c>
      <c r="AA271" s="37"/>
    </row>
    <row r="272" spans="1:27">
      <c r="A272" s="16" t="s">
        <v>50</v>
      </c>
      <c r="B272" s="16" t="s">
        <v>1118</v>
      </c>
      <c r="C272" s="16" t="s">
        <v>1119</v>
      </c>
      <c r="D272" s="16" t="s">
        <v>1120</v>
      </c>
      <c r="E272" s="16" t="s">
        <v>1110</v>
      </c>
      <c r="F272" s="16" t="s">
        <v>1111</v>
      </c>
      <c r="G272" s="16" t="s">
        <v>1049</v>
      </c>
      <c r="H272" s="16" t="s">
        <v>1050</v>
      </c>
      <c r="I272" s="16" t="s">
        <v>198</v>
      </c>
      <c r="J272" s="16" t="s">
        <v>199</v>
      </c>
      <c r="K272" s="16">
        <v>3.2397260000000001</v>
      </c>
      <c r="L272" s="36">
        <v>1012</v>
      </c>
      <c r="M272" s="16">
        <v>206</v>
      </c>
      <c r="N272" s="16">
        <v>134</v>
      </c>
      <c r="O272" s="16">
        <v>215</v>
      </c>
      <c r="P272" s="16">
        <v>260</v>
      </c>
      <c r="Q272" s="16">
        <v>197</v>
      </c>
      <c r="R272" s="16">
        <v>3</v>
      </c>
      <c r="S272" s="16">
        <v>17.705400000000001</v>
      </c>
      <c r="T272" s="16">
        <v>10.267799999999999</v>
      </c>
      <c r="U272" s="16">
        <v>0.87475034699999998</v>
      </c>
      <c r="V272" s="16">
        <v>1</v>
      </c>
      <c r="W272" s="16">
        <v>0.94931500000000002</v>
      </c>
      <c r="X272" s="16">
        <v>0.46197199999999999</v>
      </c>
      <c r="Y272" s="16">
        <v>0.8</v>
      </c>
      <c r="Z272" s="16">
        <v>0.96799999999999997</v>
      </c>
      <c r="AA272" s="37"/>
    </row>
    <row r="273" spans="1:27">
      <c r="A273" s="16" t="s">
        <v>50</v>
      </c>
      <c r="B273" s="16" t="s">
        <v>1121</v>
      </c>
      <c r="C273" s="16" t="s">
        <v>1122</v>
      </c>
      <c r="D273" s="16" t="s">
        <v>1123</v>
      </c>
      <c r="E273" s="16" t="s">
        <v>1110</v>
      </c>
      <c r="F273" s="16" t="s">
        <v>1111</v>
      </c>
      <c r="G273" s="16" t="s">
        <v>1049</v>
      </c>
      <c r="H273" s="16" t="s">
        <v>1050</v>
      </c>
      <c r="I273" s="16" t="s">
        <v>198</v>
      </c>
      <c r="J273" s="16" t="s">
        <v>199</v>
      </c>
      <c r="K273" s="16">
        <v>3.0269910000000002</v>
      </c>
      <c r="L273" s="36">
        <v>1387</v>
      </c>
      <c r="M273" s="16">
        <v>247</v>
      </c>
      <c r="N273" s="16">
        <v>189</v>
      </c>
      <c r="O273" s="16">
        <v>271</v>
      </c>
      <c r="P273" s="16">
        <v>411</v>
      </c>
      <c r="Q273" s="16">
        <v>269</v>
      </c>
      <c r="R273" s="16">
        <v>4</v>
      </c>
      <c r="S273" s="16">
        <v>23.951799999999999</v>
      </c>
      <c r="T273" s="16">
        <v>14.394600000000001</v>
      </c>
      <c r="U273" s="16">
        <v>0.79812598599999995</v>
      </c>
      <c r="V273" s="16">
        <v>2</v>
      </c>
      <c r="W273" s="16">
        <v>0.92610599999999998</v>
      </c>
      <c r="X273" s="16">
        <v>0.37533</v>
      </c>
      <c r="Y273" s="16">
        <v>0.8</v>
      </c>
      <c r="Z273" s="16">
        <v>0.96563900000000003</v>
      </c>
      <c r="AA273" s="37"/>
    </row>
    <row r="274" spans="1:27">
      <c r="A274" s="16" t="s">
        <v>50</v>
      </c>
      <c r="B274" s="16" t="s">
        <v>1124</v>
      </c>
      <c r="C274" s="16" t="s">
        <v>1125</v>
      </c>
      <c r="D274" s="16" t="s">
        <v>1126</v>
      </c>
      <c r="E274" s="16" t="s">
        <v>1127</v>
      </c>
      <c r="F274" s="16" t="s">
        <v>1128</v>
      </c>
      <c r="G274" s="16" t="s">
        <v>1049</v>
      </c>
      <c r="H274" s="16" t="s">
        <v>1050</v>
      </c>
      <c r="I274" s="16" t="s">
        <v>198</v>
      </c>
      <c r="J274" s="16" t="s">
        <v>199</v>
      </c>
      <c r="K274" s="16">
        <v>2.6973120000000002</v>
      </c>
      <c r="L274" s="36">
        <v>1377</v>
      </c>
      <c r="M274" s="16">
        <v>206</v>
      </c>
      <c r="N274" s="16">
        <v>199</v>
      </c>
      <c r="O274" s="16">
        <v>292</v>
      </c>
      <c r="P274" s="16">
        <v>382</v>
      </c>
      <c r="Q274" s="16">
        <v>298</v>
      </c>
      <c r="R274" s="16">
        <v>4</v>
      </c>
      <c r="S274" s="16">
        <v>23.096</v>
      </c>
      <c r="T274" s="16">
        <v>11.444900000000001</v>
      </c>
      <c r="U274" s="16">
        <v>0.54924358699999998</v>
      </c>
      <c r="V274" s="16">
        <v>6</v>
      </c>
      <c r="W274" s="16">
        <v>0.964785</v>
      </c>
      <c r="X274" s="16">
        <v>0.22337000000000001</v>
      </c>
      <c r="Y274" s="16">
        <v>0.70326999999999995</v>
      </c>
      <c r="Z274" s="16">
        <v>0.81284199999999995</v>
      </c>
      <c r="AA274" s="37"/>
    </row>
    <row r="275" spans="1:27">
      <c r="A275" s="16" t="s">
        <v>50</v>
      </c>
      <c r="B275" s="16" t="s">
        <v>1129</v>
      </c>
      <c r="C275" s="16" t="s">
        <v>1130</v>
      </c>
      <c r="D275" s="16" t="s">
        <v>1131</v>
      </c>
      <c r="E275" s="16" t="s">
        <v>1127</v>
      </c>
      <c r="F275" s="16" t="s">
        <v>1128</v>
      </c>
      <c r="G275" s="16" t="s">
        <v>1049</v>
      </c>
      <c r="H275" s="16" t="s">
        <v>1050</v>
      </c>
      <c r="I275" s="16" t="s">
        <v>198</v>
      </c>
      <c r="J275" s="16" t="s">
        <v>199</v>
      </c>
      <c r="K275" s="16">
        <v>2.813901</v>
      </c>
      <c r="L275" s="36">
        <v>1449</v>
      </c>
      <c r="M275" s="16">
        <v>213</v>
      </c>
      <c r="N275" s="16">
        <v>237</v>
      </c>
      <c r="O275" s="16">
        <v>336</v>
      </c>
      <c r="P275" s="16">
        <v>387</v>
      </c>
      <c r="Q275" s="16">
        <v>276</v>
      </c>
      <c r="R275" s="16">
        <v>4</v>
      </c>
      <c r="S275" s="16">
        <v>21.7988</v>
      </c>
      <c r="T275" s="16">
        <v>13.997199999999999</v>
      </c>
      <c r="U275" s="16">
        <v>0.656428342</v>
      </c>
      <c r="V275" s="16">
        <v>5</v>
      </c>
      <c r="W275" s="16">
        <v>0.99372199999999999</v>
      </c>
      <c r="X275" s="16">
        <v>0.313004</v>
      </c>
      <c r="Y275" s="16">
        <v>0.71473200000000003</v>
      </c>
      <c r="Z275" s="16">
        <v>0.8</v>
      </c>
      <c r="AA275" s="37"/>
    </row>
    <row r="276" spans="1:27">
      <c r="A276" s="16"/>
      <c r="B276" s="16"/>
      <c r="C276" s="16"/>
      <c r="D276" s="16"/>
      <c r="E276" s="16"/>
      <c r="F276" s="16"/>
      <c r="G276" s="16"/>
      <c r="H276" s="16"/>
      <c r="I276" s="16"/>
      <c r="J276" s="16"/>
      <c r="K276" s="16">
        <f>MEDIAN(K268:K275)</f>
        <v>2.8397570000000001</v>
      </c>
      <c r="L276" s="36">
        <f>AVERAGE(L268:L275)</f>
        <v>1329.25</v>
      </c>
      <c r="M276" s="16">
        <f t="shared" ref="M276:Q276" si="30">SUM(M268:M275)</f>
        <v>1633</v>
      </c>
      <c r="N276" s="16">
        <f t="shared" si="30"/>
        <v>1425</v>
      </c>
      <c r="O276" s="16">
        <f t="shared" si="30"/>
        <v>2202</v>
      </c>
      <c r="P276" s="16">
        <f t="shared" si="30"/>
        <v>2867</v>
      </c>
      <c r="Q276" s="16">
        <f t="shared" si="30"/>
        <v>2507</v>
      </c>
      <c r="R276" s="16"/>
      <c r="S276" s="16">
        <f t="shared" ref="S276:U276" si="31">MIN(S268:S275)</f>
        <v>12.797700000000001</v>
      </c>
      <c r="T276" s="16">
        <f t="shared" si="31"/>
        <v>3.0977700000000001</v>
      </c>
      <c r="U276" s="16">
        <f t="shared" si="31"/>
        <v>0.50155802400000005</v>
      </c>
      <c r="V276" s="16">
        <f>MEDIAN(V268:V275)</f>
        <v>4.5</v>
      </c>
      <c r="W276" s="16"/>
      <c r="X276" s="16"/>
      <c r="Y276" s="16"/>
      <c r="Z276" s="16"/>
      <c r="AA276" s="37"/>
    </row>
    <row r="277" spans="1:27">
      <c r="A277" s="16" t="s">
        <v>51</v>
      </c>
      <c r="B277" s="16" t="s">
        <v>1132</v>
      </c>
      <c r="C277" s="16" t="s">
        <v>1133</v>
      </c>
      <c r="D277" s="16" t="s">
        <v>1134</v>
      </c>
      <c r="E277" s="16" t="s">
        <v>1036</v>
      </c>
      <c r="F277" s="16" t="s">
        <v>1037</v>
      </c>
      <c r="G277" s="16" t="s">
        <v>383</v>
      </c>
      <c r="H277" s="16" t="s">
        <v>384</v>
      </c>
      <c r="I277" s="16" t="s">
        <v>198</v>
      </c>
      <c r="J277" s="16" t="s">
        <v>199</v>
      </c>
      <c r="K277" s="16">
        <v>2.9190480000000001</v>
      </c>
      <c r="L277" s="36">
        <v>1828</v>
      </c>
      <c r="M277" s="16">
        <v>354</v>
      </c>
      <c r="N277" s="16">
        <v>274</v>
      </c>
      <c r="O277" s="16">
        <v>401</v>
      </c>
      <c r="P277" s="16">
        <v>548</v>
      </c>
      <c r="Q277" s="16">
        <v>251</v>
      </c>
      <c r="R277" s="16" t="s">
        <v>668</v>
      </c>
      <c r="S277" s="16">
        <v>105.578</v>
      </c>
      <c r="T277" s="16">
        <v>42.9161</v>
      </c>
      <c r="U277" s="16">
        <v>0.35783510099999999</v>
      </c>
      <c r="V277" s="16">
        <v>10</v>
      </c>
      <c r="W277" s="16">
        <v>1</v>
      </c>
      <c r="X277" s="16">
        <v>0.21240999999999999</v>
      </c>
      <c r="Y277" s="16">
        <v>0.7</v>
      </c>
      <c r="Z277" s="16">
        <v>1</v>
      </c>
      <c r="AA277" s="37"/>
    </row>
    <row r="278" spans="1:27">
      <c r="A278" s="16" t="s">
        <v>51</v>
      </c>
      <c r="B278" s="16" t="s">
        <v>1135</v>
      </c>
      <c r="C278" s="16" t="s">
        <v>1136</v>
      </c>
      <c r="D278" s="16" t="s">
        <v>1137</v>
      </c>
      <c r="E278" s="16" t="s">
        <v>1138</v>
      </c>
      <c r="F278" s="16" t="s">
        <v>1139</v>
      </c>
      <c r="G278" s="16" t="s">
        <v>383</v>
      </c>
      <c r="H278" s="16" t="s">
        <v>384</v>
      </c>
      <c r="I278" s="16" t="s">
        <v>198</v>
      </c>
      <c r="J278" s="16" t="s">
        <v>199</v>
      </c>
      <c r="K278" s="16">
        <v>2.9686409999999999</v>
      </c>
      <c r="L278" s="36">
        <v>2459</v>
      </c>
      <c r="M278" s="16">
        <v>240</v>
      </c>
      <c r="N278" s="16">
        <v>648</v>
      </c>
      <c r="O278" s="16">
        <v>722</v>
      </c>
      <c r="P278" s="16">
        <v>599</v>
      </c>
      <c r="Q278" s="16">
        <v>250</v>
      </c>
      <c r="R278" s="16" t="s">
        <v>668</v>
      </c>
      <c r="S278" s="16">
        <v>104.27</v>
      </c>
      <c r="T278" s="16">
        <v>11.9033</v>
      </c>
      <c r="U278" s="16">
        <v>0.451955738</v>
      </c>
      <c r="V278" s="16">
        <v>8</v>
      </c>
      <c r="W278" s="16">
        <v>1</v>
      </c>
      <c r="X278" s="16">
        <v>0.262685</v>
      </c>
      <c r="Y278" s="16">
        <v>0.7</v>
      </c>
      <c r="Z278" s="16">
        <v>1</v>
      </c>
      <c r="AA278" s="37"/>
    </row>
    <row r="279" spans="1:27">
      <c r="A279" s="16" t="s">
        <v>51</v>
      </c>
      <c r="B279" s="16" t="s">
        <v>1140</v>
      </c>
      <c r="C279" s="16" t="s">
        <v>1141</v>
      </c>
      <c r="D279" s="16" t="s">
        <v>1142</v>
      </c>
      <c r="E279" s="16" t="s">
        <v>1143</v>
      </c>
      <c r="F279" s="16" t="s">
        <v>1144</v>
      </c>
      <c r="G279" s="16" t="s">
        <v>383</v>
      </c>
      <c r="H279" s="16" t="s">
        <v>384</v>
      </c>
      <c r="I279" s="16" t="s">
        <v>198</v>
      </c>
      <c r="J279" s="16" t="s">
        <v>199</v>
      </c>
      <c r="K279" s="16">
        <v>3.2426360000000001</v>
      </c>
      <c r="L279" s="36">
        <v>1464</v>
      </c>
      <c r="M279" s="16">
        <v>251</v>
      </c>
      <c r="N279" s="16">
        <v>184</v>
      </c>
      <c r="O279" s="16">
        <v>318</v>
      </c>
      <c r="P279" s="16">
        <v>402</v>
      </c>
      <c r="Q279" s="16">
        <v>309</v>
      </c>
      <c r="R279" s="16" t="s">
        <v>302</v>
      </c>
      <c r="S279" s="16">
        <v>43.805399999999999</v>
      </c>
      <c r="T279" s="16">
        <v>19.410799999999998</v>
      </c>
      <c r="U279" s="16">
        <v>0.38529848999999999</v>
      </c>
      <c r="V279" s="16">
        <v>5</v>
      </c>
      <c r="W279" s="16">
        <v>1</v>
      </c>
      <c r="X279" s="16">
        <v>0.43190699999999999</v>
      </c>
      <c r="Y279" s="16">
        <v>0.8</v>
      </c>
      <c r="Z279" s="16">
        <v>1</v>
      </c>
      <c r="AA279" s="37"/>
    </row>
    <row r="280" spans="1:27">
      <c r="A280" s="16" t="s">
        <v>51</v>
      </c>
      <c r="B280" s="16" t="s">
        <v>1145</v>
      </c>
      <c r="C280" s="16" t="s">
        <v>1146</v>
      </c>
      <c r="D280" s="16" t="s">
        <v>1147</v>
      </c>
      <c r="E280" s="16" t="s">
        <v>1143</v>
      </c>
      <c r="F280" s="16" t="s">
        <v>1144</v>
      </c>
      <c r="G280" s="16" t="s">
        <v>383</v>
      </c>
      <c r="H280" s="16" t="s">
        <v>384</v>
      </c>
      <c r="I280" s="16" t="s">
        <v>198</v>
      </c>
      <c r="J280" s="16" t="s">
        <v>199</v>
      </c>
      <c r="K280" s="16">
        <v>3.0986669999999998</v>
      </c>
      <c r="L280" s="36">
        <v>1879</v>
      </c>
      <c r="M280" s="16">
        <v>235</v>
      </c>
      <c r="N280" s="16">
        <v>394</v>
      </c>
      <c r="O280" s="16">
        <v>549</v>
      </c>
      <c r="P280" s="16">
        <v>388</v>
      </c>
      <c r="Q280" s="16">
        <v>313</v>
      </c>
      <c r="R280" s="16">
        <v>5</v>
      </c>
      <c r="S280" s="16">
        <v>35.552500000000002</v>
      </c>
      <c r="T280" s="16">
        <v>17.328399999999998</v>
      </c>
      <c r="U280" s="16">
        <v>0.355476601</v>
      </c>
      <c r="V280" s="16">
        <v>8</v>
      </c>
      <c r="W280" s="16">
        <v>1</v>
      </c>
      <c r="X280" s="16">
        <v>0.31125799999999998</v>
      </c>
      <c r="Y280" s="16">
        <v>0.8</v>
      </c>
      <c r="Z280" s="16">
        <v>1</v>
      </c>
      <c r="AA280" s="37"/>
    </row>
    <row r="281" spans="1:27">
      <c r="A281" s="16" t="s">
        <v>51</v>
      </c>
      <c r="B281" s="16" t="s">
        <v>1148</v>
      </c>
      <c r="C281" s="16" t="s">
        <v>1149</v>
      </c>
      <c r="D281" s="16" t="s">
        <v>1150</v>
      </c>
      <c r="E281" s="16" t="s">
        <v>1151</v>
      </c>
      <c r="F281" s="16" t="s">
        <v>1152</v>
      </c>
      <c r="G281" s="16" t="s">
        <v>383</v>
      </c>
      <c r="H281" s="16" t="s">
        <v>384</v>
      </c>
      <c r="I281" s="16" t="s">
        <v>198</v>
      </c>
      <c r="J281" s="16" t="s">
        <v>199</v>
      </c>
      <c r="K281" s="16">
        <v>3.0277780000000001</v>
      </c>
      <c r="L281" s="36">
        <v>1766</v>
      </c>
      <c r="M281" s="16">
        <v>262</v>
      </c>
      <c r="N281" s="16">
        <v>307</v>
      </c>
      <c r="O281" s="16">
        <v>385</v>
      </c>
      <c r="P281" s="16">
        <v>424</v>
      </c>
      <c r="Q281" s="16">
        <v>388</v>
      </c>
      <c r="R281" s="16" t="s">
        <v>668</v>
      </c>
      <c r="S281" s="16">
        <v>66.022800000000004</v>
      </c>
      <c r="T281" s="16">
        <v>58.1295</v>
      </c>
      <c r="U281" s="16">
        <v>0.789394174</v>
      </c>
      <c r="V281" s="16">
        <v>2</v>
      </c>
      <c r="W281" s="16">
        <v>1</v>
      </c>
      <c r="X281" s="16">
        <v>0.26219500000000001</v>
      </c>
      <c r="Y281" s="16">
        <v>0.77018600000000004</v>
      </c>
      <c r="Z281" s="16">
        <v>1</v>
      </c>
      <c r="AA281" s="37"/>
    </row>
    <row r="282" spans="1:27">
      <c r="A282" s="16" t="s">
        <v>51</v>
      </c>
      <c r="B282" s="16" t="s">
        <v>1153</v>
      </c>
      <c r="C282" s="16" t="s">
        <v>1154</v>
      </c>
      <c r="D282" s="16" t="s">
        <v>1155</v>
      </c>
      <c r="E282" s="16" t="s">
        <v>1143</v>
      </c>
      <c r="F282" s="16" t="s">
        <v>1144</v>
      </c>
      <c r="G282" s="16" t="s">
        <v>383</v>
      </c>
      <c r="H282" s="16" t="s">
        <v>384</v>
      </c>
      <c r="I282" s="16" t="s">
        <v>198</v>
      </c>
      <c r="J282" s="16" t="s">
        <v>199</v>
      </c>
      <c r="K282" s="16">
        <v>3.1088079999999998</v>
      </c>
      <c r="L282" s="36">
        <v>1434</v>
      </c>
      <c r="M282" s="16">
        <v>196</v>
      </c>
      <c r="N282" s="16">
        <v>307</v>
      </c>
      <c r="O282" s="16">
        <v>404</v>
      </c>
      <c r="P282" s="16">
        <v>336</v>
      </c>
      <c r="Q282" s="16">
        <v>191</v>
      </c>
      <c r="R282" s="16" t="s">
        <v>668</v>
      </c>
      <c r="S282" s="16">
        <v>73.040000000000006</v>
      </c>
      <c r="T282" s="16">
        <v>28.057200000000002</v>
      </c>
      <c r="U282" s="16">
        <v>0.55756447099999995</v>
      </c>
      <c r="V282" s="16">
        <v>5</v>
      </c>
      <c r="W282" s="16">
        <v>1</v>
      </c>
      <c r="X282" s="16">
        <v>0.30366500000000002</v>
      </c>
      <c r="Y282" s="16">
        <v>0.8</v>
      </c>
      <c r="Z282" s="16">
        <v>1</v>
      </c>
      <c r="AA282" s="37"/>
    </row>
    <row r="283" spans="1:27">
      <c r="A283" s="16" t="s">
        <v>51</v>
      </c>
      <c r="B283" s="16" t="s">
        <v>1156</v>
      </c>
      <c r="C283" s="16" t="s">
        <v>1157</v>
      </c>
      <c r="D283" s="16" t="s">
        <v>1158</v>
      </c>
      <c r="E283" s="16" t="s">
        <v>1159</v>
      </c>
      <c r="F283" s="16" t="s">
        <v>1160</v>
      </c>
      <c r="G283" s="16" t="s">
        <v>383</v>
      </c>
      <c r="H283" s="16" t="s">
        <v>384</v>
      </c>
      <c r="I283" s="16" t="s">
        <v>198</v>
      </c>
      <c r="J283" s="16" t="s">
        <v>199</v>
      </c>
      <c r="K283" s="16">
        <v>2.9073829999999998</v>
      </c>
      <c r="L283" s="36">
        <v>1624</v>
      </c>
      <c r="M283" s="16">
        <v>197</v>
      </c>
      <c r="N283" s="16">
        <v>412</v>
      </c>
      <c r="O283" s="16">
        <v>488</v>
      </c>
      <c r="P283" s="16">
        <v>354</v>
      </c>
      <c r="Q283" s="16">
        <v>173</v>
      </c>
      <c r="R283" s="16" t="s">
        <v>668</v>
      </c>
      <c r="S283" s="16">
        <v>58.457799999999999</v>
      </c>
      <c r="T283" s="16">
        <v>18.369399999999999</v>
      </c>
      <c r="U283" s="16">
        <v>0.43490665299999998</v>
      </c>
      <c r="V283" s="16">
        <v>8</v>
      </c>
      <c r="W283" s="16">
        <v>1</v>
      </c>
      <c r="X283" s="16">
        <v>0.100662</v>
      </c>
      <c r="Y283" s="16">
        <v>0.8</v>
      </c>
      <c r="Z283" s="16">
        <v>1</v>
      </c>
      <c r="AA283" s="37"/>
    </row>
    <row r="284" spans="1:27">
      <c r="A284" s="16" t="s">
        <v>51</v>
      </c>
      <c r="B284" s="16" t="s">
        <v>1161</v>
      </c>
      <c r="C284" s="16" t="s">
        <v>1162</v>
      </c>
      <c r="D284" s="16" t="s">
        <v>1163</v>
      </c>
      <c r="E284" s="16" t="s">
        <v>1138</v>
      </c>
      <c r="F284" s="16" t="s">
        <v>1139</v>
      </c>
      <c r="G284" s="16" t="s">
        <v>383</v>
      </c>
      <c r="H284" s="16" t="s">
        <v>384</v>
      </c>
      <c r="I284" s="16" t="s">
        <v>198</v>
      </c>
      <c r="J284" s="16" t="s">
        <v>199</v>
      </c>
      <c r="K284" s="16">
        <v>2.7888220000000001</v>
      </c>
      <c r="L284" s="36">
        <v>1618</v>
      </c>
      <c r="M284" s="16">
        <v>272</v>
      </c>
      <c r="N284" s="16">
        <v>247</v>
      </c>
      <c r="O284" s="16">
        <v>438</v>
      </c>
      <c r="P284" s="16">
        <v>417</v>
      </c>
      <c r="Q284" s="16">
        <v>244</v>
      </c>
      <c r="R284" s="16" t="s">
        <v>668</v>
      </c>
      <c r="S284" s="16">
        <v>81.9178</v>
      </c>
      <c r="T284" s="16">
        <v>53.964199999999998</v>
      </c>
      <c r="U284" s="16">
        <v>0.75395447999999998</v>
      </c>
      <c r="V284" s="16">
        <v>4</v>
      </c>
      <c r="W284" s="16">
        <v>1</v>
      </c>
      <c r="X284" s="16">
        <v>9.6385999999999999E-2</v>
      </c>
      <c r="Y284" s="16">
        <v>0.7</v>
      </c>
      <c r="Z284" s="16">
        <v>1</v>
      </c>
      <c r="AA284" s="37"/>
    </row>
    <row r="285" spans="1:27">
      <c r="A285" s="16" t="s">
        <v>51</v>
      </c>
      <c r="B285" s="16" t="s">
        <v>1164</v>
      </c>
      <c r="C285" s="16" t="s">
        <v>1165</v>
      </c>
      <c r="D285" s="16" t="s">
        <v>1166</v>
      </c>
      <c r="E285" s="16" t="s">
        <v>1151</v>
      </c>
      <c r="F285" s="16" t="s">
        <v>1152</v>
      </c>
      <c r="G285" s="16" t="s">
        <v>383</v>
      </c>
      <c r="H285" s="16" t="s">
        <v>384</v>
      </c>
      <c r="I285" s="16" t="s">
        <v>198</v>
      </c>
      <c r="J285" s="16" t="s">
        <v>199</v>
      </c>
      <c r="K285" s="16">
        <v>3.0231029999999999</v>
      </c>
      <c r="L285" s="36">
        <v>3069</v>
      </c>
      <c r="M285" s="16">
        <v>516</v>
      </c>
      <c r="N285" s="16">
        <v>609</v>
      </c>
      <c r="O285" s="16">
        <v>775</v>
      </c>
      <c r="P285" s="16">
        <v>779</v>
      </c>
      <c r="Q285" s="16">
        <v>390</v>
      </c>
      <c r="R285" s="16" t="s">
        <v>302</v>
      </c>
      <c r="S285" s="16">
        <v>41.457700000000003</v>
      </c>
      <c r="T285" s="16">
        <v>10.6091</v>
      </c>
      <c r="U285" s="16">
        <v>0.47843840199999998</v>
      </c>
      <c r="V285" s="16">
        <v>6</v>
      </c>
      <c r="W285" s="16">
        <v>1</v>
      </c>
      <c r="X285" s="16">
        <v>0.27184799999999998</v>
      </c>
      <c r="Y285" s="16">
        <v>0.74718899999999999</v>
      </c>
      <c r="Z285" s="16">
        <v>0.99037799999999998</v>
      </c>
      <c r="AA285" s="37"/>
    </row>
    <row r="286" spans="1:27">
      <c r="A286" s="16" t="s">
        <v>51</v>
      </c>
      <c r="B286" s="16" t="s">
        <v>1167</v>
      </c>
      <c r="C286" s="16" t="s">
        <v>1168</v>
      </c>
      <c r="D286" s="16" t="s">
        <v>1169</v>
      </c>
      <c r="E286" s="16" t="s">
        <v>1151</v>
      </c>
      <c r="F286" s="16" t="s">
        <v>1152</v>
      </c>
      <c r="G286" s="16" t="s">
        <v>383</v>
      </c>
      <c r="H286" s="16" t="s">
        <v>384</v>
      </c>
      <c r="I286" s="16" t="s">
        <v>198</v>
      </c>
      <c r="J286" s="16" t="s">
        <v>199</v>
      </c>
      <c r="K286" s="16">
        <v>2.9377249999999999</v>
      </c>
      <c r="L286" s="36">
        <v>2595</v>
      </c>
      <c r="M286" s="16">
        <v>311</v>
      </c>
      <c r="N286" s="16">
        <v>552</v>
      </c>
      <c r="O286" s="16">
        <v>717</v>
      </c>
      <c r="P286" s="16">
        <v>654</v>
      </c>
      <c r="Q286" s="16">
        <v>361</v>
      </c>
      <c r="R286" s="16" t="s">
        <v>668</v>
      </c>
      <c r="S286" s="16">
        <v>79.610399999999998</v>
      </c>
      <c r="T286" s="16">
        <v>23.2348</v>
      </c>
      <c r="U286" s="16">
        <v>0.64282876799999999</v>
      </c>
      <c r="V286" s="16">
        <v>4</v>
      </c>
      <c r="W286" s="16">
        <v>1</v>
      </c>
      <c r="X286" s="16">
        <v>0.19882</v>
      </c>
      <c r="Y286" s="16">
        <v>0.73862300000000003</v>
      </c>
      <c r="Z286" s="16">
        <v>1</v>
      </c>
      <c r="AA286" s="37"/>
    </row>
    <row r="287" spans="1:27">
      <c r="A287" s="16" t="s">
        <v>51</v>
      </c>
      <c r="B287" s="16" t="s">
        <v>1170</v>
      </c>
      <c r="C287" s="16" t="s">
        <v>1171</v>
      </c>
      <c r="D287" s="16" t="s">
        <v>1172</v>
      </c>
      <c r="E287" s="16" t="s">
        <v>1138</v>
      </c>
      <c r="F287" s="16" t="s">
        <v>1139</v>
      </c>
      <c r="G287" s="16" t="s">
        <v>383</v>
      </c>
      <c r="H287" s="16" t="s">
        <v>384</v>
      </c>
      <c r="I287" s="16" t="s">
        <v>198</v>
      </c>
      <c r="J287" s="16" t="s">
        <v>199</v>
      </c>
      <c r="K287" s="16">
        <v>2.906844</v>
      </c>
      <c r="L287" s="36">
        <v>1759</v>
      </c>
      <c r="M287" s="16">
        <v>257</v>
      </c>
      <c r="N287" s="16">
        <v>265</v>
      </c>
      <c r="O287" s="16">
        <v>429</v>
      </c>
      <c r="P287" s="16">
        <v>516</v>
      </c>
      <c r="Q287" s="16">
        <v>292</v>
      </c>
      <c r="R287" s="16" t="s">
        <v>668</v>
      </c>
      <c r="S287" s="16">
        <v>94.627600000000001</v>
      </c>
      <c r="T287" s="16">
        <v>69.3399</v>
      </c>
      <c r="U287" s="16">
        <v>0.44648559100000001</v>
      </c>
      <c r="V287" s="16">
        <v>8</v>
      </c>
      <c r="W287" s="16">
        <v>1</v>
      </c>
      <c r="X287" s="16">
        <v>0.242146</v>
      </c>
      <c r="Y287" s="16">
        <v>0.7</v>
      </c>
      <c r="Z287" s="16">
        <v>1</v>
      </c>
      <c r="AA287" s="37"/>
    </row>
    <row r="288" spans="1:27">
      <c r="A288" s="16" t="s">
        <v>51</v>
      </c>
      <c r="B288" s="16" t="s">
        <v>1173</v>
      </c>
      <c r="C288" s="16" t="s">
        <v>1174</v>
      </c>
      <c r="D288" s="16" t="s">
        <v>1175</v>
      </c>
      <c r="E288" s="16" t="s">
        <v>1159</v>
      </c>
      <c r="F288" s="16" t="s">
        <v>1160</v>
      </c>
      <c r="G288" s="16" t="s">
        <v>383</v>
      </c>
      <c r="H288" s="16" t="s">
        <v>384</v>
      </c>
      <c r="I288" s="16" t="s">
        <v>198</v>
      </c>
      <c r="J288" s="16" t="s">
        <v>199</v>
      </c>
      <c r="K288" s="16">
        <v>2.911111</v>
      </c>
      <c r="L288" s="36">
        <v>3107</v>
      </c>
      <c r="M288" s="16">
        <v>499</v>
      </c>
      <c r="N288" s="16">
        <v>836</v>
      </c>
      <c r="O288" s="16">
        <v>834</v>
      </c>
      <c r="P288" s="16">
        <v>658</v>
      </c>
      <c r="Q288" s="16">
        <v>280</v>
      </c>
      <c r="R288" s="16" t="s">
        <v>668</v>
      </c>
      <c r="S288" s="16">
        <v>88.953699999999998</v>
      </c>
      <c r="T288" s="16">
        <v>52.802599999999998</v>
      </c>
      <c r="U288" s="16">
        <v>0.481385962</v>
      </c>
      <c r="V288" s="16">
        <v>7</v>
      </c>
      <c r="W288" s="16">
        <v>1</v>
      </c>
      <c r="X288" s="16">
        <v>0.19705900000000001</v>
      </c>
      <c r="Y288" s="16">
        <v>0.71532799999999996</v>
      </c>
      <c r="Z288" s="16">
        <v>1</v>
      </c>
      <c r="AA288" s="37"/>
    </row>
    <row r="289" spans="1:27">
      <c r="A289" s="16" t="s">
        <v>51</v>
      </c>
      <c r="B289" s="16" t="s">
        <v>1176</v>
      </c>
      <c r="C289" s="16" t="s">
        <v>1177</v>
      </c>
      <c r="D289" s="16" t="s">
        <v>1178</v>
      </c>
      <c r="E289" s="16" t="s">
        <v>1179</v>
      </c>
      <c r="F289" s="16" t="s">
        <v>1180</v>
      </c>
      <c r="G289" s="16" t="s">
        <v>383</v>
      </c>
      <c r="H289" s="16" t="s">
        <v>384</v>
      </c>
      <c r="I289" s="16" t="s">
        <v>198</v>
      </c>
      <c r="J289" s="16" t="s">
        <v>199</v>
      </c>
      <c r="K289" s="16">
        <v>3.1217389999999998</v>
      </c>
      <c r="L289" s="36">
        <v>1738</v>
      </c>
      <c r="M289" s="16">
        <v>188</v>
      </c>
      <c r="N289" s="16">
        <v>315</v>
      </c>
      <c r="O289" s="16">
        <v>440</v>
      </c>
      <c r="P289" s="16">
        <v>419</v>
      </c>
      <c r="Q289" s="16">
        <v>376</v>
      </c>
      <c r="R289" s="16" t="s">
        <v>668</v>
      </c>
      <c r="S289" s="16">
        <v>116.02200000000001</v>
      </c>
      <c r="T289" s="16">
        <v>47.216000000000001</v>
      </c>
      <c r="U289" s="16">
        <v>0.52534388399999998</v>
      </c>
      <c r="V289" s="16">
        <v>5</v>
      </c>
      <c r="W289" s="16">
        <v>1</v>
      </c>
      <c r="X289" s="16">
        <v>0.42876500000000001</v>
      </c>
      <c r="Y289" s="16">
        <v>0.7</v>
      </c>
      <c r="Z289" s="16">
        <v>1</v>
      </c>
      <c r="AA289" s="37"/>
    </row>
    <row r="290" spans="1:27">
      <c r="A290" s="16" t="s">
        <v>51</v>
      </c>
      <c r="B290" s="16" t="s">
        <v>1181</v>
      </c>
      <c r="C290" s="16" t="s">
        <v>1182</v>
      </c>
      <c r="D290" s="16" t="s">
        <v>1183</v>
      </c>
      <c r="E290" s="16" t="s">
        <v>1159</v>
      </c>
      <c r="F290" s="16" t="s">
        <v>1160</v>
      </c>
      <c r="G290" s="16" t="s">
        <v>383</v>
      </c>
      <c r="H290" s="16" t="s">
        <v>384</v>
      </c>
      <c r="I290" s="16" t="s">
        <v>198</v>
      </c>
      <c r="J290" s="16" t="s">
        <v>199</v>
      </c>
      <c r="K290" s="16">
        <v>2.7664209999999998</v>
      </c>
      <c r="L290" s="36">
        <v>2021</v>
      </c>
      <c r="M290" s="16">
        <v>240</v>
      </c>
      <c r="N290" s="16">
        <v>488</v>
      </c>
      <c r="O290" s="16">
        <v>561</v>
      </c>
      <c r="P290" s="16">
        <v>466</v>
      </c>
      <c r="Q290" s="16">
        <v>266</v>
      </c>
      <c r="R290" s="16" t="s">
        <v>668</v>
      </c>
      <c r="S290" s="16">
        <v>79.070599999999999</v>
      </c>
      <c r="T290" s="16">
        <v>48.773699999999998</v>
      </c>
      <c r="U290" s="16">
        <v>0.56829474800000002</v>
      </c>
      <c r="V290" s="16">
        <v>8</v>
      </c>
      <c r="W290" s="16">
        <v>1</v>
      </c>
      <c r="X290" s="16">
        <v>6.9144999999999998E-2</v>
      </c>
      <c r="Y290" s="16">
        <v>0.7</v>
      </c>
      <c r="Z290" s="16">
        <v>1</v>
      </c>
      <c r="AA290" s="37"/>
    </row>
    <row r="291" spans="1:27">
      <c r="A291" s="16" t="s">
        <v>51</v>
      </c>
      <c r="B291" s="16" t="s">
        <v>1184</v>
      </c>
      <c r="C291" s="16" t="s">
        <v>1185</v>
      </c>
      <c r="D291" s="16" t="s">
        <v>1186</v>
      </c>
      <c r="E291" s="16" t="s">
        <v>1159</v>
      </c>
      <c r="F291" s="16" t="s">
        <v>1160</v>
      </c>
      <c r="G291" s="16" t="s">
        <v>383</v>
      </c>
      <c r="H291" s="16" t="s">
        <v>384</v>
      </c>
      <c r="I291" s="16" t="s">
        <v>198</v>
      </c>
      <c r="J291" s="16" t="s">
        <v>199</v>
      </c>
      <c r="K291" s="16">
        <v>2.7793649999999999</v>
      </c>
      <c r="L291" s="36">
        <v>1782</v>
      </c>
      <c r="M291" s="16">
        <v>195</v>
      </c>
      <c r="N291" s="16">
        <v>394</v>
      </c>
      <c r="O291" s="16">
        <v>481</v>
      </c>
      <c r="P291" s="16">
        <v>480</v>
      </c>
      <c r="Q291" s="16">
        <v>232</v>
      </c>
      <c r="R291" s="16">
        <v>5</v>
      </c>
      <c r="S291" s="16">
        <v>48.051299999999998</v>
      </c>
      <c r="T291" s="16">
        <v>12.4213</v>
      </c>
      <c r="U291" s="16">
        <v>0.719952802</v>
      </c>
      <c r="V291" s="16">
        <v>4</v>
      </c>
      <c r="W291" s="16">
        <v>1</v>
      </c>
      <c r="X291" s="16">
        <v>2.0799999999999999E-2</v>
      </c>
      <c r="Y291" s="16">
        <v>0.76229499999999994</v>
      </c>
      <c r="Z291" s="16">
        <v>1</v>
      </c>
      <c r="AA291" s="37"/>
    </row>
    <row r="292" spans="1:27">
      <c r="A292" s="16"/>
      <c r="B292" s="16"/>
      <c r="C292" s="16"/>
      <c r="D292" s="16"/>
      <c r="E292" s="16"/>
      <c r="F292" s="16"/>
      <c r="G292" s="16"/>
      <c r="H292" s="16"/>
      <c r="I292" s="16"/>
      <c r="J292" s="16"/>
      <c r="K292" s="16">
        <f>MEDIAN(K277:K291)</f>
        <v>2.9377249999999999</v>
      </c>
      <c r="L292" s="36">
        <f>AVERAGE(L277:L291)</f>
        <v>2009.5333333333333</v>
      </c>
      <c r="M292" s="16">
        <f t="shared" ref="M292:Q292" si="32">SUM(M277:M291)</f>
        <v>4213</v>
      </c>
      <c r="N292" s="16">
        <f t="shared" si="32"/>
        <v>6232</v>
      </c>
      <c r="O292" s="16">
        <f t="shared" si="32"/>
        <v>7942</v>
      </c>
      <c r="P292" s="16">
        <f t="shared" si="32"/>
        <v>7440</v>
      </c>
      <c r="Q292" s="16">
        <f t="shared" si="32"/>
        <v>4316</v>
      </c>
      <c r="R292" s="16"/>
      <c r="S292" s="16">
        <f t="shared" ref="S292:U292" si="33">MIN(S277:S291)</f>
        <v>35.552500000000002</v>
      </c>
      <c r="T292" s="16">
        <f t="shared" si="33"/>
        <v>10.6091</v>
      </c>
      <c r="U292" s="16">
        <f t="shared" si="33"/>
        <v>0.355476601</v>
      </c>
      <c r="V292" s="16">
        <f>MEDIAN(V277:V291)</f>
        <v>6</v>
      </c>
      <c r="W292" s="16"/>
      <c r="X292" s="16"/>
      <c r="Y292" s="16"/>
      <c r="Z292" s="16"/>
      <c r="AA292" s="37"/>
    </row>
    <row r="293" spans="1:27">
      <c r="A293" s="16" t="s">
        <v>52</v>
      </c>
      <c r="B293" s="16" t="s">
        <v>1187</v>
      </c>
      <c r="C293" s="16" t="s">
        <v>1188</v>
      </c>
      <c r="D293" s="16" t="s">
        <v>1189</v>
      </c>
      <c r="E293" s="16" t="s">
        <v>1047</v>
      </c>
      <c r="F293" s="16" t="s">
        <v>1048</v>
      </c>
      <c r="G293" s="16" t="s">
        <v>1049</v>
      </c>
      <c r="H293" s="16" t="s">
        <v>1050</v>
      </c>
      <c r="I293" s="16" t="s">
        <v>198</v>
      </c>
      <c r="J293" s="16" t="s">
        <v>199</v>
      </c>
      <c r="K293" s="16">
        <v>2.8144279999999999</v>
      </c>
      <c r="L293" s="36">
        <v>1546</v>
      </c>
      <c r="M293" s="16">
        <v>279</v>
      </c>
      <c r="N293" s="16">
        <v>292</v>
      </c>
      <c r="O293" s="16">
        <v>431</v>
      </c>
      <c r="P293" s="16">
        <v>371</v>
      </c>
      <c r="Q293" s="16">
        <v>173</v>
      </c>
      <c r="R293" s="16" t="s">
        <v>302</v>
      </c>
      <c r="S293" s="16">
        <v>37.571399999999997</v>
      </c>
      <c r="T293" s="16">
        <v>30.679300000000001</v>
      </c>
      <c r="U293" s="16">
        <v>0.53296576100000004</v>
      </c>
      <c r="V293" s="16">
        <v>6</v>
      </c>
      <c r="W293" s="16">
        <v>1</v>
      </c>
      <c r="X293" s="16">
        <v>4.8515000000000003E-2</v>
      </c>
      <c r="Y293" s="16">
        <v>0.8</v>
      </c>
      <c r="Z293" s="16">
        <v>0.96862700000000002</v>
      </c>
      <c r="AA293" s="37"/>
    </row>
    <row r="294" spans="1:27">
      <c r="A294" s="16" t="s">
        <v>52</v>
      </c>
      <c r="B294" s="16" t="s">
        <v>1190</v>
      </c>
      <c r="C294" s="16" t="s">
        <v>1191</v>
      </c>
      <c r="D294" s="16" t="s">
        <v>1192</v>
      </c>
      <c r="E294" s="16" t="s">
        <v>1193</v>
      </c>
      <c r="F294" s="16" t="s">
        <v>1194</v>
      </c>
      <c r="G294" s="16" t="s">
        <v>1049</v>
      </c>
      <c r="H294" s="16" t="s">
        <v>1050</v>
      </c>
      <c r="I294" s="16" t="s">
        <v>198</v>
      </c>
      <c r="J294" s="16" t="s">
        <v>199</v>
      </c>
      <c r="K294" s="16">
        <v>2.9458060000000001</v>
      </c>
      <c r="L294" s="36">
        <v>1313</v>
      </c>
      <c r="M294" s="16">
        <v>150</v>
      </c>
      <c r="N294" s="16">
        <v>313</v>
      </c>
      <c r="O294" s="16">
        <v>381</v>
      </c>
      <c r="P294" s="16">
        <v>307</v>
      </c>
      <c r="Q294" s="16">
        <v>162</v>
      </c>
      <c r="R294" s="16" t="s">
        <v>668</v>
      </c>
      <c r="S294" s="16">
        <v>49.326700000000002</v>
      </c>
      <c r="T294" s="16">
        <v>36.301600000000001</v>
      </c>
      <c r="U294" s="16">
        <v>0.73070864099999999</v>
      </c>
      <c r="V294" s="16">
        <v>3</v>
      </c>
      <c r="W294" s="16">
        <v>0.92871000000000004</v>
      </c>
      <c r="X294" s="16">
        <v>0.28322599999999998</v>
      </c>
      <c r="Y294" s="16">
        <v>0.8</v>
      </c>
      <c r="Z294" s="16">
        <v>0.93493599999999999</v>
      </c>
      <c r="AA294" s="37"/>
    </row>
    <row r="295" spans="1:27">
      <c r="A295" s="16" t="s">
        <v>52</v>
      </c>
      <c r="B295" s="16" t="s">
        <v>1195</v>
      </c>
      <c r="C295" s="16" t="s">
        <v>1196</v>
      </c>
      <c r="D295" s="16" t="s">
        <v>1197</v>
      </c>
      <c r="E295" s="16" t="s">
        <v>1086</v>
      </c>
      <c r="F295" s="16" t="s">
        <v>1087</v>
      </c>
      <c r="G295" s="16" t="s">
        <v>1049</v>
      </c>
      <c r="H295" s="16" t="s">
        <v>1050</v>
      </c>
      <c r="I295" s="16" t="s">
        <v>198</v>
      </c>
      <c r="J295" s="16" t="s">
        <v>199</v>
      </c>
      <c r="K295" s="16">
        <v>2.9165320000000001</v>
      </c>
      <c r="L295" s="36">
        <v>1571</v>
      </c>
      <c r="M295" s="16">
        <v>183</v>
      </c>
      <c r="N295" s="16">
        <v>471</v>
      </c>
      <c r="O295" s="16">
        <v>452</v>
      </c>
      <c r="P295" s="16">
        <v>336</v>
      </c>
      <c r="Q295" s="16">
        <v>129</v>
      </c>
      <c r="R295" s="16" t="s">
        <v>668</v>
      </c>
      <c r="S295" s="16">
        <v>44.854500000000002</v>
      </c>
      <c r="T295" s="16">
        <v>37.285800000000002</v>
      </c>
      <c r="U295" s="16">
        <v>0.64112850499999996</v>
      </c>
      <c r="V295" s="16">
        <v>4</v>
      </c>
      <c r="W295" s="16">
        <v>0.98104800000000003</v>
      </c>
      <c r="X295" s="16">
        <v>0.15501999999999999</v>
      </c>
      <c r="Y295" s="16">
        <v>0.8</v>
      </c>
      <c r="Z295" s="16">
        <v>0.98624999999999996</v>
      </c>
      <c r="AA295" s="37"/>
    </row>
    <row r="296" spans="1:27">
      <c r="A296" s="16" t="s">
        <v>52</v>
      </c>
      <c r="B296" s="16" t="s">
        <v>1198</v>
      </c>
      <c r="C296" s="16" t="s">
        <v>1199</v>
      </c>
      <c r="D296" s="16" t="s">
        <v>1200</v>
      </c>
      <c r="E296" s="16" t="s">
        <v>1086</v>
      </c>
      <c r="F296" s="16" t="s">
        <v>1087</v>
      </c>
      <c r="G296" s="16" t="s">
        <v>1049</v>
      </c>
      <c r="H296" s="16" t="s">
        <v>1050</v>
      </c>
      <c r="I296" s="16" t="s">
        <v>198</v>
      </c>
      <c r="J296" s="16" t="s">
        <v>199</v>
      </c>
      <c r="K296" s="16">
        <v>3.0932270000000002</v>
      </c>
      <c r="L296" s="36">
        <v>1472</v>
      </c>
      <c r="M296" s="16">
        <v>220</v>
      </c>
      <c r="N296" s="16">
        <v>316</v>
      </c>
      <c r="O296" s="16">
        <v>408</v>
      </c>
      <c r="P296" s="16">
        <v>342</v>
      </c>
      <c r="Q296" s="16">
        <v>186</v>
      </c>
      <c r="R296" s="16" t="s">
        <v>302</v>
      </c>
      <c r="S296" s="16">
        <v>37.763399999999997</v>
      </c>
      <c r="T296" s="16">
        <v>28.080300000000001</v>
      </c>
      <c r="U296" s="16">
        <v>0.66199456700000003</v>
      </c>
      <c r="V296" s="16">
        <v>3</v>
      </c>
      <c r="W296" s="16">
        <v>0.97131500000000004</v>
      </c>
      <c r="X296" s="16">
        <v>0.34466400000000003</v>
      </c>
      <c r="Y296" s="16">
        <v>0.8</v>
      </c>
      <c r="Z296" s="16">
        <v>1</v>
      </c>
      <c r="AA296" s="37"/>
    </row>
    <row r="297" spans="1:27">
      <c r="A297" s="16" t="s">
        <v>52</v>
      </c>
      <c r="B297" s="16" t="s">
        <v>1201</v>
      </c>
      <c r="C297" s="16" t="s">
        <v>1202</v>
      </c>
      <c r="D297" s="16" t="s">
        <v>1203</v>
      </c>
      <c r="E297" s="16" t="s">
        <v>1193</v>
      </c>
      <c r="F297" s="16" t="s">
        <v>1194</v>
      </c>
      <c r="G297" s="16" t="s">
        <v>1049</v>
      </c>
      <c r="H297" s="16" t="s">
        <v>1050</v>
      </c>
      <c r="I297" s="16" t="s">
        <v>198</v>
      </c>
      <c r="J297" s="16" t="s">
        <v>199</v>
      </c>
      <c r="K297" s="16">
        <v>2.971028</v>
      </c>
      <c r="L297" s="36">
        <v>1572</v>
      </c>
      <c r="M297" s="16">
        <v>258</v>
      </c>
      <c r="N297" s="16">
        <v>333</v>
      </c>
      <c r="O297" s="16">
        <v>427</v>
      </c>
      <c r="P297" s="16">
        <v>345</v>
      </c>
      <c r="Q297" s="16">
        <v>209</v>
      </c>
      <c r="R297" s="16" t="s">
        <v>302</v>
      </c>
      <c r="S297" s="16">
        <v>43.562399999999997</v>
      </c>
      <c r="T297" s="16">
        <v>33.938200000000002</v>
      </c>
      <c r="U297" s="16">
        <v>0.51550510100000002</v>
      </c>
      <c r="V297" s="16">
        <v>6</v>
      </c>
      <c r="W297" s="16">
        <v>0.99345799999999995</v>
      </c>
      <c r="X297" s="16">
        <v>0.28317799999999999</v>
      </c>
      <c r="Y297" s="16">
        <v>0.8</v>
      </c>
      <c r="Z297" s="16">
        <v>0.88066</v>
      </c>
      <c r="AA297" s="37"/>
    </row>
    <row r="298" spans="1:27">
      <c r="A298" s="16" t="s">
        <v>52</v>
      </c>
      <c r="B298" s="16" t="s">
        <v>1080</v>
      </c>
      <c r="C298" s="16" t="s">
        <v>1081</v>
      </c>
      <c r="D298" s="16" t="s">
        <v>1082</v>
      </c>
      <c r="E298" s="16" t="s">
        <v>1047</v>
      </c>
      <c r="F298" s="16" t="s">
        <v>1048</v>
      </c>
      <c r="G298" s="16" t="s">
        <v>1049</v>
      </c>
      <c r="H298" s="16" t="s">
        <v>1050</v>
      </c>
      <c r="I298" s="16" t="s">
        <v>198</v>
      </c>
      <c r="J298" s="16" t="s">
        <v>199</v>
      </c>
      <c r="K298" s="16">
        <v>2.9144739999999998</v>
      </c>
      <c r="L298" s="36">
        <v>1475</v>
      </c>
      <c r="M298" s="16">
        <v>188</v>
      </c>
      <c r="N298" s="16">
        <v>421</v>
      </c>
      <c r="O298" s="16">
        <v>392</v>
      </c>
      <c r="P298" s="16">
        <v>322</v>
      </c>
      <c r="Q298" s="16">
        <v>152</v>
      </c>
      <c r="R298" s="16" t="s">
        <v>302</v>
      </c>
      <c r="S298" s="16">
        <v>50.070999999999998</v>
      </c>
      <c r="T298" s="16">
        <v>28.558299999999999</v>
      </c>
      <c r="U298" s="16">
        <v>0.66087689800000005</v>
      </c>
      <c r="V298" s="16">
        <v>4</v>
      </c>
      <c r="W298" s="16">
        <v>1</v>
      </c>
      <c r="X298" s="16">
        <v>0.23305100000000001</v>
      </c>
      <c r="Y298" s="16">
        <v>0.8</v>
      </c>
      <c r="Z298" s="16">
        <v>0.91315800000000003</v>
      </c>
      <c r="AA298" s="37"/>
    </row>
    <row r="299" spans="1:27">
      <c r="A299" s="16" t="s">
        <v>52</v>
      </c>
      <c r="B299" s="16" t="s">
        <v>1083</v>
      </c>
      <c r="C299" s="16" t="s">
        <v>1084</v>
      </c>
      <c r="D299" s="16" t="s">
        <v>1085</v>
      </c>
      <c r="E299" s="16" t="s">
        <v>1086</v>
      </c>
      <c r="F299" s="16" t="s">
        <v>1087</v>
      </c>
      <c r="G299" s="16" t="s">
        <v>1049</v>
      </c>
      <c r="H299" s="16" t="s">
        <v>1050</v>
      </c>
      <c r="I299" s="16" t="s">
        <v>198</v>
      </c>
      <c r="J299" s="16" t="s">
        <v>199</v>
      </c>
      <c r="K299" s="16">
        <v>3.1112739999999999</v>
      </c>
      <c r="L299" s="36">
        <v>1526</v>
      </c>
      <c r="M299" s="16">
        <v>142</v>
      </c>
      <c r="N299" s="16">
        <v>255</v>
      </c>
      <c r="O299" s="16">
        <v>400</v>
      </c>
      <c r="P299" s="16">
        <v>395</v>
      </c>
      <c r="Q299" s="16">
        <v>334</v>
      </c>
      <c r="R299" s="16" t="s">
        <v>302</v>
      </c>
      <c r="S299" s="16">
        <v>41.596200000000003</v>
      </c>
      <c r="T299" s="16">
        <v>27.1188</v>
      </c>
      <c r="U299" s="16">
        <v>0.76919232800000004</v>
      </c>
      <c r="V299" s="16">
        <v>2</v>
      </c>
      <c r="W299" s="16">
        <v>0.99754900000000002</v>
      </c>
      <c r="X299" s="16">
        <v>0.36748799999999998</v>
      </c>
      <c r="Y299" s="16">
        <v>0.8</v>
      </c>
      <c r="Z299" s="16">
        <v>0.97609800000000002</v>
      </c>
      <c r="AA299" s="37"/>
    </row>
    <row r="300" spans="1:27">
      <c r="A300" s="16" t="s">
        <v>52</v>
      </c>
      <c r="B300" s="16" t="s">
        <v>1204</v>
      </c>
      <c r="C300" s="16" t="s">
        <v>1205</v>
      </c>
      <c r="D300" s="16" t="s">
        <v>1206</v>
      </c>
      <c r="E300" s="16" t="s">
        <v>1193</v>
      </c>
      <c r="F300" s="16" t="s">
        <v>1194</v>
      </c>
      <c r="G300" s="16" t="s">
        <v>1049</v>
      </c>
      <c r="H300" s="16" t="s">
        <v>1050</v>
      </c>
      <c r="I300" s="16" t="s">
        <v>198</v>
      </c>
      <c r="J300" s="16" t="s">
        <v>199</v>
      </c>
      <c r="K300" s="16">
        <v>2.837304</v>
      </c>
      <c r="L300" s="36">
        <v>1732</v>
      </c>
      <c r="M300" s="16">
        <v>231</v>
      </c>
      <c r="N300" s="16">
        <v>390</v>
      </c>
      <c r="O300" s="16">
        <v>471</v>
      </c>
      <c r="P300" s="16">
        <v>377</v>
      </c>
      <c r="Q300" s="16">
        <v>263</v>
      </c>
      <c r="R300" s="16" t="s">
        <v>302</v>
      </c>
      <c r="S300" s="16">
        <v>36.147599999999997</v>
      </c>
      <c r="T300" s="16">
        <v>0</v>
      </c>
      <c r="U300" s="16">
        <v>0.618281729</v>
      </c>
      <c r="V300" s="16">
        <v>4</v>
      </c>
      <c r="W300" s="16">
        <v>0.92037599999999997</v>
      </c>
      <c r="X300" s="16">
        <v>0.30222199999999999</v>
      </c>
      <c r="Y300" s="16">
        <v>0.8</v>
      </c>
      <c r="Z300" s="16">
        <v>0.81847099999999995</v>
      </c>
      <c r="AA300" s="37"/>
    </row>
    <row r="301" spans="1:27">
      <c r="A301" s="16" t="s">
        <v>52</v>
      </c>
      <c r="B301" s="16" t="s">
        <v>1207</v>
      </c>
      <c r="C301" s="16" t="s">
        <v>1208</v>
      </c>
      <c r="D301" s="16" t="s">
        <v>1209</v>
      </c>
      <c r="E301" s="16" t="s">
        <v>1193</v>
      </c>
      <c r="F301" s="16" t="s">
        <v>1194</v>
      </c>
      <c r="G301" s="16" t="s">
        <v>1049</v>
      </c>
      <c r="H301" s="16" t="s">
        <v>1050</v>
      </c>
      <c r="I301" s="16" t="s">
        <v>198</v>
      </c>
      <c r="J301" s="16" t="s">
        <v>199</v>
      </c>
      <c r="K301" s="16">
        <v>2.9637540000000002</v>
      </c>
      <c r="L301" s="36">
        <v>1755</v>
      </c>
      <c r="M301" s="16">
        <v>246</v>
      </c>
      <c r="N301" s="16">
        <v>539</v>
      </c>
      <c r="O301" s="16">
        <v>446</v>
      </c>
      <c r="P301" s="16">
        <v>351</v>
      </c>
      <c r="Q301" s="16">
        <v>173</v>
      </c>
      <c r="R301" s="16" t="s">
        <v>302</v>
      </c>
      <c r="S301" s="16">
        <v>41.387799999999999</v>
      </c>
      <c r="T301" s="16">
        <v>26.787700000000001</v>
      </c>
      <c r="U301" s="16">
        <v>0.59207869599999996</v>
      </c>
      <c r="V301" s="16">
        <v>5</v>
      </c>
      <c r="W301" s="16">
        <v>0.95048500000000002</v>
      </c>
      <c r="X301" s="16">
        <v>0.40065099999999998</v>
      </c>
      <c r="Y301" s="16">
        <v>0.8</v>
      </c>
      <c r="Z301" s="16">
        <v>0.83227799999999996</v>
      </c>
      <c r="AA301" s="37"/>
    </row>
    <row r="302" spans="1:27">
      <c r="A302" s="16" t="s">
        <v>52</v>
      </c>
      <c r="B302" s="16" t="s">
        <v>1210</v>
      </c>
      <c r="C302" s="16" t="s">
        <v>1211</v>
      </c>
      <c r="D302" s="16" t="s">
        <v>1212</v>
      </c>
      <c r="E302" s="16" t="s">
        <v>1213</v>
      </c>
      <c r="F302" s="16" t="s">
        <v>1214</v>
      </c>
      <c r="G302" s="16" t="s">
        <v>1049</v>
      </c>
      <c r="H302" s="16" t="s">
        <v>1050</v>
      </c>
      <c r="I302" s="16" t="s">
        <v>198</v>
      </c>
      <c r="J302" s="16" t="s">
        <v>199</v>
      </c>
      <c r="K302" s="16">
        <v>2.7543660000000001</v>
      </c>
      <c r="L302" s="36">
        <v>1736</v>
      </c>
      <c r="M302" s="16">
        <v>302</v>
      </c>
      <c r="N302" s="16">
        <v>261</v>
      </c>
      <c r="O302" s="16">
        <v>496</v>
      </c>
      <c r="P302" s="16">
        <v>439</v>
      </c>
      <c r="Q302" s="16">
        <v>238</v>
      </c>
      <c r="R302" s="16" t="s">
        <v>302</v>
      </c>
      <c r="S302" s="16">
        <v>35.9925</v>
      </c>
      <c r="T302" s="16">
        <v>14.9114</v>
      </c>
      <c r="U302" s="16">
        <v>0.47920709700000003</v>
      </c>
      <c r="V302" s="16">
        <v>8</v>
      </c>
      <c r="W302" s="16">
        <v>0.95887299999999998</v>
      </c>
      <c r="X302" s="16">
        <v>0.22520999999999999</v>
      </c>
      <c r="Y302" s="16">
        <v>0.76694200000000001</v>
      </c>
      <c r="Z302" s="16">
        <v>0.80473499999999998</v>
      </c>
      <c r="AA302" s="37"/>
    </row>
    <row r="303" spans="1:27">
      <c r="A303" s="16" t="s">
        <v>52</v>
      </c>
      <c r="B303" s="16" t="s">
        <v>1215</v>
      </c>
      <c r="C303" s="16" t="s">
        <v>1216</v>
      </c>
      <c r="D303" s="16" t="s">
        <v>1217</v>
      </c>
      <c r="E303" s="16" t="s">
        <v>1213</v>
      </c>
      <c r="F303" s="16" t="s">
        <v>1214</v>
      </c>
      <c r="G303" s="16" t="s">
        <v>1049</v>
      </c>
      <c r="H303" s="16" t="s">
        <v>1050</v>
      </c>
      <c r="I303" s="16" t="s">
        <v>198</v>
      </c>
      <c r="J303" s="16" t="s">
        <v>199</v>
      </c>
      <c r="K303" s="16">
        <v>2.795455</v>
      </c>
      <c r="L303" s="36">
        <v>1432</v>
      </c>
      <c r="M303" s="16">
        <v>243</v>
      </c>
      <c r="N303" s="16">
        <v>342</v>
      </c>
      <c r="O303" s="16">
        <v>408</v>
      </c>
      <c r="P303" s="16">
        <v>294</v>
      </c>
      <c r="Q303" s="16">
        <v>145</v>
      </c>
      <c r="R303" s="16">
        <v>4</v>
      </c>
      <c r="S303" s="16">
        <v>32.386899999999997</v>
      </c>
      <c r="T303" s="16">
        <v>0</v>
      </c>
      <c r="U303" s="16">
        <v>0.60637580199999996</v>
      </c>
      <c r="V303" s="16">
        <v>6</v>
      </c>
      <c r="W303" s="16">
        <v>0.90909099999999998</v>
      </c>
      <c r="X303" s="16">
        <v>0.21243999999999999</v>
      </c>
      <c r="Y303" s="16">
        <v>0.79833299999999996</v>
      </c>
      <c r="Z303" s="16">
        <v>0.865012</v>
      </c>
      <c r="AA303" s="37"/>
    </row>
    <row r="304" spans="1:27">
      <c r="A304" s="16" t="s">
        <v>52</v>
      </c>
      <c r="B304" s="16" t="s">
        <v>1218</v>
      </c>
      <c r="C304" s="16" t="s">
        <v>1219</v>
      </c>
      <c r="D304" s="16" t="s">
        <v>1220</v>
      </c>
      <c r="E304" s="16" t="s">
        <v>1193</v>
      </c>
      <c r="F304" s="16" t="s">
        <v>1194</v>
      </c>
      <c r="G304" s="16" t="s">
        <v>1049</v>
      </c>
      <c r="H304" s="16" t="s">
        <v>1050</v>
      </c>
      <c r="I304" s="16" t="s">
        <v>198</v>
      </c>
      <c r="J304" s="16" t="s">
        <v>199</v>
      </c>
      <c r="K304" s="16">
        <v>2.804071</v>
      </c>
      <c r="L304" s="36">
        <v>1838</v>
      </c>
      <c r="M304" s="16">
        <v>432</v>
      </c>
      <c r="N304" s="16">
        <v>205</v>
      </c>
      <c r="O304" s="16">
        <v>425</v>
      </c>
      <c r="P304" s="16">
        <v>501</v>
      </c>
      <c r="Q304" s="16">
        <v>275</v>
      </c>
      <c r="R304" s="16" t="s">
        <v>302</v>
      </c>
      <c r="S304" s="16">
        <v>39.318100000000001</v>
      </c>
      <c r="T304" s="16">
        <v>8.8690099999999994</v>
      </c>
      <c r="U304" s="16">
        <v>0.44544086500000002</v>
      </c>
      <c r="V304" s="16">
        <v>8</v>
      </c>
      <c r="W304" s="16">
        <v>1</v>
      </c>
      <c r="X304" s="16">
        <v>0.12886600000000001</v>
      </c>
      <c r="Y304" s="16">
        <v>0.76994799999999997</v>
      </c>
      <c r="Z304" s="16">
        <v>0.91870099999999999</v>
      </c>
      <c r="AA304" s="37"/>
    </row>
    <row r="305" spans="1:27">
      <c r="A305" s="16" t="s">
        <v>52</v>
      </c>
      <c r="B305" s="16" t="s">
        <v>1221</v>
      </c>
      <c r="C305" s="16" t="s">
        <v>1222</v>
      </c>
      <c r="D305" s="16" t="s">
        <v>1223</v>
      </c>
      <c r="E305" s="16" t="s">
        <v>1213</v>
      </c>
      <c r="F305" s="16" t="s">
        <v>1214</v>
      </c>
      <c r="G305" s="16" t="s">
        <v>1049</v>
      </c>
      <c r="H305" s="16" t="s">
        <v>1050</v>
      </c>
      <c r="I305" s="16" t="s">
        <v>198</v>
      </c>
      <c r="J305" s="16" t="s">
        <v>199</v>
      </c>
      <c r="K305" s="16">
        <v>2.6521620000000001</v>
      </c>
      <c r="L305" s="36">
        <v>1818</v>
      </c>
      <c r="M305" s="16">
        <v>231</v>
      </c>
      <c r="N305" s="16">
        <v>362</v>
      </c>
      <c r="O305" s="16">
        <v>442</v>
      </c>
      <c r="P305" s="16">
        <v>448</v>
      </c>
      <c r="Q305" s="16">
        <v>335</v>
      </c>
      <c r="R305" s="16">
        <v>4</v>
      </c>
      <c r="S305" s="16">
        <v>23.282599999999999</v>
      </c>
      <c r="T305" s="16">
        <v>12.484500000000001</v>
      </c>
      <c r="U305" s="16">
        <v>0.59543640499999995</v>
      </c>
      <c r="V305" s="16">
        <v>7</v>
      </c>
      <c r="W305" s="16">
        <v>0.94324300000000005</v>
      </c>
      <c r="X305" s="16">
        <v>0.21881700000000001</v>
      </c>
      <c r="Y305" s="16">
        <v>0.71444099999999999</v>
      </c>
      <c r="Z305" s="16">
        <v>0.80729700000000004</v>
      </c>
      <c r="AA305" s="37"/>
    </row>
    <row r="306" spans="1:27">
      <c r="A306" s="16" t="s">
        <v>52</v>
      </c>
      <c r="B306" s="16" t="s">
        <v>1224</v>
      </c>
      <c r="C306" s="16" t="s">
        <v>1225</v>
      </c>
      <c r="D306" s="16" t="s">
        <v>1226</v>
      </c>
      <c r="E306" s="16" t="s">
        <v>1110</v>
      </c>
      <c r="F306" s="16" t="s">
        <v>1111</v>
      </c>
      <c r="G306" s="16" t="s">
        <v>1049</v>
      </c>
      <c r="H306" s="16" t="s">
        <v>1050</v>
      </c>
      <c r="I306" s="16" t="s">
        <v>198</v>
      </c>
      <c r="J306" s="16" t="s">
        <v>199</v>
      </c>
      <c r="K306" s="16">
        <v>2.989306</v>
      </c>
      <c r="L306" s="36">
        <v>2215</v>
      </c>
      <c r="M306" s="16">
        <v>424</v>
      </c>
      <c r="N306" s="16">
        <v>412</v>
      </c>
      <c r="O306" s="16">
        <v>612</v>
      </c>
      <c r="P306" s="16">
        <v>505</v>
      </c>
      <c r="Q306" s="16">
        <v>262</v>
      </c>
      <c r="R306" s="16">
        <v>4</v>
      </c>
      <c r="S306" s="16">
        <v>24.037199999999999</v>
      </c>
      <c r="T306" s="16">
        <v>13.490399999999999</v>
      </c>
      <c r="U306" s="16">
        <v>0.47699108200000001</v>
      </c>
      <c r="V306" s="16">
        <v>5</v>
      </c>
      <c r="W306" s="16">
        <v>0.92774599999999996</v>
      </c>
      <c r="X306" s="16">
        <v>0.40284900000000001</v>
      </c>
      <c r="Y306" s="16">
        <v>0.78452699999999997</v>
      </c>
      <c r="Z306" s="16">
        <v>0.866282</v>
      </c>
      <c r="AA306" s="37"/>
    </row>
    <row r="307" spans="1:27">
      <c r="A307" s="16"/>
      <c r="B307" s="16"/>
      <c r="C307" s="16"/>
      <c r="D307" s="16"/>
      <c r="E307" s="16"/>
      <c r="F307" s="16"/>
      <c r="G307" s="16"/>
      <c r="H307" s="16"/>
      <c r="I307" s="16"/>
      <c r="J307" s="16"/>
      <c r="K307" s="16">
        <f>MEDIAN(K293:K306)</f>
        <v>2.9155030000000002</v>
      </c>
      <c r="L307" s="36">
        <f>AVERAGE(L293:L306)</f>
        <v>1642.9285714285713</v>
      </c>
      <c r="M307" s="16">
        <f t="shared" ref="M307:Q307" si="34">SUM(M293:M306)</f>
        <v>3529</v>
      </c>
      <c r="N307" s="16">
        <f t="shared" si="34"/>
        <v>4912</v>
      </c>
      <c r="O307" s="16">
        <f t="shared" si="34"/>
        <v>6191</v>
      </c>
      <c r="P307" s="16">
        <f t="shared" si="34"/>
        <v>5333</v>
      </c>
      <c r="Q307" s="16">
        <f t="shared" si="34"/>
        <v>3036</v>
      </c>
      <c r="R307" s="16"/>
      <c r="S307" s="16">
        <f t="shared" ref="S307:U307" si="35">MIN(S293:S306)</f>
        <v>23.282599999999999</v>
      </c>
      <c r="T307" s="16">
        <f t="shared" si="35"/>
        <v>0</v>
      </c>
      <c r="U307" s="16">
        <f t="shared" si="35"/>
        <v>0.44544086500000002</v>
      </c>
      <c r="V307" s="16">
        <f>MEDIAN(V293:V306)</f>
        <v>5</v>
      </c>
      <c r="W307" s="16"/>
      <c r="X307" s="16"/>
      <c r="Y307" s="16"/>
      <c r="Z307" s="16"/>
      <c r="AA307" s="37"/>
    </row>
    <row r="308" spans="1:27">
      <c r="A308" s="16" t="s">
        <v>42</v>
      </c>
      <c r="B308" s="16" t="s">
        <v>1227</v>
      </c>
      <c r="C308" s="16" t="s">
        <v>1228</v>
      </c>
      <c r="D308" s="16" t="s">
        <v>1229</v>
      </c>
      <c r="E308" s="16" t="s">
        <v>1230</v>
      </c>
      <c r="F308" s="16" t="s">
        <v>1231</v>
      </c>
      <c r="G308" s="16" t="s">
        <v>1232</v>
      </c>
      <c r="H308" s="16" t="s">
        <v>1233</v>
      </c>
      <c r="I308" s="16" t="s">
        <v>198</v>
      </c>
      <c r="J308" s="16" t="s">
        <v>199</v>
      </c>
      <c r="K308" s="16">
        <v>3.0430299999999999</v>
      </c>
      <c r="L308" s="36">
        <v>2981</v>
      </c>
      <c r="M308" s="16">
        <v>427</v>
      </c>
      <c r="N308" s="16">
        <v>836</v>
      </c>
      <c r="O308" s="16">
        <v>881</v>
      </c>
      <c r="P308" s="16">
        <v>635</v>
      </c>
      <c r="Q308" s="16">
        <v>202</v>
      </c>
      <c r="R308" s="16" t="s">
        <v>668</v>
      </c>
      <c r="S308" s="16">
        <v>59.857999999999997</v>
      </c>
      <c r="T308" s="16">
        <v>25.8598</v>
      </c>
      <c r="U308" s="16">
        <v>0.67436595200000005</v>
      </c>
      <c r="V308" s="16">
        <v>3</v>
      </c>
      <c r="W308" s="16">
        <v>1</v>
      </c>
      <c r="X308" s="16">
        <v>0.34416099999999999</v>
      </c>
      <c r="Y308" s="16">
        <v>0.70026999999999995</v>
      </c>
      <c r="Z308" s="16">
        <v>1</v>
      </c>
      <c r="AA308" s="37"/>
    </row>
    <row r="309" spans="1:27">
      <c r="A309" s="16" t="s">
        <v>42</v>
      </c>
      <c r="B309" s="16" t="s">
        <v>1234</v>
      </c>
      <c r="C309" s="16" t="s">
        <v>1235</v>
      </c>
      <c r="D309" s="16" t="s">
        <v>1236</v>
      </c>
      <c r="E309" s="16" t="s">
        <v>1237</v>
      </c>
      <c r="F309" s="16" t="s">
        <v>1238</v>
      </c>
      <c r="G309" s="16" t="s">
        <v>1232</v>
      </c>
      <c r="H309" s="16" t="s">
        <v>1233</v>
      </c>
      <c r="I309" s="16" t="s">
        <v>198</v>
      </c>
      <c r="J309" s="16" t="s">
        <v>199</v>
      </c>
      <c r="K309" s="16">
        <v>2.9145789999999998</v>
      </c>
      <c r="L309" s="36">
        <v>1855</v>
      </c>
      <c r="M309" s="16">
        <v>326</v>
      </c>
      <c r="N309" s="16">
        <v>379</v>
      </c>
      <c r="O309" s="16">
        <v>504</v>
      </c>
      <c r="P309" s="16">
        <v>478</v>
      </c>
      <c r="Q309" s="16">
        <v>168</v>
      </c>
      <c r="R309" s="16">
        <v>4</v>
      </c>
      <c r="S309" s="16">
        <v>34.101300000000002</v>
      </c>
      <c r="T309" s="16">
        <v>4.9029400000000001</v>
      </c>
      <c r="U309" s="16">
        <v>0.78428188700000001</v>
      </c>
      <c r="V309" s="16">
        <v>3</v>
      </c>
      <c r="W309" s="16">
        <v>1</v>
      </c>
      <c r="X309" s="16">
        <v>0.233486</v>
      </c>
      <c r="Y309" s="16">
        <v>0.7</v>
      </c>
      <c r="Z309" s="16">
        <v>1</v>
      </c>
      <c r="AA309" s="37"/>
    </row>
    <row r="310" spans="1:27">
      <c r="A310" s="16" t="s">
        <v>42</v>
      </c>
      <c r="B310" s="16" t="s">
        <v>1239</v>
      </c>
      <c r="C310" s="16" t="s">
        <v>1240</v>
      </c>
      <c r="D310" s="16" t="s">
        <v>1241</v>
      </c>
      <c r="E310" s="16" t="s">
        <v>1242</v>
      </c>
      <c r="F310" s="16" t="s">
        <v>1243</v>
      </c>
      <c r="G310" s="16" t="s">
        <v>1232</v>
      </c>
      <c r="H310" s="16" t="s">
        <v>1233</v>
      </c>
      <c r="I310" s="16" t="s">
        <v>198</v>
      </c>
      <c r="J310" s="16" t="s">
        <v>199</v>
      </c>
      <c r="K310" s="16">
        <v>3.0814699999999999</v>
      </c>
      <c r="L310" s="36">
        <v>2739</v>
      </c>
      <c r="M310" s="16">
        <v>130</v>
      </c>
      <c r="N310" s="36">
        <v>1566</v>
      </c>
      <c r="O310" s="16">
        <v>636</v>
      </c>
      <c r="P310" s="16">
        <v>297</v>
      </c>
      <c r="Q310" s="16">
        <v>110</v>
      </c>
      <c r="R310" s="16" t="s">
        <v>668</v>
      </c>
      <c r="S310" s="16">
        <v>117.336</v>
      </c>
      <c r="T310" s="16">
        <v>10.7951</v>
      </c>
      <c r="U310" s="16">
        <v>0.38083277900000001</v>
      </c>
      <c r="V310" s="16">
        <v>7</v>
      </c>
      <c r="W310" s="16">
        <v>1</v>
      </c>
      <c r="X310" s="16">
        <v>0.38303399999999999</v>
      </c>
      <c r="Y310" s="16">
        <v>0.7</v>
      </c>
      <c r="Z310" s="16">
        <v>1</v>
      </c>
      <c r="AA310" s="37"/>
    </row>
    <row r="311" spans="1:27">
      <c r="A311" s="16" t="s">
        <v>42</v>
      </c>
      <c r="B311" s="16" t="s">
        <v>1244</v>
      </c>
      <c r="C311" s="16" t="s">
        <v>1245</v>
      </c>
      <c r="D311" s="16" t="s">
        <v>1246</v>
      </c>
      <c r="E311" s="16" t="s">
        <v>1242</v>
      </c>
      <c r="F311" s="16" t="s">
        <v>1243</v>
      </c>
      <c r="G311" s="16" t="s">
        <v>1232</v>
      </c>
      <c r="H311" s="16" t="s">
        <v>1233</v>
      </c>
      <c r="I311" s="16" t="s">
        <v>198</v>
      </c>
      <c r="J311" s="16" t="s">
        <v>199</v>
      </c>
      <c r="K311" s="16">
        <v>3.0900889999999999</v>
      </c>
      <c r="L311" s="36">
        <v>1693</v>
      </c>
      <c r="M311" s="16">
        <v>247</v>
      </c>
      <c r="N311" s="16">
        <v>388</v>
      </c>
      <c r="O311" s="16">
        <v>439</v>
      </c>
      <c r="P311" s="16">
        <v>394</v>
      </c>
      <c r="Q311" s="16">
        <v>225</v>
      </c>
      <c r="R311" s="16" t="s">
        <v>668</v>
      </c>
      <c r="S311" s="16">
        <v>120.307</v>
      </c>
      <c r="T311" s="16">
        <v>14.712899999999999</v>
      </c>
      <c r="U311" s="16">
        <v>0.55124529499999997</v>
      </c>
      <c r="V311" s="16">
        <v>4</v>
      </c>
      <c r="W311" s="16">
        <v>1</v>
      </c>
      <c r="X311" s="16">
        <v>0.380357</v>
      </c>
      <c r="Y311" s="16">
        <v>0.7</v>
      </c>
      <c r="Z311" s="16">
        <v>1</v>
      </c>
      <c r="AA311" s="37"/>
    </row>
    <row r="312" spans="1:27">
      <c r="A312" s="16" t="s">
        <v>42</v>
      </c>
      <c r="B312" s="16" t="s">
        <v>1247</v>
      </c>
      <c r="C312" s="16" t="s">
        <v>1248</v>
      </c>
      <c r="D312" s="16" t="s">
        <v>1249</v>
      </c>
      <c r="E312" s="16" t="s">
        <v>1237</v>
      </c>
      <c r="F312" s="16" t="s">
        <v>1238</v>
      </c>
      <c r="G312" s="16" t="s">
        <v>1232</v>
      </c>
      <c r="H312" s="16" t="s">
        <v>1233</v>
      </c>
      <c r="I312" s="16" t="s">
        <v>198</v>
      </c>
      <c r="J312" s="16" t="s">
        <v>199</v>
      </c>
      <c r="K312" s="16">
        <v>2.9563380000000001</v>
      </c>
      <c r="L312" s="36">
        <v>1735</v>
      </c>
      <c r="M312" s="16">
        <v>265</v>
      </c>
      <c r="N312" s="16">
        <v>390</v>
      </c>
      <c r="O312" s="16">
        <v>381</v>
      </c>
      <c r="P312" s="16">
        <v>488</v>
      </c>
      <c r="Q312" s="16">
        <v>211</v>
      </c>
      <c r="R312" s="16">
        <v>4</v>
      </c>
      <c r="S312" s="16">
        <v>27.546800000000001</v>
      </c>
      <c r="T312" s="16">
        <v>11.531599999999999</v>
      </c>
      <c r="U312" s="16">
        <v>0.731776443</v>
      </c>
      <c r="V312" s="16">
        <v>3</v>
      </c>
      <c r="W312" s="16">
        <v>1</v>
      </c>
      <c r="X312" s="16">
        <v>0.25611499999999998</v>
      </c>
      <c r="Y312" s="16">
        <v>0.7</v>
      </c>
      <c r="Z312" s="16">
        <v>1</v>
      </c>
      <c r="AA312" s="37"/>
    </row>
    <row r="313" spans="1:27">
      <c r="A313" s="16" t="s">
        <v>42</v>
      </c>
      <c r="B313" s="16" t="s">
        <v>1250</v>
      </c>
      <c r="C313" s="16" t="s">
        <v>1251</v>
      </c>
      <c r="D313" s="16" t="s">
        <v>1252</v>
      </c>
      <c r="E313" s="16" t="s">
        <v>1242</v>
      </c>
      <c r="F313" s="16" t="s">
        <v>1243</v>
      </c>
      <c r="G313" s="16" t="s">
        <v>1232</v>
      </c>
      <c r="H313" s="16" t="s">
        <v>1233</v>
      </c>
      <c r="I313" s="16" t="s">
        <v>198</v>
      </c>
      <c r="J313" s="16" t="s">
        <v>199</v>
      </c>
      <c r="K313" s="16">
        <v>3.0790150000000001</v>
      </c>
      <c r="L313" s="36">
        <v>2843</v>
      </c>
      <c r="M313" s="16">
        <v>109</v>
      </c>
      <c r="N313" s="36">
        <v>1992</v>
      </c>
      <c r="O313" s="16">
        <v>307</v>
      </c>
      <c r="P313" s="16">
        <v>294</v>
      </c>
      <c r="Q313" s="16">
        <v>141</v>
      </c>
      <c r="R313" s="16" t="s">
        <v>668</v>
      </c>
      <c r="S313" s="16">
        <v>128.92599999999999</v>
      </c>
      <c r="T313" s="16">
        <v>84.484399999999994</v>
      </c>
      <c r="U313" s="16">
        <v>0.443867132</v>
      </c>
      <c r="V313" s="16">
        <v>7</v>
      </c>
      <c r="W313" s="16">
        <v>1</v>
      </c>
      <c r="X313" s="16">
        <v>0.38936199999999999</v>
      </c>
      <c r="Y313" s="16">
        <v>0.7</v>
      </c>
      <c r="Z313" s="16">
        <v>1</v>
      </c>
      <c r="AA313" s="37"/>
    </row>
    <row r="314" spans="1:27">
      <c r="A314" s="16" t="s">
        <v>42</v>
      </c>
      <c r="B314" s="16" t="s">
        <v>1253</v>
      </c>
      <c r="C314" s="16" t="s">
        <v>1254</v>
      </c>
      <c r="D314" s="16" t="s">
        <v>1255</v>
      </c>
      <c r="E314" s="16" t="s">
        <v>1242</v>
      </c>
      <c r="F314" s="16" t="s">
        <v>1243</v>
      </c>
      <c r="G314" s="16" t="s">
        <v>1232</v>
      </c>
      <c r="H314" s="16" t="s">
        <v>1233</v>
      </c>
      <c r="I314" s="16" t="s">
        <v>198</v>
      </c>
      <c r="J314" s="16" t="s">
        <v>199</v>
      </c>
      <c r="K314" s="16">
        <v>2.8471199999999999</v>
      </c>
      <c r="L314" s="36">
        <v>2029</v>
      </c>
      <c r="M314" s="16">
        <v>201</v>
      </c>
      <c r="N314" s="16">
        <v>709</v>
      </c>
      <c r="O314" s="16">
        <v>449</v>
      </c>
      <c r="P314" s="16">
        <v>426</v>
      </c>
      <c r="Q314" s="16">
        <v>244</v>
      </c>
      <c r="R314" s="16" t="s">
        <v>668</v>
      </c>
      <c r="S314" s="16">
        <v>123.193</v>
      </c>
      <c r="T314" s="16">
        <v>96.225700000000003</v>
      </c>
      <c r="U314" s="16">
        <v>0.73887804599999996</v>
      </c>
      <c r="V314" s="16">
        <v>4</v>
      </c>
      <c r="W314" s="16">
        <v>1</v>
      </c>
      <c r="X314" s="16">
        <v>0.16562499999999999</v>
      </c>
      <c r="Y314" s="16">
        <v>0.7</v>
      </c>
      <c r="Z314" s="16">
        <v>1</v>
      </c>
      <c r="AA314" s="37"/>
    </row>
    <row r="315" spans="1:27">
      <c r="A315" s="16" t="s">
        <v>42</v>
      </c>
      <c r="B315" s="16" t="s">
        <v>1256</v>
      </c>
      <c r="C315" s="16" t="s">
        <v>1257</v>
      </c>
      <c r="D315" s="16" t="s">
        <v>1258</v>
      </c>
      <c r="E315" s="16" t="s">
        <v>1259</v>
      </c>
      <c r="F315" s="16" t="s">
        <v>1260</v>
      </c>
      <c r="G315" s="16" t="s">
        <v>1261</v>
      </c>
      <c r="H315" s="16" t="s">
        <v>1262</v>
      </c>
      <c r="I315" s="16" t="s">
        <v>198</v>
      </c>
      <c r="J315" s="16" t="s">
        <v>199</v>
      </c>
      <c r="K315" s="16">
        <v>2.9761470000000001</v>
      </c>
      <c r="L315" s="36">
        <v>2163</v>
      </c>
      <c r="M315" s="16">
        <v>171</v>
      </c>
      <c r="N315" s="16">
        <v>707</v>
      </c>
      <c r="O315" s="16">
        <v>565</v>
      </c>
      <c r="P315" s="16">
        <v>472</v>
      </c>
      <c r="Q315" s="16">
        <v>248</v>
      </c>
      <c r="R315" s="16" t="s">
        <v>668</v>
      </c>
      <c r="S315" s="16">
        <v>113.505</v>
      </c>
      <c r="T315" s="16">
        <v>19.251200000000001</v>
      </c>
      <c r="U315" s="16">
        <v>0.52373289300000003</v>
      </c>
      <c r="V315" s="16">
        <v>5</v>
      </c>
      <c r="W315" s="16">
        <v>1</v>
      </c>
      <c r="X315" s="16">
        <v>0.280061</v>
      </c>
      <c r="Y315" s="16">
        <v>0.7</v>
      </c>
      <c r="Z315" s="16">
        <v>1</v>
      </c>
      <c r="AA315" s="37"/>
    </row>
    <row r="316" spans="1:27">
      <c r="A316" s="16" t="s">
        <v>42</v>
      </c>
      <c r="B316" s="16" t="s">
        <v>1263</v>
      </c>
      <c r="C316" s="16" t="s">
        <v>1264</v>
      </c>
      <c r="D316" s="16" t="s">
        <v>1265</v>
      </c>
      <c r="E316" s="16" t="s">
        <v>1242</v>
      </c>
      <c r="F316" s="16" t="s">
        <v>1243</v>
      </c>
      <c r="G316" s="16" t="s">
        <v>1232</v>
      </c>
      <c r="H316" s="16" t="s">
        <v>1233</v>
      </c>
      <c r="I316" s="16" t="s">
        <v>198</v>
      </c>
      <c r="J316" s="16" t="s">
        <v>199</v>
      </c>
      <c r="K316" s="16">
        <v>2.9688599999999998</v>
      </c>
      <c r="L316" s="36">
        <v>2028</v>
      </c>
      <c r="M316" s="16">
        <v>263</v>
      </c>
      <c r="N316" s="16">
        <v>514</v>
      </c>
      <c r="O316" s="16">
        <v>628</v>
      </c>
      <c r="P316" s="16">
        <v>429</v>
      </c>
      <c r="Q316" s="16">
        <v>194</v>
      </c>
      <c r="R316" s="16" t="s">
        <v>668</v>
      </c>
      <c r="S316" s="16">
        <v>142.93100000000001</v>
      </c>
      <c r="T316" s="16">
        <v>89.631500000000003</v>
      </c>
      <c r="U316" s="16">
        <v>0.665987777</v>
      </c>
      <c r="V316" s="16">
        <v>3</v>
      </c>
      <c r="W316" s="16">
        <v>1</v>
      </c>
      <c r="X316" s="16">
        <v>0.26932400000000001</v>
      </c>
      <c r="Y316" s="16">
        <v>0.7</v>
      </c>
      <c r="Z316" s="16">
        <v>1</v>
      </c>
      <c r="AA316" s="37"/>
    </row>
    <row r="317" spans="1:27">
      <c r="A317" s="16" t="s">
        <v>42</v>
      </c>
      <c r="B317" s="16" t="s">
        <v>1266</v>
      </c>
      <c r="C317" s="16" t="s">
        <v>1267</v>
      </c>
      <c r="D317" s="16" t="s">
        <v>1268</v>
      </c>
      <c r="E317" s="16" t="s">
        <v>1269</v>
      </c>
      <c r="F317" s="16" t="s">
        <v>1270</v>
      </c>
      <c r="G317" s="16" t="s">
        <v>1261</v>
      </c>
      <c r="H317" s="16" t="s">
        <v>1262</v>
      </c>
      <c r="I317" s="16" t="s">
        <v>198</v>
      </c>
      <c r="J317" s="16" t="s">
        <v>199</v>
      </c>
      <c r="K317" s="16">
        <v>2.9</v>
      </c>
      <c r="L317" s="36">
        <v>1692</v>
      </c>
      <c r="M317" s="16">
        <v>211</v>
      </c>
      <c r="N317" s="16">
        <v>500</v>
      </c>
      <c r="O317" s="16">
        <v>526</v>
      </c>
      <c r="P317" s="16">
        <v>341</v>
      </c>
      <c r="Q317" s="16">
        <v>114</v>
      </c>
      <c r="R317" s="16" t="s">
        <v>668</v>
      </c>
      <c r="S317" s="16">
        <v>116.857</v>
      </c>
      <c r="T317" s="16">
        <v>71.036100000000005</v>
      </c>
      <c r="U317" s="16">
        <v>0.67156270399999995</v>
      </c>
      <c r="V317" s="16">
        <v>3</v>
      </c>
      <c r="W317" s="16">
        <v>1</v>
      </c>
      <c r="X317" s="16">
        <v>0.20086200000000001</v>
      </c>
      <c r="Y317" s="16">
        <v>0.7</v>
      </c>
      <c r="Z317" s="16">
        <v>1</v>
      </c>
      <c r="AA317" s="37"/>
    </row>
    <row r="318" spans="1:27">
      <c r="A318" s="16"/>
      <c r="B318" s="16"/>
      <c r="C318" s="16"/>
      <c r="D318" s="16"/>
      <c r="E318" s="16"/>
      <c r="F318" s="16"/>
      <c r="G318" s="16"/>
      <c r="H318" s="16"/>
      <c r="I318" s="16"/>
      <c r="J318" s="16"/>
      <c r="K318" s="16">
        <f>MEDIAN(K308:K317)</f>
        <v>2.9725035000000002</v>
      </c>
      <c r="L318" s="36">
        <f>AVERAGE(L308:L317)</f>
        <v>2175.8000000000002</v>
      </c>
      <c r="M318" s="16">
        <f t="shared" ref="M318:Q318" si="36">SUM(M308:M317)</f>
        <v>2350</v>
      </c>
      <c r="N318" s="16">
        <f t="shared" si="36"/>
        <v>7981</v>
      </c>
      <c r="O318" s="16">
        <f t="shared" si="36"/>
        <v>5316</v>
      </c>
      <c r="P318" s="16">
        <f t="shared" si="36"/>
        <v>4254</v>
      </c>
      <c r="Q318" s="16">
        <f t="shared" si="36"/>
        <v>1857</v>
      </c>
      <c r="R318" s="16"/>
      <c r="S318" s="16">
        <f t="shared" ref="S318:U318" si="37">MIN(S308:S317)</f>
        <v>27.546800000000001</v>
      </c>
      <c r="T318" s="16">
        <f t="shared" si="37"/>
        <v>4.9029400000000001</v>
      </c>
      <c r="U318" s="16">
        <f t="shared" si="37"/>
        <v>0.38083277900000001</v>
      </c>
      <c r="V318" s="16">
        <f>MEDIAN(V308:V317)</f>
        <v>3.5</v>
      </c>
      <c r="W318" s="16"/>
      <c r="X318" s="16"/>
      <c r="Y318" s="16"/>
      <c r="Z318" s="16"/>
      <c r="AA318" s="37"/>
    </row>
    <row r="319" spans="1:27">
      <c r="A319" s="16" t="s">
        <v>54</v>
      </c>
      <c r="B319" s="16" t="s">
        <v>1271</v>
      </c>
      <c r="C319" s="16" t="s">
        <v>1272</v>
      </c>
      <c r="D319" s="16" t="s">
        <v>1273</v>
      </c>
      <c r="E319" s="16" t="s">
        <v>871</v>
      </c>
      <c r="F319" s="16" t="s">
        <v>872</v>
      </c>
      <c r="G319" s="16" t="s">
        <v>873</v>
      </c>
      <c r="H319" s="16" t="s">
        <v>874</v>
      </c>
      <c r="I319" s="16" t="s">
        <v>198</v>
      </c>
      <c r="J319" s="16" t="s">
        <v>199</v>
      </c>
      <c r="K319" s="16">
        <v>3.1094889999999999</v>
      </c>
      <c r="L319" s="36">
        <v>1888</v>
      </c>
      <c r="M319" s="16">
        <v>396</v>
      </c>
      <c r="N319" s="16">
        <v>728</v>
      </c>
      <c r="O319" s="16">
        <v>242</v>
      </c>
      <c r="P319" s="16">
        <v>329</v>
      </c>
      <c r="Q319" s="16">
        <v>193</v>
      </c>
      <c r="R319" s="16" t="s">
        <v>668</v>
      </c>
      <c r="S319" s="16">
        <v>120.84699999999999</v>
      </c>
      <c r="T319" s="16">
        <v>45.916800000000002</v>
      </c>
      <c r="U319" s="16">
        <v>0.52595627599999994</v>
      </c>
      <c r="V319" s="16">
        <v>3</v>
      </c>
      <c r="W319" s="16">
        <v>1</v>
      </c>
      <c r="X319" s="16">
        <v>0.39853499999999997</v>
      </c>
      <c r="Y319" s="16">
        <v>0.7</v>
      </c>
      <c r="Z319" s="16">
        <v>1</v>
      </c>
      <c r="AA319" s="37"/>
    </row>
    <row r="320" spans="1:27">
      <c r="A320" s="16" t="s">
        <v>54</v>
      </c>
      <c r="B320" s="16" t="s">
        <v>1274</v>
      </c>
      <c r="C320" s="16" t="s">
        <v>1275</v>
      </c>
      <c r="D320" s="16" t="s">
        <v>1276</v>
      </c>
      <c r="E320" s="16" t="s">
        <v>871</v>
      </c>
      <c r="F320" s="16" t="s">
        <v>872</v>
      </c>
      <c r="G320" s="16" t="s">
        <v>873</v>
      </c>
      <c r="H320" s="16" t="s">
        <v>874</v>
      </c>
      <c r="I320" s="16" t="s">
        <v>198</v>
      </c>
      <c r="J320" s="16" t="s">
        <v>199</v>
      </c>
      <c r="K320" s="16">
        <v>2.8818100000000002</v>
      </c>
      <c r="L320" s="36">
        <v>1375</v>
      </c>
      <c r="M320" s="16">
        <v>187</v>
      </c>
      <c r="N320" s="16">
        <v>424</v>
      </c>
      <c r="O320" s="16">
        <v>408</v>
      </c>
      <c r="P320" s="16">
        <v>293</v>
      </c>
      <c r="Q320" s="16">
        <v>63</v>
      </c>
      <c r="R320" s="16" t="s">
        <v>668</v>
      </c>
      <c r="S320" s="16">
        <v>188.32300000000001</v>
      </c>
      <c r="T320" s="16">
        <v>46.777000000000001</v>
      </c>
      <c r="U320" s="16">
        <v>0.43929950699999998</v>
      </c>
      <c r="V320" s="16">
        <v>7</v>
      </c>
      <c r="W320" s="16">
        <v>1</v>
      </c>
      <c r="X320" s="16">
        <v>0.194826</v>
      </c>
      <c r="Y320" s="16">
        <v>0.68725700000000001</v>
      </c>
      <c r="Z320" s="16">
        <v>1</v>
      </c>
      <c r="AA320" s="37"/>
    </row>
    <row r="321" spans="1:27">
      <c r="A321" s="16"/>
      <c r="B321" s="16"/>
      <c r="C321" s="16"/>
      <c r="D321" s="16"/>
      <c r="E321" s="16"/>
      <c r="F321" s="16"/>
      <c r="G321" s="16"/>
      <c r="H321" s="16"/>
      <c r="I321" s="16"/>
      <c r="J321" s="16"/>
      <c r="K321" s="16">
        <f>MEDIAN(K319:K320)</f>
        <v>2.9956494999999999</v>
      </c>
      <c r="L321" s="36">
        <f>AVERAGE(L319:L320)</f>
        <v>1631.5</v>
      </c>
      <c r="M321" s="36">
        <f t="shared" ref="M321:Q321" si="38">SUM(M319:M320)</f>
        <v>583</v>
      </c>
      <c r="N321" s="36">
        <f t="shared" si="38"/>
        <v>1152</v>
      </c>
      <c r="O321" s="36">
        <f t="shared" si="38"/>
        <v>650</v>
      </c>
      <c r="P321" s="36">
        <f t="shared" si="38"/>
        <v>622</v>
      </c>
      <c r="Q321" s="36">
        <f t="shared" si="38"/>
        <v>256</v>
      </c>
      <c r="R321" s="16"/>
      <c r="S321" s="16"/>
      <c r="T321" s="16"/>
      <c r="U321" s="16"/>
      <c r="V321" s="16">
        <f>MEDIAN(V319:V320)</f>
        <v>5</v>
      </c>
      <c r="W321" s="16"/>
      <c r="X321" s="16"/>
      <c r="Y321" s="16"/>
      <c r="Z321" s="16"/>
      <c r="AA321" s="37"/>
    </row>
    <row r="322" spans="1:27">
      <c r="A322" s="16" t="s">
        <v>55</v>
      </c>
      <c r="B322" s="16" t="s">
        <v>885</v>
      </c>
      <c r="C322" s="16" t="s">
        <v>886</v>
      </c>
      <c r="D322" s="16" t="s">
        <v>887</v>
      </c>
      <c r="E322" s="16" t="s">
        <v>883</v>
      </c>
      <c r="F322" s="16" t="s">
        <v>884</v>
      </c>
      <c r="G322" s="16" t="s">
        <v>332</v>
      </c>
      <c r="H322" s="16" t="s">
        <v>333</v>
      </c>
      <c r="I322" s="16" t="s">
        <v>198</v>
      </c>
      <c r="J322" s="16" t="s">
        <v>199</v>
      </c>
      <c r="K322" s="16">
        <v>3.0931030000000002</v>
      </c>
      <c r="L322" s="36">
        <v>2077</v>
      </c>
      <c r="M322" s="16">
        <v>468</v>
      </c>
      <c r="N322" s="16">
        <v>648</v>
      </c>
      <c r="O322" s="16">
        <v>525</v>
      </c>
      <c r="P322" s="16">
        <v>325</v>
      </c>
      <c r="Q322" s="16">
        <v>111</v>
      </c>
      <c r="R322" s="16" t="s">
        <v>668</v>
      </c>
      <c r="S322" s="16">
        <v>87.729699999999994</v>
      </c>
      <c r="T322" s="16">
        <v>66.464600000000004</v>
      </c>
      <c r="U322" s="16">
        <v>0.73295058599999996</v>
      </c>
      <c r="V322" s="16">
        <v>2</v>
      </c>
      <c r="W322" s="16">
        <v>1</v>
      </c>
      <c r="X322" s="16">
        <v>0.40842899999999999</v>
      </c>
      <c r="Y322" s="16">
        <v>0.7</v>
      </c>
      <c r="Z322" s="16">
        <v>1</v>
      </c>
      <c r="AA322" s="37"/>
    </row>
    <row r="323" spans="1:27">
      <c r="A323" s="16" t="s">
        <v>55</v>
      </c>
      <c r="B323" s="16" t="s">
        <v>1277</v>
      </c>
      <c r="C323" s="16" t="s">
        <v>1278</v>
      </c>
      <c r="D323" s="16" t="s">
        <v>1279</v>
      </c>
      <c r="E323" s="16" t="s">
        <v>1280</v>
      </c>
      <c r="F323" s="16" t="s">
        <v>1281</v>
      </c>
      <c r="G323" s="16" t="s">
        <v>655</v>
      </c>
      <c r="H323" s="16" t="s">
        <v>656</v>
      </c>
      <c r="I323" s="16" t="s">
        <v>198</v>
      </c>
      <c r="J323" s="16" t="s">
        <v>199</v>
      </c>
      <c r="K323" s="16">
        <v>2.8363640000000001</v>
      </c>
      <c r="L323" s="36">
        <v>3365</v>
      </c>
      <c r="M323" s="16">
        <v>649</v>
      </c>
      <c r="N323" s="16">
        <v>679</v>
      </c>
      <c r="O323" s="36">
        <v>1229</v>
      </c>
      <c r="P323" s="16">
        <v>682</v>
      </c>
      <c r="Q323" s="16">
        <v>126</v>
      </c>
      <c r="R323" s="16" t="s">
        <v>302</v>
      </c>
      <c r="S323" s="16">
        <v>38.217799999999997</v>
      </c>
      <c r="T323" s="16">
        <v>18.6755</v>
      </c>
      <c r="U323" s="16">
        <v>0.72434090200000001</v>
      </c>
      <c r="V323" s="16">
        <v>3</v>
      </c>
      <c r="W323" s="16">
        <v>1</v>
      </c>
      <c r="X323" s="16">
        <v>0.13014400000000001</v>
      </c>
      <c r="Y323" s="16">
        <v>0.7</v>
      </c>
      <c r="Z323" s="16">
        <v>1</v>
      </c>
      <c r="AA323" s="37"/>
    </row>
    <row r="324" spans="1:27">
      <c r="A324" s="16" t="s">
        <v>55</v>
      </c>
      <c r="B324" s="16" t="s">
        <v>1282</v>
      </c>
      <c r="C324" s="16" t="s">
        <v>1283</v>
      </c>
      <c r="D324" s="16" t="s">
        <v>1284</v>
      </c>
      <c r="E324" s="16" t="s">
        <v>1285</v>
      </c>
      <c r="F324" s="16" t="s">
        <v>1286</v>
      </c>
      <c r="G324" s="16" t="s">
        <v>655</v>
      </c>
      <c r="H324" s="16" t="s">
        <v>656</v>
      </c>
      <c r="I324" s="16" t="s">
        <v>198</v>
      </c>
      <c r="J324" s="16" t="s">
        <v>199</v>
      </c>
      <c r="K324" s="16">
        <v>2.8370920000000002</v>
      </c>
      <c r="L324" s="36">
        <v>1879</v>
      </c>
      <c r="M324" s="16">
        <v>304</v>
      </c>
      <c r="N324" s="16">
        <v>390</v>
      </c>
      <c r="O324" s="16">
        <v>608</v>
      </c>
      <c r="P324" s="16">
        <v>405</v>
      </c>
      <c r="Q324" s="16">
        <v>172</v>
      </c>
      <c r="R324" s="16" t="s">
        <v>302</v>
      </c>
      <c r="S324" s="16">
        <v>50.2408</v>
      </c>
      <c r="T324" s="16">
        <v>27.034600000000001</v>
      </c>
      <c r="U324" s="16">
        <v>0.91517578799999999</v>
      </c>
      <c r="V324" s="16">
        <v>2</v>
      </c>
      <c r="W324" s="16">
        <v>1</v>
      </c>
      <c r="X324" s="16">
        <v>0.13897300000000001</v>
      </c>
      <c r="Y324" s="16">
        <v>0.68523100000000003</v>
      </c>
      <c r="Z324" s="16">
        <v>1</v>
      </c>
      <c r="AA324" s="37"/>
    </row>
    <row r="325" spans="1:27">
      <c r="A325" s="16" t="s">
        <v>55</v>
      </c>
      <c r="B325" s="16" t="s">
        <v>1287</v>
      </c>
      <c r="C325" s="16" t="s">
        <v>1288</v>
      </c>
      <c r="D325" s="16" t="s">
        <v>1289</v>
      </c>
      <c r="E325" s="16" t="s">
        <v>899</v>
      </c>
      <c r="F325" s="16" t="s">
        <v>900</v>
      </c>
      <c r="G325" s="16" t="s">
        <v>497</v>
      </c>
      <c r="H325" s="16" t="s">
        <v>498</v>
      </c>
      <c r="I325" s="16" t="s">
        <v>198</v>
      </c>
      <c r="J325" s="16" t="s">
        <v>199</v>
      </c>
      <c r="K325" s="16">
        <v>2.8035420000000002</v>
      </c>
      <c r="L325" s="36">
        <v>1821</v>
      </c>
      <c r="M325" s="16">
        <v>233</v>
      </c>
      <c r="N325" s="16">
        <v>510</v>
      </c>
      <c r="O325" s="16">
        <v>616</v>
      </c>
      <c r="P325" s="16">
        <v>283</v>
      </c>
      <c r="Q325" s="16">
        <v>179</v>
      </c>
      <c r="R325" s="16" t="s">
        <v>302</v>
      </c>
      <c r="S325" s="16">
        <v>54.173400000000001</v>
      </c>
      <c r="T325" s="16">
        <v>9.5891300000000008</v>
      </c>
      <c r="U325" s="16">
        <v>0.73051434699999995</v>
      </c>
      <c r="V325" s="16">
        <v>4</v>
      </c>
      <c r="W325" s="16">
        <v>1</v>
      </c>
      <c r="X325" s="16">
        <v>8.9862999999999998E-2</v>
      </c>
      <c r="Y325" s="16">
        <v>0.7</v>
      </c>
      <c r="Z325" s="16">
        <v>1</v>
      </c>
      <c r="AA325" s="37"/>
    </row>
    <row r="326" spans="1:27">
      <c r="A326" s="16" t="s">
        <v>55</v>
      </c>
      <c r="B326" s="16" t="s">
        <v>1290</v>
      </c>
      <c r="C326" s="16" t="s">
        <v>1291</v>
      </c>
      <c r="D326" s="16" t="s">
        <v>1292</v>
      </c>
      <c r="E326" s="16" t="s">
        <v>813</v>
      </c>
      <c r="F326" s="16" t="s">
        <v>814</v>
      </c>
      <c r="G326" s="16" t="s">
        <v>497</v>
      </c>
      <c r="H326" s="16" t="s">
        <v>498</v>
      </c>
      <c r="I326" s="16" t="s">
        <v>198</v>
      </c>
      <c r="J326" s="16" t="s">
        <v>199</v>
      </c>
      <c r="K326" s="16">
        <v>2.7515909999999999</v>
      </c>
      <c r="L326" s="36">
        <v>2174</v>
      </c>
      <c r="M326" s="16">
        <v>294</v>
      </c>
      <c r="N326" s="16">
        <v>479</v>
      </c>
      <c r="O326" s="16">
        <v>733</v>
      </c>
      <c r="P326" s="16">
        <v>428</v>
      </c>
      <c r="Q326" s="16">
        <v>240</v>
      </c>
      <c r="R326" s="16" t="s">
        <v>302</v>
      </c>
      <c r="S326" s="16">
        <v>46.031700000000001</v>
      </c>
      <c r="T326" s="16">
        <v>1.9229499999999999</v>
      </c>
      <c r="U326" s="16">
        <v>0.71049924799999997</v>
      </c>
      <c r="V326" s="16">
        <v>5</v>
      </c>
      <c r="W326" s="16">
        <v>1</v>
      </c>
      <c r="X326" s="16">
        <v>8.7927000000000005E-2</v>
      </c>
      <c r="Y326" s="16">
        <v>0.7</v>
      </c>
      <c r="Z326" s="16">
        <v>0.95388099999999998</v>
      </c>
      <c r="AA326" s="37"/>
    </row>
    <row r="327" spans="1:27">
      <c r="A327" s="16" t="s">
        <v>55</v>
      </c>
      <c r="B327" s="16" t="s">
        <v>1293</v>
      </c>
      <c r="C327" s="16" t="s">
        <v>1294</v>
      </c>
      <c r="D327" s="16" t="s">
        <v>1295</v>
      </c>
      <c r="E327" s="16" t="s">
        <v>1296</v>
      </c>
      <c r="F327" s="16" t="s">
        <v>1297</v>
      </c>
      <c r="G327" s="16" t="s">
        <v>497</v>
      </c>
      <c r="H327" s="16" t="s">
        <v>498</v>
      </c>
      <c r="I327" s="16" t="s">
        <v>198</v>
      </c>
      <c r="J327" s="16" t="s">
        <v>199</v>
      </c>
      <c r="K327" s="16">
        <v>2.8797619999999999</v>
      </c>
      <c r="L327" s="36">
        <v>2366</v>
      </c>
      <c r="M327" s="16">
        <v>375</v>
      </c>
      <c r="N327" s="36">
        <v>1028</v>
      </c>
      <c r="O327" s="16">
        <v>377</v>
      </c>
      <c r="P327" s="16">
        <v>373</v>
      </c>
      <c r="Q327" s="16">
        <v>213</v>
      </c>
      <c r="R327" s="16" t="s">
        <v>668</v>
      </c>
      <c r="S327" s="16">
        <v>75.060500000000005</v>
      </c>
      <c r="T327" s="16">
        <v>26.987400000000001</v>
      </c>
      <c r="U327" s="16">
        <v>0.78947955400000003</v>
      </c>
      <c r="V327" s="16">
        <v>3</v>
      </c>
      <c r="W327" s="16">
        <v>1</v>
      </c>
      <c r="X327" s="16">
        <v>0.180838</v>
      </c>
      <c r="Y327" s="16">
        <v>0.7</v>
      </c>
      <c r="Z327" s="16">
        <v>1</v>
      </c>
      <c r="AA327" s="37"/>
    </row>
    <row r="328" spans="1:27">
      <c r="A328" s="16" t="s">
        <v>55</v>
      </c>
      <c r="B328" s="16" t="s">
        <v>1298</v>
      </c>
      <c r="C328" s="16" t="s">
        <v>1299</v>
      </c>
      <c r="D328" s="16" t="s">
        <v>1300</v>
      </c>
      <c r="E328" s="16" t="s">
        <v>1301</v>
      </c>
      <c r="F328" s="16" t="s">
        <v>1302</v>
      </c>
      <c r="G328" s="16" t="s">
        <v>497</v>
      </c>
      <c r="H328" s="16" t="s">
        <v>498</v>
      </c>
      <c r="I328" s="16" t="s">
        <v>198</v>
      </c>
      <c r="J328" s="16" t="s">
        <v>199</v>
      </c>
      <c r="K328" s="16">
        <v>2.9658730000000002</v>
      </c>
      <c r="L328" s="36">
        <v>1833</v>
      </c>
      <c r="M328" s="16">
        <v>224</v>
      </c>
      <c r="N328" s="16">
        <v>639</v>
      </c>
      <c r="O328" s="16">
        <v>440</v>
      </c>
      <c r="P328" s="16">
        <v>329</v>
      </c>
      <c r="Q328" s="16">
        <v>201</v>
      </c>
      <c r="R328" s="16" t="s">
        <v>302</v>
      </c>
      <c r="S328" s="16">
        <v>55.724699999999999</v>
      </c>
      <c r="T328" s="16">
        <v>30.117799999999999</v>
      </c>
      <c r="U328" s="16">
        <v>0.71928200399999997</v>
      </c>
      <c r="V328" s="16">
        <v>3</v>
      </c>
      <c r="W328" s="16">
        <v>1</v>
      </c>
      <c r="X328" s="16">
        <v>0.28924299999999997</v>
      </c>
      <c r="Y328" s="16">
        <v>0.65843099999999999</v>
      </c>
      <c r="Z328" s="16">
        <v>1</v>
      </c>
      <c r="AA328" s="37"/>
    </row>
    <row r="329" spans="1:27">
      <c r="A329" s="16" t="s">
        <v>55</v>
      </c>
      <c r="B329" s="16" t="s">
        <v>1303</v>
      </c>
      <c r="C329" s="16" t="s">
        <v>1304</v>
      </c>
      <c r="D329" s="16" t="s">
        <v>1305</v>
      </c>
      <c r="E329" s="16" t="s">
        <v>1301</v>
      </c>
      <c r="F329" s="16" t="s">
        <v>1302</v>
      </c>
      <c r="G329" s="16" t="s">
        <v>497</v>
      </c>
      <c r="H329" s="16" t="s">
        <v>498</v>
      </c>
      <c r="I329" s="16" t="s">
        <v>198</v>
      </c>
      <c r="J329" s="16" t="s">
        <v>199</v>
      </c>
      <c r="K329" s="16">
        <v>2.8017439999999998</v>
      </c>
      <c r="L329" s="36">
        <v>2536</v>
      </c>
      <c r="M329" s="16">
        <v>446</v>
      </c>
      <c r="N329" s="16">
        <v>951</v>
      </c>
      <c r="O329" s="16">
        <v>659</v>
      </c>
      <c r="P329" s="16">
        <v>346</v>
      </c>
      <c r="Q329" s="16">
        <v>134</v>
      </c>
      <c r="R329" s="16" t="s">
        <v>302</v>
      </c>
      <c r="S329" s="16">
        <v>33.852699999999999</v>
      </c>
      <c r="T329" s="16">
        <v>13.6356</v>
      </c>
      <c r="U329" s="16">
        <v>0.87869169999999996</v>
      </c>
      <c r="V329" s="16">
        <v>3</v>
      </c>
      <c r="W329" s="16">
        <v>1</v>
      </c>
      <c r="X329" s="16">
        <v>0.117341</v>
      </c>
      <c r="Y329" s="16">
        <v>0.69855500000000004</v>
      </c>
      <c r="Z329" s="16">
        <v>1</v>
      </c>
      <c r="AA329" s="37"/>
    </row>
    <row r="330" spans="1:27">
      <c r="A330" s="16" t="s">
        <v>55</v>
      </c>
      <c r="B330" s="16" t="s">
        <v>1306</v>
      </c>
      <c r="C330" s="16" t="s">
        <v>1307</v>
      </c>
      <c r="D330" s="16" t="s">
        <v>1308</v>
      </c>
      <c r="E330" s="16" t="s">
        <v>1301</v>
      </c>
      <c r="F330" s="16" t="s">
        <v>1302</v>
      </c>
      <c r="G330" s="16" t="s">
        <v>497</v>
      </c>
      <c r="H330" s="16" t="s">
        <v>498</v>
      </c>
      <c r="I330" s="16" t="s">
        <v>198</v>
      </c>
      <c r="J330" s="16" t="s">
        <v>199</v>
      </c>
      <c r="K330" s="16">
        <v>2.7792659999999998</v>
      </c>
      <c r="L330" s="36">
        <v>2556</v>
      </c>
      <c r="M330" s="16">
        <v>390</v>
      </c>
      <c r="N330" s="16">
        <v>808</v>
      </c>
      <c r="O330" s="16">
        <v>662</v>
      </c>
      <c r="P330" s="16">
        <v>475</v>
      </c>
      <c r="Q330" s="16">
        <v>221</v>
      </c>
      <c r="R330" s="16" t="s">
        <v>668</v>
      </c>
      <c r="S330" s="16">
        <v>97.913499999999999</v>
      </c>
      <c r="T330" s="16">
        <v>32.277099999999997</v>
      </c>
      <c r="U330" s="16">
        <v>0.70848259499999999</v>
      </c>
      <c r="V330" s="16">
        <v>4</v>
      </c>
      <c r="W330" s="16">
        <v>1</v>
      </c>
      <c r="X330" s="16">
        <v>0.18548200000000001</v>
      </c>
      <c r="Y330" s="16">
        <v>0.6</v>
      </c>
      <c r="Z330" s="16">
        <v>1</v>
      </c>
      <c r="AA330" s="37"/>
    </row>
    <row r="331" spans="1:27">
      <c r="A331" s="16" t="s">
        <v>55</v>
      </c>
      <c r="B331" s="16" t="s">
        <v>1309</v>
      </c>
      <c r="C331" s="16" t="s">
        <v>1310</v>
      </c>
      <c r="D331" s="16" t="s">
        <v>1311</v>
      </c>
      <c r="E331" s="16" t="s">
        <v>891</v>
      </c>
      <c r="F331" s="16" t="s">
        <v>892</v>
      </c>
      <c r="G331" s="16" t="s">
        <v>497</v>
      </c>
      <c r="H331" s="16" t="s">
        <v>498</v>
      </c>
      <c r="I331" s="16" t="s">
        <v>198</v>
      </c>
      <c r="J331" s="16" t="s">
        <v>199</v>
      </c>
      <c r="K331" s="16">
        <v>3.094398</v>
      </c>
      <c r="L331" s="36">
        <v>2435</v>
      </c>
      <c r="M331" s="16">
        <v>259</v>
      </c>
      <c r="N331" s="16">
        <v>911</v>
      </c>
      <c r="O331" s="16">
        <v>768</v>
      </c>
      <c r="P331" s="16">
        <v>351</v>
      </c>
      <c r="Q331" s="16">
        <v>146</v>
      </c>
      <c r="R331" s="16" t="s">
        <v>302</v>
      </c>
      <c r="S331" s="16">
        <v>37.850200000000001</v>
      </c>
      <c r="T331" s="16">
        <v>12.5671</v>
      </c>
      <c r="U331" s="16">
        <v>0.56568848999999999</v>
      </c>
      <c r="V331" s="16">
        <v>4</v>
      </c>
      <c r="W331" s="16">
        <v>1</v>
      </c>
      <c r="X331" s="16">
        <v>0.41572999999999999</v>
      </c>
      <c r="Y331" s="16">
        <v>0.7</v>
      </c>
      <c r="Z331" s="16">
        <v>1</v>
      </c>
      <c r="AA331" s="37"/>
    </row>
    <row r="332" spans="1:27">
      <c r="A332" s="16" t="s">
        <v>55</v>
      </c>
      <c r="B332" s="16" t="s">
        <v>1312</v>
      </c>
      <c r="C332" s="16" t="s">
        <v>1313</v>
      </c>
      <c r="D332" s="16" t="s">
        <v>1314</v>
      </c>
      <c r="E332" s="16" t="s">
        <v>899</v>
      </c>
      <c r="F332" s="16" t="s">
        <v>900</v>
      </c>
      <c r="G332" s="16" t="s">
        <v>497</v>
      </c>
      <c r="H332" s="16" t="s">
        <v>498</v>
      </c>
      <c r="I332" s="16" t="s">
        <v>198</v>
      </c>
      <c r="J332" s="16" t="s">
        <v>199</v>
      </c>
      <c r="K332" s="16">
        <v>2.9855109999999998</v>
      </c>
      <c r="L332" s="36">
        <v>2642</v>
      </c>
      <c r="M332" s="16">
        <v>278</v>
      </c>
      <c r="N332" s="36">
        <v>1082</v>
      </c>
      <c r="O332" s="16">
        <v>654</v>
      </c>
      <c r="P332" s="16">
        <v>510</v>
      </c>
      <c r="Q332" s="16">
        <v>118</v>
      </c>
      <c r="R332" s="16" t="s">
        <v>668</v>
      </c>
      <c r="S332" s="16">
        <v>91.942400000000006</v>
      </c>
      <c r="T332" s="16">
        <v>61.2102</v>
      </c>
      <c r="U332" s="16">
        <v>0.62092918100000005</v>
      </c>
      <c r="V332" s="16">
        <v>4</v>
      </c>
      <c r="W332" s="16">
        <v>1</v>
      </c>
      <c r="X332" s="16">
        <v>0.30440800000000001</v>
      </c>
      <c r="Y332" s="16">
        <v>0.7</v>
      </c>
      <c r="Z332" s="16">
        <v>1</v>
      </c>
      <c r="AA332" s="37"/>
    </row>
    <row r="333" spans="1:27">
      <c r="A333" s="16" t="s">
        <v>55</v>
      </c>
      <c r="B333" s="16" t="s">
        <v>1315</v>
      </c>
      <c r="C333" s="16" t="s">
        <v>1316</v>
      </c>
      <c r="D333" s="16" t="s">
        <v>1317</v>
      </c>
      <c r="E333" s="16" t="s">
        <v>891</v>
      </c>
      <c r="F333" s="16" t="s">
        <v>892</v>
      </c>
      <c r="G333" s="16" t="s">
        <v>497</v>
      </c>
      <c r="H333" s="16" t="s">
        <v>498</v>
      </c>
      <c r="I333" s="16" t="s">
        <v>198</v>
      </c>
      <c r="J333" s="16" t="s">
        <v>199</v>
      </c>
      <c r="K333" s="16">
        <v>2.840379</v>
      </c>
      <c r="L333" s="36">
        <v>1939</v>
      </c>
      <c r="M333" s="16">
        <v>246</v>
      </c>
      <c r="N333" s="16">
        <v>807</v>
      </c>
      <c r="O333" s="16">
        <v>441</v>
      </c>
      <c r="P333" s="16">
        <v>306</v>
      </c>
      <c r="Q333" s="16">
        <v>139</v>
      </c>
      <c r="R333" s="16" t="s">
        <v>302</v>
      </c>
      <c r="S333" s="16">
        <v>43.1982</v>
      </c>
      <c r="T333" s="16">
        <v>10.5723</v>
      </c>
      <c r="U333" s="16">
        <v>0.79793888199999996</v>
      </c>
      <c r="V333" s="16">
        <v>3</v>
      </c>
      <c r="W333" s="16">
        <v>1</v>
      </c>
      <c r="X333" s="16">
        <v>0.144872</v>
      </c>
      <c r="Y333" s="16">
        <v>0.69158600000000003</v>
      </c>
      <c r="Z333" s="16">
        <v>1</v>
      </c>
      <c r="AA333" s="37"/>
    </row>
    <row r="334" spans="1:27">
      <c r="A334" s="16" t="s">
        <v>55</v>
      </c>
      <c r="B334" s="16" t="s">
        <v>1318</v>
      </c>
      <c r="C334" s="16" t="s">
        <v>1319</v>
      </c>
      <c r="D334" s="16" t="s">
        <v>1320</v>
      </c>
      <c r="E334" s="16" t="s">
        <v>899</v>
      </c>
      <c r="F334" s="16" t="s">
        <v>900</v>
      </c>
      <c r="G334" s="16" t="s">
        <v>497</v>
      </c>
      <c r="H334" s="16" t="s">
        <v>498</v>
      </c>
      <c r="I334" s="16" t="s">
        <v>198</v>
      </c>
      <c r="J334" s="16" t="s">
        <v>199</v>
      </c>
      <c r="K334" s="16">
        <v>2.9302860000000002</v>
      </c>
      <c r="L334" s="36">
        <v>1689</v>
      </c>
      <c r="M334" s="16">
        <v>225</v>
      </c>
      <c r="N334" s="16">
        <v>314</v>
      </c>
      <c r="O334" s="16">
        <v>569</v>
      </c>
      <c r="P334" s="16">
        <v>404</v>
      </c>
      <c r="Q334" s="16">
        <v>177</v>
      </c>
      <c r="R334" s="16" t="s">
        <v>302</v>
      </c>
      <c r="S334" s="16">
        <v>40.124400000000001</v>
      </c>
      <c r="T334" s="16">
        <v>15.3184</v>
      </c>
      <c r="U334" s="16">
        <v>0.64194001499999997</v>
      </c>
      <c r="V334" s="16">
        <v>4</v>
      </c>
      <c r="W334" s="16">
        <v>1</v>
      </c>
      <c r="X334" s="16">
        <v>0.23885700000000001</v>
      </c>
      <c r="Y334" s="16">
        <v>0.7</v>
      </c>
      <c r="Z334" s="16">
        <v>1</v>
      </c>
      <c r="AA334" s="37"/>
    </row>
    <row r="335" spans="1:27">
      <c r="A335" s="16" t="s">
        <v>55</v>
      </c>
      <c r="B335" s="16" t="s">
        <v>896</v>
      </c>
      <c r="C335" s="16" t="s">
        <v>897</v>
      </c>
      <c r="D335" s="16" t="s">
        <v>898</v>
      </c>
      <c r="E335" s="16" t="s">
        <v>899</v>
      </c>
      <c r="F335" s="16" t="s">
        <v>900</v>
      </c>
      <c r="G335" s="16" t="s">
        <v>497</v>
      </c>
      <c r="H335" s="16" t="s">
        <v>498</v>
      </c>
      <c r="I335" s="16" t="s">
        <v>198</v>
      </c>
      <c r="J335" s="16" t="s">
        <v>199</v>
      </c>
      <c r="K335" s="16">
        <v>3.043056</v>
      </c>
      <c r="L335" s="36">
        <v>1896</v>
      </c>
      <c r="M335" s="16">
        <v>194</v>
      </c>
      <c r="N335" s="36">
        <v>1030</v>
      </c>
      <c r="O335" s="16">
        <v>312</v>
      </c>
      <c r="P335" s="16">
        <v>284</v>
      </c>
      <c r="Q335" s="16">
        <v>76</v>
      </c>
      <c r="R335" s="16" t="s">
        <v>668</v>
      </c>
      <c r="S335" s="16">
        <v>74.6203</v>
      </c>
      <c r="T335" s="16">
        <v>36.997900000000001</v>
      </c>
      <c r="U335" s="16">
        <v>0.59144312499999996</v>
      </c>
      <c r="V335" s="16">
        <v>3</v>
      </c>
      <c r="W335" s="16">
        <v>1</v>
      </c>
      <c r="X335" s="16">
        <v>0.38531500000000002</v>
      </c>
      <c r="Y335" s="16">
        <v>0.7</v>
      </c>
      <c r="Z335" s="16">
        <v>1</v>
      </c>
      <c r="AA335" s="37"/>
    </row>
    <row r="336" spans="1:27">
      <c r="A336" s="16" t="s">
        <v>55</v>
      </c>
      <c r="B336" s="16" t="s">
        <v>901</v>
      </c>
      <c r="C336" s="16" t="s">
        <v>902</v>
      </c>
      <c r="D336" s="16" t="s">
        <v>903</v>
      </c>
      <c r="E336" s="16" t="s">
        <v>899</v>
      </c>
      <c r="F336" s="16" t="s">
        <v>900</v>
      </c>
      <c r="G336" s="16" t="s">
        <v>497</v>
      </c>
      <c r="H336" s="16" t="s">
        <v>498</v>
      </c>
      <c r="I336" s="16" t="s">
        <v>198</v>
      </c>
      <c r="J336" s="16" t="s">
        <v>199</v>
      </c>
      <c r="K336" s="16">
        <v>2.7592210000000001</v>
      </c>
      <c r="L336" s="36">
        <v>1728</v>
      </c>
      <c r="M336" s="16">
        <v>209</v>
      </c>
      <c r="N336" s="16">
        <v>392</v>
      </c>
      <c r="O336" s="16">
        <v>445</v>
      </c>
      <c r="P336" s="16">
        <v>460</v>
      </c>
      <c r="Q336" s="16">
        <v>222</v>
      </c>
      <c r="R336" s="16" t="s">
        <v>302</v>
      </c>
      <c r="S336" s="16">
        <v>67.521500000000003</v>
      </c>
      <c r="T336" s="16">
        <v>18.441500000000001</v>
      </c>
      <c r="U336" s="16">
        <v>0.85904001900000004</v>
      </c>
      <c r="V336" s="16">
        <v>3</v>
      </c>
      <c r="W336" s="16">
        <v>1</v>
      </c>
      <c r="X336" s="16">
        <v>6.4810000000000006E-2</v>
      </c>
      <c r="Y336" s="16">
        <v>0.7</v>
      </c>
      <c r="Z336" s="16">
        <v>1</v>
      </c>
      <c r="AA336" s="37"/>
    </row>
    <row r="337" spans="1:27">
      <c r="A337" s="16" t="s">
        <v>55</v>
      </c>
      <c r="B337" s="16" t="s">
        <v>1321</v>
      </c>
      <c r="C337" s="16" t="s">
        <v>1322</v>
      </c>
      <c r="D337" s="16" t="s">
        <v>1323</v>
      </c>
      <c r="E337" s="16" t="s">
        <v>813</v>
      </c>
      <c r="F337" s="16" t="s">
        <v>814</v>
      </c>
      <c r="G337" s="16" t="s">
        <v>497</v>
      </c>
      <c r="H337" s="16" t="s">
        <v>498</v>
      </c>
      <c r="I337" s="16" t="s">
        <v>198</v>
      </c>
      <c r="J337" s="16" t="s">
        <v>199</v>
      </c>
      <c r="K337" s="16">
        <v>2.9044690000000002</v>
      </c>
      <c r="L337" s="36">
        <v>3051</v>
      </c>
      <c r="M337" s="16">
        <v>421</v>
      </c>
      <c r="N337" s="36">
        <v>1034</v>
      </c>
      <c r="O337" s="16">
        <v>868</v>
      </c>
      <c r="P337" s="16">
        <v>522</v>
      </c>
      <c r="Q337" s="16">
        <v>206</v>
      </c>
      <c r="R337" s="16" t="s">
        <v>302</v>
      </c>
      <c r="S337" s="16">
        <v>39.2883</v>
      </c>
      <c r="T337" s="16">
        <v>6.9574499999999997</v>
      </c>
      <c r="U337" s="16">
        <v>0.65102086299999995</v>
      </c>
      <c r="V337" s="16">
        <v>4</v>
      </c>
      <c r="W337" s="16">
        <v>1</v>
      </c>
      <c r="X337" s="16">
        <v>0.21654100000000001</v>
      </c>
      <c r="Y337" s="16">
        <v>0.7</v>
      </c>
      <c r="Z337" s="16">
        <v>1</v>
      </c>
      <c r="AA337" s="37"/>
    </row>
    <row r="338" spans="1:27">
      <c r="A338" s="16" t="s">
        <v>55</v>
      </c>
      <c r="B338" s="16" t="s">
        <v>1324</v>
      </c>
      <c r="C338" s="16" t="s">
        <v>1325</v>
      </c>
      <c r="D338" s="16" t="s">
        <v>1326</v>
      </c>
      <c r="E338" s="16" t="s">
        <v>1285</v>
      </c>
      <c r="F338" s="16" t="s">
        <v>1286</v>
      </c>
      <c r="G338" s="16" t="s">
        <v>655</v>
      </c>
      <c r="H338" s="16" t="s">
        <v>656</v>
      </c>
      <c r="I338" s="16" t="s">
        <v>198</v>
      </c>
      <c r="J338" s="16" t="s">
        <v>199</v>
      </c>
      <c r="K338" s="16">
        <v>2.9576190000000002</v>
      </c>
      <c r="L338" s="36">
        <v>1742</v>
      </c>
      <c r="M338" s="16">
        <v>100</v>
      </c>
      <c r="N338" s="16">
        <v>715</v>
      </c>
      <c r="O338" s="16">
        <v>742</v>
      </c>
      <c r="P338" s="16">
        <v>141</v>
      </c>
      <c r="Q338" s="16">
        <v>44</v>
      </c>
      <c r="R338" s="16" t="s">
        <v>302</v>
      </c>
      <c r="S338" s="16">
        <v>45.213999999999999</v>
      </c>
      <c r="T338" s="16">
        <v>27.811800000000002</v>
      </c>
      <c r="U338" s="16">
        <v>0.64083785999999998</v>
      </c>
      <c r="V338" s="16">
        <v>3</v>
      </c>
      <c r="W338" s="16">
        <v>1</v>
      </c>
      <c r="X338" s="16">
        <v>0.35518899999999998</v>
      </c>
      <c r="Y338" s="16">
        <v>0.60189599999999999</v>
      </c>
      <c r="Z338" s="16">
        <v>1</v>
      </c>
      <c r="AA338" s="37"/>
    </row>
    <row r="339" spans="1:27">
      <c r="A339" s="16" t="s">
        <v>55</v>
      </c>
      <c r="B339" s="16" t="s">
        <v>1327</v>
      </c>
      <c r="C339" s="16" t="s">
        <v>1328</v>
      </c>
      <c r="D339" s="16" t="s">
        <v>1329</v>
      </c>
      <c r="E339" s="16" t="s">
        <v>1285</v>
      </c>
      <c r="F339" s="16" t="s">
        <v>1286</v>
      </c>
      <c r="G339" s="16" t="s">
        <v>655</v>
      </c>
      <c r="H339" s="16" t="s">
        <v>656</v>
      </c>
      <c r="I339" s="16" t="s">
        <v>198</v>
      </c>
      <c r="J339" s="16" t="s">
        <v>199</v>
      </c>
      <c r="K339" s="16">
        <v>2.848554</v>
      </c>
      <c r="L339" s="36">
        <v>2284</v>
      </c>
      <c r="M339" s="16">
        <v>105</v>
      </c>
      <c r="N339" s="16">
        <v>946</v>
      </c>
      <c r="O339" s="16">
        <v>955</v>
      </c>
      <c r="P339" s="16">
        <v>231</v>
      </c>
      <c r="Q339" s="16">
        <v>47</v>
      </c>
      <c r="R339" s="16" t="s">
        <v>668</v>
      </c>
      <c r="S339" s="16">
        <v>106.014</v>
      </c>
      <c r="T339" s="16">
        <v>36.423200000000001</v>
      </c>
      <c r="U339" s="16">
        <v>0.58706593399999996</v>
      </c>
      <c r="V339" s="16">
        <v>5</v>
      </c>
      <c r="W339" s="16">
        <v>1</v>
      </c>
      <c r="X339" s="16">
        <v>0.23313300000000001</v>
      </c>
      <c r="Y339" s="16">
        <v>0.61205200000000004</v>
      </c>
      <c r="Z339" s="16">
        <v>1</v>
      </c>
      <c r="AA339" s="37"/>
    </row>
    <row r="340" spans="1:27">
      <c r="A340" s="16" t="s">
        <v>55</v>
      </c>
      <c r="B340" s="16" t="s">
        <v>1330</v>
      </c>
      <c r="C340" s="16" t="s">
        <v>1331</v>
      </c>
      <c r="D340" s="16" t="s">
        <v>1332</v>
      </c>
      <c r="E340" s="16" t="s">
        <v>1285</v>
      </c>
      <c r="F340" s="16" t="s">
        <v>1286</v>
      </c>
      <c r="G340" s="16" t="s">
        <v>655</v>
      </c>
      <c r="H340" s="16" t="s">
        <v>656</v>
      </c>
      <c r="I340" s="16" t="s">
        <v>198</v>
      </c>
      <c r="J340" s="16" t="s">
        <v>199</v>
      </c>
      <c r="K340" s="16">
        <v>2.9026939999999999</v>
      </c>
      <c r="L340" s="36">
        <v>1840</v>
      </c>
      <c r="M340" s="16">
        <v>277</v>
      </c>
      <c r="N340" s="16">
        <v>466</v>
      </c>
      <c r="O340" s="16">
        <v>666</v>
      </c>
      <c r="P340" s="16">
        <v>349</v>
      </c>
      <c r="Q340" s="16">
        <v>82</v>
      </c>
      <c r="R340" s="16" t="s">
        <v>302</v>
      </c>
      <c r="S340" s="16">
        <v>34.649799999999999</v>
      </c>
      <c r="T340" s="16">
        <v>24.732099999999999</v>
      </c>
      <c r="U340" s="16">
        <v>0.72061364900000002</v>
      </c>
      <c r="V340" s="16">
        <v>2</v>
      </c>
      <c r="W340" s="16">
        <v>1</v>
      </c>
      <c r="X340" s="16">
        <v>0.190604</v>
      </c>
      <c r="Y340" s="16">
        <v>0.7</v>
      </c>
      <c r="Z340" s="16">
        <v>1</v>
      </c>
      <c r="AA340" s="37"/>
    </row>
    <row r="341" spans="1:27">
      <c r="A341" s="16" t="s">
        <v>55</v>
      </c>
      <c r="B341" s="16" t="s">
        <v>1333</v>
      </c>
      <c r="C341" s="16" t="s">
        <v>1334</v>
      </c>
      <c r="D341" s="16" t="s">
        <v>1335</v>
      </c>
      <c r="E341" s="16" t="s">
        <v>1285</v>
      </c>
      <c r="F341" s="16" t="s">
        <v>1286</v>
      </c>
      <c r="G341" s="16" t="s">
        <v>655</v>
      </c>
      <c r="H341" s="16" t="s">
        <v>656</v>
      </c>
      <c r="I341" s="16" t="s">
        <v>198</v>
      </c>
      <c r="J341" s="16" t="s">
        <v>199</v>
      </c>
      <c r="K341" s="16">
        <v>2.9992130000000001</v>
      </c>
      <c r="L341" s="36">
        <v>3876</v>
      </c>
      <c r="M341" s="16">
        <v>164</v>
      </c>
      <c r="N341" s="36">
        <v>2676</v>
      </c>
      <c r="O341" s="16">
        <v>790</v>
      </c>
      <c r="P341" s="16">
        <v>199</v>
      </c>
      <c r="Q341" s="16">
        <v>47</v>
      </c>
      <c r="R341" s="16" t="s">
        <v>302</v>
      </c>
      <c r="S341" s="16">
        <v>45.315300000000001</v>
      </c>
      <c r="T341" s="16">
        <v>28.3186</v>
      </c>
      <c r="U341" s="16">
        <v>0.49683582300000001</v>
      </c>
      <c r="V341" s="16">
        <v>4</v>
      </c>
      <c r="W341" s="16">
        <v>1</v>
      </c>
      <c r="X341" s="16">
        <v>0.31769199999999997</v>
      </c>
      <c r="Y341" s="16">
        <v>0.7</v>
      </c>
      <c r="Z341" s="16">
        <v>1</v>
      </c>
      <c r="AA341" s="37"/>
    </row>
    <row r="342" spans="1:27">
      <c r="A342" s="16"/>
      <c r="B342" s="16"/>
      <c r="C342" s="16"/>
      <c r="D342" s="16"/>
      <c r="E342" s="16"/>
      <c r="F342" s="16"/>
      <c r="G342" s="16"/>
      <c r="H342" s="16"/>
      <c r="I342" s="16"/>
      <c r="J342" s="16"/>
      <c r="K342" s="16">
        <f>MEDIAN(K322:K341)</f>
        <v>2.8912279999999999</v>
      </c>
      <c r="L342" s="36">
        <f>AVERAGE(L322:L341)</f>
        <v>2286.4499999999998</v>
      </c>
      <c r="M342" s="16">
        <f t="shared" ref="M342:Q342" si="39">SUM(M322:M341)</f>
        <v>5861</v>
      </c>
      <c r="N342" s="16">
        <f t="shared" si="39"/>
        <v>16505</v>
      </c>
      <c r="O342" s="16">
        <f t="shared" si="39"/>
        <v>13059</v>
      </c>
      <c r="P342" s="16">
        <f t="shared" si="39"/>
        <v>7403</v>
      </c>
      <c r="Q342" s="16">
        <f t="shared" si="39"/>
        <v>2901</v>
      </c>
      <c r="R342" s="16">
        <f t="shared" ref="R342:U342" si="40">MIN(R322:R341)</f>
        <v>0</v>
      </c>
      <c r="S342" s="16">
        <f t="shared" si="40"/>
        <v>33.852699999999999</v>
      </c>
      <c r="T342" s="16">
        <f t="shared" si="40"/>
        <v>1.9229499999999999</v>
      </c>
      <c r="U342" s="16">
        <f t="shared" si="40"/>
        <v>0.49683582300000001</v>
      </c>
      <c r="V342" s="16">
        <f>MEDIAN(V322:V341)</f>
        <v>3</v>
      </c>
      <c r="W342" s="16"/>
      <c r="X342" s="16"/>
      <c r="Y342" s="16"/>
      <c r="Z342" s="16"/>
      <c r="AA342" s="37"/>
    </row>
    <row r="343" spans="1:27">
      <c r="A343" s="16" t="s">
        <v>53</v>
      </c>
      <c r="B343" s="16" t="s">
        <v>1336</v>
      </c>
      <c r="C343" s="16" t="s">
        <v>1337</v>
      </c>
      <c r="D343" s="16" t="s">
        <v>1338</v>
      </c>
      <c r="E343" s="16" t="s">
        <v>1339</v>
      </c>
      <c r="F343" s="16" t="s">
        <v>1340</v>
      </c>
      <c r="G343" s="16" t="s">
        <v>300</v>
      </c>
      <c r="H343" s="16" t="s">
        <v>301</v>
      </c>
      <c r="I343" s="16" t="s">
        <v>198</v>
      </c>
      <c r="J343" s="16" t="s">
        <v>199</v>
      </c>
      <c r="K343" s="16">
        <v>2.910819</v>
      </c>
      <c r="L343" s="36">
        <v>1190</v>
      </c>
      <c r="M343" s="16">
        <v>356</v>
      </c>
      <c r="N343" s="16">
        <v>206</v>
      </c>
      <c r="O343" s="16">
        <v>307</v>
      </c>
      <c r="P343" s="16">
        <v>229</v>
      </c>
      <c r="Q343" s="16">
        <v>92</v>
      </c>
      <c r="R343" s="16">
        <v>2</v>
      </c>
      <c r="S343" s="16">
        <v>18.209499999999998</v>
      </c>
      <c r="T343" s="16">
        <v>2.8018700000000001</v>
      </c>
      <c r="U343" s="16">
        <v>0.89883703100000001</v>
      </c>
      <c r="V343" s="16">
        <v>2</v>
      </c>
      <c r="W343" s="16">
        <v>0.93421100000000001</v>
      </c>
      <c r="X343" s="16">
        <v>0.37142900000000001</v>
      </c>
      <c r="Y343" s="16">
        <v>0.6</v>
      </c>
      <c r="Z343" s="16">
        <v>1</v>
      </c>
      <c r="AA343" s="37"/>
    </row>
    <row r="344" spans="1:27">
      <c r="A344" s="16" t="s">
        <v>53</v>
      </c>
      <c r="B344" s="16" t="s">
        <v>1341</v>
      </c>
      <c r="C344" s="16" t="s">
        <v>1342</v>
      </c>
      <c r="D344" s="16" t="s">
        <v>1343</v>
      </c>
      <c r="E344" s="16" t="s">
        <v>1339</v>
      </c>
      <c r="F344" s="16" t="s">
        <v>1340</v>
      </c>
      <c r="G344" s="16" t="s">
        <v>300</v>
      </c>
      <c r="H344" s="16" t="s">
        <v>301</v>
      </c>
      <c r="I344" s="16" t="s">
        <v>198</v>
      </c>
      <c r="J344" s="16" t="s">
        <v>199</v>
      </c>
      <c r="K344" s="16">
        <v>2.8271709999999999</v>
      </c>
      <c r="L344" s="36">
        <v>2764</v>
      </c>
      <c r="M344" s="16">
        <v>734</v>
      </c>
      <c r="N344" s="16">
        <v>569</v>
      </c>
      <c r="O344" s="16">
        <v>761</v>
      </c>
      <c r="P344" s="16">
        <v>495</v>
      </c>
      <c r="Q344" s="16">
        <v>205</v>
      </c>
      <c r="R344" s="16">
        <v>4</v>
      </c>
      <c r="S344" s="16">
        <v>23.468599999999999</v>
      </c>
      <c r="T344" s="16">
        <v>14.5464</v>
      </c>
      <c r="U344" s="16">
        <v>1.166613755</v>
      </c>
      <c r="V344" s="16">
        <v>2</v>
      </c>
      <c r="W344" s="16">
        <v>0.92520999999999998</v>
      </c>
      <c r="X344" s="16">
        <v>0.28146100000000002</v>
      </c>
      <c r="Y344" s="16">
        <v>0.6</v>
      </c>
      <c r="Z344" s="16">
        <v>1</v>
      </c>
      <c r="AA344" s="37"/>
    </row>
    <row r="345" spans="1:27">
      <c r="A345" s="16" t="s">
        <v>53</v>
      </c>
      <c r="B345" s="16" t="s">
        <v>1344</v>
      </c>
      <c r="C345" s="16" t="s">
        <v>1345</v>
      </c>
      <c r="D345" s="16" t="s">
        <v>1346</v>
      </c>
      <c r="E345" s="16" t="s">
        <v>1347</v>
      </c>
      <c r="F345" s="16" t="s">
        <v>1348</v>
      </c>
      <c r="G345" s="16" t="s">
        <v>300</v>
      </c>
      <c r="H345" s="16" t="s">
        <v>301</v>
      </c>
      <c r="I345" s="16" t="s">
        <v>198</v>
      </c>
      <c r="J345" s="16" t="s">
        <v>199</v>
      </c>
      <c r="K345" s="16">
        <v>2.62635</v>
      </c>
      <c r="L345" s="36">
        <v>3036</v>
      </c>
      <c r="M345" s="16">
        <v>710</v>
      </c>
      <c r="N345" s="16">
        <v>673</v>
      </c>
      <c r="O345" s="16">
        <v>970</v>
      </c>
      <c r="P345" s="16">
        <v>498</v>
      </c>
      <c r="Q345" s="16">
        <v>185</v>
      </c>
      <c r="R345" s="16">
        <v>3</v>
      </c>
      <c r="S345" s="16">
        <v>16.383199999999999</v>
      </c>
      <c r="T345" s="16">
        <v>8.0348000000000006</v>
      </c>
      <c r="U345" s="16">
        <v>1.0080032029999999</v>
      </c>
      <c r="V345" s="16">
        <v>3</v>
      </c>
      <c r="W345" s="16">
        <v>0.907856</v>
      </c>
      <c r="X345" s="16">
        <v>8.6223999999999995E-2</v>
      </c>
      <c r="Y345" s="16">
        <v>0.62544599999999995</v>
      </c>
      <c r="Z345" s="16">
        <v>1</v>
      </c>
      <c r="AA345" s="37"/>
    </row>
    <row r="346" spans="1:27">
      <c r="A346" s="16" t="s">
        <v>53</v>
      </c>
      <c r="B346" s="16" t="s">
        <v>1349</v>
      </c>
      <c r="C346" s="16" t="s">
        <v>1350</v>
      </c>
      <c r="D346" s="16" t="s">
        <v>1351</v>
      </c>
      <c r="E346" s="16" t="s">
        <v>1347</v>
      </c>
      <c r="F346" s="16" t="s">
        <v>1348</v>
      </c>
      <c r="G346" s="16" t="s">
        <v>300</v>
      </c>
      <c r="H346" s="16" t="s">
        <v>301</v>
      </c>
      <c r="I346" s="16" t="s">
        <v>198</v>
      </c>
      <c r="J346" s="16" t="s">
        <v>199</v>
      </c>
      <c r="K346" s="16">
        <v>2.9803419999999998</v>
      </c>
      <c r="L346" s="36">
        <v>1948</v>
      </c>
      <c r="M346" s="16">
        <v>604</v>
      </c>
      <c r="N346" s="16">
        <v>391</v>
      </c>
      <c r="O346" s="16">
        <v>504</v>
      </c>
      <c r="P346" s="16">
        <v>315</v>
      </c>
      <c r="Q346" s="16">
        <v>134</v>
      </c>
      <c r="R346" s="16">
        <v>3</v>
      </c>
      <c r="S346" s="16">
        <v>16.030100000000001</v>
      </c>
      <c r="T346" s="16">
        <v>10.137700000000001</v>
      </c>
      <c r="U346" s="16">
        <v>1.1104711060000001</v>
      </c>
      <c r="V346" s="16">
        <v>2</v>
      </c>
      <c r="W346" s="16">
        <v>0.92735000000000001</v>
      </c>
      <c r="X346" s="16">
        <v>0.37816100000000002</v>
      </c>
      <c r="Y346" s="16">
        <v>0.68933699999999998</v>
      </c>
      <c r="Z346" s="16">
        <v>0.99072499999999997</v>
      </c>
      <c r="AA346" s="37"/>
    </row>
    <row r="347" spans="1:27">
      <c r="A347" s="16" t="s">
        <v>53</v>
      </c>
      <c r="B347" s="16" t="s">
        <v>1352</v>
      </c>
      <c r="C347" s="16" t="s">
        <v>1353</v>
      </c>
      <c r="D347" s="16" t="s">
        <v>1354</v>
      </c>
      <c r="E347" s="16" t="s">
        <v>1347</v>
      </c>
      <c r="F347" s="16" t="s">
        <v>1348</v>
      </c>
      <c r="G347" s="16" t="s">
        <v>300</v>
      </c>
      <c r="H347" s="16" t="s">
        <v>301</v>
      </c>
      <c r="I347" s="16" t="s">
        <v>198</v>
      </c>
      <c r="J347" s="16" t="s">
        <v>199</v>
      </c>
      <c r="K347" s="16">
        <v>2.8528989999999999</v>
      </c>
      <c r="L347" s="36">
        <v>2411</v>
      </c>
      <c r="M347" s="16">
        <v>676</v>
      </c>
      <c r="N347" s="16">
        <v>403</v>
      </c>
      <c r="O347" s="16">
        <v>640</v>
      </c>
      <c r="P347" s="16">
        <v>535</v>
      </c>
      <c r="Q347" s="16">
        <v>157</v>
      </c>
      <c r="R347" s="16">
        <v>2</v>
      </c>
      <c r="S347" s="16">
        <v>14.0564</v>
      </c>
      <c r="T347" s="16">
        <v>2.3294899999999998</v>
      </c>
      <c r="U347" s="16">
        <v>1.1252221499999999</v>
      </c>
      <c r="V347" s="16">
        <v>2</v>
      </c>
      <c r="W347" s="16">
        <v>0.92844199999999999</v>
      </c>
      <c r="X347" s="16">
        <v>0.316187</v>
      </c>
      <c r="Y347" s="16">
        <v>0.616788</v>
      </c>
      <c r="Z347" s="16">
        <v>1</v>
      </c>
      <c r="AA347" s="37"/>
    </row>
    <row r="348" spans="1:27">
      <c r="A348" s="16" t="s">
        <v>53</v>
      </c>
      <c r="B348" s="16" t="s">
        <v>1355</v>
      </c>
      <c r="C348" s="16" t="s">
        <v>1356</v>
      </c>
      <c r="D348" s="16" t="s">
        <v>1357</v>
      </c>
      <c r="E348" s="16" t="s">
        <v>994</v>
      </c>
      <c r="F348" s="16" t="s">
        <v>995</v>
      </c>
      <c r="G348" s="16" t="s">
        <v>300</v>
      </c>
      <c r="H348" s="16" t="s">
        <v>301</v>
      </c>
      <c r="I348" s="16" t="s">
        <v>198</v>
      </c>
      <c r="J348" s="16" t="s">
        <v>199</v>
      </c>
      <c r="K348" s="16">
        <v>2.961859</v>
      </c>
      <c r="L348" s="36">
        <v>1681</v>
      </c>
      <c r="M348" s="16">
        <v>426</v>
      </c>
      <c r="N348" s="16">
        <v>372</v>
      </c>
      <c r="O348" s="16">
        <v>404</v>
      </c>
      <c r="P348" s="16">
        <v>348</v>
      </c>
      <c r="Q348" s="16">
        <v>131</v>
      </c>
      <c r="R348" s="16">
        <v>5</v>
      </c>
      <c r="S348" s="16">
        <v>25.973600000000001</v>
      </c>
      <c r="T348" s="16">
        <v>13.954499999999999</v>
      </c>
      <c r="U348" s="16">
        <v>0.94573151</v>
      </c>
      <c r="V348" s="16">
        <v>2</v>
      </c>
      <c r="W348" s="16">
        <v>0.92275600000000002</v>
      </c>
      <c r="X348" s="16">
        <v>0.32103599999999999</v>
      </c>
      <c r="Y348" s="16">
        <v>0.7</v>
      </c>
      <c r="Z348" s="16">
        <v>1</v>
      </c>
      <c r="AA348" s="37"/>
    </row>
    <row r="349" spans="1:27">
      <c r="A349" s="16" t="s">
        <v>53</v>
      </c>
      <c r="B349" s="16" t="s">
        <v>1358</v>
      </c>
      <c r="C349" s="16" t="s">
        <v>1359</v>
      </c>
      <c r="D349" s="16" t="s">
        <v>1360</v>
      </c>
      <c r="E349" s="16" t="s">
        <v>1361</v>
      </c>
      <c r="F349" s="16" t="s">
        <v>1362</v>
      </c>
      <c r="G349" s="16" t="s">
        <v>300</v>
      </c>
      <c r="H349" s="16" t="s">
        <v>301</v>
      </c>
      <c r="I349" s="16" t="s">
        <v>198</v>
      </c>
      <c r="J349" s="16" t="s">
        <v>199</v>
      </c>
      <c r="K349" s="16">
        <v>3.1704349999999999</v>
      </c>
      <c r="L349" s="36">
        <v>2378</v>
      </c>
      <c r="M349" s="16">
        <v>648</v>
      </c>
      <c r="N349" s="16">
        <v>563</v>
      </c>
      <c r="O349" s="16">
        <v>811</v>
      </c>
      <c r="P349" s="16">
        <v>277</v>
      </c>
      <c r="Q349" s="16">
        <v>79</v>
      </c>
      <c r="R349" s="16">
        <v>4</v>
      </c>
      <c r="S349" s="16">
        <v>23.306999999999999</v>
      </c>
      <c r="T349" s="16">
        <v>10.424200000000001</v>
      </c>
      <c r="U349" s="16">
        <v>0.65766641299999995</v>
      </c>
      <c r="V349" s="16">
        <v>2</v>
      </c>
      <c r="W349" s="16">
        <v>0.96782599999999996</v>
      </c>
      <c r="X349" s="16">
        <v>0.56758600000000003</v>
      </c>
      <c r="Y349" s="16">
        <v>0.63545600000000002</v>
      </c>
      <c r="Z349" s="16">
        <v>1</v>
      </c>
      <c r="AA349" s="37"/>
    </row>
    <row r="350" spans="1:27">
      <c r="A350" s="16" t="s">
        <v>53</v>
      </c>
      <c r="B350" s="16" t="s">
        <v>1363</v>
      </c>
      <c r="C350" s="16" t="s">
        <v>1364</v>
      </c>
      <c r="D350" s="16" t="s">
        <v>1365</v>
      </c>
      <c r="E350" s="16" t="s">
        <v>994</v>
      </c>
      <c r="F350" s="16" t="s">
        <v>995</v>
      </c>
      <c r="G350" s="16" t="s">
        <v>300</v>
      </c>
      <c r="H350" s="16" t="s">
        <v>301</v>
      </c>
      <c r="I350" s="16" t="s">
        <v>198</v>
      </c>
      <c r="J350" s="16" t="s">
        <v>199</v>
      </c>
      <c r="K350" s="16">
        <v>2.8997000000000002</v>
      </c>
      <c r="L350" s="36">
        <v>5238</v>
      </c>
      <c r="M350" s="36">
        <v>1163</v>
      </c>
      <c r="N350" s="36">
        <v>1402</v>
      </c>
      <c r="O350" s="36">
        <v>1846</v>
      </c>
      <c r="P350" s="16">
        <v>640</v>
      </c>
      <c r="Q350" s="16">
        <v>187</v>
      </c>
      <c r="R350" s="16">
        <v>4</v>
      </c>
      <c r="S350" s="16">
        <v>27.543500000000002</v>
      </c>
      <c r="T350" s="16">
        <v>12.135999999999999</v>
      </c>
      <c r="U350" s="16">
        <v>0.9181106</v>
      </c>
      <c r="V350" s="16">
        <v>3</v>
      </c>
      <c r="W350" s="16">
        <v>0.92522499999999996</v>
      </c>
      <c r="X350" s="16">
        <v>0.32222200000000001</v>
      </c>
      <c r="Y350" s="16">
        <v>0.7</v>
      </c>
      <c r="Z350" s="16">
        <v>0.95120199999999999</v>
      </c>
      <c r="AA350" s="37"/>
    </row>
    <row r="351" spans="1:27">
      <c r="A351" s="16"/>
      <c r="B351" s="16"/>
      <c r="C351" s="16"/>
      <c r="D351" s="16"/>
      <c r="E351" s="16"/>
      <c r="F351" s="16"/>
      <c r="G351" s="16"/>
      <c r="H351" s="16"/>
      <c r="I351" s="16"/>
      <c r="J351" s="16"/>
      <c r="K351" s="16">
        <f>MAX(K343:K350)</f>
        <v>3.1704349999999999</v>
      </c>
      <c r="L351" s="36">
        <f>AVERAGE(L343:L350)</f>
        <v>2580.75</v>
      </c>
      <c r="M351" s="36">
        <f t="shared" ref="M351:Q351" si="41">SUM(M343:M350)</f>
        <v>5317</v>
      </c>
      <c r="N351" s="36">
        <f t="shared" si="41"/>
        <v>4579</v>
      </c>
      <c r="O351" s="36">
        <f t="shared" si="41"/>
        <v>6243</v>
      </c>
      <c r="P351" s="36">
        <f t="shared" si="41"/>
        <v>3337</v>
      </c>
      <c r="Q351" s="36">
        <f t="shared" si="41"/>
        <v>1170</v>
      </c>
      <c r="R351" s="16"/>
      <c r="S351" s="16"/>
      <c r="T351" s="16"/>
      <c r="U351" s="16"/>
      <c r="V351" s="16">
        <f>MEDIAN(V343:V350)</f>
        <v>2</v>
      </c>
      <c r="W351" s="16"/>
      <c r="X351" s="16"/>
      <c r="Y351" s="16"/>
      <c r="Z351" s="16"/>
      <c r="AA351" s="37"/>
    </row>
    <row r="352" spans="1:27">
      <c r="A352" s="16" t="s">
        <v>46</v>
      </c>
      <c r="B352" s="16" t="s">
        <v>1366</v>
      </c>
      <c r="C352" s="16" t="s">
        <v>1367</v>
      </c>
      <c r="D352" s="16" t="s">
        <v>1368</v>
      </c>
      <c r="E352" s="16" t="s">
        <v>1369</v>
      </c>
      <c r="F352" s="16" t="s">
        <v>1370</v>
      </c>
      <c r="G352" s="16" t="s">
        <v>300</v>
      </c>
      <c r="H352" s="16" t="s">
        <v>301</v>
      </c>
      <c r="I352" s="16" t="s">
        <v>198</v>
      </c>
      <c r="J352" s="16" t="s">
        <v>199</v>
      </c>
      <c r="K352" s="16">
        <v>2.7894739999999998</v>
      </c>
      <c r="L352" s="36">
        <v>2723</v>
      </c>
      <c r="M352" s="16">
        <v>468</v>
      </c>
      <c r="N352" s="16">
        <v>619</v>
      </c>
      <c r="O352" s="36">
        <v>1006</v>
      </c>
      <c r="P352" s="16">
        <v>441</v>
      </c>
      <c r="Q352" s="16">
        <v>189</v>
      </c>
      <c r="R352" s="16">
        <v>2</v>
      </c>
      <c r="S352" s="16">
        <v>17.773800000000001</v>
      </c>
      <c r="T352" s="16">
        <v>1.8916299999999999</v>
      </c>
      <c r="U352" s="16">
        <v>0.90640685899999995</v>
      </c>
      <c r="V352" s="16">
        <v>3</v>
      </c>
      <c r="W352" s="16">
        <v>0.92105300000000001</v>
      </c>
      <c r="X352" s="16">
        <v>0.193387</v>
      </c>
      <c r="Y352" s="16">
        <v>0.7</v>
      </c>
      <c r="Z352" s="16">
        <v>0.98149399999999998</v>
      </c>
      <c r="AA352" s="37"/>
    </row>
    <row r="353" spans="1:27">
      <c r="A353" s="16" t="s">
        <v>46</v>
      </c>
      <c r="B353" s="16" t="s">
        <v>980</v>
      </c>
      <c r="C353" s="16" t="s">
        <v>981</v>
      </c>
      <c r="D353" s="16" t="s">
        <v>982</v>
      </c>
      <c r="E353" s="16" t="s">
        <v>983</v>
      </c>
      <c r="F353" s="16" t="s">
        <v>984</v>
      </c>
      <c r="G353" s="16" t="s">
        <v>300</v>
      </c>
      <c r="H353" s="16" t="s">
        <v>301</v>
      </c>
      <c r="I353" s="16" t="s">
        <v>198</v>
      </c>
      <c r="J353" s="16" t="s">
        <v>199</v>
      </c>
      <c r="K353" s="16">
        <v>2.9160949999999999</v>
      </c>
      <c r="L353" s="36">
        <v>2915</v>
      </c>
      <c r="M353" s="16">
        <v>424</v>
      </c>
      <c r="N353" s="16">
        <v>835</v>
      </c>
      <c r="O353" s="36">
        <v>1141</v>
      </c>
      <c r="P353" s="16">
        <v>423</v>
      </c>
      <c r="Q353" s="16">
        <v>92</v>
      </c>
      <c r="R353" s="16">
        <v>5</v>
      </c>
      <c r="S353" s="16">
        <v>28.653700000000001</v>
      </c>
      <c r="T353" s="16">
        <v>4.1451500000000001</v>
      </c>
      <c r="U353" s="16">
        <v>0.53820393</v>
      </c>
      <c r="V353" s="16">
        <v>5</v>
      </c>
      <c r="W353" s="16">
        <v>0.91635900000000003</v>
      </c>
      <c r="X353" s="16">
        <v>0.30133300000000002</v>
      </c>
      <c r="Y353" s="16">
        <v>0.7</v>
      </c>
      <c r="Z353" s="16">
        <v>1</v>
      </c>
      <c r="AA353" s="37"/>
    </row>
    <row r="354" spans="1:27">
      <c r="A354" s="16" t="s">
        <v>46</v>
      </c>
      <c r="B354" s="16" t="s">
        <v>1371</v>
      </c>
      <c r="C354" s="16" t="s">
        <v>1372</v>
      </c>
      <c r="D354" s="16" t="s">
        <v>1373</v>
      </c>
      <c r="E354" s="16" t="s">
        <v>983</v>
      </c>
      <c r="F354" s="16" t="s">
        <v>984</v>
      </c>
      <c r="G354" s="16" t="s">
        <v>300</v>
      </c>
      <c r="H354" s="16" t="s">
        <v>301</v>
      </c>
      <c r="I354" s="16" t="s">
        <v>198</v>
      </c>
      <c r="J354" s="16" t="s">
        <v>199</v>
      </c>
      <c r="K354" s="16">
        <v>2.97709</v>
      </c>
      <c r="L354" s="36">
        <v>2352</v>
      </c>
      <c r="M354" s="16">
        <v>322</v>
      </c>
      <c r="N354" s="16">
        <v>604</v>
      </c>
      <c r="O354" s="16">
        <v>991</v>
      </c>
      <c r="P354" s="16">
        <v>354</v>
      </c>
      <c r="Q354" s="16">
        <v>81</v>
      </c>
      <c r="R354" s="16">
        <v>2</v>
      </c>
      <c r="S354" s="16">
        <v>28.352</v>
      </c>
      <c r="T354" s="16">
        <v>3.2682099999999998</v>
      </c>
      <c r="U354" s="16">
        <v>0.69445243999999995</v>
      </c>
      <c r="V354" s="16">
        <v>4</v>
      </c>
      <c r="W354" s="16">
        <v>0.93735800000000002</v>
      </c>
      <c r="X354" s="16">
        <v>0.34192899999999998</v>
      </c>
      <c r="Y354" s="16">
        <v>0.7</v>
      </c>
      <c r="Z354" s="16">
        <v>1</v>
      </c>
      <c r="AA354" s="37"/>
    </row>
    <row r="355" spans="1:27">
      <c r="A355" s="16" t="s">
        <v>46</v>
      </c>
      <c r="B355" s="16" t="s">
        <v>1374</v>
      </c>
      <c r="C355" s="16" t="s">
        <v>1375</v>
      </c>
      <c r="D355" s="16" t="s">
        <v>1376</v>
      </c>
      <c r="E355" s="16" t="s">
        <v>983</v>
      </c>
      <c r="F355" s="16" t="s">
        <v>984</v>
      </c>
      <c r="G355" s="16" t="s">
        <v>300</v>
      </c>
      <c r="H355" s="16" t="s">
        <v>301</v>
      </c>
      <c r="I355" s="16" t="s">
        <v>198</v>
      </c>
      <c r="J355" s="16" t="s">
        <v>199</v>
      </c>
      <c r="K355" s="16">
        <v>2.9064290000000002</v>
      </c>
      <c r="L355" s="36">
        <v>1967</v>
      </c>
      <c r="M355" s="16">
        <v>328</v>
      </c>
      <c r="N355" s="16">
        <v>529</v>
      </c>
      <c r="O355" s="16">
        <v>620</v>
      </c>
      <c r="P355" s="16">
        <v>360</v>
      </c>
      <c r="Q355" s="16">
        <v>130</v>
      </c>
      <c r="R355" s="16">
        <v>3</v>
      </c>
      <c r="S355" s="16">
        <v>16.276499999999999</v>
      </c>
      <c r="T355" s="16">
        <v>7.8164899999999999</v>
      </c>
      <c r="U355" s="16">
        <v>0.81759338800000003</v>
      </c>
      <c r="V355" s="16">
        <v>3</v>
      </c>
      <c r="W355" s="16">
        <v>0.92571400000000004</v>
      </c>
      <c r="X355" s="16">
        <v>0.26978400000000002</v>
      </c>
      <c r="Y355" s="16">
        <v>0.7</v>
      </c>
      <c r="Z355" s="16">
        <v>1</v>
      </c>
      <c r="AA355" s="37"/>
    </row>
    <row r="356" spans="1:27">
      <c r="A356" s="16" t="s">
        <v>46</v>
      </c>
      <c r="B356" s="16" t="s">
        <v>1377</v>
      </c>
      <c r="C356" s="16" t="s">
        <v>1378</v>
      </c>
      <c r="D356" s="16" t="s">
        <v>1379</v>
      </c>
      <c r="E356" s="16" t="s">
        <v>1380</v>
      </c>
      <c r="F356" s="16" t="s">
        <v>1381</v>
      </c>
      <c r="G356" s="16" t="s">
        <v>655</v>
      </c>
      <c r="H356" s="16" t="s">
        <v>656</v>
      </c>
      <c r="I356" s="16" t="s">
        <v>198</v>
      </c>
      <c r="J356" s="16" t="s">
        <v>199</v>
      </c>
      <c r="K356" s="16">
        <v>2.8374640000000002</v>
      </c>
      <c r="L356" s="36">
        <v>2829</v>
      </c>
      <c r="M356" s="16">
        <v>474</v>
      </c>
      <c r="N356" s="16">
        <v>666</v>
      </c>
      <c r="O356" s="36">
        <v>1109</v>
      </c>
      <c r="P356" s="16">
        <v>488</v>
      </c>
      <c r="Q356" s="16">
        <v>92</v>
      </c>
      <c r="R356" s="16">
        <v>3</v>
      </c>
      <c r="S356" s="16">
        <v>16.4801</v>
      </c>
      <c r="T356" s="16">
        <v>2.2215600000000002</v>
      </c>
      <c r="U356" s="16">
        <v>0.83124036400000001</v>
      </c>
      <c r="V356" s="16">
        <v>2</v>
      </c>
      <c r="W356" s="16">
        <v>0.92543200000000003</v>
      </c>
      <c r="X356" s="16">
        <v>0.32550400000000002</v>
      </c>
      <c r="Y356" s="16">
        <v>0.7</v>
      </c>
      <c r="Z356" s="16">
        <v>0.88380099999999995</v>
      </c>
      <c r="AA356" s="37"/>
    </row>
    <row r="357" spans="1:27">
      <c r="A357" s="16"/>
      <c r="B357" s="16"/>
      <c r="C357" s="16"/>
      <c r="D357" s="16"/>
      <c r="E357" s="16"/>
      <c r="F357" s="16"/>
      <c r="G357" s="16"/>
      <c r="H357" s="16"/>
      <c r="I357" s="16"/>
      <c r="J357" s="16"/>
      <c r="K357" s="16">
        <f>MAX(K352:K356)</f>
        <v>2.97709</v>
      </c>
      <c r="L357" s="36">
        <f>AVERAGE(L352:L356)</f>
        <v>2557.1999999999998</v>
      </c>
      <c r="M357" s="36">
        <f>SUM(M352:M356)</f>
        <v>2016</v>
      </c>
      <c r="N357" s="16"/>
      <c r="O357" s="36"/>
      <c r="P357" s="16"/>
      <c r="Q357" s="36">
        <f>SUM(Q352:Q356)</f>
        <v>584</v>
      </c>
      <c r="R357" s="16"/>
      <c r="S357" s="16"/>
      <c r="T357" s="16"/>
      <c r="U357" s="16"/>
      <c r="V357" s="16">
        <f>MEDIAN(V352:V356)</f>
        <v>3</v>
      </c>
      <c r="W357" s="16"/>
      <c r="X357" s="16"/>
      <c r="Y357" s="16"/>
      <c r="Z357" s="16"/>
      <c r="AA357" s="37"/>
    </row>
    <row r="358" spans="1:27">
      <c r="A358" s="16" t="s">
        <v>58</v>
      </c>
      <c r="B358" s="16" t="s">
        <v>1382</v>
      </c>
      <c r="C358" s="16" t="s">
        <v>1383</v>
      </c>
      <c r="D358" s="16" t="s">
        <v>1384</v>
      </c>
      <c r="E358" s="16" t="s">
        <v>1385</v>
      </c>
      <c r="F358" s="16" t="s">
        <v>1386</v>
      </c>
      <c r="G358" s="16" t="s">
        <v>1387</v>
      </c>
      <c r="H358" s="16" t="s">
        <v>1388</v>
      </c>
      <c r="I358" s="16" t="s">
        <v>198</v>
      </c>
      <c r="J358" s="16" t="s">
        <v>199</v>
      </c>
      <c r="K358" s="16">
        <v>2.926634</v>
      </c>
      <c r="L358" s="36">
        <v>1830</v>
      </c>
      <c r="M358" s="16">
        <v>252</v>
      </c>
      <c r="N358" s="16">
        <v>557</v>
      </c>
      <c r="O358" s="16">
        <v>493</v>
      </c>
      <c r="P358" s="16">
        <v>355</v>
      </c>
      <c r="Q358" s="16">
        <v>173</v>
      </c>
      <c r="R358" s="16">
        <v>5</v>
      </c>
      <c r="S358" s="16">
        <v>31.1175</v>
      </c>
      <c r="T358" s="16">
        <v>16.560500000000001</v>
      </c>
      <c r="U358" s="16">
        <v>0.70905524799999997</v>
      </c>
      <c r="V358" s="16">
        <v>4</v>
      </c>
      <c r="W358" s="16">
        <v>0.93088199999999999</v>
      </c>
      <c r="X358" s="16">
        <v>0.34165299999999998</v>
      </c>
      <c r="Y358" s="16">
        <v>0.72922100000000001</v>
      </c>
      <c r="Z358" s="16">
        <v>0.95382100000000003</v>
      </c>
      <c r="AA358" s="37"/>
    </row>
    <row r="359" spans="1:27">
      <c r="A359" s="16" t="s">
        <v>58</v>
      </c>
      <c r="B359" s="16" t="s">
        <v>1389</v>
      </c>
      <c r="C359" s="16" t="s">
        <v>1390</v>
      </c>
      <c r="D359" s="16" t="s">
        <v>1391</v>
      </c>
      <c r="E359" s="16" t="s">
        <v>1392</v>
      </c>
      <c r="F359" s="16" t="s">
        <v>1393</v>
      </c>
      <c r="G359" s="16" t="s">
        <v>1387</v>
      </c>
      <c r="H359" s="16" t="s">
        <v>1388</v>
      </c>
      <c r="I359" s="16" t="s">
        <v>198</v>
      </c>
      <c r="J359" s="16" t="s">
        <v>199</v>
      </c>
      <c r="K359" s="16">
        <v>2.5191080000000001</v>
      </c>
      <c r="L359" s="36">
        <v>1916</v>
      </c>
      <c r="M359" s="16">
        <v>407</v>
      </c>
      <c r="N359" s="16">
        <v>346</v>
      </c>
      <c r="O359" s="16">
        <v>673</v>
      </c>
      <c r="P359" s="16">
        <v>374</v>
      </c>
      <c r="Q359" s="16">
        <v>116</v>
      </c>
      <c r="R359" s="16">
        <v>4</v>
      </c>
      <c r="S359" s="16">
        <v>22.409199999999998</v>
      </c>
      <c r="T359" s="16">
        <v>7.5321199999999999</v>
      </c>
      <c r="U359" s="16">
        <v>0.84131052699999997</v>
      </c>
      <c r="V359" s="16">
        <v>4</v>
      </c>
      <c r="W359" s="16">
        <v>0.914331</v>
      </c>
      <c r="X359" s="16">
        <v>0.12815499999999999</v>
      </c>
      <c r="Y359" s="16">
        <v>0.79675300000000004</v>
      </c>
      <c r="Z359" s="16">
        <v>0.7</v>
      </c>
      <c r="AA359" s="37"/>
    </row>
    <row r="360" spans="1:27">
      <c r="A360" s="16" t="s">
        <v>58</v>
      </c>
      <c r="B360" s="16" t="s">
        <v>1394</v>
      </c>
      <c r="C360" s="16" t="s">
        <v>1395</v>
      </c>
      <c r="D360" s="16" t="s">
        <v>1396</v>
      </c>
      <c r="E360" s="16" t="s">
        <v>1392</v>
      </c>
      <c r="F360" s="16" t="s">
        <v>1393</v>
      </c>
      <c r="G360" s="16" t="s">
        <v>1387</v>
      </c>
      <c r="H360" s="16" t="s">
        <v>1388</v>
      </c>
      <c r="I360" s="16" t="s">
        <v>198</v>
      </c>
      <c r="J360" s="16" t="s">
        <v>199</v>
      </c>
      <c r="K360" s="16">
        <v>2.6231270000000002</v>
      </c>
      <c r="L360" s="36">
        <v>1756</v>
      </c>
      <c r="M360" s="16">
        <v>352</v>
      </c>
      <c r="N360" s="16">
        <v>376</v>
      </c>
      <c r="O360" s="16">
        <v>455</v>
      </c>
      <c r="P360" s="16">
        <v>421</v>
      </c>
      <c r="Q360" s="16">
        <v>152</v>
      </c>
      <c r="R360" s="16">
        <v>4</v>
      </c>
      <c r="S360" s="16">
        <v>24.608000000000001</v>
      </c>
      <c r="T360" s="16">
        <v>2.7637200000000002</v>
      </c>
      <c r="U360" s="16">
        <v>1.1392409750000001</v>
      </c>
      <c r="V360" s="16">
        <v>2</v>
      </c>
      <c r="W360" s="16">
        <v>0.91734599999999999</v>
      </c>
      <c r="X360" s="16">
        <v>0.20638300000000001</v>
      </c>
      <c r="Y360" s="16">
        <v>0.8</v>
      </c>
      <c r="Z360" s="16">
        <v>0.72216400000000003</v>
      </c>
      <c r="AA360" s="37"/>
    </row>
    <row r="361" spans="1:27">
      <c r="A361" s="16" t="s">
        <v>58</v>
      </c>
      <c r="B361" s="16" t="s">
        <v>1397</v>
      </c>
      <c r="C361" s="16" t="s">
        <v>1398</v>
      </c>
      <c r="D361" s="16" t="s">
        <v>1399</v>
      </c>
      <c r="E361" s="16" t="s">
        <v>1400</v>
      </c>
      <c r="F361" s="16" t="s">
        <v>1401</v>
      </c>
      <c r="G361" s="16" t="s">
        <v>1387</v>
      </c>
      <c r="H361" s="16" t="s">
        <v>1388</v>
      </c>
      <c r="I361" s="16" t="s">
        <v>198</v>
      </c>
      <c r="J361" s="16" t="s">
        <v>199</v>
      </c>
      <c r="K361" s="16">
        <v>2.5106709999999999</v>
      </c>
      <c r="L361" s="36">
        <v>1758</v>
      </c>
      <c r="M361" s="16">
        <v>300</v>
      </c>
      <c r="N361" s="16">
        <v>345</v>
      </c>
      <c r="O361" s="16">
        <v>565</v>
      </c>
      <c r="P361" s="16">
        <v>366</v>
      </c>
      <c r="Q361" s="16">
        <v>182</v>
      </c>
      <c r="R361" s="16">
        <v>4</v>
      </c>
      <c r="S361" s="16">
        <v>23.459700000000002</v>
      </c>
      <c r="T361" s="16">
        <v>14.202299999999999</v>
      </c>
      <c r="U361" s="16">
        <v>0.790054166</v>
      </c>
      <c r="V361" s="16">
        <v>5</v>
      </c>
      <c r="W361" s="16">
        <v>0.90670700000000004</v>
      </c>
      <c r="X361" s="16">
        <v>0.14682799999999999</v>
      </c>
      <c r="Y361" s="16">
        <v>0.8</v>
      </c>
      <c r="Z361" s="16">
        <v>0.65138499999999999</v>
      </c>
      <c r="AA361" s="37"/>
    </row>
    <row r="362" spans="1:27">
      <c r="A362" s="16" t="s">
        <v>58</v>
      </c>
      <c r="B362" s="16" t="s">
        <v>1402</v>
      </c>
      <c r="C362" s="16" t="s">
        <v>1403</v>
      </c>
      <c r="D362" s="16" t="s">
        <v>1404</v>
      </c>
      <c r="E362" s="16" t="s">
        <v>1400</v>
      </c>
      <c r="F362" s="16" t="s">
        <v>1401</v>
      </c>
      <c r="G362" s="16" t="s">
        <v>1387</v>
      </c>
      <c r="H362" s="16" t="s">
        <v>1388</v>
      </c>
      <c r="I362" s="16" t="s">
        <v>198</v>
      </c>
      <c r="J362" s="16" t="s">
        <v>199</v>
      </c>
      <c r="K362" s="16">
        <v>2.7744849999999999</v>
      </c>
      <c r="L362" s="36">
        <v>2075</v>
      </c>
      <c r="M362" s="16">
        <v>415</v>
      </c>
      <c r="N362" s="16">
        <v>387</v>
      </c>
      <c r="O362" s="16">
        <v>700</v>
      </c>
      <c r="P362" s="16">
        <v>360</v>
      </c>
      <c r="Q362" s="16">
        <v>213</v>
      </c>
      <c r="R362" s="16">
        <v>4</v>
      </c>
      <c r="S362" s="16">
        <v>24.732199999999999</v>
      </c>
      <c r="T362" s="16">
        <v>14.9687</v>
      </c>
      <c r="U362" s="16">
        <v>0.59257330900000005</v>
      </c>
      <c r="V362" s="16">
        <v>6</v>
      </c>
      <c r="W362" s="16">
        <v>0.92036099999999998</v>
      </c>
      <c r="X362" s="16">
        <v>0.30520799999999998</v>
      </c>
      <c r="Y362" s="16">
        <v>0.8</v>
      </c>
      <c r="Z362" s="16">
        <v>0.71585699999999997</v>
      </c>
      <c r="AA362" s="37"/>
    </row>
    <row r="363" spans="1:27">
      <c r="A363" s="16" t="s">
        <v>58</v>
      </c>
      <c r="B363" s="16" t="s">
        <v>1405</v>
      </c>
      <c r="C363" s="16" t="s">
        <v>1406</v>
      </c>
      <c r="D363" s="16" t="s">
        <v>1407</v>
      </c>
      <c r="E363" s="16" t="s">
        <v>1385</v>
      </c>
      <c r="F363" s="16" t="s">
        <v>1386</v>
      </c>
      <c r="G363" s="16" t="s">
        <v>1387</v>
      </c>
      <c r="H363" s="16" t="s">
        <v>1388</v>
      </c>
      <c r="I363" s="16" t="s">
        <v>198</v>
      </c>
      <c r="J363" s="16" t="s">
        <v>199</v>
      </c>
      <c r="K363" s="16">
        <v>3.0296189999999998</v>
      </c>
      <c r="L363" s="36">
        <v>2426</v>
      </c>
      <c r="M363" s="16">
        <v>379</v>
      </c>
      <c r="N363" s="16">
        <v>546</v>
      </c>
      <c r="O363" s="16">
        <v>875</v>
      </c>
      <c r="P363" s="16">
        <v>423</v>
      </c>
      <c r="Q363" s="16">
        <v>203</v>
      </c>
      <c r="R363" s="16">
        <v>4</v>
      </c>
      <c r="S363" s="16">
        <v>27.2606</v>
      </c>
      <c r="T363" s="16">
        <v>1.93672</v>
      </c>
      <c r="U363" s="16">
        <v>0.67139122399999995</v>
      </c>
      <c r="V363" s="16">
        <v>4</v>
      </c>
      <c r="W363" s="16">
        <v>0.91624700000000003</v>
      </c>
      <c r="X363" s="16">
        <v>0.41008600000000001</v>
      </c>
      <c r="Y363" s="16">
        <v>0.70122200000000001</v>
      </c>
      <c r="Z363" s="16">
        <v>0.99360599999999999</v>
      </c>
      <c r="AA363" s="37"/>
    </row>
    <row r="364" spans="1:27">
      <c r="A364" s="16" t="s">
        <v>58</v>
      </c>
      <c r="B364" s="16" t="s">
        <v>1408</v>
      </c>
      <c r="C364" s="16" t="s">
        <v>1409</v>
      </c>
      <c r="D364" s="16" t="s">
        <v>1410</v>
      </c>
      <c r="E364" s="16" t="s">
        <v>1411</v>
      </c>
      <c r="F364" s="16" t="s">
        <v>1412</v>
      </c>
      <c r="G364" s="16" t="s">
        <v>1387</v>
      </c>
      <c r="H364" s="16" t="s">
        <v>1388</v>
      </c>
      <c r="I364" s="16" t="s">
        <v>198</v>
      </c>
      <c r="J364" s="16" t="s">
        <v>199</v>
      </c>
      <c r="K364" s="16">
        <v>2.6321479999999999</v>
      </c>
      <c r="L364" s="36">
        <v>1933</v>
      </c>
      <c r="M364" s="16">
        <v>341</v>
      </c>
      <c r="N364" s="16">
        <v>383</v>
      </c>
      <c r="O364" s="16">
        <v>613</v>
      </c>
      <c r="P364" s="16">
        <v>395</v>
      </c>
      <c r="Q364" s="16">
        <v>201</v>
      </c>
      <c r="R364" s="16">
        <v>4</v>
      </c>
      <c r="S364" s="16">
        <v>27.16</v>
      </c>
      <c r="T364" s="16">
        <v>3.4653</v>
      </c>
      <c r="U364" s="16">
        <v>0.910211938</v>
      </c>
      <c r="V364" s="16">
        <v>3</v>
      </c>
      <c r="W364" s="16">
        <v>0.91674100000000003</v>
      </c>
      <c r="X364" s="16">
        <v>0.38725900000000002</v>
      </c>
      <c r="Y364" s="16">
        <v>0.709673</v>
      </c>
      <c r="Z364" s="16">
        <v>0.60221899999999995</v>
      </c>
      <c r="AA364" s="37"/>
    </row>
    <row r="365" spans="1:27">
      <c r="A365" s="16" t="s">
        <v>58</v>
      </c>
      <c r="B365" s="16" t="s">
        <v>1413</v>
      </c>
      <c r="C365" s="16" t="s">
        <v>1414</v>
      </c>
      <c r="D365" s="16" t="s">
        <v>1415</v>
      </c>
      <c r="E365" s="16" t="s">
        <v>1416</v>
      </c>
      <c r="F365" s="16" t="s">
        <v>1417</v>
      </c>
      <c r="G365" s="16" t="s">
        <v>1387</v>
      </c>
      <c r="H365" s="16" t="s">
        <v>1388</v>
      </c>
      <c r="I365" s="16" t="s">
        <v>198</v>
      </c>
      <c r="J365" s="16" t="s">
        <v>199</v>
      </c>
      <c r="K365" s="16">
        <v>2.524966</v>
      </c>
      <c r="L365" s="36">
        <v>2304</v>
      </c>
      <c r="M365" s="16">
        <v>347</v>
      </c>
      <c r="N365" s="16">
        <v>521</v>
      </c>
      <c r="O365" s="16">
        <v>774</v>
      </c>
      <c r="P365" s="16">
        <v>485</v>
      </c>
      <c r="Q365" s="16">
        <v>177</v>
      </c>
      <c r="R365" s="16">
        <v>5</v>
      </c>
      <c r="S365" s="16">
        <v>34.276200000000003</v>
      </c>
      <c r="T365" s="16">
        <v>7.6195300000000001</v>
      </c>
      <c r="U365" s="16">
        <v>0.80240939499999997</v>
      </c>
      <c r="V365" s="16">
        <v>5</v>
      </c>
      <c r="W365" s="16">
        <v>0.91973199999999999</v>
      </c>
      <c r="X365" s="16">
        <v>0.23524700000000001</v>
      </c>
      <c r="Y365" s="16">
        <v>0.70508000000000004</v>
      </c>
      <c r="Z365" s="16">
        <v>0.67922800000000005</v>
      </c>
      <c r="AA365" s="37"/>
    </row>
    <row r="366" spans="1:27">
      <c r="A366" s="16" t="s">
        <v>58</v>
      </c>
      <c r="B366" s="16" t="s">
        <v>1418</v>
      </c>
      <c r="C366" s="16" t="s">
        <v>1419</v>
      </c>
      <c r="D366" s="16" t="s">
        <v>1420</v>
      </c>
      <c r="E366" s="16" t="s">
        <v>1416</v>
      </c>
      <c r="F366" s="16" t="s">
        <v>1417</v>
      </c>
      <c r="G366" s="16" t="s">
        <v>1387</v>
      </c>
      <c r="H366" s="16" t="s">
        <v>1388</v>
      </c>
      <c r="I366" s="16" t="s">
        <v>198</v>
      </c>
      <c r="J366" s="16" t="s">
        <v>199</v>
      </c>
      <c r="K366" s="16">
        <v>2.59741</v>
      </c>
      <c r="L366" s="36">
        <v>2350</v>
      </c>
      <c r="M366" s="16">
        <v>434</v>
      </c>
      <c r="N366" s="16">
        <v>428</v>
      </c>
      <c r="O366" s="16">
        <v>898</v>
      </c>
      <c r="P366" s="16">
        <v>417</v>
      </c>
      <c r="Q366" s="16">
        <v>173</v>
      </c>
      <c r="R366" s="16" t="s">
        <v>302</v>
      </c>
      <c r="S366" s="16">
        <v>34.759799999999998</v>
      </c>
      <c r="T366" s="16">
        <v>17.248000000000001</v>
      </c>
      <c r="U366" s="16">
        <v>0.850510023</v>
      </c>
      <c r="V366" s="16">
        <v>4</v>
      </c>
      <c r="W366" s="16">
        <v>0.91784200000000005</v>
      </c>
      <c r="X366" s="16">
        <v>0.238737</v>
      </c>
      <c r="Y366" s="16">
        <v>0.76172700000000004</v>
      </c>
      <c r="Z366" s="16">
        <v>0.69250699999999998</v>
      </c>
      <c r="AA366" s="37"/>
    </row>
    <row r="367" spans="1:27">
      <c r="A367" s="16" t="s">
        <v>58</v>
      </c>
      <c r="B367" s="16" t="s">
        <v>1421</v>
      </c>
      <c r="C367" s="16" t="s">
        <v>1422</v>
      </c>
      <c r="D367" s="16" t="s">
        <v>1423</v>
      </c>
      <c r="E367" s="16" t="s">
        <v>1400</v>
      </c>
      <c r="F367" s="16" t="s">
        <v>1401</v>
      </c>
      <c r="G367" s="16" t="s">
        <v>1387</v>
      </c>
      <c r="H367" s="16" t="s">
        <v>1388</v>
      </c>
      <c r="I367" s="16" t="s">
        <v>198</v>
      </c>
      <c r="J367" s="16" t="s">
        <v>199</v>
      </c>
      <c r="K367" s="16">
        <v>2.9107029999999998</v>
      </c>
      <c r="L367" s="36">
        <v>2200</v>
      </c>
      <c r="M367" s="16">
        <v>343</v>
      </c>
      <c r="N367" s="16">
        <v>557</v>
      </c>
      <c r="O367" s="16">
        <v>755</v>
      </c>
      <c r="P367" s="16">
        <v>356</v>
      </c>
      <c r="Q367" s="16">
        <v>189</v>
      </c>
      <c r="R367" s="16">
        <v>5</v>
      </c>
      <c r="S367" s="16">
        <v>28.0687</v>
      </c>
      <c r="T367" s="16">
        <v>21.7072</v>
      </c>
      <c r="U367" s="16">
        <v>0.62085304699999999</v>
      </c>
      <c r="V367" s="16">
        <v>4</v>
      </c>
      <c r="W367" s="16">
        <v>0.91773700000000002</v>
      </c>
      <c r="X367" s="16">
        <v>0.33518500000000001</v>
      </c>
      <c r="Y367" s="16">
        <v>0.77160099999999998</v>
      </c>
      <c r="Z367" s="16">
        <v>0.88190199999999996</v>
      </c>
      <c r="AA367" s="37"/>
    </row>
    <row r="368" spans="1:27">
      <c r="A368" s="16" t="s">
        <v>58</v>
      </c>
      <c r="B368" s="16" t="s">
        <v>1424</v>
      </c>
      <c r="C368" s="16" t="s">
        <v>1425</v>
      </c>
      <c r="D368" s="16" t="s">
        <v>1426</v>
      </c>
      <c r="E368" s="16" t="s">
        <v>1427</v>
      </c>
      <c r="F368" s="16" t="s">
        <v>1428</v>
      </c>
      <c r="G368" s="16" t="s">
        <v>1429</v>
      </c>
      <c r="H368" s="16" t="s">
        <v>1430</v>
      </c>
      <c r="I368" s="16" t="s">
        <v>198</v>
      </c>
      <c r="J368" s="16" t="s">
        <v>199</v>
      </c>
      <c r="K368" s="16">
        <v>2.2442129999999998</v>
      </c>
      <c r="L368" s="36">
        <v>1425</v>
      </c>
      <c r="M368" s="16">
        <v>227</v>
      </c>
      <c r="N368" s="16">
        <v>231</v>
      </c>
      <c r="O368" s="16">
        <v>342</v>
      </c>
      <c r="P368" s="16">
        <v>381</v>
      </c>
      <c r="Q368" s="16">
        <v>244</v>
      </c>
      <c r="R368" s="16">
        <v>3</v>
      </c>
      <c r="S368" s="16">
        <v>26.409800000000001</v>
      </c>
      <c r="T368" s="16">
        <v>4.3978999999999999</v>
      </c>
      <c r="U368" s="16">
        <v>0.74441095199999996</v>
      </c>
      <c r="V368" s="16">
        <v>8</v>
      </c>
      <c r="W368" s="16">
        <v>0.92025500000000005</v>
      </c>
      <c r="X368" s="16">
        <v>0.28587800000000002</v>
      </c>
      <c r="Y368" s="16">
        <v>0.7</v>
      </c>
      <c r="Z368" s="16">
        <v>0.355632</v>
      </c>
      <c r="AA368" s="37"/>
    </row>
    <row r="369" spans="1:27">
      <c r="A369" s="16" t="s">
        <v>58</v>
      </c>
      <c r="B369" s="16" t="s">
        <v>1431</v>
      </c>
      <c r="C369" s="16" t="s">
        <v>1432</v>
      </c>
      <c r="D369" s="16" t="s">
        <v>1433</v>
      </c>
      <c r="E369" s="16" t="s">
        <v>1434</v>
      </c>
      <c r="F369" s="16" t="s">
        <v>1435</v>
      </c>
      <c r="G369" s="16" t="s">
        <v>1429</v>
      </c>
      <c r="H369" s="16" t="s">
        <v>1430</v>
      </c>
      <c r="I369" s="16" t="s">
        <v>198</v>
      </c>
      <c r="J369" s="16" t="s">
        <v>199</v>
      </c>
      <c r="K369" s="16">
        <v>2.0454780000000001</v>
      </c>
      <c r="L369" s="36">
        <v>1516</v>
      </c>
      <c r="M369" s="16">
        <v>297</v>
      </c>
      <c r="N369" s="16">
        <v>206</v>
      </c>
      <c r="O369" s="16">
        <v>333</v>
      </c>
      <c r="P369" s="16">
        <v>396</v>
      </c>
      <c r="Q369" s="16">
        <v>284</v>
      </c>
      <c r="R369" s="16">
        <v>2</v>
      </c>
      <c r="S369" s="16">
        <v>17.277100000000001</v>
      </c>
      <c r="T369" s="16">
        <v>0</v>
      </c>
      <c r="U369" s="16">
        <v>0.944289924</v>
      </c>
      <c r="V369" s="16">
        <v>6</v>
      </c>
      <c r="W369" s="16">
        <v>0.90200599999999997</v>
      </c>
      <c r="X369" s="16">
        <v>0.123943</v>
      </c>
      <c r="Y369" s="16">
        <v>0.7</v>
      </c>
      <c r="Z369" s="16">
        <v>0.31479699999999999</v>
      </c>
      <c r="AA369" s="37"/>
    </row>
    <row r="370" spans="1:27">
      <c r="A370" s="16" t="s">
        <v>58</v>
      </c>
      <c r="B370" s="16" t="s">
        <v>1436</v>
      </c>
      <c r="C370" s="16" t="s">
        <v>1437</v>
      </c>
      <c r="D370" s="16" t="s">
        <v>1438</v>
      </c>
      <c r="E370" s="16" t="s">
        <v>1439</v>
      </c>
      <c r="F370" s="16" t="s">
        <v>1440</v>
      </c>
      <c r="G370" s="16" t="s">
        <v>1429</v>
      </c>
      <c r="H370" s="16" t="s">
        <v>1430</v>
      </c>
      <c r="I370" s="16" t="s">
        <v>198</v>
      </c>
      <c r="J370" s="16" t="s">
        <v>199</v>
      </c>
      <c r="K370" s="16">
        <v>2.0229339999999998</v>
      </c>
      <c r="L370" s="36">
        <v>1767</v>
      </c>
      <c r="M370" s="16">
        <v>226</v>
      </c>
      <c r="N370" s="16">
        <v>306</v>
      </c>
      <c r="O370" s="16">
        <v>552</v>
      </c>
      <c r="P370" s="16">
        <v>439</v>
      </c>
      <c r="Q370" s="16">
        <v>244</v>
      </c>
      <c r="R370" s="16">
        <v>4</v>
      </c>
      <c r="S370" s="16">
        <v>22.210699999999999</v>
      </c>
      <c r="T370" s="16">
        <v>11.5951</v>
      </c>
      <c r="U370" s="16">
        <v>0.84396641900000002</v>
      </c>
      <c r="V370" s="16">
        <v>9</v>
      </c>
      <c r="W370" s="16">
        <v>0.90270700000000004</v>
      </c>
      <c r="X370" s="16">
        <v>9.6317E-2</v>
      </c>
      <c r="Y370" s="16">
        <v>0.7</v>
      </c>
      <c r="Z370" s="16">
        <v>0.32253900000000002</v>
      </c>
      <c r="AA370" s="37"/>
    </row>
    <row r="371" spans="1:27">
      <c r="A371" s="16" t="s">
        <v>58</v>
      </c>
      <c r="B371" s="16" t="s">
        <v>1441</v>
      </c>
      <c r="C371" s="16" t="s">
        <v>1442</v>
      </c>
      <c r="D371" s="16" t="s">
        <v>1443</v>
      </c>
      <c r="E371" s="16" t="s">
        <v>1411</v>
      </c>
      <c r="F371" s="16" t="s">
        <v>1412</v>
      </c>
      <c r="G371" s="16" t="s">
        <v>1387</v>
      </c>
      <c r="H371" s="16" t="s">
        <v>1388</v>
      </c>
      <c r="I371" s="16" t="s">
        <v>198</v>
      </c>
      <c r="J371" s="16" t="s">
        <v>199</v>
      </c>
      <c r="K371" s="16">
        <v>2.252329</v>
      </c>
      <c r="L371" s="36">
        <v>1691</v>
      </c>
      <c r="M371" s="16">
        <v>336</v>
      </c>
      <c r="N371" s="16">
        <v>301</v>
      </c>
      <c r="O371" s="16">
        <v>480</v>
      </c>
      <c r="P371" s="16">
        <v>388</v>
      </c>
      <c r="Q371" s="16">
        <v>186</v>
      </c>
      <c r="R371" s="16">
        <v>2</v>
      </c>
      <c r="S371" s="16">
        <v>19.4709</v>
      </c>
      <c r="T371" s="16">
        <v>0</v>
      </c>
      <c r="U371" s="16">
        <v>0.99082593799999996</v>
      </c>
      <c r="V371" s="16">
        <v>4</v>
      </c>
      <c r="W371" s="16">
        <v>0.90493000000000001</v>
      </c>
      <c r="X371" s="16">
        <v>0.26119900000000001</v>
      </c>
      <c r="Y371" s="16">
        <v>0.7</v>
      </c>
      <c r="Z371" s="16">
        <v>0.38725700000000002</v>
      </c>
      <c r="AA371" s="37"/>
    </row>
    <row r="372" spans="1:27">
      <c r="A372" s="16" t="s">
        <v>58</v>
      </c>
      <c r="B372" s="16" t="s">
        <v>1444</v>
      </c>
      <c r="C372" s="16" t="s">
        <v>1445</v>
      </c>
      <c r="D372" s="16" t="s">
        <v>1446</v>
      </c>
      <c r="E372" s="16" t="s">
        <v>1427</v>
      </c>
      <c r="F372" s="16" t="s">
        <v>1428</v>
      </c>
      <c r="G372" s="16" t="s">
        <v>1429</v>
      </c>
      <c r="H372" s="16" t="s">
        <v>1430</v>
      </c>
      <c r="I372" s="16" t="s">
        <v>198</v>
      </c>
      <c r="J372" s="16" t="s">
        <v>199</v>
      </c>
      <c r="K372" s="16">
        <v>2.1398799999999998</v>
      </c>
      <c r="L372" s="36">
        <v>1229</v>
      </c>
      <c r="M372" s="16">
        <v>272</v>
      </c>
      <c r="N372" s="16">
        <v>159</v>
      </c>
      <c r="O372" s="16">
        <v>196</v>
      </c>
      <c r="P372" s="16">
        <v>384</v>
      </c>
      <c r="Q372" s="16">
        <v>218</v>
      </c>
      <c r="R372" s="16" t="s">
        <v>225</v>
      </c>
      <c r="S372" s="16">
        <v>11.091900000000001</v>
      </c>
      <c r="T372" s="16">
        <v>0</v>
      </c>
      <c r="U372" s="16">
        <v>0.76755962700000002</v>
      </c>
      <c r="V372" s="16">
        <v>9</v>
      </c>
      <c r="W372" s="16">
        <v>0.90382700000000005</v>
      </c>
      <c r="X372" s="16">
        <v>0.27355400000000002</v>
      </c>
      <c r="Y372" s="16">
        <v>0.7</v>
      </c>
      <c r="Z372" s="16">
        <v>0.258629</v>
      </c>
      <c r="AA372" s="37"/>
    </row>
    <row r="373" spans="1:27">
      <c r="A373" s="16" t="s">
        <v>58</v>
      </c>
      <c r="B373" s="16" t="s">
        <v>1447</v>
      </c>
      <c r="C373" s="16" t="s">
        <v>1448</v>
      </c>
      <c r="D373" s="16" t="s">
        <v>1449</v>
      </c>
      <c r="E373" s="16" t="s">
        <v>1439</v>
      </c>
      <c r="F373" s="16" t="s">
        <v>1440</v>
      </c>
      <c r="G373" s="16" t="s">
        <v>1429</v>
      </c>
      <c r="H373" s="16" t="s">
        <v>1430</v>
      </c>
      <c r="I373" s="16" t="s">
        <v>198</v>
      </c>
      <c r="J373" s="16" t="s">
        <v>199</v>
      </c>
      <c r="K373" s="16">
        <v>2.189387</v>
      </c>
      <c r="L373" s="36">
        <v>2080</v>
      </c>
      <c r="M373" s="16">
        <v>337</v>
      </c>
      <c r="N373" s="16">
        <v>431</v>
      </c>
      <c r="O373" s="16">
        <v>628</v>
      </c>
      <c r="P373" s="16">
        <v>417</v>
      </c>
      <c r="Q373" s="16">
        <v>267</v>
      </c>
      <c r="R373" s="16">
        <v>4</v>
      </c>
      <c r="S373" s="16">
        <v>25.072800000000001</v>
      </c>
      <c r="T373" s="16">
        <v>7.0510900000000003</v>
      </c>
      <c r="U373" s="16">
        <v>0.78928152799999995</v>
      </c>
      <c r="V373" s="16">
        <v>8</v>
      </c>
      <c r="W373" s="16">
        <v>0.90749800000000003</v>
      </c>
      <c r="X373" s="16">
        <v>0.22820799999999999</v>
      </c>
      <c r="Y373" s="16">
        <v>0.7</v>
      </c>
      <c r="Z373" s="16">
        <v>0.35828500000000002</v>
      </c>
      <c r="AA373" s="37"/>
    </row>
    <row r="374" spans="1:27">
      <c r="A374" s="16" t="s">
        <v>58</v>
      </c>
      <c r="B374" s="16" t="s">
        <v>1450</v>
      </c>
      <c r="C374" s="16" t="s">
        <v>1451</v>
      </c>
      <c r="D374" s="16" t="s">
        <v>1452</v>
      </c>
      <c r="E374" s="16" t="s">
        <v>1427</v>
      </c>
      <c r="F374" s="16" t="s">
        <v>1428</v>
      </c>
      <c r="G374" s="16" t="s">
        <v>1429</v>
      </c>
      <c r="H374" s="16" t="s">
        <v>1430</v>
      </c>
      <c r="I374" s="16" t="s">
        <v>198</v>
      </c>
      <c r="J374" s="16" t="s">
        <v>199</v>
      </c>
      <c r="K374" s="16">
        <v>2.0817570000000001</v>
      </c>
      <c r="L374" s="36">
        <v>1604</v>
      </c>
      <c r="M374" s="16">
        <v>311</v>
      </c>
      <c r="N374" s="16">
        <v>258</v>
      </c>
      <c r="O374" s="16">
        <v>318</v>
      </c>
      <c r="P374" s="16">
        <v>448</v>
      </c>
      <c r="Q374" s="16">
        <v>269</v>
      </c>
      <c r="R374" s="16">
        <v>2</v>
      </c>
      <c r="S374" s="16">
        <v>24.132400000000001</v>
      </c>
      <c r="T374" s="16">
        <v>4.4566400000000002</v>
      </c>
      <c r="U374" s="16">
        <v>0.83312887800000002</v>
      </c>
      <c r="V374" s="16">
        <v>8</v>
      </c>
      <c r="W374" s="16">
        <v>0.90648600000000001</v>
      </c>
      <c r="X374" s="16">
        <v>0.19104499999999999</v>
      </c>
      <c r="Y374" s="16">
        <v>0.7</v>
      </c>
      <c r="Z374" s="16">
        <v>0.28290399999999999</v>
      </c>
      <c r="AA374" s="37"/>
    </row>
    <row r="375" spans="1:27">
      <c r="A375" s="16" t="s">
        <v>58</v>
      </c>
      <c r="B375" s="16" t="s">
        <v>1453</v>
      </c>
      <c r="C375" s="16" t="s">
        <v>1454</v>
      </c>
      <c r="D375" s="16" t="s">
        <v>1455</v>
      </c>
      <c r="E375" s="16" t="s">
        <v>1380</v>
      </c>
      <c r="F375" s="16" t="s">
        <v>1381</v>
      </c>
      <c r="G375" s="16" t="s">
        <v>655</v>
      </c>
      <c r="H375" s="16" t="s">
        <v>656</v>
      </c>
      <c r="I375" s="16" t="s">
        <v>198</v>
      </c>
      <c r="J375" s="16" t="s">
        <v>199</v>
      </c>
      <c r="K375" s="16">
        <v>2.8678840000000001</v>
      </c>
      <c r="L375" s="36">
        <v>1334</v>
      </c>
      <c r="M375" s="16">
        <v>261</v>
      </c>
      <c r="N375" s="16">
        <v>192</v>
      </c>
      <c r="O375" s="16">
        <v>316</v>
      </c>
      <c r="P375" s="16">
        <v>363</v>
      </c>
      <c r="Q375" s="16">
        <v>202</v>
      </c>
      <c r="R375" s="16">
        <v>2</v>
      </c>
      <c r="S375" s="16"/>
      <c r="T375" s="16"/>
      <c r="U375" s="16"/>
      <c r="V375" s="16">
        <v>1</v>
      </c>
      <c r="W375" s="16">
        <v>0.92859999999999998</v>
      </c>
      <c r="X375" s="16">
        <v>0.45876800000000001</v>
      </c>
      <c r="Y375" s="16">
        <v>0.7</v>
      </c>
      <c r="Z375" s="16">
        <v>0.78409200000000001</v>
      </c>
      <c r="AA375" s="37"/>
    </row>
    <row r="376" spans="1:27">
      <c r="A376" s="16" t="s">
        <v>58</v>
      </c>
      <c r="B376" s="16" t="s">
        <v>1456</v>
      </c>
      <c r="C376" s="16" t="s">
        <v>1457</v>
      </c>
      <c r="D376" s="16" t="s">
        <v>1458</v>
      </c>
      <c r="E376" s="16" t="s">
        <v>1439</v>
      </c>
      <c r="F376" s="16" t="s">
        <v>1440</v>
      </c>
      <c r="G376" s="16" t="s">
        <v>1429</v>
      </c>
      <c r="H376" s="16" t="s">
        <v>1430</v>
      </c>
      <c r="I376" s="16" t="s">
        <v>198</v>
      </c>
      <c r="J376" s="16" t="s">
        <v>199</v>
      </c>
      <c r="K376" s="16">
        <v>2.2944789999999999</v>
      </c>
      <c r="L376" s="36">
        <v>1574</v>
      </c>
      <c r="M376" s="16">
        <v>272</v>
      </c>
      <c r="N376" s="16">
        <v>207</v>
      </c>
      <c r="O376" s="16">
        <v>395</v>
      </c>
      <c r="P376" s="16">
        <v>381</v>
      </c>
      <c r="Q376" s="16">
        <v>319</v>
      </c>
      <c r="R376" s="16">
        <v>4</v>
      </c>
      <c r="S376" s="16">
        <v>21.0136</v>
      </c>
      <c r="T376" s="16">
        <v>8.1461199999999998</v>
      </c>
      <c r="U376" s="16">
        <v>0.81875346000000004</v>
      </c>
      <c r="V376" s="16">
        <v>7</v>
      </c>
      <c r="W376" s="16">
        <v>0.90817999999999999</v>
      </c>
      <c r="X376" s="16">
        <v>0.25925900000000002</v>
      </c>
      <c r="Y376" s="16">
        <v>0.7</v>
      </c>
      <c r="Z376" s="16">
        <v>0.41547899999999999</v>
      </c>
      <c r="AA376" s="37"/>
    </row>
    <row r="377" spans="1:27">
      <c r="A377" s="16"/>
      <c r="B377" s="16"/>
      <c r="C377" s="16"/>
      <c r="D377" s="16"/>
      <c r="E377" s="16"/>
      <c r="F377" s="16"/>
      <c r="G377" s="16"/>
      <c r="H377" s="16"/>
      <c r="I377" s="16"/>
      <c r="J377" s="16"/>
      <c r="K377" s="16">
        <f>MEDIAN(K358:K376)</f>
        <v>2.5191080000000001</v>
      </c>
      <c r="L377" s="36">
        <f t="shared" ref="L377:Q377" si="42">SUM(L358:L376)</f>
        <v>34768</v>
      </c>
      <c r="M377" s="36">
        <f t="shared" si="42"/>
        <v>6109</v>
      </c>
      <c r="N377" s="36">
        <f t="shared" si="42"/>
        <v>6737</v>
      </c>
      <c r="O377" s="36">
        <f t="shared" si="42"/>
        <v>10361</v>
      </c>
      <c r="P377" s="36">
        <f t="shared" si="42"/>
        <v>7549</v>
      </c>
      <c r="Q377" s="36">
        <f t="shared" si="42"/>
        <v>4012</v>
      </c>
      <c r="R377" s="16"/>
      <c r="S377" s="16"/>
      <c r="T377" s="16"/>
      <c r="U377" s="16"/>
      <c r="V377" s="16">
        <f>MEDIAN(V358:V376)</f>
        <v>5</v>
      </c>
      <c r="W377" s="16"/>
      <c r="X377" s="16"/>
      <c r="Y377" s="16"/>
      <c r="Z377" s="16"/>
      <c r="AA377" s="37"/>
    </row>
    <row r="378" spans="1:27">
      <c r="A378" s="16" t="s">
        <v>102</v>
      </c>
      <c r="B378" s="16" t="s">
        <v>1459</v>
      </c>
      <c r="C378" s="16" t="s">
        <v>1460</v>
      </c>
      <c r="D378" s="16" t="s">
        <v>1461</v>
      </c>
      <c r="E378" s="16" t="s">
        <v>237</v>
      </c>
      <c r="F378" s="16" t="s">
        <v>238</v>
      </c>
      <c r="G378" s="16" t="s">
        <v>196</v>
      </c>
      <c r="H378" s="16" t="s">
        <v>197</v>
      </c>
      <c r="I378" s="16" t="s">
        <v>198</v>
      </c>
      <c r="J378" s="16" t="s">
        <v>199</v>
      </c>
      <c r="K378" s="16">
        <v>2.463603</v>
      </c>
      <c r="L378" s="36">
        <v>2119</v>
      </c>
      <c r="M378" s="16">
        <v>668</v>
      </c>
      <c r="N378" s="16">
        <v>402</v>
      </c>
      <c r="O378" s="16">
        <v>495</v>
      </c>
      <c r="P378" s="16">
        <v>417</v>
      </c>
      <c r="Q378" s="16">
        <v>137</v>
      </c>
      <c r="R378" s="16">
        <v>4</v>
      </c>
      <c r="S378" s="16">
        <v>27.228400000000001</v>
      </c>
      <c r="T378" s="16">
        <v>2.0571700000000002</v>
      </c>
      <c r="U378" s="16">
        <v>1.3438244210000001</v>
      </c>
      <c r="V378" s="16">
        <v>1</v>
      </c>
      <c r="W378" s="16">
        <v>0.9</v>
      </c>
      <c r="X378" s="16">
        <v>0.201455</v>
      </c>
      <c r="Y378" s="16">
        <v>0.801369</v>
      </c>
      <c r="Z378" s="16">
        <v>0.55419700000000005</v>
      </c>
      <c r="AA378" s="37"/>
    </row>
    <row r="379" spans="1:27">
      <c r="A379" s="16" t="s">
        <v>102</v>
      </c>
      <c r="B379" s="16" t="s">
        <v>1462</v>
      </c>
      <c r="C379" s="16" t="s">
        <v>1463</v>
      </c>
      <c r="D379" s="16" t="s">
        <v>1464</v>
      </c>
      <c r="E379" s="16" t="s">
        <v>1465</v>
      </c>
      <c r="F379" s="16" t="s">
        <v>1466</v>
      </c>
      <c r="G379" s="16" t="s">
        <v>196</v>
      </c>
      <c r="H379" s="16" t="s">
        <v>197</v>
      </c>
      <c r="I379" s="16" t="s">
        <v>198</v>
      </c>
      <c r="J379" s="16" t="s">
        <v>199</v>
      </c>
      <c r="K379" s="16">
        <v>2.7381150000000001</v>
      </c>
      <c r="L379" s="36">
        <v>1644</v>
      </c>
      <c r="M379" s="16">
        <v>419</v>
      </c>
      <c r="N379" s="16">
        <v>308</v>
      </c>
      <c r="O379" s="16">
        <v>360</v>
      </c>
      <c r="P379" s="16">
        <v>398</v>
      </c>
      <c r="Q379" s="16">
        <v>159</v>
      </c>
      <c r="R379" s="16" t="s">
        <v>225</v>
      </c>
      <c r="S379" s="16">
        <v>9.40395</v>
      </c>
      <c r="T379" s="16">
        <v>0</v>
      </c>
      <c r="U379" s="16">
        <v>1.0561101909999999</v>
      </c>
      <c r="V379" s="16">
        <v>2</v>
      </c>
      <c r="W379" s="16">
        <v>0.872664</v>
      </c>
      <c r="X379" s="16">
        <v>0.26118200000000003</v>
      </c>
      <c r="Y379" s="16">
        <v>0.8</v>
      </c>
      <c r="Z379" s="16">
        <v>0.79897799999999997</v>
      </c>
      <c r="AA379" s="37"/>
    </row>
    <row r="380" spans="1:27">
      <c r="A380" s="16" t="s">
        <v>102</v>
      </c>
      <c r="B380" s="16" t="s">
        <v>1467</v>
      </c>
      <c r="C380" s="16" t="s">
        <v>1468</v>
      </c>
      <c r="D380" s="16" t="s">
        <v>1469</v>
      </c>
      <c r="E380" s="16" t="s">
        <v>1470</v>
      </c>
      <c r="F380" s="16" t="s">
        <v>1471</v>
      </c>
      <c r="G380" s="16" t="s">
        <v>196</v>
      </c>
      <c r="H380" s="16" t="s">
        <v>197</v>
      </c>
      <c r="I380" s="16" t="s">
        <v>198</v>
      </c>
      <c r="J380" s="16" t="s">
        <v>199</v>
      </c>
      <c r="K380" s="16">
        <v>2.6560609999999998</v>
      </c>
      <c r="L380" s="36">
        <v>2106</v>
      </c>
      <c r="M380" s="16">
        <v>486</v>
      </c>
      <c r="N380" s="16">
        <v>419</v>
      </c>
      <c r="O380" s="16">
        <v>495</v>
      </c>
      <c r="P380" s="16">
        <v>536</v>
      </c>
      <c r="Q380" s="16">
        <v>170</v>
      </c>
      <c r="R380" s="16">
        <v>3</v>
      </c>
      <c r="S380" s="16">
        <v>29.331299999999999</v>
      </c>
      <c r="T380" s="16">
        <v>3.7633999999999999</v>
      </c>
      <c r="U380" s="16">
        <v>1.053124333</v>
      </c>
      <c r="V380" s="16">
        <v>2</v>
      </c>
      <c r="W380" s="16">
        <v>0.91060600000000003</v>
      </c>
      <c r="X380" s="16">
        <v>0.29287299999999999</v>
      </c>
      <c r="Y380" s="16">
        <v>0.8</v>
      </c>
      <c r="Z380" s="16">
        <v>0.63720399999999999</v>
      </c>
      <c r="AA380" s="37"/>
    </row>
    <row r="381" spans="1:27">
      <c r="A381" s="16" t="s">
        <v>102</v>
      </c>
      <c r="B381" s="16" t="s">
        <v>1472</v>
      </c>
      <c r="C381" s="16" t="s">
        <v>1473</v>
      </c>
      <c r="D381" s="16" t="s">
        <v>1474</v>
      </c>
      <c r="E381" s="16" t="s">
        <v>1475</v>
      </c>
      <c r="F381" s="16" t="s">
        <v>1476</v>
      </c>
      <c r="G381" s="16" t="s">
        <v>196</v>
      </c>
      <c r="H381" s="16" t="s">
        <v>197</v>
      </c>
      <c r="I381" s="16" t="s">
        <v>198</v>
      </c>
      <c r="J381" s="16" t="s">
        <v>199</v>
      </c>
      <c r="K381" s="16">
        <v>2.6737950000000001</v>
      </c>
      <c r="L381" s="36">
        <v>1904</v>
      </c>
      <c r="M381" s="16">
        <v>477</v>
      </c>
      <c r="N381" s="16">
        <v>350</v>
      </c>
      <c r="O381" s="16">
        <v>486</v>
      </c>
      <c r="P381" s="16">
        <v>451</v>
      </c>
      <c r="Q381" s="16">
        <v>140</v>
      </c>
      <c r="R381" s="16">
        <v>3</v>
      </c>
      <c r="S381" s="16">
        <v>14.9946</v>
      </c>
      <c r="T381" s="16">
        <v>5.7056100000000001</v>
      </c>
      <c r="U381" s="16">
        <v>1.058228985</v>
      </c>
      <c r="V381" s="16">
        <v>2</v>
      </c>
      <c r="W381" s="16">
        <v>0.91069199999999995</v>
      </c>
      <c r="X381" s="16">
        <v>0.40168799999999999</v>
      </c>
      <c r="Y381" s="16">
        <v>0.8</v>
      </c>
      <c r="Z381" s="16">
        <v>0.54414200000000001</v>
      </c>
      <c r="AA381" s="37"/>
    </row>
    <row r="382" spans="1:27">
      <c r="A382" s="16" t="s">
        <v>102</v>
      </c>
      <c r="B382" s="16" t="s">
        <v>244</v>
      </c>
      <c r="C382" s="16" t="s">
        <v>245</v>
      </c>
      <c r="D382" s="16" t="s">
        <v>246</v>
      </c>
      <c r="E382" s="16" t="s">
        <v>242</v>
      </c>
      <c r="F382" s="16" t="s">
        <v>243</v>
      </c>
      <c r="G382" s="16" t="s">
        <v>196</v>
      </c>
      <c r="H382" s="16" t="s">
        <v>197</v>
      </c>
      <c r="I382" s="16" t="s">
        <v>198</v>
      </c>
      <c r="J382" s="16" t="s">
        <v>199</v>
      </c>
      <c r="K382" s="16">
        <v>2.3251119999999998</v>
      </c>
      <c r="L382" s="36">
        <v>1607</v>
      </c>
      <c r="M382" s="16">
        <v>324</v>
      </c>
      <c r="N382" s="16">
        <v>324</v>
      </c>
      <c r="O382" s="16">
        <v>320</v>
      </c>
      <c r="P382" s="16">
        <v>414</v>
      </c>
      <c r="Q382" s="16">
        <v>225</v>
      </c>
      <c r="R382" s="16">
        <v>2</v>
      </c>
      <c r="S382" s="16">
        <v>12.7486</v>
      </c>
      <c r="T382" s="16">
        <v>0</v>
      </c>
      <c r="U382" s="16">
        <v>0.95515237600000003</v>
      </c>
      <c r="V382" s="16">
        <v>4</v>
      </c>
      <c r="W382" s="16">
        <v>0.91494799999999998</v>
      </c>
      <c r="X382" s="16">
        <v>0.242814</v>
      </c>
      <c r="Y382" s="16">
        <v>0.80073700000000003</v>
      </c>
      <c r="Z382" s="16">
        <v>0.39299600000000001</v>
      </c>
      <c r="AA382" s="37"/>
    </row>
    <row r="383" spans="1:27">
      <c r="A383" s="16" t="s">
        <v>102</v>
      </c>
      <c r="B383" s="16" t="s">
        <v>1477</v>
      </c>
      <c r="C383" s="16" t="s">
        <v>1478</v>
      </c>
      <c r="D383" s="16" t="s">
        <v>1479</v>
      </c>
      <c r="E383" s="16" t="s">
        <v>1470</v>
      </c>
      <c r="F383" s="16" t="s">
        <v>1471</v>
      </c>
      <c r="G383" s="16" t="s">
        <v>196</v>
      </c>
      <c r="H383" s="16" t="s">
        <v>197</v>
      </c>
      <c r="I383" s="16" t="s">
        <v>198</v>
      </c>
      <c r="J383" s="16" t="s">
        <v>199</v>
      </c>
      <c r="K383" s="16">
        <v>2.692777</v>
      </c>
      <c r="L383" s="36">
        <v>1851</v>
      </c>
      <c r="M383" s="16">
        <v>506</v>
      </c>
      <c r="N383" s="16">
        <v>368</v>
      </c>
      <c r="O383" s="16">
        <v>446</v>
      </c>
      <c r="P383" s="16">
        <v>439</v>
      </c>
      <c r="Q383" s="16">
        <v>92</v>
      </c>
      <c r="R383" s="16">
        <v>4</v>
      </c>
      <c r="S383" s="16">
        <v>25.159199999999998</v>
      </c>
      <c r="T383" s="16">
        <v>12.6357</v>
      </c>
      <c r="U383" s="16">
        <v>1.052217036</v>
      </c>
      <c r="V383" s="16">
        <v>2</v>
      </c>
      <c r="W383" s="16">
        <v>0.91715599999999997</v>
      </c>
      <c r="X383" s="16">
        <v>0.28437499999999999</v>
      </c>
      <c r="Y383" s="16">
        <v>0.8</v>
      </c>
      <c r="Z383" s="16">
        <v>0.690971</v>
      </c>
      <c r="AA383" s="37"/>
    </row>
    <row r="384" spans="1:27">
      <c r="A384" s="16" t="s">
        <v>102</v>
      </c>
      <c r="B384" s="16" t="s">
        <v>1480</v>
      </c>
      <c r="C384" s="16" t="s">
        <v>1481</v>
      </c>
      <c r="D384" s="16" t="s">
        <v>1482</v>
      </c>
      <c r="E384" s="16" t="s">
        <v>1470</v>
      </c>
      <c r="F384" s="16" t="s">
        <v>1471</v>
      </c>
      <c r="G384" s="16" t="s">
        <v>196</v>
      </c>
      <c r="H384" s="16" t="s">
        <v>197</v>
      </c>
      <c r="I384" s="16" t="s">
        <v>198</v>
      </c>
      <c r="J384" s="16" t="s">
        <v>199</v>
      </c>
      <c r="K384" s="16">
        <v>2.816802</v>
      </c>
      <c r="L384" s="36">
        <v>2365</v>
      </c>
      <c r="M384" s="16">
        <v>650</v>
      </c>
      <c r="N384" s="16">
        <v>441</v>
      </c>
      <c r="O384" s="16">
        <v>525</v>
      </c>
      <c r="P384" s="16">
        <v>543</v>
      </c>
      <c r="Q384" s="16">
        <v>206</v>
      </c>
      <c r="R384" s="16" t="s">
        <v>225</v>
      </c>
      <c r="S384" s="16">
        <v>21.219200000000001</v>
      </c>
      <c r="T384" s="16">
        <v>0</v>
      </c>
      <c r="U384" s="16">
        <v>0.99152910699999997</v>
      </c>
      <c r="V384" s="16">
        <v>2</v>
      </c>
      <c r="W384" s="16">
        <v>0.90060899999999999</v>
      </c>
      <c r="X384" s="16">
        <v>0.32389899999999999</v>
      </c>
      <c r="Y384" s="16">
        <v>0.8</v>
      </c>
      <c r="Z384" s="16">
        <v>0.79991900000000005</v>
      </c>
      <c r="AA384" s="37"/>
    </row>
    <row r="385" spans="1:27">
      <c r="A385" s="16" t="s">
        <v>102</v>
      </c>
      <c r="B385" s="16" t="s">
        <v>1483</v>
      </c>
      <c r="C385" s="16" t="s">
        <v>1484</v>
      </c>
      <c r="D385" s="16" t="s">
        <v>1485</v>
      </c>
      <c r="E385" s="16" t="s">
        <v>606</v>
      </c>
      <c r="F385" s="16" t="s">
        <v>607</v>
      </c>
      <c r="G385" s="16" t="s">
        <v>196</v>
      </c>
      <c r="H385" s="16" t="s">
        <v>197</v>
      </c>
      <c r="I385" s="16" t="s">
        <v>198</v>
      </c>
      <c r="J385" s="16" t="s">
        <v>199</v>
      </c>
      <c r="K385" s="16">
        <v>2.488699</v>
      </c>
      <c r="L385" s="36">
        <v>1707</v>
      </c>
      <c r="M385" s="16">
        <v>350</v>
      </c>
      <c r="N385" s="16">
        <v>379</v>
      </c>
      <c r="O385" s="16">
        <v>339</v>
      </c>
      <c r="P385" s="16">
        <v>406</v>
      </c>
      <c r="Q385" s="16">
        <v>233</v>
      </c>
      <c r="R385" s="16">
        <v>2</v>
      </c>
      <c r="S385" s="16">
        <v>15.6366</v>
      </c>
      <c r="T385" s="16">
        <v>0</v>
      </c>
      <c r="U385" s="16">
        <v>0.988152115</v>
      </c>
      <c r="V385" s="16">
        <v>2</v>
      </c>
      <c r="W385" s="16">
        <v>0.910381</v>
      </c>
      <c r="X385" s="16">
        <v>0.30651</v>
      </c>
      <c r="Y385" s="16">
        <v>0.8</v>
      </c>
      <c r="Z385" s="16">
        <v>0.48517100000000002</v>
      </c>
      <c r="AA385" s="37"/>
    </row>
    <row r="386" spans="1:27">
      <c r="A386" s="16" t="s">
        <v>102</v>
      </c>
      <c r="B386" s="16" t="s">
        <v>1486</v>
      </c>
      <c r="C386" s="16" t="s">
        <v>1487</v>
      </c>
      <c r="D386" s="16" t="s">
        <v>1488</v>
      </c>
      <c r="E386" s="16" t="s">
        <v>1475</v>
      </c>
      <c r="F386" s="16" t="s">
        <v>1476</v>
      </c>
      <c r="G386" s="16" t="s">
        <v>196</v>
      </c>
      <c r="H386" s="16" t="s">
        <v>197</v>
      </c>
      <c r="I386" s="16" t="s">
        <v>198</v>
      </c>
      <c r="J386" s="16" t="s">
        <v>199</v>
      </c>
      <c r="K386" s="16">
        <v>2.4927860000000002</v>
      </c>
      <c r="L386" s="36">
        <v>2319</v>
      </c>
      <c r="M386" s="16">
        <v>587</v>
      </c>
      <c r="N386" s="16">
        <v>452</v>
      </c>
      <c r="O386" s="16">
        <v>597</v>
      </c>
      <c r="P386" s="16">
        <v>505</v>
      </c>
      <c r="Q386" s="16">
        <v>178</v>
      </c>
      <c r="R386" s="16">
        <v>2</v>
      </c>
      <c r="S386" s="16">
        <v>10.140599999999999</v>
      </c>
      <c r="T386" s="16">
        <v>2.4158200000000001</v>
      </c>
      <c r="U386" s="16">
        <v>1.198310397</v>
      </c>
      <c r="V386" s="16">
        <v>1</v>
      </c>
      <c r="W386" s="16">
        <v>0.910945</v>
      </c>
      <c r="X386" s="16">
        <v>0.28472900000000001</v>
      </c>
      <c r="Y386" s="16">
        <v>0.8</v>
      </c>
      <c r="Z386" s="16">
        <v>0.51280800000000004</v>
      </c>
      <c r="AA386" s="37"/>
    </row>
    <row r="387" spans="1:27">
      <c r="A387" s="16" t="s">
        <v>102</v>
      </c>
      <c r="B387" s="16" t="s">
        <v>1489</v>
      </c>
      <c r="C387" s="16" t="s">
        <v>1490</v>
      </c>
      <c r="D387" s="16" t="s">
        <v>1491</v>
      </c>
      <c r="E387" s="16" t="s">
        <v>1492</v>
      </c>
      <c r="F387" s="16" t="s">
        <v>1493</v>
      </c>
      <c r="G387" s="16" t="s">
        <v>1429</v>
      </c>
      <c r="H387" s="16" t="s">
        <v>1430</v>
      </c>
      <c r="I387" s="16" t="s">
        <v>198</v>
      </c>
      <c r="J387" s="16" t="s">
        <v>199</v>
      </c>
      <c r="K387" s="16">
        <v>2.1248130000000001</v>
      </c>
      <c r="L387" s="36">
        <v>1677</v>
      </c>
      <c r="M387" s="16">
        <v>316</v>
      </c>
      <c r="N387" s="16">
        <v>257</v>
      </c>
      <c r="O387" s="16">
        <v>420</v>
      </c>
      <c r="P387" s="16">
        <v>469</v>
      </c>
      <c r="Q387" s="16">
        <v>215</v>
      </c>
      <c r="R387" s="16" t="s">
        <v>225</v>
      </c>
      <c r="S387" s="16">
        <v>6.35</v>
      </c>
      <c r="T387" s="16">
        <v>3.06846</v>
      </c>
      <c r="U387" s="16">
        <v>0.75914362099999999</v>
      </c>
      <c r="V387" s="16">
        <v>9</v>
      </c>
      <c r="W387" s="16">
        <v>0.89813399999999999</v>
      </c>
      <c r="X387" s="16">
        <v>0.207955</v>
      </c>
      <c r="Y387" s="16">
        <v>0.7</v>
      </c>
      <c r="Z387" s="16">
        <v>0.32155</v>
      </c>
      <c r="AA387" s="37"/>
    </row>
    <row r="388" spans="1:27">
      <c r="A388" s="16" t="s">
        <v>102</v>
      </c>
      <c r="B388" s="16" t="s">
        <v>1494</v>
      </c>
      <c r="C388" s="16" t="s">
        <v>1495</v>
      </c>
      <c r="D388" s="16" t="s">
        <v>1496</v>
      </c>
      <c r="E388" s="16" t="s">
        <v>1492</v>
      </c>
      <c r="F388" s="16" t="s">
        <v>1493</v>
      </c>
      <c r="G388" s="16" t="s">
        <v>1429</v>
      </c>
      <c r="H388" s="16" t="s">
        <v>1430</v>
      </c>
      <c r="I388" s="16" t="s">
        <v>198</v>
      </c>
      <c r="J388" s="16" t="s">
        <v>199</v>
      </c>
      <c r="K388" s="16">
        <v>2.4437139999999999</v>
      </c>
      <c r="L388" s="36">
        <v>1756</v>
      </c>
      <c r="M388" s="16">
        <v>373</v>
      </c>
      <c r="N388" s="16">
        <v>281</v>
      </c>
      <c r="O388" s="16">
        <v>532</v>
      </c>
      <c r="P388" s="16">
        <v>323</v>
      </c>
      <c r="Q388" s="16">
        <v>247</v>
      </c>
      <c r="R388" s="16">
        <v>2</v>
      </c>
      <c r="S388" s="16">
        <v>15.762499999999999</v>
      </c>
      <c r="T388" s="16">
        <v>0</v>
      </c>
      <c r="U388" s="16">
        <v>0.80017341900000005</v>
      </c>
      <c r="V388" s="16">
        <v>6</v>
      </c>
      <c r="W388" s="16">
        <v>0.90831700000000004</v>
      </c>
      <c r="X388" s="16">
        <v>0.40919499999999998</v>
      </c>
      <c r="Y388" s="16">
        <v>0.7</v>
      </c>
      <c r="Z388" s="16">
        <v>0.41070699999999999</v>
      </c>
      <c r="AA388" s="37"/>
    </row>
    <row r="389" spans="1:27">
      <c r="A389" s="16" t="s">
        <v>102</v>
      </c>
      <c r="B389" s="16" t="s">
        <v>1497</v>
      </c>
      <c r="C389" s="16" t="s">
        <v>1498</v>
      </c>
      <c r="D389" s="16" t="s">
        <v>1499</v>
      </c>
      <c r="E389" s="16" t="s">
        <v>1492</v>
      </c>
      <c r="F389" s="16" t="s">
        <v>1493</v>
      </c>
      <c r="G389" s="16" t="s">
        <v>1429</v>
      </c>
      <c r="H389" s="16" t="s">
        <v>1430</v>
      </c>
      <c r="I389" s="16" t="s">
        <v>198</v>
      </c>
      <c r="J389" s="16" t="s">
        <v>199</v>
      </c>
      <c r="K389" s="16">
        <v>2.4520430000000002</v>
      </c>
      <c r="L389" s="36">
        <v>1919</v>
      </c>
      <c r="M389" s="16">
        <v>306</v>
      </c>
      <c r="N389" s="16">
        <v>367</v>
      </c>
      <c r="O389" s="16">
        <v>538</v>
      </c>
      <c r="P389" s="16">
        <v>472</v>
      </c>
      <c r="Q389" s="16">
        <v>236</v>
      </c>
      <c r="R389" s="16">
        <v>2</v>
      </c>
      <c r="S389" s="16">
        <v>16.027899999999999</v>
      </c>
      <c r="T389" s="16">
        <v>0</v>
      </c>
      <c r="U389" s="16">
        <v>0.65159812900000003</v>
      </c>
      <c r="V389" s="16">
        <v>8</v>
      </c>
      <c r="W389" s="16">
        <v>0.92131399999999997</v>
      </c>
      <c r="X389" s="16">
        <v>0.42998199999999998</v>
      </c>
      <c r="Y389" s="16">
        <v>0.7</v>
      </c>
      <c r="Z389" s="16">
        <v>0.41469</v>
      </c>
      <c r="AA389" s="37"/>
    </row>
    <row r="390" spans="1:27">
      <c r="A390" s="16" t="s">
        <v>102</v>
      </c>
      <c r="B390" s="16" t="s">
        <v>1500</v>
      </c>
      <c r="C390" s="16" t="s">
        <v>1501</v>
      </c>
      <c r="D390" s="16" t="s">
        <v>1502</v>
      </c>
      <c r="E390" s="16" t="s">
        <v>1492</v>
      </c>
      <c r="F390" s="16" t="s">
        <v>1493</v>
      </c>
      <c r="G390" s="16" t="s">
        <v>1429</v>
      </c>
      <c r="H390" s="16" t="s">
        <v>1430</v>
      </c>
      <c r="I390" s="16" t="s">
        <v>198</v>
      </c>
      <c r="J390" s="16" t="s">
        <v>199</v>
      </c>
      <c r="K390" s="16">
        <v>2.406971</v>
      </c>
      <c r="L390" s="36">
        <v>2633</v>
      </c>
      <c r="M390" s="16">
        <v>516</v>
      </c>
      <c r="N390" s="16">
        <v>504</v>
      </c>
      <c r="O390" s="16">
        <v>873</v>
      </c>
      <c r="P390" s="16">
        <v>514</v>
      </c>
      <c r="Q390" s="16">
        <v>226</v>
      </c>
      <c r="R390" s="16">
        <v>3</v>
      </c>
      <c r="S390" s="16">
        <v>17.468</v>
      </c>
      <c r="T390" s="16">
        <v>0</v>
      </c>
      <c r="U390" s="16">
        <v>0.64665408800000002</v>
      </c>
      <c r="V390" s="16">
        <v>8</v>
      </c>
      <c r="W390" s="16">
        <v>0.91039300000000001</v>
      </c>
      <c r="X390" s="16">
        <v>0.34642899999999999</v>
      </c>
      <c r="Y390" s="16">
        <v>0.7</v>
      </c>
      <c r="Z390" s="16">
        <v>0.45571099999999998</v>
      </c>
      <c r="AA390" s="37"/>
    </row>
    <row r="391" spans="1:27">
      <c r="A391" s="16" t="s">
        <v>102</v>
      </c>
      <c r="B391" s="16" t="s">
        <v>1503</v>
      </c>
      <c r="C391" s="16" t="s">
        <v>1504</v>
      </c>
      <c r="D391" s="16" t="s">
        <v>1505</v>
      </c>
      <c r="E391" s="16" t="s">
        <v>1506</v>
      </c>
      <c r="F391" s="16" t="s">
        <v>1507</v>
      </c>
      <c r="G391" s="16" t="s">
        <v>1429</v>
      </c>
      <c r="H391" s="16" t="s">
        <v>1430</v>
      </c>
      <c r="I391" s="16" t="s">
        <v>198</v>
      </c>
      <c r="J391" s="16" t="s">
        <v>199</v>
      </c>
      <c r="K391" s="16">
        <v>2.5128529999999998</v>
      </c>
      <c r="L391" s="36">
        <v>1729</v>
      </c>
      <c r="M391" s="16">
        <v>335</v>
      </c>
      <c r="N391" s="16">
        <v>271</v>
      </c>
      <c r="O391" s="16">
        <v>394</v>
      </c>
      <c r="P391" s="16">
        <v>504</v>
      </c>
      <c r="Q391" s="16">
        <v>225</v>
      </c>
      <c r="R391" s="16" t="s">
        <v>225</v>
      </c>
      <c r="S391" s="16">
        <v>7.1638000000000002</v>
      </c>
      <c r="T391" s="16">
        <v>0</v>
      </c>
      <c r="U391" s="16">
        <v>0.67741024400000005</v>
      </c>
      <c r="V391" s="16">
        <v>7</v>
      </c>
      <c r="W391" s="16">
        <v>0.88855899999999999</v>
      </c>
      <c r="X391" s="16">
        <v>0.44704199999999999</v>
      </c>
      <c r="Y391" s="16">
        <v>0.7</v>
      </c>
      <c r="Z391" s="16">
        <v>0.47067999999999999</v>
      </c>
      <c r="AA391" s="37"/>
    </row>
    <row r="392" spans="1:27">
      <c r="A392" s="16" t="s">
        <v>102</v>
      </c>
      <c r="B392" s="16" t="s">
        <v>1508</v>
      </c>
      <c r="C392" s="16" t="s">
        <v>1509</v>
      </c>
      <c r="D392" s="16" t="s">
        <v>1510</v>
      </c>
      <c r="E392" s="16" t="s">
        <v>1506</v>
      </c>
      <c r="F392" s="16" t="s">
        <v>1507</v>
      </c>
      <c r="G392" s="16" t="s">
        <v>1429</v>
      </c>
      <c r="H392" s="16" t="s">
        <v>1430</v>
      </c>
      <c r="I392" s="16" t="s">
        <v>198</v>
      </c>
      <c r="J392" s="16" t="s">
        <v>199</v>
      </c>
      <c r="K392" s="16">
        <v>2.5658020000000001</v>
      </c>
      <c r="L392" s="36">
        <v>1957</v>
      </c>
      <c r="M392" s="16">
        <v>396</v>
      </c>
      <c r="N392" s="16">
        <v>420</v>
      </c>
      <c r="O392" s="16">
        <v>520</v>
      </c>
      <c r="P392" s="16">
        <v>440</v>
      </c>
      <c r="Q392" s="16">
        <v>181</v>
      </c>
      <c r="R392" s="16">
        <v>2</v>
      </c>
      <c r="S392" s="16">
        <v>15.539</v>
      </c>
      <c r="T392" s="16">
        <v>0</v>
      </c>
      <c r="U392" s="16">
        <v>0.54404835299999998</v>
      </c>
      <c r="V392" s="16">
        <v>9</v>
      </c>
      <c r="W392" s="16">
        <v>0.91755699999999996</v>
      </c>
      <c r="X392" s="16">
        <v>0.47488599999999997</v>
      </c>
      <c r="Y392" s="16">
        <v>0.7</v>
      </c>
      <c r="Z392" s="16">
        <v>0.47450399999999998</v>
      </c>
      <c r="AA392" s="37"/>
    </row>
    <row r="393" spans="1:27">
      <c r="A393" s="16" t="s">
        <v>102</v>
      </c>
      <c r="B393" s="16" t="s">
        <v>1511</v>
      </c>
      <c r="C393" s="16" t="s">
        <v>1512</v>
      </c>
      <c r="D393" s="16" t="s">
        <v>1513</v>
      </c>
      <c r="E393" s="16" t="s">
        <v>1514</v>
      </c>
      <c r="F393" s="16" t="s">
        <v>1515</v>
      </c>
      <c r="G393" s="16" t="s">
        <v>1387</v>
      </c>
      <c r="H393" s="16" t="s">
        <v>1388</v>
      </c>
      <c r="I393" s="16" t="s">
        <v>198</v>
      </c>
      <c r="J393" s="16" t="s">
        <v>199</v>
      </c>
      <c r="K393" s="16">
        <v>2.338041</v>
      </c>
      <c r="L393" s="36">
        <v>1876</v>
      </c>
      <c r="M393" s="16">
        <v>399</v>
      </c>
      <c r="N393" s="16">
        <v>298</v>
      </c>
      <c r="O393" s="16">
        <v>441</v>
      </c>
      <c r="P393" s="16">
        <v>497</v>
      </c>
      <c r="Q393" s="16">
        <v>241</v>
      </c>
      <c r="R393" s="16">
        <v>2</v>
      </c>
      <c r="S393" s="16">
        <v>9.7033199999999997</v>
      </c>
      <c r="T393" s="16">
        <v>3.33311</v>
      </c>
      <c r="U393" s="16">
        <v>0.80329769100000004</v>
      </c>
      <c r="V393" s="16">
        <v>6</v>
      </c>
      <c r="W393" s="16">
        <v>0.900891</v>
      </c>
      <c r="X393" s="16">
        <v>0.181371</v>
      </c>
      <c r="Y393" s="16">
        <v>0.8</v>
      </c>
      <c r="Z393" s="16">
        <v>0.43908000000000003</v>
      </c>
      <c r="AA393" s="37"/>
    </row>
    <row r="394" spans="1:27">
      <c r="A394" s="16" t="s">
        <v>102</v>
      </c>
      <c r="B394" s="16" t="s">
        <v>1516</v>
      </c>
      <c r="C394" s="16" t="s">
        <v>1517</v>
      </c>
      <c r="D394" s="16" t="s">
        <v>1518</v>
      </c>
      <c r="E394" s="16" t="s">
        <v>1514</v>
      </c>
      <c r="F394" s="16" t="s">
        <v>1515</v>
      </c>
      <c r="G394" s="16" t="s">
        <v>1387</v>
      </c>
      <c r="H394" s="16" t="s">
        <v>1388</v>
      </c>
      <c r="I394" s="16" t="s">
        <v>198</v>
      </c>
      <c r="J394" s="16" t="s">
        <v>199</v>
      </c>
      <c r="K394" s="16">
        <v>2.4888469999999998</v>
      </c>
      <c r="L394" s="36">
        <v>1912</v>
      </c>
      <c r="M394" s="16">
        <v>516</v>
      </c>
      <c r="N394" s="16">
        <v>307</v>
      </c>
      <c r="O394" s="16">
        <v>454</v>
      </c>
      <c r="P394" s="16">
        <v>460</v>
      </c>
      <c r="Q394" s="16">
        <v>175</v>
      </c>
      <c r="R394" s="16">
        <v>2</v>
      </c>
      <c r="S394" s="16">
        <v>12.744199999999999</v>
      </c>
      <c r="T394" s="16">
        <v>0</v>
      </c>
      <c r="U394" s="16">
        <v>0.95195714300000001</v>
      </c>
      <c r="V394" s="16">
        <v>3</v>
      </c>
      <c r="W394" s="16">
        <v>0.91398900000000005</v>
      </c>
      <c r="X394" s="16">
        <v>0.27181899999999998</v>
      </c>
      <c r="Y394" s="16">
        <v>0.8</v>
      </c>
      <c r="Z394" s="16">
        <v>0.50274099999999999</v>
      </c>
      <c r="AA394" s="37"/>
    </row>
    <row r="395" spans="1:27">
      <c r="A395" s="16" t="s">
        <v>102</v>
      </c>
      <c r="B395" s="16" t="s">
        <v>1519</v>
      </c>
      <c r="C395" s="16" t="s">
        <v>1520</v>
      </c>
      <c r="D395" s="16" t="s">
        <v>1521</v>
      </c>
      <c r="E395" s="16" t="s">
        <v>1522</v>
      </c>
      <c r="F395" s="16" t="s">
        <v>1523</v>
      </c>
      <c r="G395" s="16" t="s">
        <v>1387</v>
      </c>
      <c r="H395" s="16" t="s">
        <v>1388</v>
      </c>
      <c r="I395" s="16" t="s">
        <v>198</v>
      </c>
      <c r="J395" s="16" t="s">
        <v>199</v>
      </c>
      <c r="K395" s="16">
        <v>2.2439640000000001</v>
      </c>
      <c r="L395" s="36">
        <v>1933</v>
      </c>
      <c r="M395" s="16">
        <v>471</v>
      </c>
      <c r="N395" s="16">
        <v>312</v>
      </c>
      <c r="O395" s="16">
        <v>491</v>
      </c>
      <c r="P395" s="16">
        <v>485</v>
      </c>
      <c r="Q395" s="16">
        <v>174</v>
      </c>
      <c r="R395" s="16">
        <v>2</v>
      </c>
      <c r="S395" s="16">
        <v>8.5909999999999993</v>
      </c>
      <c r="T395" s="16">
        <v>3.76817</v>
      </c>
      <c r="U395" s="16">
        <v>0.98097865500000003</v>
      </c>
      <c r="V395" s="16">
        <v>5</v>
      </c>
      <c r="W395" s="16">
        <v>0.90751700000000002</v>
      </c>
      <c r="X395" s="16">
        <v>0.14072399999999999</v>
      </c>
      <c r="Y395" s="16">
        <v>0.779358</v>
      </c>
      <c r="Z395" s="16">
        <v>0.43302499999999999</v>
      </c>
      <c r="AA395" s="37"/>
    </row>
    <row r="396" spans="1:27">
      <c r="A396" s="16" t="s">
        <v>102</v>
      </c>
      <c r="B396" s="16" t="s">
        <v>1524</v>
      </c>
      <c r="C396" s="16" t="s">
        <v>1525</v>
      </c>
      <c r="D396" s="16" t="s">
        <v>1526</v>
      </c>
      <c r="E396" s="16" t="s">
        <v>1522</v>
      </c>
      <c r="F396" s="16" t="s">
        <v>1523</v>
      </c>
      <c r="G396" s="16" t="s">
        <v>1387</v>
      </c>
      <c r="H396" s="16" t="s">
        <v>1388</v>
      </c>
      <c r="I396" s="16" t="s">
        <v>198</v>
      </c>
      <c r="J396" s="16" t="s">
        <v>199</v>
      </c>
      <c r="K396" s="16">
        <v>2.317005</v>
      </c>
      <c r="L396" s="36">
        <v>1841</v>
      </c>
      <c r="M396" s="16">
        <v>431</v>
      </c>
      <c r="N396" s="16">
        <v>270</v>
      </c>
      <c r="O396" s="16">
        <v>423</v>
      </c>
      <c r="P396" s="16">
        <v>490</v>
      </c>
      <c r="Q396" s="16">
        <v>227</v>
      </c>
      <c r="R396" s="16" t="s">
        <v>225</v>
      </c>
      <c r="S396" s="16">
        <v>5.8510099999999996</v>
      </c>
      <c r="T396" s="16">
        <v>0</v>
      </c>
      <c r="U396" s="16">
        <v>0.85837263799999997</v>
      </c>
      <c r="V396" s="16">
        <v>5</v>
      </c>
      <c r="W396" s="16">
        <v>0.88060400000000005</v>
      </c>
      <c r="X396" s="16">
        <v>0.35324299999999997</v>
      </c>
      <c r="Y396" s="16">
        <v>0.74779499999999999</v>
      </c>
      <c r="Z396" s="16">
        <v>0.32988699999999999</v>
      </c>
      <c r="AA396" s="37"/>
    </row>
    <row r="397" spans="1:27">
      <c r="A397" s="16" t="s">
        <v>102</v>
      </c>
      <c r="B397" s="16" t="s">
        <v>1527</v>
      </c>
      <c r="C397" s="16" t="s">
        <v>1528</v>
      </c>
      <c r="D397" s="16" t="s">
        <v>1529</v>
      </c>
      <c r="E397" s="16" t="s">
        <v>1530</v>
      </c>
      <c r="F397" s="16" t="s">
        <v>1531</v>
      </c>
      <c r="G397" s="16" t="s">
        <v>1387</v>
      </c>
      <c r="H397" s="16" t="s">
        <v>1388</v>
      </c>
      <c r="I397" s="16" t="s">
        <v>198</v>
      </c>
      <c r="J397" s="16" t="s">
        <v>199</v>
      </c>
      <c r="K397" s="16">
        <v>2.2369599999999998</v>
      </c>
      <c r="L397" s="36">
        <v>2047</v>
      </c>
      <c r="M397" s="16">
        <v>485</v>
      </c>
      <c r="N397" s="16">
        <v>313</v>
      </c>
      <c r="O397" s="16">
        <v>464</v>
      </c>
      <c r="P397" s="16">
        <v>554</v>
      </c>
      <c r="Q397" s="16">
        <v>231</v>
      </c>
      <c r="R397" s="16">
        <v>2</v>
      </c>
      <c r="S397" s="16">
        <v>12.0807</v>
      </c>
      <c r="T397" s="16">
        <v>5.2800700000000003</v>
      </c>
      <c r="U397" s="16">
        <v>0.84713777999999995</v>
      </c>
      <c r="V397" s="16">
        <v>6</v>
      </c>
      <c r="W397" s="16">
        <v>0.89232900000000004</v>
      </c>
      <c r="X397" s="16">
        <v>0.145429</v>
      </c>
      <c r="Y397" s="16">
        <v>0.8</v>
      </c>
      <c r="Z397" s="16">
        <v>0.408333</v>
      </c>
      <c r="AA397" s="37"/>
    </row>
    <row r="398" spans="1:27">
      <c r="A398" s="16" t="s">
        <v>102</v>
      </c>
      <c r="B398" s="16" t="s">
        <v>1532</v>
      </c>
      <c r="C398" s="16" t="s">
        <v>1533</v>
      </c>
      <c r="D398" s="16" t="s">
        <v>1534</v>
      </c>
      <c r="E398" s="16" t="s">
        <v>1530</v>
      </c>
      <c r="F398" s="16" t="s">
        <v>1531</v>
      </c>
      <c r="G398" s="16" t="s">
        <v>1387</v>
      </c>
      <c r="H398" s="16" t="s">
        <v>1388</v>
      </c>
      <c r="I398" s="16" t="s">
        <v>198</v>
      </c>
      <c r="J398" s="16" t="s">
        <v>199</v>
      </c>
      <c r="K398" s="16">
        <v>2.204863</v>
      </c>
      <c r="L398" s="36">
        <v>1677</v>
      </c>
      <c r="M398" s="16">
        <v>369</v>
      </c>
      <c r="N398" s="16">
        <v>257</v>
      </c>
      <c r="O398" s="16">
        <v>365</v>
      </c>
      <c r="P398" s="16">
        <v>444</v>
      </c>
      <c r="Q398" s="16">
        <v>242</v>
      </c>
      <c r="R398" s="16">
        <v>2</v>
      </c>
      <c r="S398" s="16">
        <v>8.6602800000000002</v>
      </c>
      <c r="T398" s="16">
        <v>2.0047299999999999</v>
      </c>
      <c r="U398" s="16">
        <v>0.865687121</v>
      </c>
      <c r="V398" s="16">
        <v>6</v>
      </c>
      <c r="W398" s="16">
        <v>0.89635299999999996</v>
      </c>
      <c r="X398" s="16">
        <v>0.150534</v>
      </c>
      <c r="Y398" s="16">
        <v>0.8</v>
      </c>
      <c r="Z398" s="16">
        <v>0.35206700000000002</v>
      </c>
      <c r="AA398" s="37"/>
    </row>
    <row r="399" spans="1:27">
      <c r="A399" s="16" t="s">
        <v>102</v>
      </c>
      <c r="B399" s="16" t="s">
        <v>1535</v>
      </c>
      <c r="C399" s="16" t="s">
        <v>1536</v>
      </c>
      <c r="D399" s="16" t="s">
        <v>1537</v>
      </c>
      <c r="E399" s="16" t="s">
        <v>1538</v>
      </c>
      <c r="F399" s="16" t="s">
        <v>1539</v>
      </c>
      <c r="G399" s="16" t="s">
        <v>1387</v>
      </c>
      <c r="H399" s="16" t="s">
        <v>1388</v>
      </c>
      <c r="I399" s="16" t="s">
        <v>198</v>
      </c>
      <c r="J399" s="16" t="s">
        <v>199</v>
      </c>
      <c r="K399" s="16">
        <v>2.3520020000000001</v>
      </c>
      <c r="L399" s="36">
        <v>1805</v>
      </c>
      <c r="M399" s="16">
        <v>501</v>
      </c>
      <c r="N399" s="16">
        <v>352</v>
      </c>
      <c r="O399" s="16">
        <v>368</v>
      </c>
      <c r="P399" s="16">
        <v>422</v>
      </c>
      <c r="Q399" s="16">
        <v>162</v>
      </c>
      <c r="R399" s="16" t="s">
        <v>225</v>
      </c>
      <c r="S399" s="16">
        <v>7.3880100000000004</v>
      </c>
      <c r="T399" s="16">
        <v>0</v>
      </c>
      <c r="U399" s="16">
        <v>1.374956587</v>
      </c>
      <c r="V399" s="16">
        <v>1</v>
      </c>
      <c r="W399" s="16">
        <v>0.86773400000000001</v>
      </c>
      <c r="X399" s="16">
        <v>0.225968</v>
      </c>
      <c r="Y399" s="16">
        <v>0.8</v>
      </c>
      <c r="Z399" s="16">
        <v>0.45907399999999998</v>
      </c>
      <c r="AA399" s="37"/>
    </row>
    <row r="400" spans="1:27">
      <c r="A400" s="16" t="s">
        <v>102</v>
      </c>
      <c r="B400" s="16" t="s">
        <v>1540</v>
      </c>
      <c r="C400" s="16" t="s">
        <v>1541</v>
      </c>
      <c r="D400" s="16" t="s">
        <v>1542</v>
      </c>
      <c r="E400" s="16" t="s">
        <v>1538</v>
      </c>
      <c r="F400" s="16" t="s">
        <v>1539</v>
      </c>
      <c r="G400" s="16" t="s">
        <v>1387</v>
      </c>
      <c r="H400" s="16" t="s">
        <v>1388</v>
      </c>
      <c r="I400" s="16" t="s">
        <v>198</v>
      </c>
      <c r="J400" s="16" t="s">
        <v>199</v>
      </c>
      <c r="K400" s="16">
        <v>2.3834710000000001</v>
      </c>
      <c r="L400" s="36">
        <v>2394</v>
      </c>
      <c r="M400" s="16">
        <v>670</v>
      </c>
      <c r="N400" s="16">
        <v>392</v>
      </c>
      <c r="O400" s="16">
        <v>674</v>
      </c>
      <c r="P400" s="16">
        <v>513</v>
      </c>
      <c r="Q400" s="16">
        <v>145</v>
      </c>
      <c r="R400" s="16">
        <v>2</v>
      </c>
      <c r="S400" s="16">
        <v>12.1584</v>
      </c>
      <c r="T400" s="16">
        <v>0</v>
      </c>
      <c r="U400" s="16">
        <v>1.038347854</v>
      </c>
      <c r="V400" s="16">
        <v>3</v>
      </c>
      <c r="W400" s="16">
        <v>0.91083599999999998</v>
      </c>
      <c r="X400" s="16">
        <v>0.20533100000000001</v>
      </c>
      <c r="Y400" s="16">
        <v>0.79798500000000006</v>
      </c>
      <c r="Z400" s="16">
        <v>0.47106199999999998</v>
      </c>
      <c r="AA400" s="37"/>
    </row>
    <row r="401" spans="1:27">
      <c r="A401" s="16" t="s">
        <v>102</v>
      </c>
      <c r="B401" s="16" t="s">
        <v>1543</v>
      </c>
      <c r="C401" s="16" t="s">
        <v>1544</v>
      </c>
      <c r="D401" s="16" t="s">
        <v>1545</v>
      </c>
      <c r="E401" s="16" t="s">
        <v>1546</v>
      </c>
      <c r="F401" s="16" t="s">
        <v>1547</v>
      </c>
      <c r="G401" s="16" t="s">
        <v>1387</v>
      </c>
      <c r="H401" s="16" t="s">
        <v>1388</v>
      </c>
      <c r="I401" s="16" t="s">
        <v>198</v>
      </c>
      <c r="J401" s="16" t="s">
        <v>199</v>
      </c>
      <c r="K401" s="16">
        <v>2.478685</v>
      </c>
      <c r="L401" s="36">
        <v>1760</v>
      </c>
      <c r="M401" s="16">
        <v>413</v>
      </c>
      <c r="N401" s="16">
        <v>312</v>
      </c>
      <c r="O401" s="16">
        <v>402</v>
      </c>
      <c r="P401" s="16">
        <v>417</v>
      </c>
      <c r="Q401" s="16">
        <v>216</v>
      </c>
      <c r="R401" s="16" t="s">
        <v>225</v>
      </c>
      <c r="S401" s="16">
        <v>7.8735400000000002</v>
      </c>
      <c r="T401" s="16">
        <v>0</v>
      </c>
      <c r="U401" s="16">
        <v>0.94007065700000003</v>
      </c>
      <c r="V401" s="16">
        <v>4</v>
      </c>
      <c r="W401" s="16">
        <v>0.88886500000000002</v>
      </c>
      <c r="X401" s="16">
        <v>0.27324799999999999</v>
      </c>
      <c r="Y401" s="16">
        <v>0.8</v>
      </c>
      <c r="Z401" s="16">
        <v>0.519872</v>
      </c>
      <c r="AA401" s="37"/>
    </row>
    <row r="402" spans="1:27">
      <c r="A402" s="16" t="s">
        <v>102</v>
      </c>
      <c r="B402" s="16" t="s">
        <v>1548</v>
      </c>
      <c r="C402" s="16" t="s">
        <v>1549</v>
      </c>
      <c r="D402" s="16" t="s">
        <v>1550</v>
      </c>
      <c r="E402" s="16" t="s">
        <v>1546</v>
      </c>
      <c r="F402" s="16" t="s">
        <v>1547</v>
      </c>
      <c r="G402" s="16" t="s">
        <v>1387</v>
      </c>
      <c r="H402" s="16" t="s">
        <v>1388</v>
      </c>
      <c r="I402" s="16" t="s">
        <v>198</v>
      </c>
      <c r="J402" s="16" t="s">
        <v>199</v>
      </c>
      <c r="K402" s="16">
        <v>2.5242279999999999</v>
      </c>
      <c r="L402" s="36">
        <v>1729</v>
      </c>
      <c r="M402" s="16">
        <v>413</v>
      </c>
      <c r="N402" s="16">
        <v>286</v>
      </c>
      <c r="O402" s="16">
        <v>386</v>
      </c>
      <c r="P402" s="16">
        <v>427</v>
      </c>
      <c r="Q402" s="16">
        <v>217</v>
      </c>
      <c r="R402" s="16">
        <v>2</v>
      </c>
      <c r="S402" s="16">
        <v>13.5061</v>
      </c>
      <c r="T402" s="16">
        <v>2.97959</v>
      </c>
      <c r="U402" s="16">
        <v>0.96454819999999997</v>
      </c>
      <c r="V402" s="16">
        <v>3</v>
      </c>
      <c r="W402" s="16">
        <v>0.90308600000000006</v>
      </c>
      <c r="X402" s="16">
        <v>0.27662500000000001</v>
      </c>
      <c r="Y402" s="16">
        <v>0.8</v>
      </c>
      <c r="Z402" s="16">
        <v>0.53436499999999998</v>
      </c>
      <c r="AA402" s="37"/>
    </row>
    <row r="403" spans="1:27">
      <c r="A403" s="16" t="s">
        <v>102</v>
      </c>
      <c r="B403" s="16" t="s">
        <v>1551</v>
      </c>
      <c r="C403" s="16" t="s">
        <v>1552</v>
      </c>
      <c r="D403" s="16" t="s">
        <v>1553</v>
      </c>
      <c r="E403" s="16" t="s">
        <v>1546</v>
      </c>
      <c r="F403" s="16" t="s">
        <v>1547</v>
      </c>
      <c r="G403" s="16" t="s">
        <v>1387</v>
      </c>
      <c r="H403" s="16" t="s">
        <v>1388</v>
      </c>
      <c r="I403" s="16" t="s">
        <v>198</v>
      </c>
      <c r="J403" s="16" t="s">
        <v>199</v>
      </c>
      <c r="K403" s="16">
        <v>2.680939</v>
      </c>
      <c r="L403" s="36">
        <v>1656</v>
      </c>
      <c r="M403" s="16">
        <v>382</v>
      </c>
      <c r="N403" s="16">
        <v>350</v>
      </c>
      <c r="O403" s="16">
        <v>264</v>
      </c>
      <c r="P403" s="16">
        <v>432</v>
      </c>
      <c r="Q403" s="16">
        <v>228</v>
      </c>
      <c r="R403" s="16" t="s">
        <v>214</v>
      </c>
      <c r="S403" s="16">
        <v>8.0537500000000009</v>
      </c>
      <c r="T403" s="16">
        <v>0</v>
      </c>
      <c r="U403" s="16">
        <v>1.061591975</v>
      </c>
      <c r="V403" s="16">
        <v>2</v>
      </c>
      <c r="W403" s="16">
        <v>0.91294500000000001</v>
      </c>
      <c r="X403" s="16">
        <v>0.38347599999999998</v>
      </c>
      <c r="Y403" s="16">
        <v>0.8</v>
      </c>
      <c r="Z403" s="16">
        <v>0.58937700000000004</v>
      </c>
      <c r="AA403" s="37"/>
    </row>
    <row r="404" spans="1:27">
      <c r="A404" s="16" t="s">
        <v>102</v>
      </c>
      <c r="B404" s="16" t="s">
        <v>1554</v>
      </c>
      <c r="C404" s="16" t="s">
        <v>1555</v>
      </c>
      <c r="D404" s="16" t="s">
        <v>1556</v>
      </c>
      <c r="E404" s="16" t="s">
        <v>1475</v>
      </c>
      <c r="F404" s="16" t="s">
        <v>1476</v>
      </c>
      <c r="G404" s="16" t="s">
        <v>196</v>
      </c>
      <c r="H404" s="16" t="s">
        <v>197</v>
      </c>
      <c r="I404" s="16" t="s">
        <v>198</v>
      </c>
      <c r="J404" s="16" t="s">
        <v>199</v>
      </c>
      <c r="K404" s="16">
        <v>2.4395020000000001</v>
      </c>
      <c r="L404" s="36">
        <v>2304</v>
      </c>
      <c r="M404" s="16">
        <v>666</v>
      </c>
      <c r="N404" s="16">
        <v>439</v>
      </c>
      <c r="O404" s="16">
        <v>474</v>
      </c>
      <c r="P404" s="16">
        <v>499</v>
      </c>
      <c r="Q404" s="16">
        <v>226</v>
      </c>
      <c r="R404" s="16">
        <v>3</v>
      </c>
      <c r="S404" s="16">
        <v>21.678799999999999</v>
      </c>
      <c r="T404" s="16">
        <v>4.1806099999999997</v>
      </c>
      <c r="U404" s="16">
        <v>0.99340886699999997</v>
      </c>
      <c r="V404" s="16">
        <v>3</v>
      </c>
      <c r="W404" s="16">
        <v>0.904478</v>
      </c>
      <c r="X404" s="16">
        <v>8.9709999999999998E-2</v>
      </c>
      <c r="Y404" s="16">
        <v>0.8</v>
      </c>
      <c r="Z404" s="16">
        <v>0.64610000000000001</v>
      </c>
      <c r="AA404" s="37"/>
    </row>
    <row r="405" spans="1:27">
      <c r="A405" s="16"/>
      <c r="B405" s="16"/>
      <c r="C405" s="16"/>
      <c r="D405" s="16"/>
      <c r="E405" s="16"/>
      <c r="F405" s="16"/>
      <c r="G405" s="16"/>
      <c r="H405" s="16"/>
      <c r="I405" s="16"/>
      <c r="J405" s="16"/>
      <c r="K405" s="16">
        <f>MAX(K378:K404)</f>
        <v>2.816802</v>
      </c>
      <c r="L405" s="36">
        <f>AVERAGE(L378:L404)</f>
        <v>1934.3333333333333</v>
      </c>
      <c r="M405" s="36">
        <f t="shared" ref="M405:Q405" si="43">SUM(M378:M404)</f>
        <v>12425</v>
      </c>
      <c r="N405" s="36">
        <f t="shared" si="43"/>
        <v>9431</v>
      </c>
      <c r="O405" s="36">
        <f t="shared" si="43"/>
        <v>12546</v>
      </c>
      <c r="P405" s="36">
        <f t="shared" si="43"/>
        <v>12471</v>
      </c>
      <c r="Q405" s="36">
        <f t="shared" si="43"/>
        <v>5354</v>
      </c>
      <c r="R405" s="16"/>
      <c r="S405" s="16"/>
      <c r="T405" s="16"/>
      <c r="U405" s="16"/>
      <c r="V405" s="16">
        <f>MEDIAN(V378:V404)</f>
        <v>3</v>
      </c>
      <c r="W405" s="16"/>
      <c r="X405" s="16"/>
      <c r="Y405" s="16"/>
      <c r="Z405" s="16"/>
      <c r="AA405" s="37"/>
    </row>
    <row r="406" spans="1:27">
      <c r="A406" s="16" t="s">
        <v>60</v>
      </c>
      <c r="B406" s="16" t="s">
        <v>1557</v>
      </c>
      <c r="C406" s="16" t="s">
        <v>1558</v>
      </c>
      <c r="D406" s="16" t="s">
        <v>1559</v>
      </c>
      <c r="E406" s="16" t="s">
        <v>1560</v>
      </c>
      <c r="F406" s="16" t="s">
        <v>1561</v>
      </c>
      <c r="G406" s="16" t="s">
        <v>1429</v>
      </c>
      <c r="H406" s="16" t="s">
        <v>1430</v>
      </c>
      <c r="I406" s="16" t="s">
        <v>198</v>
      </c>
      <c r="J406" s="16" t="s">
        <v>199</v>
      </c>
      <c r="K406" s="16">
        <v>2.2332779999999999</v>
      </c>
      <c r="L406" s="36">
        <v>2081</v>
      </c>
      <c r="M406" s="16">
        <v>418</v>
      </c>
      <c r="N406" s="16">
        <v>448</v>
      </c>
      <c r="O406" s="16">
        <v>508</v>
      </c>
      <c r="P406" s="16">
        <v>430</v>
      </c>
      <c r="Q406" s="16">
        <v>277</v>
      </c>
      <c r="R406" s="16">
        <v>3</v>
      </c>
      <c r="S406" s="16">
        <v>23.181799999999999</v>
      </c>
      <c r="T406" s="16">
        <v>6.07864</v>
      </c>
      <c r="U406" s="16">
        <v>0.81265240100000002</v>
      </c>
      <c r="V406" s="16">
        <v>7</v>
      </c>
      <c r="W406" s="16">
        <v>0.90931799999999996</v>
      </c>
      <c r="X406" s="16">
        <v>0.21122099999999999</v>
      </c>
      <c r="Y406" s="16">
        <v>0.7</v>
      </c>
      <c r="Z406" s="16">
        <v>0.402314</v>
      </c>
      <c r="AA406" s="37"/>
    </row>
    <row r="407" spans="1:27">
      <c r="A407" s="16" t="s">
        <v>60</v>
      </c>
      <c r="B407" s="16" t="s">
        <v>1562</v>
      </c>
      <c r="C407" s="16" t="s">
        <v>1563</v>
      </c>
      <c r="D407" s="16" t="s">
        <v>1564</v>
      </c>
      <c r="E407" s="16" t="s">
        <v>1560</v>
      </c>
      <c r="F407" s="16" t="s">
        <v>1561</v>
      </c>
      <c r="G407" s="16" t="s">
        <v>1429</v>
      </c>
      <c r="H407" s="16" t="s">
        <v>1430</v>
      </c>
      <c r="I407" s="16" t="s">
        <v>198</v>
      </c>
      <c r="J407" s="16" t="s">
        <v>199</v>
      </c>
      <c r="K407" s="16">
        <v>2.1454710000000001</v>
      </c>
      <c r="L407" s="36">
        <v>1499</v>
      </c>
      <c r="M407" s="16">
        <v>278</v>
      </c>
      <c r="N407" s="16">
        <v>271</v>
      </c>
      <c r="O407" s="16">
        <v>248</v>
      </c>
      <c r="P407" s="16">
        <v>425</v>
      </c>
      <c r="Q407" s="16">
        <v>277</v>
      </c>
      <c r="R407" s="16">
        <v>3</v>
      </c>
      <c r="S407" s="16">
        <v>18.060199999999998</v>
      </c>
      <c r="T407" s="16">
        <v>3.99275</v>
      </c>
      <c r="U407" s="16">
        <v>0.83276638999999997</v>
      </c>
      <c r="V407" s="16">
        <v>7</v>
      </c>
      <c r="W407" s="16">
        <v>0.90090599999999998</v>
      </c>
      <c r="X407" s="16">
        <v>0.19747700000000001</v>
      </c>
      <c r="Y407" s="16">
        <v>0.7</v>
      </c>
      <c r="Z407" s="16">
        <v>0.34748200000000001</v>
      </c>
      <c r="AA407" s="37"/>
    </row>
    <row r="408" spans="1:27">
      <c r="A408" s="16" t="s">
        <v>60</v>
      </c>
      <c r="B408" s="16" t="s">
        <v>1565</v>
      </c>
      <c r="C408" s="16" t="s">
        <v>1566</v>
      </c>
      <c r="D408" s="16" t="s">
        <v>1567</v>
      </c>
      <c r="E408" s="16" t="s">
        <v>1568</v>
      </c>
      <c r="F408" s="16" t="s">
        <v>1569</v>
      </c>
      <c r="G408" s="16" t="s">
        <v>1429</v>
      </c>
      <c r="H408" s="16" t="s">
        <v>1430</v>
      </c>
      <c r="I408" s="16" t="s">
        <v>198</v>
      </c>
      <c r="J408" s="16" t="s">
        <v>199</v>
      </c>
      <c r="K408" s="16">
        <v>2.1926909999999999</v>
      </c>
      <c r="L408" s="36">
        <v>1782</v>
      </c>
      <c r="M408" s="16">
        <v>436</v>
      </c>
      <c r="N408" s="16">
        <v>251</v>
      </c>
      <c r="O408" s="16">
        <v>557</v>
      </c>
      <c r="P408" s="16">
        <v>326</v>
      </c>
      <c r="Q408" s="16">
        <v>212</v>
      </c>
      <c r="R408" s="16">
        <v>3</v>
      </c>
      <c r="S408" s="16">
        <v>19.686900000000001</v>
      </c>
      <c r="T408" s="16">
        <v>10.2621</v>
      </c>
      <c r="U408" s="16">
        <v>0.82905287699999997</v>
      </c>
      <c r="V408" s="16">
        <v>6</v>
      </c>
      <c r="W408" s="16">
        <v>0.90980099999999997</v>
      </c>
      <c r="X408" s="16">
        <v>0.22991600000000001</v>
      </c>
      <c r="Y408" s="16">
        <v>0.7</v>
      </c>
      <c r="Z408" s="16">
        <v>0.354576</v>
      </c>
      <c r="AA408" s="37"/>
    </row>
    <row r="409" spans="1:27">
      <c r="A409" s="16" t="s">
        <v>60</v>
      </c>
      <c r="B409" s="16" t="s">
        <v>1570</v>
      </c>
      <c r="C409" s="16" t="s">
        <v>1571</v>
      </c>
      <c r="D409" s="16" t="s">
        <v>1572</v>
      </c>
      <c r="E409" s="16" t="s">
        <v>1573</v>
      </c>
      <c r="F409" s="16" t="s">
        <v>1574</v>
      </c>
      <c r="G409" s="16" t="s">
        <v>1429</v>
      </c>
      <c r="H409" s="16" t="s">
        <v>1430</v>
      </c>
      <c r="I409" s="16" t="s">
        <v>198</v>
      </c>
      <c r="J409" s="16" t="s">
        <v>199</v>
      </c>
      <c r="K409" s="16">
        <v>2.3634400000000002</v>
      </c>
      <c r="L409" s="36">
        <v>1698</v>
      </c>
      <c r="M409" s="16">
        <v>313</v>
      </c>
      <c r="N409" s="16">
        <v>366</v>
      </c>
      <c r="O409" s="16">
        <v>314</v>
      </c>
      <c r="P409" s="16">
        <v>407</v>
      </c>
      <c r="Q409" s="16">
        <v>298</v>
      </c>
      <c r="R409" s="16">
        <v>2</v>
      </c>
      <c r="S409" s="16">
        <v>10.707599999999999</v>
      </c>
      <c r="T409" s="16">
        <v>1.9986999999999999</v>
      </c>
      <c r="U409" s="16">
        <v>0.67812825300000001</v>
      </c>
      <c r="V409" s="16">
        <v>8</v>
      </c>
      <c r="W409" s="16">
        <v>0.892544</v>
      </c>
      <c r="X409" s="16">
        <v>0.40690900000000002</v>
      </c>
      <c r="Y409" s="16">
        <v>0.7</v>
      </c>
      <c r="Z409" s="16">
        <v>0.37262899999999999</v>
      </c>
      <c r="AA409" s="37"/>
    </row>
    <row r="410" spans="1:27">
      <c r="A410" s="16" t="s">
        <v>60</v>
      </c>
      <c r="B410" s="16" t="s">
        <v>1575</v>
      </c>
      <c r="C410" s="16" t="s">
        <v>1576</v>
      </c>
      <c r="D410" s="16" t="s">
        <v>1577</v>
      </c>
      <c r="E410" s="16" t="s">
        <v>1573</v>
      </c>
      <c r="F410" s="16" t="s">
        <v>1574</v>
      </c>
      <c r="G410" s="16" t="s">
        <v>1429</v>
      </c>
      <c r="H410" s="16" t="s">
        <v>1430</v>
      </c>
      <c r="I410" s="16" t="s">
        <v>198</v>
      </c>
      <c r="J410" s="16" t="s">
        <v>199</v>
      </c>
      <c r="K410" s="16">
        <v>1.9578949999999999</v>
      </c>
      <c r="L410" s="36">
        <v>1608</v>
      </c>
      <c r="M410" s="16">
        <v>323</v>
      </c>
      <c r="N410" s="16">
        <v>300</v>
      </c>
      <c r="O410" s="16">
        <v>289</v>
      </c>
      <c r="P410" s="16">
        <v>442</v>
      </c>
      <c r="Q410" s="16">
        <v>254</v>
      </c>
      <c r="R410" s="16" t="s">
        <v>225</v>
      </c>
      <c r="S410" s="16">
        <v>5.6116299999999999</v>
      </c>
      <c r="T410" s="16">
        <v>0</v>
      </c>
      <c r="U410" s="16">
        <v>0.88360216999999996</v>
      </c>
      <c r="V410" s="16">
        <v>8</v>
      </c>
      <c r="W410" s="16">
        <v>0.82556399999999996</v>
      </c>
      <c r="X410" s="16">
        <v>0.13207099999999999</v>
      </c>
      <c r="Y410" s="16">
        <v>0.7</v>
      </c>
      <c r="Z410" s="16">
        <v>0.29875299999999999</v>
      </c>
      <c r="AA410" s="37"/>
    </row>
    <row r="411" spans="1:27">
      <c r="A411" s="16" t="s">
        <v>60</v>
      </c>
      <c r="B411" s="16" t="s">
        <v>1578</v>
      </c>
      <c r="C411" s="16" t="s">
        <v>1579</v>
      </c>
      <c r="D411" s="16" t="s">
        <v>1580</v>
      </c>
      <c r="E411" s="16" t="s">
        <v>1573</v>
      </c>
      <c r="F411" s="16" t="s">
        <v>1574</v>
      </c>
      <c r="G411" s="16" t="s">
        <v>1429</v>
      </c>
      <c r="H411" s="16" t="s">
        <v>1430</v>
      </c>
      <c r="I411" s="16" t="s">
        <v>198</v>
      </c>
      <c r="J411" s="16" t="s">
        <v>199</v>
      </c>
      <c r="K411" s="16">
        <v>1.892261</v>
      </c>
      <c r="L411" s="36">
        <v>1690</v>
      </c>
      <c r="M411" s="16">
        <v>315</v>
      </c>
      <c r="N411" s="16">
        <v>292</v>
      </c>
      <c r="O411" s="16">
        <v>363</v>
      </c>
      <c r="P411" s="16">
        <v>463</v>
      </c>
      <c r="Q411" s="16">
        <v>257</v>
      </c>
      <c r="R411" s="16" t="s">
        <v>225</v>
      </c>
      <c r="S411" s="16">
        <v>5.7082699999999997</v>
      </c>
      <c r="T411" s="16">
        <v>2.0689500000000001</v>
      </c>
      <c r="U411" s="16">
        <v>0.92089183399999996</v>
      </c>
      <c r="V411" s="16">
        <v>8</v>
      </c>
      <c r="W411" s="16">
        <v>0.83095600000000003</v>
      </c>
      <c r="X411" s="16">
        <v>6.9431999999999994E-2</v>
      </c>
      <c r="Y411" s="16">
        <v>0.7</v>
      </c>
      <c r="Z411" s="16">
        <v>0.29174299999999997</v>
      </c>
      <c r="AA411" s="37"/>
    </row>
    <row r="412" spans="1:27">
      <c r="A412" s="16" t="s">
        <v>60</v>
      </c>
      <c r="B412" s="16" t="s">
        <v>1581</v>
      </c>
      <c r="C412" s="16" t="s">
        <v>1582</v>
      </c>
      <c r="D412" s="16" t="s">
        <v>1583</v>
      </c>
      <c r="E412" s="16" t="s">
        <v>1573</v>
      </c>
      <c r="F412" s="16" t="s">
        <v>1574</v>
      </c>
      <c r="G412" s="16" t="s">
        <v>1429</v>
      </c>
      <c r="H412" s="16" t="s">
        <v>1430</v>
      </c>
      <c r="I412" s="16" t="s">
        <v>198</v>
      </c>
      <c r="J412" s="16" t="s">
        <v>199</v>
      </c>
      <c r="K412" s="16">
        <v>2.1877680000000002</v>
      </c>
      <c r="L412" s="36">
        <v>1879</v>
      </c>
      <c r="M412" s="16">
        <v>345</v>
      </c>
      <c r="N412" s="16">
        <v>363</v>
      </c>
      <c r="O412" s="16">
        <v>339</v>
      </c>
      <c r="P412" s="16">
        <v>498</v>
      </c>
      <c r="Q412" s="16">
        <v>334</v>
      </c>
      <c r="R412" s="16" t="s">
        <v>225</v>
      </c>
      <c r="S412" s="16">
        <v>10.6836</v>
      </c>
      <c r="T412" s="16">
        <v>0</v>
      </c>
      <c r="U412" s="16">
        <v>0.87431543099999998</v>
      </c>
      <c r="V412" s="16">
        <v>6</v>
      </c>
      <c r="W412" s="16">
        <v>0.86623700000000003</v>
      </c>
      <c r="X412" s="16">
        <v>0.302788</v>
      </c>
      <c r="Y412" s="16">
        <v>0.7</v>
      </c>
      <c r="Z412" s="16">
        <v>0.320158</v>
      </c>
      <c r="AA412" s="37"/>
    </row>
    <row r="413" spans="1:27">
      <c r="A413" s="16" t="s">
        <v>60</v>
      </c>
      <c r="B413" s="16" t="s">
        <v>1584</v>
      </c>
      <c r="C413" s="16" t="s">
        <v>1585</v>
      </c>
      <c r="D413" s="16" t="s">
        <v>1586</v>
      </c>
      <c r="E413" s="16" t="s">
        <v>1587</v>
      </c>
      <c r="F413" s="16" t="s">
        <v>1588</v>
      </c>
      <c r="G413" s="16" t="s">
        <v>1429</v>
      </c>
      <c r="H413" s="16" t="s">
        <v>1430</v>
      </c>
      <c r="I413" s="16" t="s">
        <v>198</v>
      </c>
      <c r="J413" s="16" t="s">
        <v>199</v>
      </c>
      <c r="K413" s="16">
        <v>1.965606</v>
      </c>
      <c r="L413" s="36">
        <v>1487</v>
      </c>
      <c r="M413" s="16">
        <v>254</v>
      </c>
      <c r="N413" s="16">
        <v>277</v>
      </c>
      <c r="O413" s="16">
        <v>246</v>
      </c>
      <c r="P413" s="16">
        <v>402</v>
      </c>
      <c r="Q413" s="16">
        <v>308</v>
      </c>
      <c r="R413" s="16" t="s">
        <v>225</v>
      </c>
      <c r="S413" s="16">
        <v>6.4472199999999997</v>
      </c>
      <c r="T413" s="16">
        <v>0</v>
      </c>
      <c r="U413" s="16">
        <v>0.87772399400000001</v>
      </c>
      <c r="V413" s="16">
        <v>8</v>
      </c>
      <c r="W413" s="16">
        <v>0.82621199999999995</v>
      </c>
      <c r="X413" s="16">
        <v>0.18195500000000001</v>
      </c>
      <c r="Y413" s="16">
        <v>0.7</v>
      </c>
      <c r="Z413" s="16">
        <v>0.26057399999999997</v>
      </c>
      <c r="AA413" s="37"/>
    </row>
    <row r="414" spans="1:27">
      <c r="A414" s="16" t="s">
        <v>60</v>
      </c>
      <c r="B414" s="16" t="s">
        <v>1589</v>
      </c>
      <c r="C414" s="16" t="s">
        <v>1590</v>
      </c>
      <c r="D414" s="16" t="s">
        <v>1591</v>
      </c>
      <c r="E414" s="16" t="s">
        <v>1506</v>
      </c>
      <c r="F414" s="16" t="s">
        <v>1507</v>
      </c>
      <c r="G414" s="16" t="s">
        <v>1429</v>
      </c>
      <c r="H414" s="16" t="s">
        <v>1430</v>
      </c>
      <c r="I414" s="16" t="s">
        <v>198</v>
      </c>
      <c r="J414" s="16" t="s">
        <v>199</v>
      </c>
      <c r="K414" s="16">
        <v>2.5371169999999998</v>
      </c>
      <c r="L414" s="36">
        <v>2083</v>
      </c>
      <c r="M414" s="16">
        <v>517</v>
      </c>
      <c r="N414" s="16">
        <v>308</v>
      </c>
      <c r="O414" s="16">
        <v>484</v>
      </c>
      <c r="P414" s="16">
        <v>467</v>
      </c>
      <c r="Q414" s="16">
        <v>307</v>
      </c>
      <c r="R414" s="16" t="s">
        <v>214</v>
      </c>
      <c r="S414" s="16">
        <v>7.1774199999999997</v>
      </c>
      <c r="T414" s="16">
        <v>0</v>
      </c>
      <c r="U414" s="16">
        <v>0.605833277</v>
      </c>
      <c r="V414" s="16">
        <v>7</v>
      </c>
      <c r="W414" s="16">
        <v>0.863367</v>
      </c>
      <c r="X414" s="16">
        <v>0.64079399999999997</v>
      </c>
      <c r="Y414" s="16">
        <v>0.7</v>
      </c>
      <c r="Z414" s="16">
        <v>0.33849899999999999</v>
      </c>
      <c r="AA414" s="37"/>
    </row>
    <row r="415" spans="1:27">
      <c r="A415" s="16"/>
      <c r="B415" s="16"/>
      <c r="C415" s="16"/>
      <c r="D415" s="16"/>
      <c r="E415" s="16"/>
      <c r="F415" s="16"/>
      <c r="G415" s="16"/>
      <c r="H415" s="16"/>
      <c r="I415" s="16"/>
      <c r="J415" s="16"/>
      <c r="K415" s="16">
        <f>MEDIAN(K406:K414)</f>
        <v>2.1877680000000002</v>
      </c>
      <c r="L415" s="36">
        <f>AVERAGE(L406:L414)</f>
        <v>1756.3333333333333</v>
      </c>
      <c r="M415" s="36">
        <f>SUM(M406:M414)</f>
        <v>3199</v>
      </c>
      <c r="N415" s="16"/>
      <c r="O415" s="16"/>
      <c r="P415" s="16"/>
      <c r="Q415" s="36">
        <f>SUM(Q406:Q414)</f>
        <v>2524</v>
      </c>
      <c r="R415" s="16"/>
      <c r="S415" s="16"/>
      <c r="T415" s="16"/>
      <c r="U415" s="16"/>
      <c r="V415" s="16">
        <f>MEDIAN(V406:V414)</f>
        <v>7</v>
      </c>
      <c r="W415" s="16"/>
      <c r="X415" s="16"/>
      <c r="Y415" s="16"/>
      <c r="Z415" s="16"/>
      <c r="AA415" s="37"/>
    </row>
    <row r="416" spans="1:27">
      <c r="A416" s="16" t="s">
        <v>61</v>
      </c>
      <c r="B416" s="16" t="s">
        <v>1592</v>
      </c>
      <c r="C416" s="16" t="s">
        <v>1593</v>
      </c>
      <c r="D416" s="16" t="s">
        <v>1594</v>
      </c>
      <c r="E416" s="16" t="s">
        <v>1573</v>
      </c>
      <c r="F416" s="16" t="s">
        <v>1574</v>
      </c>
      <c r="G416" s="16" t="s">
        <v>1429</v>
      </c>
      <c r="H416" s="16" t="s">
        <v>1430</v>
      </c>
      <c r="I416" s="16" t="s">
        <v>198</v>
      </c>
      <c r="J416" s="16" t="s">
        <v>199</v>
      </c>
      <c r="K416" s="16">
        <v>2.3005930000000001</v>
      </c>
      <c r="L416" s="36">
        <v>1719</v>
      </c>
      <c r="M416" s="16">
        <v>360</v>
      </c>
      <c r="N416" s="16">
        <v>302</v>
      </c>
      <c r="O416" s="16">
        <v>410</v>
      </c>
      <c r="P416" s="16">
        <v>393</v>
      </c>
      <c r="Q416" s="16">
        <v>254</v>
      </c>
      <c r="R416" s="16">
        <v>3</v>
      </c>
      <c r="S416" s="16">
        <v>15.9367</v>
      </c>
      <c r="T416" s="16">
        <v>7.7105399999999999</v>
      </c>
      <c r="U416" s="16">
        <v>0.73513567000000002</v>
      </c>
      <c r="V416" s="16">
        <v>6</v>
      </c>
      <c r="W416" s="16">
        <v>0.91706200000000004</v>
      </c>
      <c r="X416" s="16">
        <v>0.35450500000000001</v>
      </c>
      <c r="Y416" s="16">
        <v>0.7</v>
      </c>
      <c r="Z416" s="16">
        <v>0.32532899999999998</v>
      </c>
      <c r="AA416" s="37"/>
    </row>
    <row r="417" spans="1:27">
      <c r="A417" s="16" t="s">
        <v>61</v>
      </c>
      <c r="B417" s="16" t="s">
        <v>1570</v>
      </c>
      <c r="C417" s="16" t="s">
        <v>1571</v>
      </c>
      <c r="D417" s="16" t="s">
        <v>1572</v>
      </c>
      <c r="E417" s="16" t="s">
        <v>1573</v>
      </c>
      <c r="F417" s="16" t="s">
        <v>1574</v>
      </c>
      <c r="G417" s="16" t="s">
        <v>1429</v>
      </c>
      <c r="H417" s="16" t="s">
        <v>1430</v>
      </c>
      <c r="I417" s="16" t="s">
        <v>198</v>
      </c>
      <c r="J417" s="16" t="s">
        <v>199</v>
      </c>
      <c r="K417" s="16">
        <v>2.3634400000000002</v>
      </c>
      <c r="L417" s="36">
        <v>1698</v>
      </c>
      <c r="M417" s="16">
        <v>313</v>
      </c>
      <c r="N417" s="16">
        <v>366</v>
      </c>
      <c r="O417" s="16">
        <v>314</v>
      </c>
      <c r="P417" s="16">
        <v>407</v>
      </c>
      <c r="Q417" s="16">
        <v>298</v>
      </c>
      <c r="R417" s="16">
        <v>2</v>
      </c>
      <c r="S417" s="16">
        <v>10.707599999999999</v>
      </c>
      <c r="T417" s="16">
        <v>1.9986999999999999</v>
      </c>
      <c r="U417" s="16">
        <v>0.67812825300000001</v>
      </c>
      <c r="V417" s="16">
        <v>8</v>
      </c>
      <c r="W417" s="16">
        <v>0.892544</v>
      </c>
      <c r="X417" s="16">
        <v>0.40690900000000002</v>
      </c>
      <c r="Y417" s="16">
        <v>0.7</v>
      </c>
      <c r="Z417" s="16">
        <v>0.37262899999999999</v>
      </c>
      <c r="AA417" s="37"/>
    </row>
    <row r="418" spans="1:27">
      <c r="A418" s="16" t="s">
        <v>61</v>
      </c>
      <c r="B418" s="16" t="s">
        <v>1595</v>
      </c>
      <c r="C418" s="16" t="s">
        <v>1596</v>
      </c>
      <c r="D418" s="16" t="s">
        <v>1597</v>
      </c>
      <c r="E418" s="16" t="s">
        <v>1427</v>
      </c>
      <c r="F418" s="16" t="s">
        <v>1428</v>
      </c>
      <c r="G418" s="16" t="s">
        <v>1429</v>
      </c>
      <c r="H418" s="16" t="s">
        <v>1430</v>
      </c>
      <c r="I418" s="16" t="s">
        <v>198</v>
      </c>
      <c r="J418" s="16" t="s">
        <v>199</v>
      </c>
      <c r="K418" s="16">
        <v>2.2856320000000001</v>
      </c>
      <c r="L418" s="36">
        <v>1565</v>
      </c>
      <c r="M418" s="16">
        <v>359</v>
      </c>
      <c r="N418" s="16">
        <v>195</v>
      </c>
      <c r="O418" s="16">
        <v>335</v>
      </c>
      <c r="P418" s="16">
        <v>410</v>
      </c>
      <c r="Q418" s="16">
        <v>266</v>
      </c>
      <c r="R418" s="16" t="s">
        <v>225</v>
      </c>
      <c r="S418" s="16">
        <v>15.8424</v>
      </c>
      <c r="T418" s="16">
        <v>0</v>
      </c>
      <c r="U418" s="16">
        <v>0.72840865600000004</v>
      </c>
      <c r="V418" s="16">
        <v>9</v>
      </c>
      <c r="W418" s="16">
        <v>0.91195800000000005</v>
      </c>
      <c r="X418" s="16">
        <v>0.36589100000000002</v>
      </c>
      <c r="Y418" s="16">
        <v>0.7</v>
      </c>
      <c r="Z418" s="16">
        <v>0.30230299999999999</v>
      </c>
      <c r="AA418" s="37"/>
    </row>
    <row r="419" spans="1:27">
      <c r="A419" s="16" t="s">
        <v>61</v>
      </c>
      <c r="B419" s="16" t="s">
        <v>1444</v>
      </c>
      <c r="C419" s="16" t="s">
        <v>1445</v>
      </c>
      <c r="D419" s="16" t="s">
        <v>1446</v>
      </c>
      <c r="E419" s="16" t="s">
        <v>1427</v>
      </c>
      <c r="F419" s="16" t="s">
        <v>1428</v>
      </c>
      <c r="G419" s="16" t="s">
        <v>1429</v>
      </c>
      <c r="H419" s="16" t="s">
        <v>1430</v>
      </c>
      <c r="I419" s="16" t="s">
        <v>198</v>
      </c>
      <c r="J419" s="16" t="s">
        <v>199</v>
      </c>
      <c r="K419" s="16">
        <v>2.1398799999999998</v>
      </c>
      <c r="L419" s="36">
        <v>1229</v>
      </c>
      <c r="M419" s="16">
        <v>272</v>
      </c>
      <c r="N419" s="16">
        <v>159</v>
      </c>
      <c r="O419" s="16">
        <v>196</v>
      </c>
      <c r="P419" s="16">
        <v>384</v>
      </c>
      <c r="Q419" s="16">
        <v>218</v>
      </c>
      <c r="R419" s="16" t="s">
        <v>225</v>
      </c>
      <c r="S419" s="16">
        <v>11.091900000000001</v>
      </c>
      <c r="T419" s="16">
        <v>0</v>
      </c>
      <c r="U419" s="16">
        <v>0.76755962700000002</v>
      </c>
      <c r="V419" s="16">
        <v>9</v>
      </c>
      <c r="W419" s="16">
        <v>0.90382700000000005</v>
      </c>
      <c r="X419" s="16">
        <v>0.27355400000000002</v>
      </c>
      <c r="Y419" s="16">
        <v>0.7</v>
      </c>
      <c r="Z419" s="16">
        <v>0.258629</v>
      </c>
      <c r="AA419" s="37"/>
    </row>
    <row r="420" spans="1:27">
      <c r="A420" s="16" t="s">
        <v>61</v>
      </c>
      <c r="B420" s="16" t="s">
        <v>1598</v>
      </c>
      <c r="C420" s="16" t="s">
        <v>1599</v>
      </c>
      <c r="D420" s="16" t="s">
        <v>1600</v>
      </c>
      <c r="E420" s="16" t="s">
        <v>1506</v>
      </c>
      <c r="F420" s="16" t="s">
        <v>1507</v>
      </c>
      <c r="G420" s="16" t="s">
        <v>1429</v>
      </c>
      <c r="H420" s="16" t="s">
        <v>1430</v>
      </c>
      <c r="I420" s="16" t="s">
        <v>198</v>
      </c>
      <c r="J420" s="16" t="s">
        <v>199</v>
      </c>
      <c r="K420" s="16">
        <v>2.6413129999999998</v>
      </c>
      <c r="L420" s="36">
        <v>2237</v>
      </c>
      <c r="M420" s="16">
        <v>484</v>
      </c>
      <c r="N420" s="16">
        <v>355</v>
      </c>
      <c r="O420" s="16">
        <v>669</v>
      </c>
      <c r="P420" s="16">
        <v>500</v>
      </c>
      <c r="Q420" s="16">
        <v>229</v>
      </c>
      <c r="R420" s="16">
        <v>2</v>
      </c>
      <c r="S420" s="16">
        <v>15.0755</v>
      </c>
      <c r="T420" s="16">
        <v>0</v>
      </c>
      <c r="U420" s="16">
        <v>0.59445393000000002</v>
      </c>
      <c r="V420" s="16">
        <v>7</v>
      </c>
      <c r="W420" s="16">
        <v>0.91850100000000001</v>
      </c>
      <c r="X420" s="16">
        <v>0.596136</v>
      </c>
      <c r="Y420" s="16">
        <v>0.7</v>
      </c>
      <c r="Z420" s="16">
        <v>0.42418600000000001</v>
      </c>
      <c r="AA420" s="37"/>
    </row>
    <row r="421" spans="1:27">
      <c r="A421" s="16"/>
      <c r="B421" s="16"/>
      <c r="C421" s="16"/>
      <c r="D421" s="16"/>
      <c r="E421" s="16"/>
      <c r="F421" s="16"/>
      <c r="G421" s="16"/>
      <c r="H421" s="16"/>
      <c r="I421" s="16"/>
      <c r="J421" s="16"/>
      <c r="K421" s="16">
        <f>MAX(K416:K420)</f>
        <v>2.6413129999999998</v>
      </c>
      <c r="L421" s="36">
        <f>AVERAGE(L416:L420)</f>
        <v>1689.6</v>
      </c>
      <c r="M421" s="36">
        <f t="shared" ref="M421:Q421" si="44">SUM(M416:M420)</f>
        <v>1788</v>
      </c>
      <c r="N421" s="36">
        <f t="shared" si="44"/>
        <v>1377</v>
      </c>
      <c r="O421" s="36">
        <f t="shared" si="44"/>
        <v>1924</v>
      </c>
      <c r="P421" s="36">
        <f t="shared" si="44"/>
        <v>2094</v>
      </c>
      <c r="Q421" s="36">
        <f t="shared" si="44"/>
        <v>1265</v>
      </c>
      <c r="R421" s="16"/>
      <c r="S421" s="16"/>
      <c r="T421" s="16"/>
      <c r="U421" s="16"/>
      <c r="V421" s="16">
        <f>MEDIAN(V416:V420)</f>
        <v>8</v>
      </c>
      <c r="W421" s="16"/>
      <c r="X421" s="16"/>
      <c r="Y421" s="16"/>
      <c r="Z421" s="16"/>
      <c r="AA421" s="37"/>
    </row>
    <row r="422" spans="1:27">
      <c r="A422" s="16" t="s">
        <v>62</v>
      </c>
      <c r="B422" s="16" t="s">
        <v>1601</v>
      </c>
      <c r="C422" s="16" t="s">
        <v>1602</v>
      </c>
      <c r="D422" s="16" t="s">
        <v>1603</v>
      </c>
      <c r="E422" s="16" t="s">
        <v>1604</v>
      </c>
      <c r="F422" s="16" t="s">
        <v>1605</v>
      </c>
      <c r="G422" s="16" t="s">
        <v>1606</v>
      </c>
      <c r="H422" s="16" t="s">
        <v>1607</v>
      </c>
      <c r="I422" s="16" t="s">
        <v>198</v>
      </c>
      <c r="J422" s="16" t="s">
        <v>199</v>
      </c>
      <c r="K422" s="16">
        <v>1.9754989999999999</v>
      </c>
      <c r="L422" s="36">
        <v>1764</v>
      </c>
      <c r="M422" s="16">
        <v>394</v>
      </c>
      <c r="N422" s="16">
        <v>251</v>
      </c>
      <c r="O422" s="16">
        <v>346</v>
      </c>
      <c r="P422" s="16">
        <v>379</v>
      </c>
      <c r="Q422" s="16">
        <v>394</v>
      </c>
      <c r="R422" s="16" t="s">
        <v>225</v>
      </c>
      <c r="S422" s="16">
        <v>5.8212599999999997</v>
      </c>
      <c r="T422" s="16">
        <v>0</v>
      </c>
      <c r="U422" s="16">
        <v>1.1280449109999999</v>
      </c>
      <c r="V422" s="16">
        <v>4</v>
      </c>
      <c r="W422" s="16">
        <v>0.81850900000000004</v>
      </c>
      <c r="X422" s="16">
        <v>0.16684599999999999</v>
      </c>
      <c r="Y422" s="16">
        <v>0.68124200000000001</v>
      </c>
      <c r="Z422" s="16">
        <v>0.3</v>
      </c>
      <c r="AA422" s="37"/>
    </row>
    <row r="423" spans="1:27">
      <c r="A423" s="16" t="s">
        <v>62</v>
      </c>
      <c r="B423" s="16" t="s">
        <v>1608</v>
      </c>
      <c r="C423" s="16" t="s">
        <v>1609</v>
      </c>
      <c r="D423" s="16" t="s">
        <v>1610</v>
      </c>
      <c r="E423" s="16" t="s">
        <v>1604</v>
      </c>
      <c r="F423" s="16" t="s">
        <v>1605</v>
      </c>
      <c r="G423" s="16" t="s">
        <v>1606</v>
      </c>
      <c r="H423" s="16" t="s">
        <v>1607</v>
      </c>
      <c r="I423" s="16" t="s">
        <v>198</v>
      </c>
      <c r="J423" s="16" t="s">
        <v>199</v>
      </c>
      <c r="K423" s="16">
        <v>2.0065710000000001</v>
      </c>
      <c r="L423" s="36">
        <v>2396</v>
      </c>
      <c r="M423" s="16">
        <v>754</v>
      </c>
      <c r="N423" s="16">
        <v>426</v>
      </c>
      <c r="O423" s="16">
        <v>565</v>
      </c>
      <c r="P423" s="16">
        <v>457</v>
      </c>
      <c r="Q423" s="16">
        <v>194</v>
      </c>
      <c r="R423" s="16" t="s">
        <v>225</v>
      </c>
      <c r="S423" s="16">
        <v>7.3129099999999996</v>
      </c>
      <c r="T423" s="16">
        <v>3.66018</v>
      </c>
      <c r="U423" s="16">
        <v>1.3457158950000001</v>
      </c>
      <c r="V423" s="16">
        <v>2</v>
      </c>
      <c r="W423" s="16">
        <v>0.81983300000000003</v>
      </c>
      <c r="X423" s="16">
        <v>0.208255</v>
      </c>
      <c r="Y423" s="16">
        <v>0.7</v>
      </c>
      <c r="Z423" s="16">
        <v>0.27024799999999999</v>
      </c>
      <c r="AA423" s="37"/>
    </row>
    <row r="424" spans="1:27">
      <c r="A424" s="16" t="s">
        <v>62</v>
      </c>
      <c r="B424" s="16" t="s">
        <v>1611</v>
      </c>
      <c r="C424" s="16" t="s">
        <v>1612</v>
      </c>
      <c r="D424" s="16" t="s">
        <v>1613</v>
      </c>
      <c r="E424" s="16" t="s">
        <v>1614</v>
      </c>
      <c r="F424" s="16" t="s">
        <v>1615</v>
      </c>
      <c r="G424" s="16" t="s">
        <v>1606</v>
      </c>
      <c r="H424" s="16" t="s">
        <v>1607</v>
      </c>
      <c r="I424" s="16" t="s">
        <v>198</v>
      </c>
      <c r="J424" s="16" t="s">
        <v>199</v>
      </c>
      <c r="K424" s="16">
        <v>1.95749</v>
      </c>
      <c r="L424" s="36">
        <v>1810</v>
      </c>
      <c r="M424" s="16">
        <v>383</v>
      </c>
      <c r="N424" s="16">
        <v>347</v>
      </c>
      <c r="O424" s="16">
        <v>397</v>
      </c>
      <c r="P424" s="16">
        <v>408</v>
      </c>
      <c r="Q424" s="16">
        <v>275</v>
      </c>
      <c r="R424" s="16" t="s">
        <v>225</v>
      </c>
      <c r="S424" s="16">
        <v>8.0245300000000004</v>
      </c>
      <c r="T424" s="16">
        <v>0</v>
      </c>
      <c r="U424" s="16">
        <v>1.111977915</v>
      </c>
      <c r="V424" s="16">
        <v>4</v>
      </c>
      <c r="W424" s="16">
        <v>0.81931100000000001</v>
      </c>
      <c r="X424" s="16">
        <v>0.24587400000000001</v>
      </c>
      <c r="Y424" s="16">
        <v>0.67187600000000003</v>
      </c>
      <c r="Z424" s="16">
        <v>0.22264900000000001</v>
      </c>
      <c r="AA424" s="37"/>
    </row>
    <row r="425" spans="1:27">
      <c r="A425" s="16" t="s">
        <v>62</v>
      </c>
      <c r="B425" s="16" t="s">
        <v>1616</v>
      </c>
      <c r="C425" s="16" t="s">
        <v>1617</v>
      </c>
      <c r="D425" s="16" t="s">
        <v>1618</v>
      </c>
      <c r="E425" s="16" t="s">
        <v>1619</v>
      </c>
      <c r="F425" s="16" t="s">
        <v>1620</v>
      </c>
      <c r="G425" s="16" t="s">
        <v>1621</v>
      </c>
      <c r="H425" s="16" t="s">
        <v>1622</v>
      </c>
      <c r="I425" s="16" t="s">
        <v>198</v>
      </c>
      <c r="J425" s="16" t="s">
        <v>199</v>
      </c>
      <c r="K425" s="16">
        <v>1.939729</v>
      </c>
      <c r="L425" s="36">
        <v>1933</v>
      </c>
      <c r="M425" s="16">
        <v>449</v>
      </c>
      <c r="N425" s="16">
        <v>322</v>
      </c>
      <c r="O425" s="16">
        <v>502</v>
      </c>
      <c r="P425" s="16">
        <v>441</v>
      </c>
      <c r="Q425" s="16">
        <v>219</v>
      </c>
      <c r="R425" s="16">
        <v>2</v>
      </c>
      <c r="S425" s="16">
        <v>28.441500000000001</v>
      </c>
      <c r="T425" s="16">
        <v>0</v>
      </c>
      <c r="U425" s="16">
        <v>1.076194433</v>
      </c>
      <c r="V425" s="16">
        <v>5</v>
      </c>
      <c r="W425" s="16">
        <v>0.81657999999999997</v>
      </c>
      <c r="X425" s="16">
        <v>0.194357</v>
      </c>
      <c r="Y425" s="16">
        <v>0.60124999999999995</v>
      </c>
      <c r="Z425" s="16">
        <v>0.33520800000000001</v>
      </c>
      <c r="AA425" s="37"/>
    </row>
    <row r="426" spans="1:27">
      <c r="A426" s="16" t="s">
        <v>62</v>
      </c>
      <c r="B426" s="16" t="s">
        <v>1623</v>
      </c>
      <c r="C426" s="16" t="s">
        <v>1624</v>
      </c>
      <c r="D426" s="16" t="s">
        <v>1625</v>
      </c>
      <c r="E426" s="16" t="s">
        <v>1619</v>
      </c>
      <c r="F426" s="16" t="s">
        <v>1620</v>
      </c>
      <c r="G426" s="16" t="s">
        <v>1621</v>
      </c>
      <c r="H426" s="16" t="s">
        <v>1622</v>
      </c>
      <c r="I426" s="16" t="s">
        <v>198</v>
      </c>
      <c r="J426" s="16" t="s">
        <v>199</v>
      </c>
      <c r="K426" s="16">
        <v>1.967862</v>
      </c>
      <c r="L426" s="36">
        <v>1634</v>
      </c>
      <c r="M426" s="16">
        <v>343</v>
      </c>
      <c r="N426" s="16">
        <v>274</v>
      </c>
      <c r="O426" s="16">
        <v>382</v>
      </c>
      <c r="P426" s="16">
        <v>375</v>
      </c>
      <c r="Q426" s="16">
        <v>260</v>
      </c>
      <c r="R426" s="16">
        <v>2</v>
      </c>
      <c r="S426" s="16">
        <v>16.8687</v>
      </c>
      <c r="T426" s="16">
        <v>2.5489899999999999</v>
      </c>
      <c r="U426" s="16">
        <v>1.0229067329999999</v>
      </c>
      <c r="V426" s="16">
        <v>5</v>
      </c>
      <c r="W426" s="16">
        <v>0.826295</v>
      </c>
      <c r="X426" s="16">
        <v>0.155228</v>
      </c>
      <c r="Y426" s="16">
        <v>0.61118499999999998</v>
      </c>
      <c r="Z426" s="16">
        <v>0.38758300000000001</v>
      </c>
      <c r="AA426" s="37"/>
    </row>
    <row r="427" spans="1:27">
      <c r="A427" s="16" t="s">
        <v>62</v>
      </c>
      <c r="B427" s="16" t="s">
        <v>1626</v>
      </c>
      <c r="C427" s="16" t="s">
        <v>1627</v>
      </c>
      <c r="D427" s="16" t="s">
        <v>1628</v>
      </c>
      <c r="E427" s="16" t="s">
        <v>1629</v>
      </c>
      <c r="F427" s="16" t="s">
        <v>1630</v>
      </c>
      <c r="G427" s="16" t="s">
        <v>1621</v>
      </c>
      <c r="H427" s="16" t="s">
        <v>1622</v>
      </c>
      <c r="I427" s="16" t="s">
        <v>198</v>
      </c>
      <c r="J427" s="16" t="s">
        <v>199</v>
      </c>
      <c r="K427" s="16">
        <v>1.8383529999999999</v>
      </c>
      <c r="L427" s="36">
        <v>1865</v>
      </c>
      <c r="M427" s="16">
        <v>273</v>
      </c>
      <c r="N427" s="16">
        <v>318</v>
      </c>
      <c r="O427" s="16">
        <v>284</v>
      </c>
      <c r="P427" s="16">
        <v>437</v>
      </c>
      <c r="Q427" s="16">
        <v>553</v>
      </c>
      <c r="R427" s="16" t="s">
        <v>225</v>
      </c>
      <c r="S427" s="16">
        <v>5.2432699999999999</v>
      </c>
      <c r="T427" s="16">
        <v>0</v>
      </c>
      <c r="U427" s="16">
        <v>1.031790244</v>
      </c>
      <c r="V427" s="16">
        <v>6</v>
      </c>
      <c r="W427" s="16">
        <v>0.806894</v>
      </c>
      <c r="X427" s="16">
        <v>0.192637</v>
      </c>
      <c r="Y427" s="16">
        <v>0.63183</v>
      </c>
      <c r="Z427" s="16">
        <v>0.20999300000000001</v>
      </c>
      <c r="AA427" s="37"/>
    </row>
    <row r="428" spans="1:27">
      <c r="A428" s="16" t="s">
        <v>62</v>
      </c>
      <c r="B428" s="16" t="s">
        <v>1631</v>
      </c>
      <c r="C428" s="16" t="s">
        <v>1632</v>
      </c>
      <c r="D428" s="16" t="s">
        <v>1633</v>
      </c>
      <c r="E428" s="16" t="s">
        <v>1629</v>
      </c>
      <c r="F428" s="16" t="s">
        <v>1630</v>
      </c>
      <c r="G428" s="16" t="s">
        <v>1621</v>
      </c>
      <c r="H428" s="16" t="s">
        <v>1622</v>
      </c>
      <c r="I428" s="16" t="s">
        <v>198</v>
      </c>
      <c r="J428" s="16" t="s">
        <v>199</v>
      </c>
      <c r="K428" s="16">
        <v>1.999098</v>
      </c>
      <c r="L428" s="36">
        <v>1879</v>
      </c>
      <c r="M428" s="16">
        <v>424</v>
      </c>
      <c r="N428" s="16">
        <v>380</v>
      </c>
      <c r="O428" s="16">
        <v>437</v>
      </c>
      <c r="P428" s="16">
        <v>456</v>
      </c>
      <c r="Q428" s="16">
        <v>182</v>
      </c>
      <c r="R428" s="16" t="s">
        <v>214</v>
      </c>
      <c r="S428" s="16">
        <v>7.0266900000000003</v>
      </c>
      <c r="T428" s="16">
        <v>0</v>
      </c>
      <c r="U428" s="16">
        <v>1.03917997</v>
      </c>
      <c r="V428" s="16">
        <v>4</v>
      </c>
      <c r="W428" s="16">
        <v>0.80756399999999995</v>
      </c>
      <c r="X428" s="16">
        <v>0.30180800000000002</v>
      </c>
      <c r="Y428" s="16">
        <v>0.68312499999999998</v>
      </c>
      <c r="Z428" s="16">
        <v>0.208458</v>
      </c>
      <c r="AA428" s="37"/>
    </row>
    <row r="429" spans="1:27">
      <c r="A429" s="16" t="s">
        <v>62</v>
      </c>
      <c r="B429" s="16" t="s">
        <v>1634</v>
      </c>
      <c r="C429" s="16" t="s">
        <v>1635</v>
      </c>
      <c r="D429" s="16" t="s">
        <v>1636</v>
      </c>
      <c r="E429" s="16" t="s">
        <v>1637</v>
      </c>
      <c r="F429" s="16" t="s">
        <v>1638</v>
      </c>
      <c r="G429" s="16" t="s">
        <v>1621</v>
      </c>
      <c r="H429" s="16" t="s">
        <v>1622</v>
      </c>
      <c r="I429" s="16" t="s">
        <v>198</v>
      </c>
      <c r="J429" s="16" t="s">
        <v>199</v>
      </c>
      <c r="K429" s="16">
        <v>1.8223579999999999</v>
      </c>
      <c r="L429" s="36">
        <v>1670</v>
      </c>
      <c r="M429" s="16">
        <v>422</v>
      </c>
      <c r="N429" s="16">
        <v>288</v>
      </c>
      <c r="O429" s="16">
        <v>353</v>
      </c>
      <c r="P429" s="16">
        <v>384</v>
      </c>
      <c r="Q429" s="16">
        <v>223</v>
      </c>
      <c r="R429" s="16" t="s">
        <v>225</v>
      </c>
      <c r="S429" s="16">
        <v>6.8334599999999996</v>
      </c>
      <c r="T429" s="16">
        <v>2.6378699999999999</v>
      </c>
      <c r="U429" s="16">
        <v>1.2632405630000001</v>
      </c>
      <c r="V429" s="16">
        <v>3</v>
      </c>
      <c r="W429" s="16">
        <v>0.80689100000000002</v>
      </c>
      <c r="X429" s="16">
        <v>0.197214</v>
      </c>
      <c r="Y429" s="16">
        <v>0.6</v>
      </c>
      <c r="Z429" s="16">
        <v>0.202297</v>
      </c>
      <c r="AA429" s="37"/>
    </row>
    <row r="430" spans="1:27">
      <c r="A430" s="16" t="s">
        <v>62</v>
      </c>
      <c r="B430" s="16" t="s">
        <v>1639</v>
      </c>
      <c r="C430" s="16" t="s">
        <v>1640</v>
      </c>
      <c r="D430" s="16" t="s">
        <v>1641</v>
      </c>
      <c r="E430" s="16" t="s">
        <v>1642</v>
      </c>
      <c r="F430" s="16" t="s">
        <v>1643</v>
      </c>
      <c r="G430" s="16" t="s">
        <v>1621</v>
      </c>
      <c r="H430" s="16" t="s">
        <v>1622</v>
      </c>
      <c r="I430" s="16" t="s">
        <v>198</v>
      </c>
      <c r="J430" s="16" t="s">
        <v>199</v>
      </c>
      <c r="K430" s="16">
        <v>2.192504</v>
      </c>
      <c r="L430" s="36">
        <v>2707</v>
      </c>
      <c r="M430" s="16">
        <v>483</v>
      </c>
      <c r="N430" s="16">
        <v>516</v>
      </c>
      <c r="O430" s="16">
        <v>902</v>
      </c>
      <c r="P430" s="16">
        <v>528</v>
      </c>
      <c r="Q430" s="16">
        <v>278</v>
      </c>
      <c r="R430" s="16" t="s">
        <v>225</v>
      </c>
      <c r="S430" s="16">
        <v>15.5456</v>
      </c>
      <c r="T430" s="16">
        <v>0</v>
      </c>
      <c r="U430" s="16">
        <v>0.84526498999999999</v>
      </c>
      <c r="V430" s="16">
        <v>6</v>
      </c>
      <c r="W430" s="16">
        <v>0.81327400000000005</v>
      </c>
      <c r="X430" s="16">
        <v>0.25518999999999997</v>
      </c>
      <c r="Y430" s="16">
        <v>0.618649</v>
      </c>
      <c r="Z430" s="16">
        <v>0.50826400000000005</v>
      </c>
      <c r="AA430" s="37"/>
    </row>
    <row r="431" spans="1:27">
      <c r="A431" s="16" t="s">
        <v>62</v>
      </c>
      <c r="B431" s="16" t="s">
        <v>1644</v>
      </c>
      <c r="C431" s="16" t="s">
        <v>1645</v>
      </c>
      <c r="D431" s="16" t="s">
        <v>1646</v>
      </c>
      <c r="E431" s="16" t="s">
        <v>1642</v>
      </c>
      <c r="F431" s="16" t="s">
        <v>1643</v>
      </c>
      <c r="G431" s="16" t="s">
        <v>1621</v>
      </c>
      <c r="H431" s="16" t="s">
        <v>1622</v>
      </c>
      <c r="I431" s="16" t="s">
        <v>198</v>
      </c>
      <c r="J431" s="16" t="s">
        <v>199</v>
      </c>
      <c r="K431" s="16">
        <v>1.8868940000000001</v>
      </c>
      <c r="L431" s="36">
        <v>1567</v>
      </c>
      <c r="M431" s="16">
        <v>284</v>
      </c>
      <c r="N431" s="16">
        <v>238</v>
      </c>
      <c r="O431" s="16">
        <v>289</v>
      </c>
      <c r="P431" s="16">
        <v>439</v>
      </c>
      <c r="Q431" s="16">
        <v>317</v>
      </c>
      <c r="R431" s="16">
        <v>2</v>
      </c>
      <c r="S431" s="16">
        <v>10.4124</v>
      </c>
      <c r="T431" s="16">
        <v>2.16614</v>
      </c>
      <c r="U431" s="16">
        <v>0.99211808499999998</v>
      </c>
      <c r="V431" s="16">
        <v>7</v>
      </c>
      <c r="W431" s="16">
        <v>0.80691000000000002</v>
      </c>
      <c r="X431" s="16">
        <v>0.24976200000000001</v>
      </c>
      <c r="Y431" s="16">
        <v>0.6</v>
      </c>
      <c r="Z431" s="16">
        <v>0.23269999999999999</v>
      </c>
      <c r="AA431" s="37"/>
    </row>
    <row r="432" spans="1:27">
      <c r="A432" s="16" t="s">
        <v>62</v>
      </c>
      <c r="B432" s="16" t="s">
        <v>1647</v>
      </c>
      <c r="C432" s="16" t="s">
        <v>1648</v>
      </c>
      <c r="D432" s="16" t="s">
        <v>1649</v>
      </c>
      <c r="E432" s="16" t="s">
        <v>1637</v>
      </c>
      <c r="F432" s="16" t="s">
        <v>1638</v>
      </c>
      <c r="G432" s="16" t="s">
        <v>1621</v>
      </c>
      <c r="H432" s="16" t="s">
        <v>1622</v>
      </c>
      <c r="I432" s="16" t="s">
        <v>198</v>
      </c>
      <c r="J432" s="16" t="s">
        <v>199</v>
      </c>
      <c r="K432" s="16">
        <v>1.9131359999999999</v>
      </c>
      <c r="L432" s="36">
        <v>1964</v>
      </c>
      <c r="M432" s="16">
        <v>477</v>
      </c>
      <c r="N432" s="16">
        <v>325</v>
      </c>
      <c r="O432" s="16">
        <v>456</v>
      </c>
      <c r="P432" s="16">
        <v>489</v>
      </c>
      <c r="Q432" s="16">
        <v>217</v>
      </c>
      <c r="R432" s="16">
        <v>2</v>
      </c>
      <c r="S432" s="16">
        <v>10.5296</v>
      </c>
      <c r="T432" s="16">
        <v>1.78016</v>
      </c>
      <c r="U432" s="16">
        <v>1.0921770639999999</v>
      </c>
      <c r="V432" s="16">
        <v>5</v>
      </c>
      <c r="W432" s="16">
        <v>0.80733200000000005</v>
      </c>
      <c r="X432" s="16">
        <v>0.11364100000000001</v>
      </c>
      <c r="Y432" s="16">
        <v>0.67713400000000001</v>
      </c>
      <c r="Z432" s="16">
        <v>0.30040899999999998</v>
      </c>
      <c r="AA432" s="37"/>
    </row>
    <row r="433" spans="1:27">
      <c r="A433" s="16" t="s">
        <v>62</v>
      </c>
      <c r="B433" s="16" t="s">
        <v>1650</v>
      </c>
      <c r="C433" s="16" t="s">
        <v>1651</v>
      </c>
      <c r="D433" s="16" t="s">
        <v>1652</v>
      </c>
      <c r="E433" s="16" t="s">
        <v>1642</v>
      </c>
      <c r="F433" s="16" t="s">
        <v>1643</v>
      </c>
      <c r="G433" s="16" t="s">
        <v>1621</v>
      </c>
      <c r="H433" s="16" t="s">
        <v>1622</v>
      </c>
      <c r="I433" s="16" t="s">
        <v>198</v>
      </c>
      <c r="J433" s="16" t="s">
        <v>199</v>
      </c>
      <c r="K433" s="16">
        <v>1.912447</v>
      </c>
      <c r="L433" s="36">
        <v>1863</v>
      </c>
      <c r="M433" s="16">
        <v>331</v>
      </c>
      <c r="N433" s="16">
        <v>289</v>
      </c>
      <c r="O433" s="16">
        <v>378</v>
      </c>
      <c r="P433" s="16">
        <v>452</v>
      </c>
      <c r="Q433" s="16">
        <v>413</v>
      </c>
      <c r="R433" s="16">
        <v>2</v>
      </c>
      <c r="S433" s="16">
        <v>13.6715</v>
      </c>
      <c r="T433" s="16">
        <v>3.64201</v>
      </c>
      <c r="U433" s="16">
        <v>0.95115380999999999</v>
      </c>
      <c r="V433" s="16">
        <v>8</v>
      </c>
      <c r="W433" s="16">
        <v>0.81054899999999996</v>
      </c>
      <c r="X433" s="16">
        <v>0.12811800000000001</v>
      </c>
      <c r="Y433" s="16">
        <v>0.62986200000000003</v>
      </c>
      <c r="Z433" s="16">
        <v>0.34867399999999998</v>
      </c>
      <c r="AA433" s="37"/>
    </row>
    <row r="434" spans="1:27">
      <c r="A434" s="16" t="s">
        <v>62</v>
      </c>
      <c r="B434" s="16" t="s">
        <v>1653</v>
      </c>
      <c r="C434" s="16" t="s">
        <v>1654</v>
      </c>
      <c r="D434" s="16" t="s">
        <v>1655</v>
      </c>
      <c r="E434" s="16" t="s">
        <v>1656</v>
      </c>
      <c r="F434" s="16" t="s">
        <v>1657</v>
      </c>
      <c r="G434" s="16" t="s">
        <v>1621</v>
      </c>
      <c r="H434" s="16" t="s">
        <v>1622</v>
      </c>
      <c r="I434" s="16" t="s">
        <v>198</v>
      </c>
      <c r="J434" s="16" t="s">
        <v>199</v>
      </c>
      <c r="K434" s="16">
        <v>2.1608969999999998</v>
      </c>
      <c r="L434" s="36">
        <v>1814</v>
      </c>
      <c r="M434" s="16">
        <v>375</v>
      </c>
      <c r="N434" s="16">
        <v>329</v>
      </c>
      <c r="O434" s="16">
        <v>359</v>
      </c>
      <c r="P434" s="16">
        <v>429</v>
      </c>
      <c r="Q434" s="16">
        <v>322</v>
      </c>
      <c r="R434" s="16" t="s">
        <v>225</v>
      </c>
      <c r="S434" s="16">
        <v>8.1021800000000006</v>
      </c>
      <c r="T434" s="16">
        <v>0</v>
      </c>
      <c r="U434" s="16">
        <v>1.2646309309999999</v>
      </c>
      <c r="V434" s="16">
        <v>2</v>
      </c>
      <c r="W434" s="16">
        <v>0.81183099999999997</v>
      </c>
      <c r="X434" s="16">
        <v>0.157337</v>
      </c>
      <c r="Y434" s="16">
        <v>0.63651000000000002</v>
      </c>
      <c r="Z434" s="16">
        <v>0.542466</v>
      </c>
      <c r="AA434" s="37"/>
    </row>
    <row r="435" spans="1:27">
      <c r="A435" s="16" t="s">
        <v>62</v>
      </c>
      <c r="B435" s="16" t="s">
        <v>1658</v>
      </c>
      <c r="C435" s="16" t="s">
        <v>1659</v>
      </c>
      <c r="D435" s="16" t="s">
        <v>1660</v>
      </c>
      <c r="E435" s="16" t="s">
        <v>1656</v>
      </c>
      <c r="F435" s="16" t="s">
        <v>1657</v>
      </c>
      <c r="G435" s="16" t="s">
        <v>1621</v>
      </c>
      <c r="H435" s="16" t="s">
        <v>1622</v>
      </c>
      <c r="I435" s="16" t="s">
        <v>198</v>
      </c>
      <c r="J435" s="16" t="s">
        <v>199</v>
      </c>
      <c r="K435" s="16">
        <v>1.8256650000000001</v>
      </c>
      <c r="L435" s="36">
        <v>1870</v>
      </c>
      <c r="M435" s="16">
        <v>482</v>
      </c>
      <c r="N435" s="16">
        <v>322</v>
      </c>
      <c r="O435" s="16">
        <v>386</v>
      </c>
      <c r="P435" s="16">
        <v>424</v>
      </c>
      <c r="Q435" s="16">
        <v>256</v>
      </c>
      <c r="R435" s="16" t="s">
        <v>214</v>
      </c>
      <c r="S435" s="16">
        <v>7.4704899999999999</v>
      </c>
      <c r="T435" s="16">
        <v>0</v>
      </c>
      <c r="U435" s="16">
        <v>1.2369357750000001</v>
      </c>
      <c r="V435" s="16">
        <v>4</v>
      </c>
      <c r="W435" s="16">
        <v>0.80408500000000005</v>
      </c>
      <c r="X435" s="16">
        <v>0.19375000000000001</v>
      </c>
      <c r="Y435" s="16">
        <v>0.67507700000000004</v>
      </c>
      <c r="Z435" s="16">
        <v>0.14888199999999999</v>
      </c>
      <c r="AA435" s="37"/>
    </row>
    <row r="436" spans="1:27">
      <c r="A436" s="16" t="s">
        <v>62</v>
      </c>
      <c r="B436" s="16" t="s">
        <v>1661</v>
      </c>
      <c r="C436" s="16" t="s">
        <v>1662</v>
      </c>
      <c r="D436" s="16" t="s">
        <v>1663</v>
      </c>
      <c r="E436" s="16" t="s">
        <v>1664</v>
      </c>
      <c r="F436" s="16" t="s">
        <v>1665</v>
      </c>
      <c r="G436" s="16" t="s">
        <v>1621</v>
      </c>
      <c r="H436" s="16" t="s">
        <v>1622</v>
      </c>
      <c r="I436" s="16" t="s">
        <v>198</v>
      </c>
      <c r="J436" s="16" t="s">
        <v>199</v>
      </c>
      <c r="K436" s="16">
        <v>1.748407</v>
      </c>
      <c r="L436" s="36">
        <v>1766</v>
      </c>
      <c r="M436" s="16">
        <v>386</v>
      </c>
      <c r="N436" s="16">
        <v>268</v>
      </c>
      <c r="O436" s="16">
        <v>409</v>
      </c>
      <c r="P436" s="16">
        <v>428</v>
      </c>
      <c r="Q436" s="16">
        <v>275</v>
      </c>
      <c r="R436" s="16">
        <v>2</v>
      </c>
      <c r="S436" s="16">
        <v>11.4076</v>
      </c>
      <c r="T436" s="16">
        <v>0</v>
      </c>
      <c r="U436" s="16">
        <v>1.0223589799999999</v>
      </c>
      <c r="V436" s="16">
        <v>8</v>
      </c>
      <c r="W436" s="16">
        <v>0.80318599999999996</v>
      </c>
      <c r="X436" s="16">
        <v>8.3393999999999996E-2</v>
      </c>
      <c r="Y436" s="16">
        <v>0.6</v>
      </c>
      <c r="Z436" s="16">
        <v>0.25960800000000001</v>
      </c>
      <c r="AA436" s="37"/>
    </row>
    <row r="437" spans="1:27">
      <c r="A437" s="16" t="s">
        <v>62</v>
      </c>
      <c r="B437" s="16" t="s">
        <v>1666</v>
      </c>
      <c r="C437" s="16" t="s">
        <v>1667</v>
      </c>
      <c r="D437" s="16" t="s">
        <v>1668</v>
      </c>
      <c r="E437" s="16" t="s">
        <v>1619</v>
      </c>
      <c r="F437" s="16" t="s">
        <v>1620</v>
      </c>
      <c r="G437" s="16" t="s">
        <v>1621</v>
      </c>
      <c r="H437" s="16" t="s">
        <v>1622</v>
      </c>
      <c r="I437" s="16" t="s">
        <v>198</v>
      </c>
      <c r="J437" s="16" t="s">
        <v>199</v>
      </c>
      <c r="K437" s="16">
        <v>1.8086679999999999</v>
      </c>
      <c r="L437" s="36">
        <v>1752</v>
      </c>
      <c r="M437" s="16">
        <v>332</v>
      </c>
      <c r="N437" s="16">
        <v>287</v>
      </c>
      <c r="O437" s="16">
        <v>378</v>
      </c>
      <c r="P437" s="16">
        <v>429</v>
      </c>
      <c r="Q437" s="16">
        <v>326</v>
      </c>
      <c r="R437" s="16" t="s">
        <v>225</v>
      </c>
      <c r="S437" s="16">
        <v>10.0808</v>
      </c>
      <c r="T437" s="16">
        <v>0</v>
      </c>
      <c r="U437" s="16">
        <v>1.0080349740000001</v>
      </c>
      <c r="V437" s="16">
        <v>6</v>
      </c>
      <c r="W437" s="16">
        <v>0.80793800000000005</v>
      </c>
      <c r="X437" s="16">
        <v>0.12981799999999999</v>
      </c>
      <c r="Y437" s="16">
        <v>0.60536400000000001</v>
      </c>
      <c r="Z437" s="16">
        <v>0.25572699999999998</v>
      </c>
      <c r="AA437" s="37"/>
    </row>
    <row r="438" spans="1:27">
      <c r="A438" s="16" t="s">
        <v>62</v>
      </c>
      <c r="B438" s="16" t="s">
        <v>1669</v>
      </c>
      <c r="C438" s="16" t="s">
        <v>1670</v>
      </c>
      <c r="D438" s="16" t="s">
        <v>1671</v>
      </c>
      <c r="E438" s="16" t="s">
        <v>1619</v>
      </c>
      <c r="F438" s="16" t="s">
        <v>1620</v>
      </c>
      <c r="G438" s="16" t="s">
        <v>1621</v>
      </c>
      <c r="H438" s="16" t="s">
        <v>1622</v>
      </c>
      <c r="I438" s="16" t="s">
        <v>198</v>
      </c>
      <c r="J438" s="16" t="s">
        <v>199</v>
      </c>
      <c r="K438" s="16">
        <v>1.870179</v>
      </c>
      <c r="L438" s="36">
        <v>1992</v>
      </c>
      <c r="M438" s="16">
        <v>472</v>
      </c>
      <c r="N438" s="16">
        <v>317</v>
      </c>
      <c r="O438" s="16">
        <v>422</v>
      </c>
      <c r="P438" s="16">
        <v>477</v>
      </c>
      <c r="Q438" s="16">
        <v>304</v>
      </c>
      <c r="R438" s="16" t="s">
        <v>214</v>
      </c>
      <c r="S438" s="16">
        <v>6.17136</v>
      </c>
      <c r="T438" s="16">
        <v>0</v>
      </c>
      <c r="U438" s="16">
        <v>1.071391531</v>
      </c>
      <c r="V438" s="16">
        <v>5</v>
      </c>
      <c r="W438" s="16">
        <v>0.80844499999999997</v>
      </c>
      <c r="X438" s="16">
        <v>0.22345000000000001</v>
      </c>
      <c r="Y438" s="16">
        <v>0.66522700000000001</v>
      </c>
      <c r="Z438" s="16">
        <v>0.163548</v>
      </c>
      <c r="AA438" s="37"/>
    </row>
    <row r="439" spans="1:27">
      <c r="A439" s="16" t="s">
        <v>62</v>
      </c>
      <c r="B439" s="16" t="s">
        <v>1672</v>
      </c>
      <c r="C439" s="16" t="s">
        <v>1673</v>
      </c>
      <c r="D439" s="16" t="s">
        <v>1674</v>
      </c>
      <c r="E439" s="16" t="s">
        <v>1675</v>
      </c>
      <c r="F439" s="16" t="s">
        <v>1676</v>
      </c>
      <c r="G439" s="16" t="s">
        <v>1621</v>
      </c>
      <c r="H439" s="16" t="s">
        <v>1622</v>
      </c>
      <c r="I439" s="16" t="s">
        <v>198</v>
      </c>
      <c r="J439" s="16" t="s">
        <v>199</v>
      </c>
      <c r="K439" s="16">
        <v>1.820031</v>
      </c>
      <c r="L439" s="36">
        <v>1695</v>
      </c>
      <c r="M439" s="16">
        <v>239</v>
      </c>
      <c r="N439" s="16">
        <v>231</v>
      </c>
      <c r="O439" s="16">
        <v>229</v>
      </c>
      <c r="P439" s="16">
        <v>502</v>
      </c>
      <c r="Q439" s="16">
        <v>494</v>
      </c>
      <c r="R439" s="16" t="s">
        <v>214</v>
      </c>
      <c r="S439" s="16">
        <v>4.4518599999999999</v>
      </c>
      <c r="T439" s="16">
        <v>0</v>
      </c>
      <c r="U439" s="16">
        <v>0.95315646399999998</v>
      </c>
      <c r="V439" s="16">
        <v>7</v>
      </c>
      <c r="W439" s="16">
        <v>0.808365</v>
      </c>
      <c r="X439" s="16">
        <v>0.184669</v>
      </c>
      <c r="Y439" s="16">
        <v>0.67731600000000003</v>
      </c>
      <c r="Z439" s="16">
        <v>0.151696</v>
      </c>
      <c r="AA439" s="37"/>
    </row>
    <row r="440" spans="1:27">
      <c r="A440" s="16" t="s">
        <v>62</v>
      </c>
      <c r="B440" s="16" t="s">
        <v>1677</v>
      </c>
      <c r="C440" s="16" t="s">
        <v>1678</v>
      </c>
      <c r="D440" s="16" t="s">
        <v>1679</v>
      </c>
      <c r="E440" s="16" t="s">
        <v>1675</v>
      </c>
      <c r="F440" s="16" t="s">
        <v>1676</v>
      </c>
      <c r="G440" s="16" t="s">
        <v>1621</v>
      </c>
      <c r="H440" s="16" t="s">
        <v>1622</v>
      </c>
      <c r="I440" s="16" t="s">
        <v>198</v>
      </c>
      <c r="J440" s="16" t="s">
        <v>199</v>
      </c>
      <c r="K440" s="16">
        <v>1.767755</v>
      </c>
      <c r="L440" s="36">
        <v>1636</v>
      </c>
      <c r="M440" s="16">
        <v>309</v>
      </c>
      <c r="N440" s="16">
        <v>249</v>
      </c>
      <c r="O440" s="16">
        <v>280</v>
      </c>
      <c r="P440" s="16">
        <v>408</v>
      </c>
      <c r="Q440" s="16">
        <v>390</v>
      </c>
      <c r="R440" s="16" t="s">
        <v>225</v>
      </c>
      <c r="S440" s="16">
        <v>7.0854799999999996</v>
      </c>
      <c r="T440" s="16">
        <v>0</v>
      </c>
      <c r="U440" s="16">
        <v>1.038063639</v>
      </c>
      <c r="V440" s="16">
        <v>7</v>
      </c>
      <c r="W440" s="16">
        <v>0.80530599999999997</v>
      </c>
      <c r="X440" s="16">
        <v>5.6438000000000002E-2</v>
      </c>
      <c r="Y440" s="16">
        <v>0.69684900000000005</v>
      </c>
      <c r="Z440" s="16">
        <v>0.2</v>
      </c>
      <c r="AA440" s="37"/>
    </row>
    <row r="441" spans="1:27">
      <c r="A441" s="16" t="s">
        <v>62</v>
      </c>
      <c r="B441" s="16" t="s">
        <v>1680</v>
      </c>
      <c r="C441" s="16" t="s">
        <v>1681</v>
      </c>
      <c r="D441" s="16" t="s">
        <v>1682</v>
      </c>
      <c r="E441" s="16" t="s">
        <v>1683</v>
      </c>
      <c r="F441" s="16" t="s">
        <v>1684</v>
      </c>
      <c r="G441" s="16" t="s">
        <v>1621</v>
      </c>
      <c r="H441" s="16" t="s">
        <v>1622</v>
      </c>
      <c r="I441" s="16" t="s">
        <v>198</v>
      </c>
      <c r="J441" s="16" t="s">
        <v>199</v>
      </c>
      <c r="K441" s="16">
        <v>1.876887</v>
      </c>
      <c r="L441" s="36">
        <v>1315</v>
      </c>
      <c r="M441" s="16">
        <v>183</v>
      </c>
      <c r="N441" s="16">
        <v>215</v>
      </c>
      <c r="O441" s="16">
        <v>166</v>
      </c>
      <c r="P441" s="16">
        <v>352</v>
      </c>
      <c r="Q441" s="16">
        <v>399</v>
      </c>
      <c r="R441" s="16" t="s">
        <v>225</v>
      </c>
      <c r="S441" s="16">
        <v>10.2355</v>
      </c>
      <c r="T441" s="16">
        <v>0</v>
      </c>
      <c r="U441" s="16">
        <v>0.93119892299999996</v>
      </c>
      <c r="V441" s="16">
        <v>7</v>
      </c>
      <c r="W441" s="16">
        <v>0.80636799999999997</v>
      </c>
      <c r="X441" s="16">
        <v>0.239731</v>
      </c>
      <c r="Y441" s="16">
        <v>0.600607</v>
      </c>
      <c r="Z441" s="16">
        <v>0.22853799999999999</v>
      </c>
      <c r="AA441" s="37"/>
    </row>
    <row r="442" spans="1:27">
      <c r="A442" s="16" t="s">
        <v>62</v>
      </c>
      <c r="B442" s="16" t="s">
        <v>1685</v>
      </c>
      <c r="C442" s="16" t="s">
        <v>1686</v>
      </c>
      <c r="D442" s="16" t="s">
        <v>1687</v>
      </c>
      <c r="E442" s="16" t="s">
        <v>1664</v>
      </c>
      <c r="F442" s="16" t="s">
        <v>1665</v>
      </c>
      <c r="G442" s="16" t="s">
        <v>1621</v>
      </c>
      <c r="H442" s="16" t="s">
        <v>1622</v>
      </c>
      <c r="I442" s="16" t="s">
        <v>198</v>
      </c>
      <c r="J442" s="16" t="s">
        <v>199</v>
      </c>
      <c r="K442" s="16">
        <v>1.8723650000000001</v>
      </c>
      <c r="L442" s="36">
        <v>1368</v>
      </c>
      <c r="M442" s="16">
        <v>283</v>
      </c>
      <c r="N442" s="16">
        <v>209</v>
      </c>
      <c r="O442" s="16">
        <v>275</v>
      </c>
      <c r="P442" s="16">
        <v>350</v>
      </c>
      <c r="Q442" s="16">
        <v>251</v>
      </c>
      <c r="R442" s="16">
        <v>2</v>
      </c>
      <c r="S442" s="16">
        <v>13.514099999999999</v>
      </c>
      <c r="T442" s="16">
        <v>0</v>
      </c>
      <c r="U442" s="16">
        <v>0.96493851399999997</v>
      </c>
      <c r="V442" s="16">
        <v>7</v>
      </c>
      <c r="W442" s="16">
        <v>0.81510000000000005</v>
      </c>
      <c r="X442" s="16">
        <v>0.15920699999999999</v>
      </c>
      <c r="Y442" s="16">
        <v>0.64617599999999997</v>
      </c>
      <c r="Z442" s="16">
        <v>0.24263499999999999</v>
      </c>
      <c r="AA442" s="37"/>
    </row>
    <row r="443" spans="1:27">
      <c r="A443" s="16" t="s">
        <v>62</v>
      </c>
      <c r="B443" s="16" t="s">
        <v>1688</v>
      </c>
      <c r="C443" s="16" t="s">
        <v>1689</v>
      </c>
      <c r="D443" s="16" t="s">
        <v>1690</v>
      </c>
      <c r="E443" s="16" t="s">
        <v>1675</v>
      </c>
      <c r="F443" s="16" t="s">
        <v>1676</v>
      </c>
      <c r="G443" s="16" t="s">
        <v>1621</v>
      </c>
      <c r="H443" s="16" t="s">
        <v>1622</v>
      </c>
      <c r="I443" s="16" t="s">
        <v>198</v>
      </c>
      <c r="J443" s="16" t="s">
        <v>199</v>
      </c>
      <c r="K443" s="16">
        <v>1.7026619999999999</v>
      </c>
      <c r="L443" s="36">
        <v>1615</v>
      </c>
      <c r="M443" s="16">
        <v>294</v>
      </c>
      <c r="N443" s="16">
        <v>229</v>
      </c>
      <c r="O443" s="16">
        <v>231</v>
      </c>
      <c r="P443" s="16">
        <v>450</v>
      </c>
      <c r="Q443" s="16">
        <v>411</v>
      </c>
      <c r="R443" s="16" t="s">
        <v>225</v>
      </c>
      <c r="S443" s="16">
        <v>8.6023999999999994</v>
      </c>
      <c r="T443" s="16">
        <v>0</v>
      </c>
      <c r="U443" s="16">
        <v>0.95511593699999997</v>
      </c>
      <c r="V443" s="16">
        <v>10</v>
      </c>
      <c r="W443" s="16">
        <v>0.8</v>
      </c>
      <c r="X443" s="16">
        <v>0</v>
      </c>
      <c r="Y443" s="16">
        <v>0.689469</v>
      </c>
      <c r="Z443" s="16">
        <v>0.21266599999999999</v>
      </c>
      <c r="AA443" s="37"/>
    </row>
    <row r="444" spans="1:27">
      <c r="A444" s="16" t="s">
        <v>62</v>
      </c>
      <c r="B444" s="16" t="s">
        <v>1691</v>
      </c>
      <c r="C444" s="16" t="s">
        <v>1692</v>
      </c>
      <c r="D444" s="16" t="s">
        <v>1693</v>
      </c>
      <c r="E444" s="16" t="s">
        <v>1664</v>
      </c>
      <c r="F444" s="16" t="s">
        <v>1665</v>
      </c>
      <c r="G444" s="16" t="s">
        <v>1621</v>
      </c>
      <c r="H444" s="16" t="s">
        <v>1622</v>
      </c>
      <c r="I444" s="16" t="s">
        <v>198</v>
      </c>
      <c r="J444" s="16" t="s">
        <v>199</v>
      </c>
      <c r="K444" s="16">
        <v>1.9073640000000001</v>
      </c>
      <c r="L444" s="36">
        <v>1426</v>
      </c>
      <c r="M444" s="16">
        <v>289</v>
      </c>
      <c r="N444" s="16">
        <v>211</v>
      </c>
      <c r="O444" s="16">
        <v>280</v>
      </c>
      <c r="P444" s="16">
        <v>389</v>
      </c>
      <c r="Q444" s="16">
        <v>257</v>
      </c>
      <c r="R444" s="16">
        <v>3</v>
      </c>
      <c r="S444" s="16">
        <v>18.342099999999999</v>
      </c>
      <c r="T444" s="16">
        <v>7.9461199999999996</v>
      </c>
      <c r="U444" s="16">
        <v>0.87908903100000002</v>
      </c>
      <c r="V444" s="16">
        <v>8</v>
      </c>
      <c r="W444" s="16">
        <v>0.81781999999999999</v>
      </c>
      <c r="X444" s="16">
        <v>0.10764700000000001</v>
      </c>
      <c r="Y444" s="16">
        <v>0.69896800000000003</v>
      </c>
      <c r="Z444" s="16">
        <v>0.29853200000000002</v>
      </c>
      <c r="AA444" s="37"/>
    </row>
    <row r="445" spans="1:27">
      <c r="A445" s="16" t="s">
        <v>62</v>
      </c>
      <c r="B445" s="16" t="s">
        <v>1694</v>
      </c>
      <c r="C445" s="16" t="s">
        <v>1695</v>
      </c>
      <c r="D445" s="16" t="s">
        <v>1696</v>
      </c>
      <c r="E445" s="16" t="s">
        <v>1697</v>
      </c>
      <c r="F445" s="16" t="s">
        <v>1698</v>
      </c>
      <c r="G445" s="16" t="s">
        <v>1621</v>
      </c>
      <c r="H445" s="16" t="s">
        <v>1622</v>
      </c>
      <c r="I445" s="16" t="s">
        <v>198</v>
      </c>
      <c r="J445" s="16" t="s">
        <v>199</v>
      </c>
      <c r="K445" s="16">
        <v>2.069858</v>
      </c>
      <c r="L445" s="36">
        <v>1698</v>
      </c>
      <c r="M445" s="16">
        <v>317</v>
      </c>
      <c r="N445" s="16">
        <v>266</v>
      </c>
      <c r="O445" s="16">
        <v>360</v>
      </c>
      <c r="P445" s="16">
        <v>448</v>
      </c>
      <c r="Q445" s="16">
        <v>307</v>
      </c>
      <c r="R445" s="16" t="s">
        <v>225</v>
      </c>
      <c r="S445" s="16">
        <v>9.4396900000000006</v>
      </c>
      <c r="T445" s="16">
        <v>0</v>
      </c>
      <c r="U445" s="16">
        <v>0.80246522200000003</v>
      </c>
      <c r="V445" s="16">
        <v>9</v>
      </c>
      <c r="W445" s="16">
        <v>0.81737599999999999</v>
      </c>
      <c r="X445" s="16">
        <v>0.15309500000000001</v>
      </c>
      <c r="Y445" s="16">
        <v>0.6</v>
      </c>
      <c r="Z445" s="16">
        <v>0.50472799999999995</v>
      </c>
      <c r="AA445" s="37"/>
    </row>
    <row r="446" spans="1:27">
      <c r="A446" s="16" t="s">
        <v>62</v>
      </c>
      <c r="B446" s="16" t="s">
        <v>1699</v>
      </c>
      <c r="C446" s="16" t="s">
        <v>1700</v>
      </c>
      <c r="D446" s="16" t="s">
        <v>1701</v>
      </c>
      <c r="E446" s="16" t="s">
        <v>1702</v>
      </c>
      <c r="F446" s="16" t="s">
        <v>1703</v>
      </c>
      <c r="G446" s="16" t="s">
        <v>1429</v>
      </c>
      <c r="H446" s="16" t="s">
        <v>1430</v>
      </c>
      <c r="I446" s="16" t="s">
        <v>198</v>
      </c>
      <c r="J446" s="16" t="s">
        <v>199</v>
      </c>
      <c r="K446" s="16">
        <v>2.02251</v>
      </c>
      <c r="L446" s="36">
        <v>1754</v>
      </c>
      <c r="M446" s="16">
        <v>350</v>
      </c>
      <c r="N446" s="16">
        <v>363</v>
      </c>
      <c r="O446" s="16">
        <v>400</v>
      </c>
      <c r="P446" s="16">
        <v>424</v>
      </c>
      <c r="Q446" s="16">
        <v>217</v>
      </c>
      <c r="R446" s="16">
        <v>2</v>
      </c>
      <c r="S446" s="16">
        <v>12.684799999999999</v>
      </c>
      <c r="T446" s="16">
        <v>0</v>
      </c>
      <c r="U446" s="16">
        <v>0.91653514300000005</v>
      </c>
      <c r="V446" s="16">
        <v>6</v>
      </c>
      <c r="W446" s="16">
        <v>0.83777500000000005</v>
      </c>
      <c r="X446" s="16">
        <v>0.21638499999999999</v>
      </c>
      <c r="Y446" s="16">
        <v>0.7</v>
      </c>
      <c r="Z446" s="16">
        <v>0.25013000000000002</v>
      </c>
      <c r="AA446" s="37"/>
    </row>
    <row r="447" spans="1:27">
      <c r="A447" s="16" t="s">
        <v>62</v>
      </c>
      <c r="B447" s="16" t="s">
        <v>1704</v>
      </c>
      <c r="C447" s="16" t="s">
        <v>1705</v>
      </c>
      <c r="D447" s="16" t="s">
        <v>1706</v>
      </c>
      <c r="E447" s="16" t="s">
        <v>1702</v>
      </c>
      <c r="F447" s="16" t="s">
        <v>1703</v>
      </c>
      <c r="G447" s="16" t="s">
        <v>1429</v>
      </c>
      <c r="H447" s="16" t="s">
        <v>1430</v>
      </c>
      <c r="I447" s="16" t="s">
        <v>198</v>
      </c>
      <c r="J447" s="16" t="s">
        <v>199</v>
      </c>
      <c r="K447" s="16">
        <v>1.7946</v>
      </c>
      <c r="L447" s="36">
        <v>1858</v>
      </c>
      <c r="M447" s="16">
        <v>384</v>
      </c>
      <c r="N447" s="16">
        <v>419</v>
      </c>
      <c r="O447" s="16">
        <v>374</v>
      </c>
      <c r="P447" s="16">
        <v>461</v>
      </c>
      <c r="Q447" s="16">
        <v>220</v>
      </c>
      <c r="R447" s="16">
        <v>2</v>
      </c>
      <c r="S447" s="16">
        <v>12.430300000000001</v>
      </c>
      <c r="T447" s="16">
        <v>0</v>
      </c>
      <c r="U447" s="16">
        <v>1.120877398</v>
      </c>
      <c r="V447" s="16">
        <v>6</v>
      </c>
      <c r="W447" s="16">
        <v>0.80464400000000003</v>
      </c>
      <c r="X447" s="16">
        <v>1.8630000000000001E-2</v>
      </c>
      <c r="Y447" s="16">
        <v>0.7</v>
      </c>
      <c r="Z447" s="16">
        <v>0.267957</v>
      </c>
      <c r="AA447" s="37"/>
    </row>
    <row r="448" spans="1:27">
      <c r="A448" s="16" t="s">
        <v>62</v>
      </c>
      <c r="B448" s="16" t="s">
        <v>1707</v>
      </c>
      <c r="C448" s="16" t="s">
        <v>1708</v>
      </c>
      <c r="D448" s="16" t="s">
        <v>1709</v>
      </c>
      <c r="E448" s="16" t="s">
        <v>1710</v>
      </c>
      <c r="F448" s="16" t="s">
        <v>1711</v>
      </c>
      <c r="G448" s="16" t="s">
        <v>1429</v>
      </c>
      <c r="H448" s="16" t="s">
        <v>1430</v>
      </c>
      <c r="I448" s="16" t="s">
        <v>198</v>
      </c>
      <c r="J448" s="16" t="s">
        <v>199</v>
      </c>
      <c r="K448" s="16">
        <v>2.1411630000000001</v>
      </c>
      <c r="L448" s="36">
        <v>1610</v>
      </c>
      <c r="M448" s="16">
        <v>341</v>
      </c>
      <c r="N448" s="16">
        <v>267</v>
      </c>
      <c r="O448" s="16">
        <v>382</v>
      </c>
      <c r="P448" s="16">
        <v>370</v>
      </c>
      <c r="Q448" s="16">
        <v>250</v>
      </c>
      <c r="R448" s="16">
        <v>2</v>
      </c>
      <c r="S448" s="16">
        <v>10.9321</v>
      </c>
      <c r="T448" s="16">
        <v>2.2746</v>
      </c>
      <c r="U448" s="16">
        <v>0.84307863299999997</v>
      </c>
      <c r="V448" s="16">
        <v>7</v>
      </c>
      <c r="W448" s="16">
        <v>0.89977600000000002</v>
      </c>
      <c r="X448" s="16">
        <v>0.146756</v>
      </c>
      <c r="Y448" s="16">
        <v>0.7</v>
      </c>
      <c r="Z448" s="16">
        <v>0.378104</v>
      </c>
      <c r="AA448" s="37"/>
    </row>
    <row r="449" spans="1:27">
      <c r="A449" s="16" t="s">
        <v>62</v>
      </c>
      <c r="B449" s="16" t="s">
        <v>1712</v>
      </c>
      <c r="C449" s="16" t="s">
        <v>1713</v>
      </c>
      <c r="D449" s="16" t="s">
        <v>1714</v>
      </c>
      <c r="E449" s="16" t="s">
        <v>1710</v>
      </c>
      <c r="F449" s="16" t="s">
        <v>1711</v>
      </c>
      <c r="G449" s="16" t="s">
        <v>1429</v>
      </c>
      <c r="H449" s="16" t="s">
        <v>1430</v>
      </c>
      <c r="I449" s="16" t="s">
        <v>198</v>
      </c>
      <c r="J449" s="16" t="s">
        <v>199</v>
      </c>
      <c r="K449" s="16">
        <v>2.1398350000000002</v>
      </c>
      <c r="L449" s="36">
        <v>2930</v>
      </c>
      <c r="M449" s="16">
        <v>727</v>
      </c>
      <c r="N449" s="16">
        <v>490</v>
      </c>
      <c r="O449" s="16">
        <v>942</v>
      </c>
      <c r="P449" s="16">
        <v>535</v>
      </c>
      <c r="Q449" s="16">
        <v>236</v>
      </c>
      <c r="R449" s="16">
        <v>3</v>
      </c>
      <c r="S449" s="16">
        <v>14.374599999999999</v>
      </c>
      <c r="T449" s="16">
        <v>4.8605799999999997</v>
      </c>
      <c r="U449" s="16">
        <v>0.98097724100000006</v>
      </c>
      <c r="V449" s="16">
        <v>5</v>
      </c>
      <c r="W449" s="16">
        <v>0.87843400000000005</v>
      </c>
      <c r="X449" s="16">
        <v>0.165241</v>
      </c>
      <c r="Y449" s="16">
        <v>0.7</v>
      </c>
      <c r="Z449" s="16">
        <v>0.38459399999999999</v>
      </c>
      <c r="AA449" s="37"/>
    </row>
    <row r="450" spans="1:27">
      <c r="A450" s="16" t="s">
        <v>62</v>
      </c>
      <c r="B450" s="16" t="s">
        <v>1715</v>
      </c>
      <c r="C450" s="16" t="s">
        <v>1716</v>
      </c>
      <c r="D450" s="16" t="s">
        <v>1717</v>
      </c>
      <c r="E450" s="16" t="s">
        <v>1568</v>
      </c>
      <c r="F450" s="16" t="s">
        <v>1569</v>
      </c>
      <c r="G450" s="16" t="s">
        <v>1429</v>
      </c>
      <c r="H450" s="16" t="s">
        <v>1430</v>
      </c>
      <c r="I450" s="16" t="s">
        <v>198</v>
      </c>
      <c r="J450" s="16" t="s">
        <v>199</v>
      </c>
      <c r="K450" s="16">
        <v>2.1618339999999998</v>
      </c>
      <c r="L450" s="36">
        <v>2096</v>
      </c>
      <c r="M450" s="16">
        <v>408</v>
      </c>
      <c r="N450" s="16">
        <v>420</v>
      </c>
      <c r="O450" s="16">
        <v>575</v>
      </c>
      <c r="P450" s="16">
        <v>441</v>
      </c>
      <c r="Q450" s="16">
        <v>252</v>
      </c>
      <c r="R450" s="16">
        <v>3</v>
      </c>
      <c r="S450" s="16">
        <v>21.939800000000002</v>
      </c>
      <c r="T450" s="16">
        <v>8.7837499999999995</v>
      </c>
      <c r="U450" s="16">
        <v>0.83120894400000001</v>
      </c>
      <c r="V450" s="16">
        <v>7</v>
      </c>
      <c r="W450" s="16">
        <v>0.90810199999999996</v>
      </c>
      <c r="X450" s="16">
        <v>0.20256399999999999</v>
      </c>
      <c r="Y450" s="16">
        <v>0.7</v>
      </c>
      <c r="Z450" s="16">
        <v>0.35337600000000002</v>
      </c>
      <c r="AA450" s="37"/>
    </row>
    <row r="451" spans="1:27">
      <c r="A451" s="16" t="s">
        <v>62</v>
      </c>
      <c r="B451" s="16" t="s">
        <v>1718</v>
      </c>
      <c r="C451" s="16" t="s">
        <v>1719</v>
      </c>
      <c r="D451" s="16" t="s">
        <v>1720</v>
      </c>
      <c r="E451" s="16" t="s">
        <v>1721</v>
      </c>
      <c r="F451" s="16" t="s">
        <v>1722</v>
      </c>
      <c r="G451" s="16" t="s">
        <v>1429</v>
      </c>
      <c r="H451" s="16" t="s">
        <v>1430</v>
      </c>
      <c r="I451" s="16" t="s">
        <v>198</v>
      </c>
      <c r="J451" s="16" t="s">
        <v>199</v>
      </c>
      <c r="K451" s="16">
        <v>1.9626110000000001</v>
      </c>
      <c r="L451" s="36">
        <v>1882</v>
      </c>
      <c r="M451" s="16">
        <v>424</v>
      </c>
      <c r="N451" s="16">
        <v>303</v>
      </c>
      <c r="O451" s="16">
        <v>367</v>
      </c>
      <c r="P451" s="16">
        <v>445</v>
      </c>
      <c r="Q451" s="16">
        <v>343</v>
      </c>
      <c r="R451" s="16">
        <v>2</v>
      </c>
      <c r="S451" s="16">
        <v>9.2218400000000003</v>
      </c>
      <c r="T451" s="16">
        <v>0</v>
      </c>
      <c r="U451" s="16">
        <v>1.017724267</v>
      </c>
      <c r="V451" s="16">
        <v>6</v>
      </c>
      <c r="W451" s="16">
        <v>0.83606199999999997</v>
      </c>
      <c r="X451" s="16">
        <v>0.16600400000000001</v>
      </c>
      <c r="Y451" s="16">
        <v>0.7</v>
      </c>
      <c r="Z451" s="16">
        <v>0.28084199999999998</v>
      </c>
      <c r="AA451" s="37"/>
    </row>
    <row r="452" spans="1:27">
      <c r="A452" s="16" t="s">
        <v>62</v>
      </c>
      <c r="B452" s="16" t="s">
        <v>1723</v>
      </c>
      <c r="C452" s="16" t="s">
        <v>1724</v>
      </c>
      <c r="D452" s="16" t="s">
        <v>1725</v>
      </c>
      <c r="E452" s="16" t="s">
        <v>1721</v>
      </c>
      <c r="F452" s="16" t="s">
        <v>1722</v>
      </c>
      <c r="G452" s="16" t="s">
        <v>1429</v>
      </c>
      <c r="H452" s="16" t="s">
        <v>1430</v>
      </c>
      <c r="I452" s="16" t="s">
        <v>198</v>
      </c>
      <c r="J452" s="16" t="s">
        <v>199</v>
      </c>
      <c r="K452" s="16">
        <v>1.770923</v>
      </c>
      <c r="L452" s="36">
        <v>1707</v>
      </c>
      <c r="M452" s="16">
        <v>418</v>
      </c>
      <c r="N452" s="16">
        <v>364</v>
      </c>
      <c r="O452" s="16">
        <v>313</v>
      </c>
      <c r="P452" s="16">
        <v>431</v>
      </c>
      <c r="Q452" s="16">
        <v>181</v>
      </c>
      <c r="R452" s="16" t="s">
        <v>214</v>
      </c>
      <c r="S452" s="16">
        <v>4.1488399999999999</v>
      </c>
      <c r="T452" s="16">
        <v>0</v>
      </c>
      <c r="U452" s="16">
        <v>1.091876157</v>
      </c>
      <c r="V452" s="16">
        <v>6</v>
      </c>
      <c r="W452" s="16">
        <v>0.80098199999999997</v>
      </c>
      <c r="X452" s="16">
        <v>3.96E-3</v>
      </c>
      <c r="Y452" s="16">
        <v>0.66693100000000005</v>
      </c>
      <c r="Z452" s="16">
        <v>0.3</v>
      </c>
      <c r="AA452" s="37"/>
    </row>
    <row r="453" spans="1:27">
      <c r="A453" s="16" t="s">
        <v>62</v>
      </c>
      <c r="B453" s="16" t="s">
        <v>1726</v>
      </c>
      <c r="C453" s="16" t="s">
        <v>1727</v>
      </c>
      <c r="D453" s="16" t="s">
        <v>1728</v>
      </c>
      <c r="E453" s="16" t="s">
        <v>1729</v>
      </c>
      <c r="F453" s="16" t="s">
        <v>1730</v>
      </c>
      <c r="G453" s="16" t="s">
        <v>1429</v>
      </c>
      <c r="H453" s="16" t="s">
        <v>1430</v>
      </c>
      <c r="I453" s="16" t="s">
        <v>198</v>
      </c>
      <c r="J453" s="16" t="s">
        <v>199</v>
      </c>
      <c r="K453" s="16">
        <v>1.9079269999999999</v>
      </c>
      <c r="L453" s="36">
        <v>2144</v>
      </c>
      <c r="M453" s="16">
        <v>508</v>
      </c>
      <c r="N453" s="16">
        <v>460</v>
      </c>
      <c r="O453" s="16">
        <v>421</v>
      </c>
      <c r="P453" s="16">
        <v>501</v>
      </c>
      <c r="Q453" s="16">
        <v>254</v>
      </c>
      <c r="R453" s="16" t="s">
        <v>225</v>
      </c>
      <c r="S453" s="16">
        <v>12.1501</v>
      </c>
      <c r="T453" s="16">
        <v>0</v>
      </c>
      <c r="U453" s="16">
        <v>1.0483425099999999</v>
      </c>
      <c r="V453" s="16">
        <v>6</v>
      </c>
      <c r="W453" s="16">
        <v>0.84792699999999999</v>
      </c>
      <c r="X453" s="16">
        <v>0.12776100000000001</v>
      </c>
      <c r="Y453" s="16">
        <v>0.7</v>
      </c>
      <c r="Z453" s="16">
        <v>0.25265399999999999</v>
      </c>
      <c r="AA453" s="37"/>
    </row>
    <row r="454" spans="1:27">
      <c r="A454" s="16" t="s">
        <v>62</v>
      </c>
      <c r="B454" s="16" t="s">
        <v>1731</v>
      </c>
      <c r="C454" s="16" t="s">
        <v>1732</v>
      </c>
      <c r="D454" s="16" t="s">
        <v>1733</v>
      </c>
      <c r="E454" s="16" t="s">
        <v>1734</v>
      </c>
      <c r="F454" s="16" t="s">
        <v>1735</v>
      </c>
      <c r="G454" s="16" t="s">
        <v>1429</v>
      </c>
      <c r="H454" s="16" t="s">
        <v>1430</v>
      </c>
      <c r="I454" s="16" t="s">
        <v>198</v>
      </c>
      <c r="J454" s="16" t="s">
        <v>199</v>
      </c>
      <c r="K454" s="16">
        <v>2.1679270000000002</v>
      </c>
      <c r="L454" s="36">
        <v>2880</v>
      </c>
      <c r="M454" s="16">
        <v>567</v>
      </c>
      <c r="N454" s="16">
        <v>654</v>
      </c>
      <c r="O454" s="16">
        <v>834</v>
      </c>
      <c r="P454" s="16">
        <v>518</v>
      </c>
      <c r="Q454" s="16">
        <v>307</v>
      </c>
      <c r="R454" s="16">
        <v>3</v>
      </c>
      <c r="S454" s="16">
        <v>20.354900000000001</v>
      </c>
      <c r="T454" s="16">
        <v>4.1866199999999996</v>
      </c>
      <c r="U454" s="16">
        <v>0.83033534600000003</v>
      </c>
      <c r="V454" s="16">
        <v>7</v>
      </c>
      <c r="W454" s="16">
        <v>0.91089299999999995</v>
      </c>
      <c r="X454" s="16">
        <v>0.182583</v>
      </c>
      <c r="Y454" s="16">
        <v>0.7</v>
      </c>
      <c r="Z454" s="16">
        <v>0.39145400000000002</v>
      </c>
      <c r="AA454" s="37"/>
    </row>
    <row r="455" spans="1:27">
      <c r="A455" s="16" t="s">
        <v>62</v>
      </c>
      <c r="B455" s="16" t="s">
        <v>1736</v>
      </c>
      <c r="C455" s="16" t="s">
        <v>1737</v>
      </c>
      <c r="D455" s="16" t="s">
        <v>1738</v>
      </c>
      <c r="E455" s="16" t="s">
        <v>1729</v>
      </c>
      <c r="F455" s="16" t="s">
        <v>1730</v>
      </c>
      <c r="G455" s="16" t="s">
        <v>1429</v>
      </c>
      <c r="H455" s="16" t="s">
        <v>1430</v>
      </c>
      <c r="I455" s="16" t="s">
        <v>198</v>
      </c>
      <c r="J455" s="16" t="s">
        <v>199</v>
      </c>
      <c r="K455" s="16">
        <v>2.0430299999999999</v>
      </c>
      <c r="L455" s="36">
        <v>2205</v>
      </c>
      <c r="M455" s="16">
        <v>528</v>
      </c>
      <c r="N455" s="16">
        <v>419</v>
      </c>
      <c r="O455" s="16">
        <v>530</v>
      </c>
      <c r="P455" s="16">
        <v>505</v>
      </c>
      <c r="Q455" s="16">
        <v>223</v>
      </c>
      <c r="R455" s="16">
        <v>3</v>
      </c>
      <c r="S455" s="16">
        <v>15.6076</v>
      </c>
      <c r="T455" s="16">
        <v>5.25265</v>
      </c>
      <c r="U455" s="16">
        <v>0.94355042099999997</v>
      </c>
      <c r="V455" s="16">
        <v>7</v>
      </c>
      <c r="W455" s="16">
        <v>0.89252500000000001</v>
      </c>
      <c r="X455" s="16">
        <v>9.8039000000000001E-2</v>
      </c>
      <c r="Y455" s="16">
        <v>0.7</v>
      </c>
      <c r="Z455" s="16">
        <v>0.36787900000000001</v>
      </c>
      <c r="AA455" s="37"/>
    </row>
    <row r="456" spans="1:27">
      <c r="A456" s="16" t="s">
        <v>62</v>
      </c>
      <c r="B456" s="16" t="s">
        <v>1739</v>
      </c>
      <c r="C456" s="16" t="s">
        <v>1740</v>
      </c>
      <c r="D456" s="16" t="s">
        <v>1741</v>
      </c>
      <c r="E456" s="16" t="s">
        <v>1734</v>
      </c>
      <c r="F456" s="16" t="s">
        <v>1735</v>
      </c>
      <c r="G456" s="16" t="s">
        <v>1429</v>
      </c>
      <c r="H456" s="16" t="s">
        <v>1430</v>
      </c>
      <c r="I456" s="16" t="s">
        <v>198</v>
      </c>
      <c r="J456" s="16" t="s">
        <v>199</v>
      </c>
      <c r="K456" s="16">
        <v>2.0824180000000001</v>
      </c>
      <c r="L456" s="36">
        <v>2122</v>
      </c>
      <c r="M456" s="16">
        <v>541</v>
      </c>
      <c r="N456" s="16">
        <v>432</v>
      </c>
      <c r="O456" s="16">
        <v>425</v>
      </c>
      <c r="P456" s="16">
        <v>537</v>
      </c>
      <c r="Q456" s="16">
        <v>187</v>
      </c>
      <c r="R456" s="16">
        <v>3</v>
      </c>
      <c r="S456" s="16">
        <v>14.2864</v>
      </c>
      <c r="T456" s="16">
        <v>3.3590399999999998</v>
      </c>
      <c r="U456" s="16">
        <v>0.86973402799999999</v>
      </c>
      <c r="V456" s="16">
        <v>6</v>
      </c>
      <c r="W456" s="16">
        <v>0.90737800000000002</v>
      </c>
      <c r="X456" s="16">
        <v>8.1689999999999999E-2</v>
      </c>
      <c r="Y456" s="16">
        <v>0.7</v>
      </c>
      <c r="Z456" s="16">
        <v>0.40078200000000003</v>
      </c>
      <c r="AA456" s="37"/>
    </row>
    <row r="457" spans="1:27">
      <c r="A457" s="16" t="s">
        <v>62</v>
      </c>
      <c r="B457" s="16" t="s">
        <v>1742</v>
      </c>
      <c r="C457" s="16" t="s">
        <v>1743</v>
      </c>
      <c r="D457" s="16" t="s">
        <v>1744</v>
      </c>
      <c r="E457" s="16" t="s">
        <v>1745</v>
      </c>
      <c r="F457" s="16" t="s">
        <v>1746</v>
      </c>
      <c r="G457" s="16" t="s">
        <v>1429</v>
      </c>
      <c r="H457" s="16" t="s">
        <v>1430</v>
      </c>
      <c r="I457" s="16" t="s">
        <v>198</v>
      </c>
      <c r="J457" s="16" t="s">
        <v>199</v>
      </c>
      <c r="K457" s="16">
        <v>1.9515579999999999</v>
      </c>
      <c r="L457" s="36">
        <v>3070</v>
      </c>
      <c r="M457" s="16">
        <v>753</v>
      </c>
      <c r="N457" s="16">
        <v>666</v>
      </c>
      <c r="O457" s="16">
        <v>831</v>
      </c>
      <c r="P457" s="16">
        <v>607</v>
      </c>
      <c r="Q457" s="16">
        <v>213</v>
      </c>
      <c r="R457" s="16">
        <v>2</v>
      </c>
      <c r="S457" s="16">
        <v>9.9413099999999996</v>
      </c>
      <c r="T457" s="16">
        <v>2.12249</v>
      </c>
      <c r="U457" s="16">
        <v>1.063527661</v>
      </c>
      <c r="V457" s="16">
        <v>6</v>
      </c>
      <c r="W457" s="16">
        <v>0.81648200000000004</v>
      </c>
      <c r="X457" s="16">
        <v>9.3762999999999999E-2</v>
      </c>
      <c r="Y457" s="16">
        <v>0.7</v>
      </c>
      <c r="Z457" s="16">
        <v>0.34516599999999997</v>
      </c>
      <c r="AA457" s="37"/>
    </row>
    <row r="458" spans="1:27">
      <c r="A458" s="16"/>
      <c r="B458" s="16"/>
      <c r="C458" s="16"/>
      <c r="D458" s="16"/>
      <c r="E458" s="16"/>
      <c r="F458" s="16"/>
      <c r="G458" s="16"/>
      <c r="H458" s="16"/>
      <c r="I458" s="16"/>
      <c r="J458" s="16"/>
      <c r="K458" s="16">
        <f>MAX(K422:K457)</f>
        <v>2.192504</v>
      </c>
      <c r="L458" s="36">
        <f>AVERAGE(L422:L457)</f>
        <v>1923.8055555555557</v>
      </c>
      <c r="M458" s="36">
        <f t="shared" ref="M458:Q458" si="45">SUM(M422:M457)</f>
        <v>14927</v>
      </c>
      <c r="N458" s="36">
        <f t="shared" si="45"/>
        <v>12364</v>
      </c>
      <c r="O458" s="36">
        <f t="shared" si="45"/>
        <v>15460</v>
      </c>
      <c r="P458" s="36">
        <f t="shared" si="45"/>
        <v>16106</v>
      </c>
      <c r="Q458" s="36">
        <f t="shared" si="45"/>
        <v>10400</v>
      </c>
      <c r="R458" s="16"/>
      <c r="S458" s="16"/>
      <c r="T458" s="16"/>
      <c r="U458" s="16"/>
      <c r="V458" s="16">
        <f>MAX(V422:V457)</f>
        <v>10</v>
      </c>
      <c r="W458" s="16"/>
      <c r="X458" s="16"/>
      <c r="Y458" s="16"/>
      <c r="Z458" s="16"/>
      <c r="AA458" s="37"/>
    </row>
    <row r="459" spans="1:27">
      <c r="A459" s="16" t="s">
        <v>106</v>
      </c>
      <c r="B459" s="16" t="s">
        <v>1747</v>
      </c>
      <c r="C459" s="16" t="s">
        <v>1748</v>
      </c>
      <c r="D459" s="16" t="s">
        <v>1749</v>
      </c>
      <c r="E459" s="16" t="s">
        <v>1750</v>
      </c>
      <c r="F459" s="16" t="s">
        <v>1751</v>
      </c>
      <c r="G459" s="16" t="s">
        <v>1606</v>
      </c>
      <c r="H459" s="16" t="s">
        <v>1607</v>
      </c>
      <c r="I459" s="16" t="s">
        <v>198</v>
      </c>
      <c r="J459" s="16" t="s">
        <v>199</v>
      </c>
      <c r="K459" s="16">
        <v>2.6302829999999999</v>
      </c>
      <c r="L459" s="36">
        <v>1597</v>
      </c>
      <c r="M459" s="16">
        <v>510</v>
      </c>
      <c r="N459" s="16">
        <v>309</v>
      </c>
      <c r="O459" s="16">
        <v>402</v>
      </c>
      <c r="P459" s="16">
        <v>325</v>
      </c>
      <c r="Q459" s="16">
        <v>51</v>
      </c>
      <c r="R459" s="16">
        <v>2</v>
      </c>
      <c r="S459" s="16">
        <v>30.9406</v>
      </c>
      <c r="T459" s="16">
        <v>0</v>
      </c>
      <c r="U459" s="16">
        <v>0.97327461400000004</v>
      </c>
      <c r="V459" s="16">
        <v>2</v>
      </c>
      <c r="W459" s="16">
        <v>0.91381000000000001</v>
      </c>
      <c r="X459" s="16">
        <v>0.435585</v>
      </c>
      <c r="Y459" s="16">
        <v>0.62868900000000005</v>
      </c>
      <c r="Z459" s="16">
        <v>0.65825100000000003</v>
      </c>
      <c r="AA459" s="37"/>
    </row>
    <row r="460" spans="1:27">
      <c r="A460" s="16" t="s">
        <v>106</v>
      </c>
      <c r="B460" s="16" t="s">
        <v>1752</v>
      </c>
      <c r="C460" s="16" t="s">
        <v>1753</v>
      </c>
      <c r="D460" s="16" t="s">
        <v>1754</v>
      </c>
      <c r="E460" s="16" t="s">
        <v>1755</v>
      </c>
      <c r="F460" s="16" t="s">
        <v>1756</v>
      </c>
      <c r="G460" s="16" t="s">
        <v>1757</v>
      </c>
      <c r="H460" s="16" t="s">
        <v>1758</v>
      </c>
      <c r="I460" s="16" t="s">
        <v>198</v>
      </c>
      <c r="J460" s="16" t="s">
        <v>199</v>
      </c>
      <c r="K460" s="16">
        <v>2.8865400000000001</v>
      </c>
      <c r="L460" s="36">
        <v>1758</v>
      </c>
      <c r="M460" s="16">
        <v>430</v>
      </c>
      <c r="N460" s="16">
        <v>329</v>
      </c>
      <c r="O460" s="16">
        <v>406</v>
      </c>
      <c r="P460" s="16">
        <v>428</v>
      </c>
      <c r="Q460" s="16">
        <v>165</v>
      </c>
      <c r="R460" s="16" t="s">
        <v>225</v>
      </c>
      <c r="S460" s="16">
        <v>8.6355799999999991</v>
      </c>
      <c r="T460" s="16">
        <v>0</v>
      </c>
      <c r="U460" s="16">
        <v>1.009003995</v>
      </c>
      <c r="V460" s="16">
        <v>2</v>
      </c>
      <c r="W460" s="16">
        <v>0.91594699999999996</v>
      </c>
      <c r="X460" s="16">
        <v>0.41168700000000003</v>
      </c>
      <c r="Y460" s="16">
        <v>0.7</v>
      </c>
      <c r="Z460" s="16">
        <v>0.85018300000000002</v>
      </c>
      <c r="AA460" s="37"/>
    </row>
    <row r="461" spans="1:27">
      <c r="A461" s="16" t="s">
        <v>106</v>
      </c>
      <c r="B461" s="16" t="s">
        <v>1759</v>
      </c>
      <c r="C461" s="16" t="s">
        <v>1760</v>
      </c>
      <c r="D461" s="16" t="s">
        <v>1761</v>
      </c>
      <c r="E461" s="16" t="s">
        <v>1762</v>
      </c>
      <c r="F461" s="16" t="s">
        <v>1763</v>
      </c>
      <c r="G461" s="16" t="s">
        <v>1757</v>
      </c>
      <c r="H461" s="16" t="s">
        <v>1758</v>
      </c>
      <c r="I461" s="16" t="s">
        <v>198</v>
      </c>
      <c r="J461" s="16" t="s">
        <v>199</v>
      </c>
      <c r="K461" s="16">
        <v>2.5081500000000001</v>
      </c>
      <c r="L461" s="36">
        <v>2036</v>
      </c>
      <c r="M461" s="16">
        <v>599</v>
      </c>
      <c r="N461" s="16">
        <v>323</v>
      </c>
      <c r="O461" s="16">
        <v>501</v>
      </c>
      <c r="P461" s="16">
        <v>419</v>
      </c>
      <c r="Q461" s="16">
        <v>194</v>
      </c>
      <c r="R461" s="16">
        <v>3</v>
      </c>
      <c r="S461" s="16">
        <v>29.437999999999999</v>
      </c>
      <c r="T461" s="16">
        <v>6.65571</v>
      </c>
      <c r="U461" s="16">
        <v>1.1148288150000001</v>
      </c>
      <c r="V461" s="16">
        <v>2</v>
      </c>
      <c r="W461" s="16">
        <v>0.91079299999999996</v>
      </c>
      <c r="X461" s="16">
        <v>0.36314600000000002</v>
      </c>
      <c r="Y461" s="16">
        <v>0.69551600000000002</v>
      </c>
      <c r="Z461" s="16">
        <v>0.54811500000000002</v>
      </c>
      <c r="AA461" s="37"/>
    </row>
    <row r="462" spans="1:27">
      <c r="A462" s="16" t="s">
        <v>106</v>
      </c>
      <c r="B462" s="16" t="s">
        <v>1764</v>
      </c>
      <c r="C462" s="16" t="s">
        <v>1765</v>
      </c>
      <c r="D462" s="16" t="s">
        <v>1766</v>
      </c>
      <c r="E462" s="16" t="s">
        <v>1767</v>
      </c>
      <c r="F462" s="16" t="s">
        <v>1768</v>
      </c>
      <c r="G462" s="16" t="s">
        <v>1757</v>
      </c>
      <c r="H462" s="16" t="s">
        <v>1758</v>
      </c>
      <c r="I462" s="16" t="s">
        <v>198</v>
      </c>
      <c r="J462" s="16" t="s">
        <v>199</v>
      </c>
      <c r="K462" s="16">
        <v>2.6850689999999999</v>
      </c>
      <c r="L462" s="36">
        <v>2189</v>
      </c>
      <c r="M462" s="16">
        <v>651</v>
      </c>
      <c r="N462" s="16">
        <v>439</v>
      </c>
      <c r="O462" s="16">
        <v>529</v>
      </c>
      <c r="P462" s="16">
        <v>414</v>
      </c>
      <c r="Q462" s="16">
        <v>156</v>
      </c>
      <c r="R462" s="16">
        <v>2</v>
      </c>
      <c r="S462" s="16">
        <v>30.415199999999999</v>
      </c>
      <c r="T462" s="16">
        <v>0</v>
      </c>
      <c r="U462" s="16">
        <v>1.1922111049999999</v>
      </c>
      <c r="V462" s="16">
        <v>2</v>
      </c>
      <c r="W462" s="16">
        <v>0.91355600000000003</v>
      </c>
      <c r="X462" s="16">
        <v>0.49960500000000002</v>
      </c>
      <c r="Y462" s="16">
        <v>0.66023600000000005</v>
      </c>
      <c r="Z462" s="16">
        <v>0.60551200000000005</v>
      </c>
      <c r="AA462" s="37"/>
    </row>
    <row r="463" spans="1:27">
      <c r="A463" s="16" t="s">
        <v>106</v>
      </c>
      <c r="B463" s="16" t="s">
        <v>1769</v>
      </c>
      <c r="C463" s="16" t="s">
        <v>1770</v>
      </c>
      <c r="D463" s="16" t="s">
        <v>1771</v>
      </c>
      <c r="E463" s="16" t="s">
        <v>1767</v>
      </c>
      <c r="F463" s="16" t="s">
        <v>1768</v>
      </c>
      <c r="G463" s="16" t="s">
        <v>1757</v>
      </c>
      <c r="H463" s="16" t="s">
        <v>1758</v>
      </c>
      <c r="I463" s="16" t="s">
        <v>198</v>
      </c>
      <c r="J463" s="16" t="s">
        <v>199</v>
      </c>
      <c r="K463" s="16">
        <v>2.3624000000000001</v>
      </c>
      <c r="L463" s="36">
        <v>2029</v>
      </c>
      <c r="M463" s="16">
        <v>618</v>
      </c>
      <c r="N463" s="16">
        <v>325</v>
      </c>
      <c r="O463" s="16">
        <v>483</v>
      </c>
      <c r="P463" s="16">
        <v>477</v>
      </c>
      <c r="Q463" s="16">
        <v>126</v>
      </c>
      <c r="R463" s="16" t="s">
        <v>214</v>
      </c>
      <c r="S463" s="16">
        <v>2.9922900000000001</v>
      </c>
      <c r="T463" s="16">
        <v>0</v>
      </c>
      <c r="U463" s="16">
        <v>1.103522669</v>
      </c>
      <c r="V463" s="16">
        <v>3</v>
      </c>
      <c r="W463" s="16">
        <v>0.90880000000000005</v>
      </c>
      <c r="X463" s="16">
        <v>0.38585199999999997</v>
      </c>
      <c r="Y463" s="16">
        <v>0.6</v>
      </c>
      <c r="Z463" s="16">
        <v>0.45648</v>
      </c>
      <c r="AA463" s="37"/>
    </row>
    <row r="464" spans="1:27">
      <c r="A464" s="16" t="s">
        <v>106</v>
      </c>
      <c r="B464" s="16" t="s">
        <v>1772</v>
      </c>
      <c r="C464" s="16" t="s">
        <v>1773</v>
      </c>
      <c r="D464" s="16" t="s">
        <v>1774</v>
      </c>
      <c r="E464" s="16" t="s">
        <v>1762</v>
      </c>
      <c r="F464" s="16" t="s">
        <v>1763</v>
      </c>
      <c r="G464" s="16" t="s">
        <v>1757</v>
      </c>
      <c r="H464" s="16" t="s">
        <v>1758</v>
      </c>
      <c r="I464" s="16" t="s">
        <v>198</v>
      </c>
      <c r="J464" s="16" t="s">
        <v>199</v>
      </c>
      <c r="K464" s="16">
        <v>2.0490119999999998</v>
      </c>
      <c r="L464" s="36">
        <v>1782</v>
      </c>
      <c r="M464" s="16">
        <v>504</v>
      </c>
      <c r="N464" s="16">
        <v>338</v>
      </c>
      <c r="O464" s="16">
        <v>397</v>
      </c>
      <c r="P464" s="16">
        <v>402</v>
      </c>
      <c r="Q464" s="16">
        <v>141</v>
      </c>
      <c r="R464" s="16" t="s">
        <v>225</v>
      </c>
      <c r="S464" s="16">
        <v>8.5242299999999993</v>
      </c>
      <c r="T464" s="16">
        <v>2.31602</v>
      </c>
      <c r="U464" s="16">
        <v>1.233037165</v>
      </c>
      <c r="V464" s="16">
        <v>3</v>
      </c>
      <c r="W464" s="16">
        <v>0.9</v>
      </c>
      <c r="X464" s="16">
        <v>3.5115E-2</v>
      </c>
      <c r="Y464" s="16">
        <v>0.60233499999999995</v>
      </c>
      <c r="Z464" s="16">
        <v>0.50941199999999998</v>
      </c>
      <c r="AA464" s="37"/>
    </row>
    <row r="465" spans="1:27">
      <c r="A465" s="16" t="s">
        <v>106</v>
      </c>
      <c r="B465" s="16" t="s">
        <v>1775</v>
      </c>
      <c r="C465" s="16" t="s">
        <v>1776</v>
      </c>
      <c r="D465" s="16" t="s">
        <v>1777</v>
      </c>
      <c r="E465" s="16" t="s">
        <v>1755</v>
      </c>
      <c r="F465" s="16" t="s">
        <v>1756</v>
      </c>
      <c r="G465" s="16" t="s">
        <v>1757</v>
      </c>
      <c r="H465" s="16" t="s">
        <v>1758</v>
      </c>
      <c r="I465" s="16" t="s">
        <v>198</v>
      </c>
      <c r="J465" s="16" t="s">
        <v>199</v>
      </c>
      <c r="K465" s="16">
        <v>2.6868560000000001</v>
      </c>
      <c r="L465" s="36">
        <v>1796</v>
      </c>
      <c r="M465" s="16">
        <v>521</v>
      </c>
      <c r="N465" s="16">
        <v>306</v>
      </c>
      <c r="O465" s="16">
        <v>438</v>
      </c>
      <c r="P465" s="16">
        <v>401</v>
      </c>
      <c r="Q465" s="16">
        <v>130</v>
      </c>
      <c r="R465" s="16">
        <v>2</v>
      </c>
      <c r="S465" s="16">
        <v>19.090299999999999</v>
      </c>
      <c r="T465" s="16">
        <v>5.1547000000000001</v>
      </c>
      <c r="U465" s="16">
        <v>0.946119822</v>
      </c>
      <c r="V465" s="16">
        <v>2</v>
      </c>
      <c r="W465" s="16">
        <v>0.912466</v>
      </c>
      <c r="X465" s="16">
        <v>0.42283399999999999</v>
      </c>
      <c r="Y465" s="16">
        <v>0.69411</v>
      </c>
      <c r="Z465" s="16">
        <v>0.64684900000000001</v>
      </c>
      <c r="AA465" s="37"/>
    </row>
    <row r="466" spans="1:27">
      <c r="A466" s="16" t="s">
        <v>106</v>
      </c>
      <c r="B466" s="16" t="s">
        <v>1778</v>
      </c>
      <c r="C466" s="16" t="s">
        <v>1779</v>
      </c>
      <c r="D466" s="16" t="s">
        <v>1780</v>
      </c>
      <c r="E466" s="16" t="s">
        <v>1755</v>
      </c>
      <c r="F466" s="16" t="s">
        <v>1756</v>
      </c>
      <c r="G466" s="16" t="s">
        <v>1757</v>
      </c>
      <c r="H466" s="16" t="s">
        <v>1758</v>
      </c>
      <c r="I466" s="16" t="s">
        <v>198</v>
      </c>
      <c r="J466" s="16" t="s">
        <v>199</v>
      </c>
      <c r="K466" s="16">
        <v>2.561169</v>
      </c>
      <c r="L466" s="36">
        <v>1832</v>
      </c>
      <c r="M466" s="16">
        <v>523</v>
      </c>
      <c r="N466" s="16">
        <v>371</v>
      </c>
      <c r="O466" s="16">
        <v>437</v>
      </c>
      <c r="P466" s="16">
        <v>382</v>
      </c>
      <c r="Q466" s="16">
        <v>119</v>
      </c>
      <c r="R466" s="16" t="s">
        <v>225</v>
      </c>
      <c r="S466" s="16">
        <v>7.6509299999999998</v>
      </c>
      <c r="T466" s="16">
        <v>0</v>
      </c>
      <c r="U466" s="16">
        <v>1.03035024</v>
      </c>
      <c r="V466" s="16">
        <v>3</v>
      </c>
      <c r="W466" s="16">
        <v>0.90519499999999997</v>
      </c>
      <c r="X466" s="16">
        <v>0.22312699999999999</v>
      </c>
      <c r="Y466" s="16">
        <v>0.7</v>
      </c>
      <c r="Z466" s="16">
        <v>0.73485599999999995</v>
      </c>
      <c r="AA466" s="37"/>
    </row>
    <row r="467" spans="1:27">
      <c r="A467" s="16" t="s">
        <v>106</v>
      </c>
      <c r="B467" s="16" t="s">
        <v>1781</v>
      </c>
      <c r="C467" s="16" t="s">
        <v>1782</v>
      </c>
      <c r="D467" s="16" t="s">
        <v>1783</v>
      </c>
      <c r="E467" s="16" t="s">
        <v>1784</v>
      </c>
      <c r="F467" s="16" t="s">
        <v>1785</v>
      </c>
      <c r="G467" s="16" t="s">
        <v>1757</v>
      </c>
      <c r="H467" s="16" t="s">
        <v>1758</v>
      </c>
      <c r="I467" s="16" t="s">
        <v>198</v>
      </c>
      <c r="J467" s="16" t="s">
        <v>199</v>
      </c>
      <c r="K467" s="16">
        <v>2.544702</v>
      </c>
      <c r="L467" s="36">
        <v>1788</v>
      </c>
      <c r="M467" s="16">
        <v>493</v>
      </c>
      <c r="N467" s="16">
        <v>280</v>
      </c>
      <c r="O467" s="16">
        <v>559</v>
      </c>
      <c r="P467" s="16">
        <v>318</v>
      </c>
      <c r="Q467" s="16">
        <v>138</v>
      </c>
      <c r="R467" s="16" t="s">
        <v>214</v>
      </c>
      <c r="S467" s="16">
        <v>16.286100000000001</v>
      </c>
      <c r="T467" s="16">
        <v>0</v>
      </c>
      <c r="U467" s="16">
        <v>0.92908146899999999</v>
      </c>
      <c r="V467" s="16">
        <v>3</v>
      </c>
      <c r="W467" s="16">
        <v>0.91026499999999999</v>
      </c>
      <c r="X467" s="16">
        <v>0.38871699999999998</v>
      </c>
      <c r="Y467" s="16">
        <v>0.68917099999999998</v>
      </c>
      <c r="Z467" s="16">
        <v>0.54713000000000001</v>
      </c>
      <c r="AA467" s="37"/>
    </row>
    <row r="468" spans="1:27">
      <c r="A468" s="16" t="s">
        <v>106</v>
      </c>
      <c r="B468" s="16" t="s">
        <v>1786</v>
      </c>
      <c r="C468" s="16" t="s">
        <v>1787</v>
      </c>
      <c r="D468" s="16" t="s">
        <v>1788</v>
      </c>
      <c r="E468" s="16" t="s">
        <v>1789</v>
      </c>
      <c r="F468" s="16" t="s">
        <v>1790</v>
      </c>
      <c r="G468" s="16" t="s">
        <v>1429</v>
      </c>
      <c r="H468" s="16" t="s">
        <v>1430</v>
      </c>
      <c r="I468" s="16" t="s">
        <v>198</v>
      </c>
      <c r="J468" s="16" t="s">
        <v>199</v>
      </c>
      <c r="K468" s="16">
        <v>2.170963</v>
      </c>
      <c r="L468" s="36">
        <v>1461</v>
      </c>
      <c r="M468" s="16">
        <v>338</v>
      </c>
      <c r="N468" s="16">
        <v>276</v>
      </c>
      <c r="O468" s="16">
        <v>329</v>
      </c>
      <c r="P468" s="16">
        <v>336</v>
      </c>
      <c r="Q468" s="16">
        <v>182</v>
      </c>
      <c r="R468" s="16" t="s">
        <v>214</v>
      </c>
      <c r="S468" s="16">
        <v>10.9557</v>
      </c>
      <c r="T468" s="16">
        <v>0</v>
      </c>
      <c r="U468" s="16">
        <v>0.90455596599999999</v>
      </c>
      <c r="V468" s="16">
        <v>7</v>
      </c>
      <c r="W468" s="16">
        <v>0.91195700000000002</v>
      </c>
      <c r="X468" s="16">
        <v>0.33010899999999999</v>
      </c>
      <c r="Y468" s="16">
        <v>0.7</v>
      </c>
      <c r="Z468" s="16">
        <v>0.237285</v>
      </c>
      <c r="AA468" s="37"/>
    </row>
    <row r="469" spans="1:27">
      <c r="A469" s="16" t="s">
        <v>106</v>
      </c>
      <c r="B469" s="16" t="s">
        <v>1791</v>
      </c>
      <c r="C469" s="16" t="s">
        <v>1792</v>
      </c>
      <c r="D469" s="16" t="s">
        <v>1793</v>
      </c>
      <c r="E469" s="16" t="s">
        <v>1789</v>
      </c>
      <c r="F469" s="16" t="s">
        <v>1790</v>
      </c>
      <c r="G469" s="16" t="s">
        <v>1429</v>
      </c>
      <c r="H469" s="16" t="s">
        <v>1430</v>
      </c>
      <c r="I469" s="16" t="s">
        <v>198</v>
      </c>
      <c r="J469" s="16" t="s">
        <v>199</v>
      </c>
      <c r="K469" s="16">
        <v>2.2199209999999998</v>
      </c>
      <c r="L469" s="36">
        <v>1609</v>
      </c>
      <c r="M469" s="16">
        <v>284</v>
      </c>
      <c r="N469" s="16">
        <v>330</v>
      </c>
      <c r="O469" s="16">
        <v>346</v>
      </c>
      <c r="P469" s="16">
        <v>430</v>
      </c>
      <c r="Q469" s="16">
        <v>219</v>
      </c>
      <c r="R469" s="16">
        <v>2</v>
      </c>
      <c r="S469" s="16">
        <v>11.9498</v>
      </c>
      <c r="T469" s="16">
        <v>0</v>
      </c>
      <c r="U469" s="16">
        <v>0.82333169699999997</v>
      </c>
      <c r="V469" s="16">
        <v>6</v>
      </c>
      <c r="W469" s="16">
        <v>0.90937000000000001</v>
      </c>
      <c r="X469" s="16">
        <v>0.32517499999999999</v>
      </c>
      <c r="Y469" s="16">
        <v>0.7</v>
      </c>
      <c r="Z469" s="16">
        <v>0.28700799999999999</v>
      </c>
      <c r="AA469" s="37"/>
    </row>
    <row r="470" spans="1:27">
      <c r="A470" s="16" t="s">
        <v>106</v>
      </c>
      <c r="B470" s="16" t="s">
        <v>1794</v>
      </c>
      <c r="C470" s="16" t="s">
        <v>1795</v>
      </c>
      <c r="D470" s="16" t="s">
        <v>1796</v>
      </c>
      <c r="E470" s="16" t="s">
        <v>1789</v>
      </c>
      <c r="F470" s="16" t="s">
        <v>1790</v>
      </c>
      <c r="G470" s="16" t="s">
        <v>1429</v>
      </c>
      <c r="H470" s="16" t="s">
        <v>1430</v>
      </c>
      <c r="I470" s="16" t="s">
        <v>198</v>
      </c>
      <c r="J470" s="16" t="s">
        <v>199</v>
      </c>
      <c r="K470" s="16">
        <v>1.9133549999999999</v>
      </c>
      <c r="L470" s="36">
        <v>1387</v>
      </c>
      <c r="M470" s="16">
        <v>221</v>
      </c>
      <c r="N470" s="16">
        <v>224</v>
      </c>
      <c r="O470" s="16">
        <v>304</v>
      </c>
      <c r="P470" s="16">
        <v>342</v>
      </c>
      <c r="Q470" s="16">
        <v>296</v>
      </c>
      <c r="R470" s="16">
        <v>3</v>
      </c>
      <c r="S470" s="16">
        <v>17.136199999999999</v>
      </c>
      <c r="T470" s="16">
        <v>3.8816899999999999</v>
      </c>
      <c r="U470" s="16">
        <v>1.0094896280000001</v>
      </c>
      <c r="V470" s="16">
        <v>6</v>
      </c>
      <c r="W470" s="16">
        <v>0.90206699999999995</v>
      </c>
      <c r="X470" s="16">
        <v>0</v>
      </c>
      <c r="Y470" s="16">
        <v>0.7</v>
      </c>
      <c r="Z470" s="16">
        <v>0.311392</v>
      </c>
      <c r="AA470" s="37"/>
    </row>
    <row r="471" spans="1:27">
      <c r="A471" s="16" t="s">
        <v>106</v>
      </c>
      <c r="B471" s="16" t="s">
        <v>1797</v>
      </c>
      <c r="C471" s="16" t="s">
        <v>1798</v>
      </c>
      <c r="D471" s="16" t="s">
        <v>1799</v>
      </c>
      <c r="E471" s="16" t="s">
        <v>1789</v>
      </c>
      <c r="F471" s="16" t="s">
        <v>1790</v>
      </c>
      <c r="G471" s="16" t="s">
        <v>1429</v>
      </c>
      <c r="H471" s="16" t="s">
        <v>1430</v>
      </c>
      <c r="I471" s="16" t="s">
        <v>198</v>
      </c>
      <c r="J471" s="16" t="s">
        <v>199</v>
      </c>
      <c r="K471" s="16">
        <v>1.90445</v>
      </c>
      <c r="L471" s="36">
        <v>1650</v>
      </c>
      <c r="M471" s="16">
        <v>378</v>
      </c>
      <c r="N471" s="16">
        <v>283</v>
      </c>
      <c r="O471" s="16">
        <v>417</v>
      </c>
      <c r="P471" s="16">
        <v>362</v>
      </c>
      <c r="Q471" s="16">
        <v>210</v>
      </c>
      <c r="R471" s="16">
        <v>3</v>
      </c>
      <c r="S471" s="16">
        <v>14.5128</v>
      </c>
      <c r="T471" s="16">
        <v>3.3934099999999998</v>
      </c>
      <c r="U471" s="16">
        <v>1.15001201</v>
      </c>
      <c r="V471" s="16">
        <v>4</v>
      </c>
      <c r="W471" s="16">
        <v>0.90183199999999997</v>
      </c>
      <c r="X471" s="16">
        <v>2.1159999999999998E-3</v>
      </c>
      <c r="Y471" s="16">
        <v>0.7</v>
      </c>
      <c r="Z471" s="16">
        <v>0.3</v>
      </c>
      <c r="AA471" s="37"/>
    </row>
    <row r="472" spans="1:27">
      <c r="A472" s="16" t="s">
        <v>106</v>
      </c>
      <c r="B472" s="16" t="s">
        <v>1800</v>
      </c>
      <c r="C472" s="16" t="s">
        <v>1801</v>
      </c>
      <c r="D472" s="16" t="s">
        <v>1802</v>
      </c>
      <c r="E472" s="16" t="s">
        <v>1789</v>
      </c>
      <c r="F472" s="16" t="s">
        <v>1790</v>
      </c>
      <c r="G472" s="16" t="s">
        <v>1429</v>
      </c>
      <c r="H472" s="16" t="s">
        <v>1430</v>
      </c>
      <c r="I472" s="16" t="s">
        <v>198</v>
      </c>
      <c r="J472" s="16" t="s">
        <v>199</v>
      </c>
      <c r="K472" s="16">
        <v>2.331928</v>
      </c>
      <c r="L472" s="36">
        <v>1674</v>
      </c>
      <c r="M472" s="16">
        <v>340</v>
      </c>
      <c r="N472" s="16">
        <v>338</v>
      </c>
      <c r="O472" s="16">
        <v>374</v>
      </c>
      <c r="P472" s="16">
        <v>406</v>
      </c>
      <c r="Q472" s="16">
        <v>216</v>
      </c>
      <c r="R472" s="16">
        <v>3</v>
      </c>
      <c r="S472" s="16">
        <v>13.1829</v>
      </c>
      <c r="T472" s="16">
        <v>0</v>
      </c>
      <c r="U472" s="16">
        <v>0.80578197699999998</v>
      </c>
      <c r="V472" s="16">
        <v>5</v>
      </c>
      <c r="W472" s="16">
        <v>0.91800800000000005</v>
      </c>
      <c r="X472" s="16">
        <v>0.36467500000000003</v>
      </c>
      <c r="Y472" s="16">
        <v>0.7</v>
      </c>
      <c r="Z472" s="16">
        <v>0.36185600000000001</v>
      </c>
      <c r="AA472" s="37"/>
    </row>
    <row r="473" spans="1:27">
      <c r="A473" s="16" t="s">
        <v>106</v>
      </c>
      <c r="B473" s="16" t="s">
        <v>1803</v>
      </c>
      <c r="C473" s="16" t="s">
        <v>1804</v>
      </c>
      <c r="D473" s="16" t="s">
        <v>1805</v>
      </c>
      <c r="E473" s="16" t="s">
        <v>1806</v>
      </c>
      <c r="F473" s="16" t="s">
        <v>1807</v>
      </c>
      <c r="G473" s="16" t="s">
        <v>1429</v>
      </c>
      <c r="H473" s="16" t="s">
        <v>1430</v>
      </c>
      <c r="I473" s="16" t="s">
        <v>198</v>
      </c>
      <c r="J473" s="16" t="s">
        <v>199</v>
      </c>
      <c r="K473" s="16">
        <v>2.7403</v>
      </c>
      <c r="L473" s="36">
        <v>3473</v>
      </c>
      <c r="M473" s="16">
        <v>937</v>
      </c>
      <c r="N473" s="16">
        <v>586</v>
      </c>
      <c r="O473" s="36">
        <v>1226</v>
      </c>
      <c r="P473" s="16">
        <v>528</v>
      </c>
      <c r="Q473" s="16">
        <v>196</v>
      </c>
      <c r="R473" s="16" t="s">
        <v>302</v>
      </c>
      <c r="S473" s="16">
        <v>39.769599999999997</v>
      </c>
      <c r="T473" s="16">
        <v>4.5785400000000003</v>
      </c>
      <c r="U473" s="16">
        <v>0.80619474099999999</v>
      </c>
      <c r="V473" s="16">
        <v>3</v>
      </c>
      <c r="W473" s="16">
        <v>0.92440500000000003</v>
      </c>
      <c r="X473" s="16">
        <v>0.50963700000000001</v>
      </c>
      <c r="Y473" s="16">
        <v>0.64856400000000003</v>
      </c>
      <c r="Z473" s="16">
        <v>0.66389900000000002</v>
      </c>
      <c r="AA473" s="37"/>
    </row>
    <row r="474" spans="1:27">
      <c r="A474" s="16" t="s">
        <v>106</v>
      </c>
      <c r="B474" s="16" t="s">
        <v>1808</v>
      </c>
      <c r="C474" s="16" t="s">
        <v>1809</v>
      </c>
      <c r="D474" s="16" t="s">
        <v>1810</v>
      </c>
      <c r="E474" s="16" t="s">
        <v>1806</v>
      </c>
      <c r="F474" s="16" t="s">
        <v>1807</v>
      </c>
      <c r="G474" s="16" t="s">
        <v>1429</v>
      </c>
      <c r="H474" s="16" t="s">
        <v>1430</v>
      </c>
      <c r="I474" s="16" t="s">
        <v>198</v>
      </c>
      <c r="J474" s="16" t="s">
        <v>199</v>
      </c>
      <c r="K474" s="16">
        <v>2.3076530000000002</v>
      </c>
      <c r="L474" s="36">
        <v>1857</v>
      </c>
      <c r="M474" s="16">
        <v>627</v>
      </c>
      <c r="N474" s="16">
        <v>314</v>
      </c>
      <c r="O474" s="16">
        <v>480</v>
      </c>
      <c r="P474" s="16">
        <v>263</v>
      </c>
      <c r="Q474" s="16">
        <v>173</v>
      </c>
      <c r="R474" s="16" t="s">
        <v>225</v>
      </c>
      <c r="S474" s="16">
        <v>5.5619800000000001</v>
      </c>
      <c r="T474" s="16">
        <v>0</v>
      </c>
      <c r="U474" s="16">
        <v>1.2237721079999999</v>
      </c>
      <c r="V474" s="16">
        <v>2</v>
      </c>
      <c r="W474" s="16">
        <v>0.91300999999999999</v>
      </c>
      <c r="X474" s="16">
        <v>0.32519100000000001</v>
      </c>
      <c r="Y474" s="16">
        <v>0.6</v>
      </c>
      <c r="Z474" s="16">
        <v>0.49488500000000002</v>
      </c>
      <c r="AA474" s="37"/>
    </row>
    <row r="475" spans="1:27">
      <c r="A475" s="16" t="s">
        <v>106</v>
      </c>
      <c r="B475" s="16" t="s">
        <v>1811</v>
      </c>
      <c r="C475" s="16" t="s">
        <v>1812</v>
      </c>
      <c r="D475" s="16" t="s">
        <v>1813</v>
      </c>
      <c r="E475" s="16" t="s">
        <v>1806</v>
      </c>
      <c r="F475" s="16" t="s">
        <v>1807</v>
      </c>
      <c r="G475" s="16" t="s">
        <v>1429</v>
      </c>
      <c r="H475" s="16" t="s">
        <v>1430</v>
      </c>
      <c r="I475" s="16" t="s">
        <v>198</v>
      </c>
      <c r="J475" s="16" t="s">
        <v>199</v>
      </c>
      <c r="K475" s="16">
        <v>2.1009739999999999</v>
      </c>
      <c r="L475" s="36">
        <v>1810</v>
      </c>
      <c r="M475" s="16">
        <v>428</v>
      </c>
      <c r="N475" s="16">
        <v>404</v>
      </c>
      <c r="O475" s="16">
        <v>475</v>
      </c>
      <c r="P475" s="16">
        <v>347</v>
      </c>
      <c r="Q475" s="16">
        <v>156</v>
      </c>
      <c r="R475" s="16">
        <v>2</v>
      </c>
      <c r="S475" s="16">
        <v>8.7993199999999998</v>
      </c>
      <c r="T475" s="16">
        <v>4.8769600000000004</v>
      </c>
      <c r="U475" s="16">
        <v>1.097661665</v>
      </c>
      <c r="V475" s="16">
        <v>4</v>
      </c>
      <c r="W475" s="16">
        <v>0.90454500000000004</v>
      </c>
      <c r="X475" s="16">
        <v>0.13941400000000001</v>
      </c>
      <c r="Y475" s="16">
        <v>0.6</v>
      </c>
      <c r="Z475" s="16">
        <v>0.45709699999999998</v>
      </c>
      <c r="AA475" s="37"/>
    </row>
    <row r="476" spans="1:27">
      <c r="A476" s="16" t="s">
        <v>106</v>
      </c>
      <c r="B476" s="16" t="s">
        <v>1814</v>
      </c>
      <c r="C476" s="16" t="s">
        <v>1815</v>
      </c>
      <c r="D476" s="16" t="s">
        <v>1816</v>
      </c>
      <c r="E476" s="16" t="s">
        <v>1817</v>
      </c>
      <c r="F476" s="16" t="s">
        <v>1818</v>
      </c>
      <c r="G476" s="16" t="s">
        <v>1429</v>
      </c>
      <c r="H476" s="16" t="s">
        <v>1430</v>
      </c>
      <c r="I476" s="16" t="s">
        <v>198</v>
      </c>
      <c r="J476" s="16" t="s">
        <v>199</v>
      </c>
      <c r="K476" s="16">
        <v>2.1098129999999999</v>
      </c>
      <c r="L476" s="36">
        <v>2015</v>
      </c>
      <c r="M476" s="16">
        <v>466</v>
      </c>
      <c r="N476" s="16">
        <v>395</v>
      </c>
      <c r="O476" s="16">
        <v>504</v>
      </c>
      <c r="P476" s="16">
        <v>449</v>
      </c>
      <c r="Q476" s="16">
        <v>201</v>
      </c>
      <c r="R476" s="16">
        <v>2</v>
      </c>
      <c r="S476" s="16">
        <v>15.9247</v>
      </c>
      <c r="T476" s="16">
        <v>0</v>
      </c>
      <c r="U476" s="16">
        <v>0.999292446</v>
      </c>
      <c r="V476" s="16">
        <v>5</v>
      </c>
      <c r="W476" s="16">
        <v>0.90934599999999999</v>
      </c>
      <c r="X476" s="16">
        <v>0.152425</v>
      </c>
      <c r="Y476" s="16">
        <v>0.7</v>
      </c>
      <c r="Z476" s="16">
        <v>0.356512</v>
      </c>
      <c r="AA476" s="37"/>
    </row>
    <row r="477" spans="1:27">
      <c r="A477" s="16" t="s">
        <v>106</v>
      </c>
      <c r="B477" s="16" t="s">
        <v>1819</v>
      </c>
      <c r="C477" s="16" t="s">
        <v>1820</v>
      </c>
      <c r="D477" s="16" t="s">
        <v>1821</v>
      </c>
      <c r="E477" s="16" t="s">
        <v>1817</v>
      </c>
      <c r="F477" s="16" t="s">
        <v>1818</v>
      </c>
      <c r="G477" s="16" t="s">
        <v>1429</v>
      </c>
      <c r="H477" s="16" t="s">
        <v>1430</v>
      </c>
      <c r="I477" s="16" t="s">
        <v>198</v>
      </c>
      <c r="J477" s="16" t="s">
        <v>199</v>
      </c>
      <c r="K477" s="16">
        <v>2.3653379999999999</v>
      </c>
      <c r="L477" s="36">
        <v>2243</v>
      </c>
      <c r="M477" s="16">
        <v>654</v>
      </c>
      <c r="N477" s="16">
        <v>390</v>
      </c>
      <c r="O477" s="16">
        <v>636</v>
      </c>
      <c r="P477" s="16">
        <v>388</v>
      </c>
      <c r="Q477" s="16">
        <v>175</v>
      </c>
      <c r="R477" s="16">
        <v>3</v>
      </c>
      <c r="S477" s="16">
        <v>29.4148</v>
      </c>
      <c r="T477" s="16">
        <v>0</v>
      </c>
      <c r="U477" s="16">
        <v>1.0134001020000001</v>
      </c>
      <c r="V477" s="16">
        <v>4</v>
      </c>
      <c r="W477" s="16">
        <v>0.90704399999999996</v>
      </c>
      <c r="X477" s="16">
        <v>0.33624500000000002</v>
      </c>
      <c r="Y477" s="16">
        <v>0.7</v>
      </c>
      <c r="Z477" s="16">
        <v>0.41680600000000001</v>
      </c>
      <c r="AA477" s="37"/>
    </row>
    <row r="478" spans="1:27">
      <c r="A478" s="16" t="s">
        <v>106</v>
      </c>
      <c r="B478" s="16" t="s">
        <v>1822</v>
      </c>
      <c r="C478" s="16" t="s">
        <v>1823</v>
      </c>
      <c r="D478" s="16" t="s">
        <v>1824</v>
      </c>
      <c r="E478" s="16" t="s">
        <v>1825</v>
      </c>
      <c r="F478" s="16" t="s">
        <v>1826</v>
      </c>
      <c r="G478" s="16" t="s">
        <v>1606</v>
      </c>
      <c r="H478" s="16" t="s">
        <v>1607</v>
      </c>
      <c r="I478" s="16" t="s">
        <v>198</v>
      </c>
      <c r="J478" s="16" t="s">
        <v>199</v>
      </c>
      <c r="K478" s="16">
        <v>2.8760050000000001</v>
      </c>
      <c r="L478" s="36">
        <v>2611</v>
      </c>
      <c r="M478" s="16">
        <v>809</v>
      </c>
      <c r="N478" s="16">
        <v>462</v>
      </c>
      <c r="O478" s="16">
        <v>854</v>
      </c>
      <c r="P478" s="16">
        <v>405</v>
      </c>
      <c r="Q478" s="16">
        <v>81</v>
      </c>
      <c r="R478" s="16">
        <v>2</v>
      </c>
      <c r="S478" s="16">
        <v>31.968699999999998</v>
      </c>
      <c r="T478" s="16">
        <v>0</v>
      </c>
      <c r="U478" s="16">
        <v>0.81489887100000002</v>
      </c>
      <c r="V478" s="16">
        <v>2</v>
      </c>
      <c r="W478" s="16">
        <v>0.91498199999999996</v>
      </c>
      <c r="X478" s="16">
        <v>0.354051</v>
      </c>
      <c r="Y478" s="16">
        <v>0.67490899999999998</v>
      </c>
      <c r="Z478" s="16">
        <v>0.95012099999999999</v>
      </c>
      <c r="AA478" s="37"/>
    </row>
    <row r="479" spans="1:27">
      <c r="A479" s="16"/>
      <c r="B479" s="16"/>
      <c r="C479" s="16"/>
      <c r="D479" s="16"/>
      <c r="E479" s="16"/>
      <c r="F479" s="16"/>
      <c r="G479" s="16"/>
      <c r="H479" s="16"/>
      <c r="I479" s="16"/>
      <c r="J479" s="16"/>
      <c r="K479" s="16">
        <f>MEDIAN(K459:K478)</f>
        <v>2.3638690000000002</v>
      </c>
      <c r="L479" s="36">
        <f>AVERAGE(L459:L478)</f>
        <v>1929.85</v>
      </c>
      <c r="M479" s="36">
        <f t="shared" ref="M479:Q479" si="46">SUM(M459:M478)</f>
        <v>10331</v>
      </c>
      <c r="N479" s="36">
        <f t="shared" si="46"/>
        <v>7022</v>
      </c>
      <c r="O479" s="36">
        <f t="shared" si="46"/>
        <v>10097</v>
      </c>
      <c r="P479" s="36">
        <f t="shared" si="46"/>
        <v>7822</v>
      </c>
      <c r="Q479" s="36">
        <f t="shared" si="46"/>
        <v>3325</v>
      </c>
      <c r="R479" s="16"/>
      <c r="S479" s="16"/>
      <c r="T479" s="16"/>
      <c r="U479" s="16"/>
      <c r="V479" s="16">
        <f>MAX(V459:V478)</f>
        <v>7</v>
      </c>
      <c r="W479" s="16"/>
      <c r="X479" s="16"/>
      <c r="Y479" s="16"/>
      <c r="Z479" s="16"/>
      <c r="AA479" s="37"/>
    </row>
    <row r="480" spans="1:27">
      <c r="A480" s="16" t="s">
        <v>96</v>
      </c>
      <c r="B480" s="16" t="s">
        <v>1827</v>
      </c>
      <c r="C480" s="16" t="s">
        <v>1828</v>
      </c>
      <c r="D480" s="16" t="s">
        <v>1829</v>
      </c>
      <c r="E480" s="16" t="s">
        <v>1475</v>
      </c>
      <c r="F480" s="16" t="s">
        <v>1476</v>
      </c>
      <c r="G480" s="16" t="s">
        <v>196</v>
      </c>
      <c r="H480" s="16" t="s">
        <v>197</v>
      </c>
      <c r="I480" s="16" t="s">
        <v>198</v>
      </c>
      <c r="J480" s="16" t="s">
        <v>199</v>
      </c>
      <c r="K480" s="16">
        <v>2.32226</v>
      </c>
      <c r="L480" s="36">
        <v>1765</v>
      </c>
      <c r="M480" s="16">
        <v>466</v>
      </c>
      <c r="N480" s="16">
        <v>347</v>
      </c>
      <c r="O480" s="16">
        <v>369</v>
      </c>
      <c r="P480" s="16">
        <v>421</v>
      </c>
      <c r="Q480" s="16">
        <v>162</v>
      </c>
      <c r="R480" s="16">
        <v>2</v>
      </c>
      <c r="S480" s="16">
        <v>10.494999999999999</v>
      </c>
      <c r="T480" s="16">
        <v>0</v>
      </c>
      <c r="U480" s="16">
        <v>1.1790594999999999</v>
      </c>
      <c r="V480" s="16">
        <v>2</v>
      </c>
      <c r="W480" s="16">
        <v>0.90256800000000004</v>
      </c>
      <c r="X480" s="16">
        <v>0.14099500000000001</v>
      </c>
      <c r="Y480" s="16">
        <v>0.8</v>
      </c>
      <c r="Z480" s="16">
        <v>0.47701500000000002</v>
      </c>
      <c r="AA480" s="37"/>
    </row>
    <row r="481" spans="1:27">
      <c r="A481" s="16" t="s">
        <v>96</v>
      </c>
      <c r="B481" s="16" t="s">
        <v>634</v>
      </c>
      <c r="C481" s="16" t="s">
        <v>635</v>
      </c>
      <c r="D481" s="16" t="s">
        <v>636</v>
      </c>
      <c r="E481" s="16" t="s">
        <v>606</v>
      </c>
      <c r="F481" s="16" t="s">
        <v>607</v>
      </c>
      <c r="G481" s="16" t="s">
        <v>196</v>
      </c>
      <c r="H481" s="16" t="s">
        <v>197</v>
      </c>
      <c r="I481" s="16" t="s">
        <v>198</v>
      </c>
      <c r="J481" s="16" t="s">
        <v>199</v>
      </c>
      <c r="K481" s="16">
        <v>2.2328589999999999</v>
      </c>
      <c r="L481" s="36">
        <v>1635</v>
      </c>
      <c r="M481" s="16">
        <v>326</v>
      </c>
      <c r="N481" s="16">
        <v>283</v>
      </c>
      <c r="O481" s="16">
        <v>366</v>
      </c>
      <c r="P481" s="16">
        <v>389</v>
      </c>
      <c r="Q481" s="16">
        <v>271</v>
      </c>
      <c r="R481" s="16">
        <v>2</v>
      </c>
      <c r="S481" s="16">
        <v>11.7408</v>
      </c>
      <c r="T481" s="16">
        <v>0</v>
      </c>
      <c r="U481" s="16">
        <v>0.86017451</v>
      </c>
      <c r="V481" s="16">
        <v>5</v>
      </c>
      <c r="W481" s="16">
        <v>0.90189600000000003</v>
      </c>
      <c r="X481" s="16">
        <v>0.10127</v>
      </c>
      <c r="Y481" s="16">
        <v>0.8</v>
      </c>
      <c r="Z481" s="16">
        <v>0.42369699999999999</v>
      </c>
      <c r="AA481" s="37"/>
    </row>
    <row r="482" spans="1:27">
      <c r="A482" s="16" t="s">
        <v>96</v>
      </c>
      <c r="B482" s="16" t="s">
        <v>1483</v>
      </c>
      <c r="C482" s="16" t="s">
        <v>1484</v>
      </c>
      <c r="D482" s="16" t="s">
        <v>1485</v>
      </c>
      <c r="E482" s="16" t="s">
        <v>606</v>
      </c>
      <c r="F482" s="16" t="s">
        <v>607</v>
      </c>
      <c r="G482" s="16" t="s">
        <v>196</v>
      </c>
      <c r="H482" s="16" t="s">
        <v>197</v>
      </c>
      <c r="I482" s="16" t="s">
        <v>198</v>
      </c>
      <c r="J482" s="16" t="s">
        <v>199</v>
      </c>
      <c r="K482" s="16">
        <v>2.488699</v>
      </c>
      <c r="L482" s="36">
        <v>1707</v>
      </c>
      <c r="M482" s="16">
        <v>350</v>
      </c>
      <c r="N482" s="16">
        <v>379</v>
      </c>
      <c r="O482" s="16">
        <v>339</v>
      </c>
      <c r="P482" s="16">
        <v>406</v>
      </c>
      <c r="Q482" s="16">
        <v>233</v>
      </c>
      <c r="R482" s="16">
        <v>2</v>
      </c>
      <c r="S482" s="16">
        <v>15.6366</v>
      </c>
      <c r="T482" s="16">
        <v>0</v>
      </c>
      <c r="U482" s="16">
        <v>0.988152115</v>
      </c>
      <c r="V482" s="16">
        <v>2</v>
      </c>
      <c r="W482" s="16">
        <v>0.910381</v>
      </c>
      <c r="X482" s="16">
        <v>0.30651</v>
      </c>
      <c r="Y482" s="16">
        <v>0.8</v>
      </c>
      <c r="Z482" s="16">
        <v>0.48517100000000002</v>
      </c>
      <c r="AA482" s="37"/>
    </row>
    <row r="483" spans="1:27">
      <c r="A483" s="16" t="s">
        <v>96</v>
      </c>
      <c r="B483" s="16" t="s">
        <v>1830</v>
      </c>
      <c r="C483" s="16" t="s">
        <v>1831</v>
      </c>
      <c r="D483" s="16" t="s">
        <v>1832</v>
      </c>
      <c r="E483" s="16" t="s">
        <v>1833</v>
      </c>
      <c r="F483" s="16" t="s">
        <v>1834</v>
      </c>
      <c r="G483" s="16" t="s">
        <v>655</v>
      </c>
      <c r="H483" s="16" t="s">
        <v>656</v>
      </c>
      <c r="I483" s="16" t="s">
        <v>198</v>
      </c>
      <c r="J483" s="16" t="s">
        <v>199</v>
      </c>
      <c r="K483" s="16">
        <v>2.7576809999999998</v>
      </c>
      <c r="L483" s="36">
        <v>1631</v>
      </c>
      <c r="M483" s="16">
        <v>554</v>
      </c>
      <c r="N483" s="16">
        <v>300</v>
      </c>
      <c r="O483" s="16">
        <v>393</v>
      </c>
      <c r="P483" s="16">
        <v>284</v>
      </c>
      <c r="Q483" s="16">
        <v>100</v>
      </c>
      <c r="R483" s="16">
        <v>5</v>
      </c>
      <c r="S483" s="16">
        <v>29.105599999999999</v>
      </c>
      <c r="T483" s="16">
        <v>14.0473</v>
      </c>
      <c r="U483" s="16">
        <v>0.73267090099999999</v>
      </c>
      <c r="V483" s="16">
        <v>3</v>
      </c>
      <c r="W483" s="16">
        <v>0.90840600000000005</v>
      </c>
      <c r="X483" s="16">
        <v>0.17674400000000001</v>
      </c>
      <c r="Y483" s="16">
        <v>0.8</v>
      </c>
      <c r="Z483" s="16">
        <v>0.86502900000000005</v>
      </c>
      <c r="AA483" s="37"/>
    </row>
    <row r="484" spans="1:27">
      <c r="A484" s="16" t="s">
        <v>96</v>
      </c>
      <c r="B484" s="16" t="s">
        <v>1835</v>
      </c>
      <c r="C484" s="16" t="s">
        <v>1836</v>
      </c>
      <c r="D484" s="16" t="s">
        <v>1837</v>
      </c>
      <c r="E484" s="16" t="s">
        <v>1838</v>
      </c>
      <c r="F484" s="16" t="s">
        <v>1839</v>
      </c>
      <c r="G484" s="16" t="s">
        <v>461</v>
      </c>
      <c r="H484" s="16" t="s">
        <v>462</v>
      </c>
      <c r="I484" s="16" t="s">
        <v>198</v>
      </c>
      <c r="J484" s="16" t="s">
        <v>199</v>
      </c>
      <c r="K484" s="16">
        <v>2.2643749999999998</v>
      </c>
      <c r="L484" s="36">
        <v>1676</v>
      </c>
      <c r="M484" s="16">
        <v>360</v>
      </c>
      <c r="N484" s="16">
        <v>280</v>
      </c>
      <c r="O484" s="16">
        <v>425</v>
      </c>
      <c r="P484" s="16">
        <v>433</v>
      </c>
      <c r="Q484" s="16">
        <v>178</v>
      </c>
      <c r="R484" s="16">
        <v>4</v>
      </c>
      <c r="S484" s="16">
        <v>23.0562</v>
      </c>
      <c r="T484" s="16">
        <v>10.901400000000001</v>
      </c>
      <c r="U484" s="16">
        <v>1.2400078969999999</v>
      </c>
      <c r="V484" s="16">
        <v>2</v>
      </c>
      <c r="W484" s="16">
        <v>0.90249999999999997</v>
      </c>
      <c r="X484" s="16">
        <v>4.4308E-2</v>
      </c>
      <c r="Y484" s="16">
        <v>0.8</v>
      </c>
      <c r="Z484" s="16">
        <v>0.51718799999999998</v>
      </c>
      <c r="AA484" s="37"/>
    </row>
    <row r="485" spans="1:27">
      <c r="A485" s="16" t="s">
        <v>96</v>
      </c>
      <c r="B485" s="16" t="s">
        <v>1840</v>
      </c>
      <c r="C485" s="16" t="s">
        <v>1841</v>
      </c>
      <c r="D485" s="16" t="s">
        <v>1842</v>
      </c>
      <c r="E485" s="16" t="s">
        <v>1838</v>
      </c>
      <c r="F485" s="16" t="s">
        <v>1839</v>
      </c>
      <c r="G485" s="16" t="s">
        <v>461</v>
      </c>
      <c r="H485" s="16" t="s">
        <v>462</v>
      </c>
      <c r="I485" s="16" t="s">
        <v>198</v>
      </c>
      <c r="J485" s="16" t="s">
        <v>199</v>
      </c>
      <c r="K485" s="16">
        <v>2.249438</v>
      </c>
      <c r="L485" s="36">
        <v>1568</v>
      </c>
      <c r="M485" s="16">
        <v>355</v>
      </c>
      <c r="N485" s="16">
        <v>258</v>
      </c>
      <c r="O485" s="16">
        <v>442</v>
      </c>
      <c r="P485" s="16">
        <v>362</v>
      </c>
      <c r="Q485" s="16">
        <v>151</v>
      </c>
      <c r="R485" s="16">
        <v>3</v>
      </c>
      <c r="S485" s="16">
        <v>20.843599999999999</v>
      </c>
      <c r="T485" s="16">
        <v>9.5514700000000001</v>
      </c>
      <c r="U485" s="16">
        <v>1.2541997149999999</v>
      </c>
      <c r="V485" s="16">
        <v>2</v>
      </c>
      <c r="W485" s="16">
        <v>0.90299600000000002</v>
      </c>
      <c r="X485" s="16">
        <v>5.1128E-2</v>
      </c>
      <c r="Y485" s="16">
        <v>0.8</v>
      </c>
      <c r="Z485" s="16">
        <v>0.51082099999999997</v>
      </c>
      <c r="AA485" s="37"/>
    </row>
    <row r="486" spans="1:27">
      <c r="A486" s="16" t="s">
        <v>96</v>
      </c>
      <c r="B486" s="16" t="s">
        <v>1843</v>
      </c>
      <c r="C486" s="16" t="s">
        <v>1844</v>
      </c>
      <c r="D486" s="16" t="s">
        <v>1845</v>
      </c>
      <c r="E486" s="16" t="s">
        <v>1838</v>
      </c>
      <c r="F486" s="16" t="s">
        <v>1839</v>
      </c>
      <c r="G486" s="16" t="s">
        <v>461</v>
      </c>
      <c r="H486" s="16" t="s">
        <v>462</v>
      </c>
      <c r="I486" s="16" t="s">
        <v>198</v>
      </c>
      <c r="J486" s="16" t="s">
        <v>199</v>
      </c>
      <c r="K486" s="16">
        <v>2.6271840000000002</v>
      </c>
      <c r="L486" s="36">
        <v>1955</v>
      </c>
      <c r="M486" s="16">
        <v>376</v>
      </c>
      <c r="N486" s="16">
        <v>368</v>
      </c>
      <c r="O486" s="16">
        <v>497</v>
      </c>
      <c r="P486" s="16">
        <v>522</v>
      </c>
      <c r="Q486" s="16">
        <v>192</v>
      </c>
      <c r="R486" s="16">
        <v>5</v>
      </c>
      <c r="S486" s="16">
        <v>26.557300000000001</v>
      </c>
      <c r="T486" s="16">
        <v>20.756399999999999</v>
      </c>
      <c r="U486" s="16">
        <v>1.1403254490000001</v>
      </c>
      <c r="V486" s="16">
        <v>2</v>
      </c>
      <c r="W486" s="16">
        <v>0.909223</v>
      </c>
      <c r="X486" s="16">
        <v>0.27044299999999999</v>
      </c>
      <c r="Y486" s="16">
        <v>0.8</v>
      </c>
      <c r="Z486" s="16">
        <v>0.65318600000000004</v>
      </c>
      <c r="AA486" s="37"/>
    </row>
    <row r="487" spans="1:27">
      <c r="A487" s="16" t="s">
        <v>96</v>
      </c>
      <c r="B487" s="16" t="s">
        <v>1846</v>
      </c>
      <c r="C487" s="16" t="s">
        <v>1847</v>
      </c>
      <c r="D487" s="16" t="s">
        <v>1848</v>
      </c>
      <c r="E487" s="16" t="s">
        <v>1838</v>
      </c>
      <c r="F487" s="16" t="s">
        <v>1839</v>
      </c>
      <c r="G487" s="16" t="s">
        <v>461</v>
      </c>
      <c r="H487" s="16" t="s">
        <v>462</v>
      </c>
      <c r="I487" s="16" t="s">
        <v>198</v>
      </c>
      <c r="J487" s="16" t="s">
        <v>199</v>
      </c>
      <c r="K487" s="16">
        <v>2.626655</v>
      </c>
      <c r="L487" s="36">
        <v>2410</v>
      </c>
      <c r="M487" s="16">
        <v>538</v>
      </c>
      <c r="N487" s="16">
        <v>549</v>
      </c>
      <c r="O487" s="16">
        <v>596</v>
      </c>
      <c r="P487" s="16">
        <v>539</v>
      </c>
      <c r="Q487" s="16">
        <v>188</v>
      </c>
      <c r="R487" s="16" t="s">
        <v>302</v>
      </c>
      <c r="S487" s="16">
        <v>43.615099999999998</v>
      </c>
      <c r="T487" s="16">
        <v>19.024799999999999</v>
      </c>
      <c r="U487" s="16">
        <v>1.144618006</v>
      </c>
      <c r="V487" s="16">
        <v>2</v>
      </c>
      <c r="W487" s="16">
        <v>0.90470399999999995</v>
      </c>
      <c r="X487" s="16">
        <v>0.25279699999999999</v>
      </c>
      <c r="Y487" s="16">
        <v>0.8</v>
      </c>
      <c r="Z487" s="16">
        <v>0.65087399999999995</v>
      </c>
      <c r="AA487" s="37"/>
    </row>
    <row r="488" spans="1:27">
      <c r="A488" s="16" t="s">
        <v>96</v>
      </c>
      <c r="B488" s="16" t="s">
        <v>1849</v>
      </c>
      <c r="C488" s="16" t="s">
        <v>1850</v>
      </c>
      <c r="D488" s="16" t="s">
        <v>1851</v>
      </c>
      <c r="E488" s="16" t="s">
        <v>1852</v>
      </c>
      <c r="F488" s="16" t="s">
        <v>1853</v>
      </c>
      <c r="G488" s="16" t="s">
        <v>461</v>
      </c>
      <c r="H488" s="16" t="s">
        <v>462</v>
      </c>
      <c r="I488" s="16" t="s">
        <v>198</v>
      </c>
      <c r="J488" s="16" t="s">
        <v>199</v>
      </c>
      <c r="K488" s="16">
        <v>2.6064859999999999</v>
      </c>
      <c r="L488" s="36">
        <v>1850</v>
      </c>
      <c r="M488" s="16">
        <v>458</v>
      </c>
      <c r="N488" s="16">
        <v>366</v>
      </c>
      <c r="O488" s="16">
        <v>485</v>
      </c>
      <c r="P488" s="16">
        <v>394</v>
      </c>
      <c r="Q488" s="16">
        <v>147</v>
      </c>
      <c r="R488" s="16" t="s">
        <v>302</v>
      </c>
      <c r="S488" s="16">
        <v>37.777000000000001</v>
      </c>
      <c r="T488" s="16">
        <v>23.104199999999999</v>
      </c>
      <c r="U488" s="16">
        <v>0.97795734099999998</v>
      </c>
      <c r="V488" s="16">
        <v>2</v>
      </c>
      <c r="W488" s="16">
        <v>0.90945900000000002</v>
      </c>
      <c r="X488" s="16">
        <v>0.25925900000000002</v>
      </c>
      <c r="Y488" s="16">
        <v>0.73941000000000001</v>
      </c>
      <c r="Z488" s="16">
        <v>0.70589800000000003</v>
      </c>
      <c r="AA488" s="37"/>
    </row>
    <row r="489" spans="1:27">
      <c r="A489" s="16" t="s">
        <v>96</v>
      </c>
      <c r="B489" s="16" t="s">
        <v>1854</v>
      </c>
      <c r="C489" s="16" t="s">
        <v>1855</v>
      </c>
      <c r="D489" s="16" t="s">
        <v>1856</v>
      </c>
      <c r="E489" s="16" t="s">
        <v>1852</v>
      </c>
      <c r="F489" s="16" t="s">
        <v>1853</v>
      </c>
      <c r="G489" s="16" t="s">
        <v>461</v>
      </c>
      <c r="H489" s="16" t="s">
        <v>462</v>
      </c>
      <c r="I489" s="16" t="s">
        <v>198</v>
      </c>
      <c r="J489" s="16" t="s">
        <v>199</v>
      </c>
      <c r="K489" s="16">
        <v>2.678547</v>
      </c>
      <c r="L489" s="36">
        <v>1811</v>
      </c>
      <c r="M489" s="16">
        <v>778</v>
      </c>
      <c r="N489" s="16">
        <v>294</v>
      </c>
      <c r="O489" s="16">
        <v>376</v>
      </c>
      <c r="P489" s="16">
        <v>249</v>
      </c>
      <c r="Q489" s="16">
        <v>114</v>
      </c>
      <c r="R489" s="16">
        <v>5</v>
      </c>
      <c r="S489" s="16">
        <v>32.173999999999999</v>
      </c>
      <c r="T489" s="16">
        <v>19.037800000000001</v>
      </c>
      <c r="U489" s="16">
        <v>0.74872532700000005</v>
      </c>
      <c r="V489" s="16">
        <v>4</v>
      </c>
      <c r="W489" s="16">
        <v>0.90519000000000005</v>
      </c>
      <c r="X489" s="16">
        <v>0.151203</v>
      </c>
      <c r="Y489" s="16">
        <v>0.8</v>
      </c>
      <c r="Z489" s="16">
        <v>0.83287199999999995</v>
      </c>
      <c r="AA489" s="37"/>
    </row>
    <row r="490" spans="1:27">
      <c r="A490" s="16" t="s">
        <v>96</v>
      </c>
      <c r="B490" s="16" t="s">
        <v>1857</v>
      </c>
      <c r="C490" s="16" t="s">
        <v>1858</v>
      </c>
      <c r="D490" s="16" t="s">
        <v>1859</v>
      </c>
      <c r="E490" s="16" t="s">
        <v>704</v>
      </c>
      <c r="F490" s="16" t="s">
        <v>705</v>
      </c>
      <c r="G490" s="16" t="s">
        <v>461</v>
      </c>
      <c r="H490" s="16" t="s">
        <v>462</v>
      </c>
      <c r="I490" s="16" t="s">
        <v>198</v>
      </c>
      <c r="J490" s="16" t="s">
        <v>199</v>
      </c>
      <c r="K490" s="16">
        <v>2.801736</v>
      </c>
      <c r="L490" s="36">
        <v>2073</v>
      </c>
      <c r="M490" s="16">
        <v>498</v>
      </c>
      <c r="N490" s="16">
        <v>410</v>
      </c>
      <c r="O490" s="16">
        <v>502</v>
      </c>
      <c r="P490" s="16">
        <v>505</v>
      </c>
      <c r="Q490" s="16">
        <v>158</v>
      </c>
      <c r="R490" s="16" t="s">
        <v>302</v>
      </c>
      <c r="S490" s="16">
        <v>48.674599999999998</v>
      </c>
      <c r="T490" s="16">
        <v>22.698599999999999</v>
      </c>
      <c r="U490" s="16">
        <v>1.0587726850000001</v>
      </c>
      <c r="V490" s="16">
        <v>1</v>
      </c>
      <c r="W490" s="16">
        <v>0.91423600000000005</v>
      </c>
      <c r="X490" s="16">
        <v>0.33263199999999998</v>
      </c>
      <c r="Y490" s="16">
        <v>0.76307400000000003</v>
      </c>
      <c r="Z490" s="16">
        <v>0.81337999999999999</v>
      </c>
      <c r="AA490" s="37"/>
    </row>
    <row r="491" spans="1:27">
      <c r="A491" s="16" t="s">
        <v>96</v>
      </c>
      <c r="B491" s="16" t="s">
        <v>1860</v>
      </c>
      <c r="C491" s="16" t="s">
        <v>1861</v>
      </c>
      <c r="D491" s="16" t="s">
        <v>1862</v>
      </c>
      <c r="E491" s="16" t="s">
        <v>709</v>
      </c>
      <c r="F491" s="16" t="s">
        <v>710</v>
      </c>
      <c r="G491" s="16" t="s">
        <v>461</v>
      </c>
      <c r="H491" s="16" t="s">
        <v>462</v>
      </c>
      <c r="I491" s="16" t="s">
        <v>198</v>
      </c>
      <c r="J491" s="16" t="s">
        <v>199</v>
      </c>
      <c r="K491" s="16">
        <v>2.581744</v>
      </c>
      <c r="L491" s="36">
        <v>2163</v>
      </c>
      <c r="M491" s="16">
        <v>314</v>
      </c>
      <c r="N491" s="16">
        <v>418</v>
      </c>
      <c r="O491" s="16">
        <v>611</v>
      </c>
      <c r="P491" s="16">
        <v>557</v>
      </c>
      <c r="Q491" s="16">
        <v>263</v>
      </c>
      <c r="R491" s="16" t="s">
        <v>302</v>
      </c>
      <c r="S491" s="16">
        <v>47.852400000000003</v>
      </c>
      <c r="T491" s="16">
        <v>13.125500000000001</v>
      </c>
      <c r="U491" s="16">
        <v>1.1264038810000001</v>
      </c>
      <c r="V491" s="16">
        <v>2</v>
      </c>
      <c r="W491" s="16">
        <v>0.91034499999999996</v>
      </c>
      <c r="X491" s="16">
        <v>0.24440000000000001</v>
      </c>
      <c r="Y491" s="16">
        <v>0.71740899999999996</v>
      </c>
      <c r="Z491" s="16">
        <v>0.709476</v>
      </c>
      <c r="AA491" s="37"/>
    </row>
    <row r="492" spans="1:27">
      <c r="A492" s="16" t="s">
        <v>96</v>
      </c>
      <c r="B492" s="16" t="s">
        <v>1863</v>
      </c>
      <c r="C492" s="16" t="s">
        <v>1864</v>
      </c>
      <c r="D492" s="16" t="s">
        <v>1865</v>
      </c>
      <c r="E492" s="16" t="s">
        <v>704</v>
      </c>
      <c r="F492" s="16" t="s">
        <v>705</v>
      </c>
      <c r="G492" s="16" t="s">
        <v>461</v>
      </c>
      <c r="H492" s="16" t="s">
        <v>462</v>
      </c>
      <c r="I492" s="16" t="s">
        <v>198</v>
      </c>
      <c r="J492" s="16" t="s">
        <v>199</v>
      </c>
      <c r="K492" s="16">
        <v>2.6492710000000002</v>
      </c>
      <c r="L492" s="36">
        <v>1673</v>
      </c>
      <c r="M492" s="16">
        <v>397</v>
      </c>
      <c r="N492" s="16">
        <v>323</v>
      </c>
      <c r="O492" s="16">
        <v>384</v>
      </c>
      <c r="P492" s="16">
        <v>424</v>
      </c>
      <c r="Q492" s="16">
        <v>145</v>
      </c>
      <c r="R492" s="16" t="s">
        <v>302</v>
      </c>
      <c r="S492" s="16">
        <v>42.6663</v>
      </c>
      <c r="T492" s="16">
        <v>29.892600000000002</v>
      </c>
      <c r="U492" s="16">
        <v>1.254761534</v>
      </c>
      <c r="V492" s="16">
        <v>1</v>
      </c>
      <c r="W492" s="16">
        <v>0.91661800000000004</v>
      </c>
      <c r="X492" s="16">
        <v>0.28562900000000002</v>
      </c>
      <c r="Y492" s="16">
        <v>0.7</v>
      </c>
      <c r="Z492" s="16">
        <v>0.75132699999999997</v>
      </c>
      <c r="AA492" s="37"/>
    </row>
    <row r="493" spans="1:27">
      <c r="A493" s="16" t="s">
        <v>96</v>
      </c>
      <c r="B493" s="16" t="s">
        <v>701</v>
      </c>
      <c r="C493" s="16" t="s">
        <v>702</v>
      </c>
      <c r="D493" s="16" t="s">
        <v>703</v>
      </c>
      <c r="E493" s="16" t="s">
        <v>704</v>
      </c>
      <c r="F493" s="16" t="s">
        <v>705</v>
      </c>
      <c r="G493" s="16" t="s">
        <v>461</v>
      </c>
      <c r="H493" s="16" t="s">
        <v>462</v>
      </c>
      <c r="I493" s="16" t="s">
        <v>198</v>
      </c>
      <c r="J493" s="16" t="s">
        <v>199</v>
      </c>
      <c r="K493" s="16">
        <v>2.5982889999999998</v>
      </c>
      <c r="L493" s="36">
        <v>2127</v>
      </c>
      <c r="M493" s="16">
        <v>366</v>
      </c>
      <c r="N493" s="16">
        <v>575</v>
      </c>
      <c r="O493" s="16">
        <v>466</v>
      </c>
      <c r="P493" s="16">
        <v>443</v>
      </c>
      <c r="Q493" s="16">
        <v>277</v>
      </c>
      <c r="R493" s="16" t="s">
        <v>302</v>
      </c>
      <c r="S493" s="16">
        <v>45.510899999999999</v>
      </c>
      <c r="T493" s="16">
        <v>23.158999999999999</v>
      </c>
      <c r="U493" s="16">
        <v>1.003836162</v>
      </c>
      <c r="V493" s="16">
        <v>2</v>
      </c>
      <c r="W493" s="16">
        <v>0.91216699999999995</v>
      </c>
      <c r="X493" s="16">
        <v>0.26233299999999998</v>
      </c>
      <c r="Y493" s="16">
        <v>0.7</v>
      </c>
      <c r="Z493" s="16">
        <v>0.73396600000000001</v>
      </c>
      <c r="AA493" s="37"/>
    </row>
    <row r="494" spans="1:27">
      <c r="A494" s="16" t="s">
        <v>96</v>
      </c>
      <c r="B494" s="16" t="s">
        <v>1866</v>
      </c>
      <c r="C494" s="16" t="s">
        <v>1867</v>
      </c>
      <c r="D494" s="16" t="s">
        <v>1868</v>
      </c>
      <c r="E494" s="16" t="s">
        <v>1869</v>
      </c>
      <c r="F494" s="16" t="s">
        <v>1870</v>
      </c>
      <c r="G494" s="16" t="s">
        <v>461</v>
      </c>
      <c r="H494" s="16" t="s">
        <v>462</v>
      </c>
      <c r="I494" s="16" t="s">
        <v>198</v>
      </c>
      <c r="J494" s="16" t="s">
        <v>199</v>
      </c>
      <c r="K494" s="16">
        <v>2.5497619999999999</v>
      </c>
      <c r="L494" s="36">
        <v>2293</v>
      </c>
      <c r="M494" s="16">
        <v>531</v>
      </c>
      <c r="N494" s="16">
        <v>596</v>
      </c>
      <c r="O494" s="16">
        <v>530</v>
      </c>
      <c r="P494" s="16">
        <v>503</v>
      </c>
      <c r="Q494" s="16">
        <v>133</v>
      </c>
      <c r="R494" s="16">
        <v>5</v>
      </c>
      <c r="S494" s="16">
        <v>28.644300000000001</v>
      </c>
      <c r="T494" s="16">
        <v>5.8740100000000002</v>
      </c>
      <c r="U494" s="16">
        <v>1.0712174539999999</v>
      </c>
      <c r="V494" s="16">
        <v>2</v>
      </c>
      <c r="W494" s="16">
        <v>0.90595199999999998</v>
      </c>
      <c r="X494" s="16">
        <v>0.13095200000000001</v>
      </c>
      <c r="Y494" s="16">
        <v>0.8</v>
      </c>
      <c r="Z494" s="16">
        <v>0.75023899999999999</v>
      </c>
      <c r="AA494" s="37"/>
    </row>
    <row r="495" spans="1:27">
      <c r="A495" s="16" t="s">
        <v>96</v>
      </c>
      <c r="B495" s="16" t="s">
        <v>1871</v>
      </c>
      <c r="C495" s="16" t="s">
        <v>1872</v>
      </c>
      <c r="D495" s="16" t="s">
        <v>1873</v>
      </c>
      <c r="E495" s="16" t="s">
        <v>1869</v>
      </c>
      <c r="F495" s="16" t="s">
        <v>1870</v>
      </c>
      <c r="G495" s="16" t="s">
        <v>461</v>
      </c>
      <c r="H495" s="16" t="s">
        <v>462</v>
      </c>
      <c r="I495" s="16" t="s">
        <v>198</v>
      </c>
      <c r="J495" s="16" t="s">
        <v>199</v>
      </c>
      <c r="K495" s="16">
        <v>2.7800500000000001</v>
      </c>
      <c r="L495" s="36">
        <v>1951</v>
      </c>
      <c r="M495" s="16">
        <v>354</v>
      </c>
      <c r="N495" s="16">
        <v>559</v>
      </c>
      <c r="O495" s="16">
        <v>352</v>
      </c>
      <c r="P495" s="16">
        <v>451</v>
      </c>
      <c r="Q495" s="16">
        <v>235</v>
      </c>
      <c r="R495" s="16" t="s">
        <v>302</v>
      </c>
      <c r="S495" s="16">
        <v>43.128799999999998</v>
      </c>
      <c r="T495" s="16">
        <v>20.9129</v>
      </c>
      <c r="U495" s="16">
        <v>1.1217718699999999</v>
      </c>
      <c r="V495" s="16">
        <v>1</v>
      </c>
      <c r="W495" s="16">
        <v>0.91022400000000003</v>
      </c>
      <c r="X495" s="16">
        <v>0.28010099999999999</v>
      </c>
      <c r="Y495" s="16">
        <v>0.8</v>
      </c>
      <c r="Z495" s="16">
        <v>0.79047599999999996</v>
      </c>
      <c r="AA495" s="37"/>
    </row>
    <row r="496" spans="1:27">
      <c r="A496" s="16" t="s">
        <v>96</v>
      </c>
      <c r="B496" s="16" t="s">
        <v>1874</v>
      </c>
      <c r="C496" s="16" t="s">
        <v>1875</v>
      </c>
      <c r="D496" s="16" t="s">
        <v>1876</v>
      </c>
      <c r="E496" s="16" t="s">
        <v>1877</v>
      </c>
      <c r="F496" s="16" t="s">
        <v>1878</v>
      </c>
      <c r="G496" s="16" t="s">
        <v>461</v>
      </c>
      <c r="H496" s="16" t="s">
        <v>462</v>
      </c>
      <c r="I496" s="16" t="s">
        <v>198</v>
      </c>
      <c r="J496" s="16" t="s">
        <v>199</v>
      </c>
      <c r="K496" s="16">
        <v>2.2096719999999999</v>
      </c>
      <c r="L496" s="36">
        <v>1826</v>
      </c>
      <c r="M496" s="16">
        <v>408</v>
      </c>
      <c r="N496" s="16">
        <v>349</v>
      </c>
      <c r="O496" s="16">
        <v>350</v>
      </c>
      <c r="P496" s="16">
        <v>489</v>
      </c>
      <c r="Q496" s="16">
        <v>230</v>
      </c>
      <c r="R496" s="16">
        <v>3</v>
      </c>
      <c r="S496" s="16">
        <v>15.036099999999999</v>
      </c>
      <c r="T496" s="16">
        <v>4.6349</v>
      </c>
      <c r="U496" s="16">
        <v>1.3837581510000001</v>
      </c>
      <c r="V496" s="16">
        <v>2</v>
      </c>
      <c r="W496" s="16">
        <v>0.90360700000000005</v>
      </c>
      <c r="X496" s="16">
        <v>9.5680000000000001E-2</v>
      </c>
      <c r="Y496" s="16">
        <v>0.78303699999999998</v>
      </c>
      <c r="Z496" s="16">
        <v>0.43567899999999998</v>
      </c>
      <c r="AA496" s="37"/>
    </row>
    <row r="497" spans="1:27">
      <c r="A497" s="16" t="s">
        <v>96</v>
      </c>
      <c r="B497" s="16" t="s">
        <v>1879</v>
      </c>
      <c r="C497" s="16" t="s">
        <v>1880</v>
      </c>
      <c r="D497" s="16" t="s">
        <v>1881</v>
      </c>
      <c r="E497" s="16" t="s">
        <v>1882</v>
      </c>
      <c r="F497" s="16" t="s">
        <v>1883</v>
      </c>
      <c r="G497" s="16" t="s">
        <v>461</v>
      </c>
      <c r="H497" s="16" t="s">
        <v>462</v>
      </c>
      <c r="I497" s="16" t="s">
        <v>198</v>
      </c>
      <c r="J497" s="16" t="s">
        <v>199</v>
      </c>
      <c r="K497" s="16">
        <v>2.2268249999999998</v>
      </c>
      <c r="L497" s="36">
        <v>1784</v>
      </c>
      <c r="M497" s="16">
        <v>390</v>
      </c>
      <c r="N497" s="16">
        <v>322</v>
      </c>
      <c r="O497" s="16">
        <v>365</v>
      </c>
      <c r="P497" s="16">
        <v>542</v>
      </c>
      <c r="Q497" s="16">
        <v>165</v>
      </c>
      <c r="R497" s="16">
        <v>2</v>
      </c>
      <c r="S497" s="16">
        <v>13.9123</v>
      </c>
      <c r="T497" s="16">
        <v>3.3740299999999999</v>
      </c>
      <c r="U497" s="16">
        <v>1.355592468</v>
      </c>
      <c r="V497" s="16">
        <v>1</v>
      </c>
      <c r="W497" s="16">
        <v>0.90777799999999997</v>
      </c>
      <c r="X497" s="16">
        <v>0.15721099999999999</v>
      </c>
      <c r="Y497" s="16">
        <v>0.75809499999999996</v>
      </c>
      <c r="Z497" s="16">
        <v>0.4</v>
      </c>
      <c r="AA497" s="37"/>
    </row>
    <row r="498" spans="1:27">
      <c r="A498" s="16" t="s">
        <v>96</v>
      </c>
      <c r="B498" s="16" t="s">
        <v>1884</v>
      </c>
      <c r="C498" s="16" t="s">
        <v>1885</v>
      </c>
      <c r="D498" s="16" t="s">
        <v>1886</v>
      </c>
      <c r="E498" s="16" t="s">
        <v>1877</v>
      </c>
      <c r="F498" s="16" t="s">
        <v>1878</v>
      </c>
      <c r="G498" s="16" t="s">
        <v>461</v>
      </c>
      <c r="H498" s="16" t="s">
        <v>462</v>
      </c>
      <c r="I498" s="16" t="s">
        <v>198</v>
      </c>
      <c r="J498" s="16" t="s">
        <v>199</v>
      </c>
      <c r="K498" s="16">
        <v>2.2356739999999999</v>
      </c>
      <c r="L498" s="36">
        <v>1565</v>
      </c>
      <c r="M498" s="16">
        <v>306</v>
      </c>
      <c r="N498" s="16">
        <v>313</v>
      </c>
      <c r="O498" s="16">
        <v>339</v>
      </c>
      <c r="P498" s="16">
        <v>463</v>
      </c>
      <c r="Q498" s="16">
        <v>144</v>
      </c>
      <c r="R498" s="16">
        <v>2</v>
      </c>
      <c r="S498" s="16">
        <v>14.6435</v>
      </c>
      <c r="T498" s="16">
        <v>4.37087</v>
      </c>
      <c r="U498" s="16">
        <v>1.3269571920000001</v>
      </c>
      <c r="V498" s="16">
        <v>2</v>
      </c>
      <c r="W498" s="16">
        <v>0.90224700000000002</v>
      </c>
      <c r="X498" s="16">
        <v>7.7272999999999994E-2</v>
      </c>
      <c r="Y498" s="16">
        <v>0.73938099999999995</v>
      </c>
      <c r="Z498" s="16">
        <v>0.51980300000000002</v>
      </c>
      <c r="AA498" s="37"/>
    </row>
    <row r="499" spans="1:27">
      <c r="A499" s="16" t="s">
        <v>96</v>
      </c>
      <c r="B499" s="16" t="s">
        <v>1887</v>
      </c>
      <c r="C499" s="16" t="s">
        <v>1888</v>
      </c>
      <c r="D499" s="16" t="s">
        <v>1889</v>
      </c>
      <c r="E499" s="16" t="s">
        <v>1877</v>
      </c>
      <c r="F499" s="16" t="s">
        <v>1878</v>
      </c>
      <c r="G499" s="16" t="s">
        <v>461</v>
      </c>
      <c r="H499" s="16" t="s">
        <v>462</v>
      </c>
      <c r="I499" s="16" t="s">
        <v>198</v>
      </c>
      <c r="J499" s="16" t="s">
        <v>199</v>
      </c>
      <c r="K499" s="16">
        <v>2.4962420000000001</v>
      </c>
      <c r="L499" s="36">
        <v>1576</v>
      </c>
      <c r="M499" s="16">
        <v>321</v>
      </c>
      <c r="N499" s="16">
        <v>306</v>
      </c>
      <c r="O499" s="16">
        <v>383</v>
      </c>
      <c r="P499" s="16">
        <v>412</v>
      </c>
      <c r="Q499" s="16">
        <v>154</v>
      </c>
      <c r="R499" s="16">
        <v>3</v>
      </c>
      <c r="S499" s="16">
        <v>20.627800000000001</v>
      </c>
      <c r="T499" s="16">
        <v>4.4247199999999998</v>
      </c>
      <c r="U499" s="16">
        <v>1.230113204</v>
      </c>
      <c r="V499" s="16">
        <v>1</v>
      </c>
      <c r="W499" s="16">
        <v>0.90569699999999997</v>
      </c>
      <c r="X499" s="16">
        <v>0.19467999999999999</v>
      </c>
      <c r="Y499" s="16">
        <v>0.77421300000000004</v>
      </c>
      <c r="Z499" s="16">
        <v>0.61719100000000005</v>
      </c>
      <c r="AA499" s="37"/>
    </row>
    <row r="500" spans="1:27">
      <c r="A500" s="16" t="s">
        <v>96</v>
      </c>
      <c r="B500" s="16" t="s">
        <v>1890</v>
      </c>
      <c r="C500" s="16" t="s">
        <v>1891</v>
      </c>
      <c r="D500" s="16" t="s">
        <v>1892</v>
      </c>
      <c r="E500" s="16" t="s">
        <v>1882</v>
      </c>
      <c r="F500" s="16" t="s">
        <v>1883</v>
      </c>
      <c r="G500" s="16" t="s">
        <v>461</v>
      </c>
      <c r="H500" s="16" t="s">
        <v>462</v>
      </c>
      <c r="I500" s="16" t="s">
        <v>198</v>
      </c>
      <c r="J500" s="16" t="s">
        <v>199</v>
      </c>
      <c r="K500" s="16">
        <v>2.197368</v>
      </c>
      <c r="L500" s="36">
        <v>1657</v>
      </c>
      <c r="M500" s="16">
        <v>383</v>
      </c>
      <c r="N500" s="16">
        <v>285</v>
      </c>
      <c r="O500" s="16">
        <v>351</v>
      </c>
      <c r="P500" s="16">
        <v>450</v>
      </c>
      <c r="Q500" s="16">
        <v>188</v>
      </c>
      <c r="R500" s="16">
        <v>3</v>
      </c>
      <c r="S500" s="16">
        <v>14.8873</v>
      </c>
      <c r="T500" s="16">
        <v>7.4841600000000001</v>
      </c>
      <c r="U500" s="16">
        <v>1.2592746880000001</v>
      </c>
      <c r="V500" s="16">
        <v>2</v>
      </c>
      <c r="W500" s="16">
        <v>0.90770700000000004</v>
      </c>
      <c r="X500" s="16">
        <v>0.17857100000000001</v>
      </c>
      <c r="Y500" s="16">
        <v>0.7</v>
      </c>
      <c r="Z500" s="16">
        <v>0.41160999999999998</v>
      </c>
      <c r="AA500" s="37"/>
    </row>
    <row r="501" spans="1:27">
      <c r="A501" s="16"/>
      <c r="B501" s="16"/>
      <c r="C501" s="16"/>
      <c r="D501" s="16"/>
      <c r="E501" s="16"/>
      <c r="F501" s="16"/>
      <c r="G501" s="16"/>
      <c r="H501" s="16"/>
      <c r="I501" s="16"/>
      <c r="J501" s="16"/>
      <c r="K501" s="16">
        <f>MAX(K480:K500)</f>
        <v>2.801736</v>
      </c>
      <c r="L501" s="36">
        <f>AVERAGE(L480:L500)</f>
        <v>1842.6666666666667</v>
      </c>
      <c r="M501" s="16">
        <f>SUM(M480:M500)</f>
        <v>8829</v>
      </c>
      <c r="N501" s="16"/>
      <c r="O501" s="16"/>
      <c r="P501" s="16"/>
      <c r="Q501" s="16">
        <f>SUM(Q480:Q500)</f>
        <v>3828</v>
      </c>
      <c r="R501" s="16"/>
      <c r="S501" s="16"/>
      <c r="T501" s="16"/>
      <c r="U501" s="16"/>
      <c r="V501" s="16">
        <f>MEDIAN(V480:V500)</f>
        <v>2</v>
      </c>
      <c r="W501" s="16"/>
      <c r="X501" s="16"/>
      <c r="Y501" s="16"/>
      <c r="Z501" s="16"/>
      <c r="AA501" s="37"/>
    </row>
    <row r="502" spans="1:27">
      <c r="A502" s="16" t="s">
        <v>100</v>
      </c>
      <c r="B502" s="16" t="s">
        <v>1893</v>
      </c>
      <c r="C502" s="16" t="s">
        <v>1894</v>
      </c>
      <c r="D502" s="16" t="s">
        <v>1895</v>
      </c>
      <c r="E502" s="16" t="s">
        <v>1896</v>
      </c>
      <c r="F502" s="16" t="s">
        <v>1897</v>
      </c>
      <c r="G502" s="16" t="s">
        <v>1757</v>
      </c>
      <c r="H502" s="16" t="s">
        <v>1758</v>
      </c>
      <c r="I502" s="16" t="s">
        <v>198</v>
      </c>
      <c r="J502" s="16" t="s">
        <v>199</v>
      </c>
      <c r="K502" s="16">
        <v>2.4529740000000002</v>
      </c>
      <c r="L502" s="36">
        <v>1510</v>
      </c>
      <c r="M502" s="16">
        <v>326</v>
      </c>
      <c r="N502" s="16">
        <v>330</v>
      </c>
      <c r="O502" s="16">
        <v>347</v>
      </c>
      <c r="P502" s="16">
        <v>379</v>
      </c>
      <c r="Q502" s="16">
        <v>128</v>
      </c>
      <c r="R502" s="16" t="s">
        <v>225</v>
      </c>
      <c r="S502" s="16">
        <v>6.7894500000000004</v>
      </c>
      <c r="T502" s="16">
        <v>0</v>
      </c>
      <c r="U502" s="16">
        <v>1.0951835919999999</v>
      </c>
      <c r="V502" s="16">
        <v>2</v>
      </c>
      <c r="W502" s="16">
        <v>0.91912199999999999</v>
      </c>
      <c r="X502" s="16">
        <v>0.33019900000000002</v>
      </c>
      <c r="Y502" s="16">
        <v>0.60756100000000002</v>
      </c>
      <c r="Z502" s="16">
        <v>0.61218099999999998</v>
      </c>
      <c r="AA502" s="37"/>
    </row>
    <row r="503" spans="1:27">
      <c r="A503" s="16" t="s">
        <v>100</v>
      </c>
      <c r="B503" s="16" t="s">
        <v>1898</v>
      </c>
      <c r="C503" s="16" t="s">
        <v>1899</v>
      </c>
      <c r="D503" s="16" t="s">
        <v>1900</v>
      </c>
      <c r="E503" s="16" t="s">
        <v>1901</v>
      </c>
      <c r="F503" s="16" t="s">
        <v>1902</v>
      </c>
      <c r="G503" s="16" t="s">
        <v>1757</v>
      </c>
      <c r="H503" s="16" t="s">
        <v>1758</v>
      </c>
      <c r="I503" s="16" t="s">
        <v>198</v>
      </c>
      <c r="J503" s="16" t="s">
        <v>199</v>
      </c>
      <c r="K503" s="16">
        <v>2.7364199999999999</v>
      </c>
      <c r="L503" s="36">
        <v>2318</v>
      </c>
      <c r="M503" s="16">
        <v>465</v>
      </c>
      <c r="N503" s="16">
        <v>530</v>
      </c>
      <c r="O503" s="16">
        <v>615</v>
      </c>
      <c r="P503" s="16">
        <v>538</v>
      </c>
      <c r="Q503" s="16">
        <v>170</v>
      </c>
      <c r="R503" s="16">
        <v>5</v>
      </c>
      <c r="S503" s="16">
        <v>28.324200000000001</v>
      </c>
      <c r="T503" s="16">
        <v>14.378299999999999</v>
      </c>
      <c r="U503" s="16">
        <v>0.96949226300000002</v>
      </c>
      <c r="V503" s="16">
        <v>2</v>
      </c>
      <c r="W503" s="16">
        <v>0.91316900000000001</v>
      </c>
      <c r="X503" s="16">
        <v>0.23257700000000001</v>
      </c>
      <c r="Y503" s="16">
        <v>0.6</v>
      </c>
      <c r="Z503" s="16">
        <v>0.97883799999999999</v>
      </c>
      <c r="AA503" s="37"/>
    </row>
    <row r="504" spans="1:27">
      <c r="A504" s="16" t="s">
        <v>100</v>
      </c>
      <c r="B504" s="16" t="s">
        <v>1903</v>
      </c>
      <c r="C504" s="16" t="s">
        <v>1904</v>
      </c>
      <c r="D504" s="16" t="s">
        <v>1905</v>
      </c>
      <c r="E504" s="16" t="s">
        <v>1901</v>
      </c>
      <c r="F504" s="16" t="s">
        <v>1902</v>
      </c>
      <c r="G504" s="16" t="s">
        <v>1757</v>
      </c>
      <c r="H504" s="16" t="s">
        <v>1758</v>
      </c>
      <c r="I504" s="16" t="s">
        <v>198</v>
      </c>
      <c r="J504" s="16" t="s">
        <v>199</v>
      </c>
      <c r="K504" s="16">
        <v>2.8697870000000001</v>
      </c>
      <c r="L504" s="36">
        <v>2739</v>
      </c>
      <c r="M504" s="16">
        <v>521</v>
      </c>
      <c r="N504" s="16">
        <v>681</v>
      </c>
      <c r="O504" s="16">
        <v>848</v>
      </c>
      <c r="P504" s="16">
        <v>496</v>
      </c>
      <c r="Q504" s="16">
        <v>193</v>
      </c>
      <c r="R504" s="16">
        <v>5</v>
      </c>
      <c r="S504" s="16">
        <v>33.570399999999999</v>
      </c>
      <c r="T504" s="16">
        <v>13.938800000000001</v>
      </c>
      <c r="U504" s="16">
        <v>1.1372010859999999</v>
      </c>
      <c r="V504" s="16">
        <v>2</v>
      </c>
      <c r="W504" s="16">
        <v>0.93021299999999996</v>
      </c>
      <c r="X504" s="16">
        <v>0.32769599999999999</v>
      </c>
      <c r="Y504" s="16">
        <v>0.607128</v>
      </c>
      <c r="Z504" s="16">
        <v>0.99364399999999997</v>
      </c>
      <c r="AA504" s="37"/>
    </row>
    <row r="505" spans="1:27">
      <c r="A505" s="16" t="s">
        <v>100</v>
      </c>
      <c r="B505" s="16" t="s">
        <v>1906</v>
      </c>
      <c r="C505" s="16" t="s">
        <v>1907</v>
      </c>
      <c r="D505" s="16" t="s">
        <v>1908</v>
      </c>
      <c r="E505" s="16" t="s">
        <v>1909</v>
      </c>
      <c r="F505" s="16" t="s">
        <v>1910</v>
      </c>
      <c r="G505" s="16" t="s">
        <v>1757</v>
      </c>
      <c r="H505" s="16" t="s">
        <v>1758</v>
      </c>
      <c r="I505" s="16" t="s">
        <v>198</v>
      </c>
      <c r="J505" s="16" t="s">
        <v>199</v>
      </c>
      <c r="K505" s="16">
        <v>2.414253</v>
      </c>
      <c r="L505" s="36">
        <v>2592</v>
      </c>
      <c r="M505" s="16">
        <v>598</v>
      </c>
      <c r="N505" s="16">
        <v>510</v>
      </c>
      <c r="O505" s="16">
        <v>673</v>
      </c>
      <c r="P505" s="16">
        <v>571</v>
      </c>
      <c r="Q505" s="16">
        <v>240</v>
      </c>
      <c r="R505" s="16">
        <v>4</v>
      </c>
      <c r="S505" s="16">
        <v>20.0365</v>
      </c>
      <c r="T505" s="16">
        <v>13.9101</v>
      </c>
      <c r="U505" s="16">
        <v>1.0438801289999999</v>
      </c>
      <c r="V505" s="16">
        <v>2</v>
      </c>
      <c r="W505" s="16">
        <v>0.907586</v>
      </c>
      <c r="X505" s="16">
        <v>0.13950299999999999</v>
      </c>
      <c r="Y505" s="16">
        <v>0.6</v>
      </c>
      <c r="Z505" s="16">
        <v>0.77819000000000005</v>
      </c>
      <c r="AA505" s="37"/>
    </row>
    <row r="506" spans="1:27">
      <c r="A506" s="16" t="s">
        <v>100</v>
      </c>
      <c r="B506" s="16" t="s">
        <v>1911</v>
      </c>
      <c r="C506" s="16" t="s">
        <v>1912</v>
      </c>
      <c r="D506" s="16" t="s">
        <v>1913</v>
      </c>
      <c r="E506" s="16" t="s">
        <v>1909</v>
      </c>
      <c r="F506" s="16" t="s">
        <v>1910</v>
      </c>
      <c r="G506" s="16" t="s">
        <v>1757</v>
      </c>
      <c r="H506" s="16" t="s">
        <v>1758</v>
      </c>
      <c r="I506" s="16" t="s">
        <v>198</v>
      </c>
      <c r="J506" s="16" t="s">
        <v>199</v>
      </c>
      <c r="K506" s="16">
        <v>2.6167479999999999</v>
      </c>
      <c r="L506" s="36">
        <v>2323</v>
      </c>
      <c r="M506" s="16">
        <v>536</v>
      </c>
      <c r="N506" s="16">
        <v>502</v>
      </c>
      <c r="O506" s="16">
        <v>717</v>
      </c>
      <c r="P506" s="16">
        <v>401</v>
      </c>
      <c r="Q506" s="16">
        <v>167</v>
      </c>
      <c r="R506" s="16">
        <v>3</v>
      </c>
      <c r="S506" s="16">
        <v>19.767199999999999</v>
      </c>
      <c r="T506" s="16">
        <v>4.01708</v>
      </c>
      <c r="U506" s="16">
        <v>1.032278467</v>
      </c>
      <c r="V506" s="16">
        <v>2</v>
      </c>
      <c r="W506" s="16">
        <v>0.92087399999999997</v>
      </c>
      <c r="X506" s="16">
        <v>0.26274500000000001</v>
      </c>
      <c r="Y506" s="16">
        <v>0.6</v>
      </c>
      <c r="Z506" s="16">
        <v>0.85352799999999995</v>
      </c>
      <c r="AA506" s="37"/>
    </row>
    <row r="507" spans="1:27">
      <c r="A507" s="16" t="s">
        <v>100</v>
      </c>
      <c r="B507" s="16" t="s">
        <v>1914</v>
      </c>
      <c r="C507" s="16" t="s">
        <v>1915</v>
      </c>
      <c r="D507" s="16" t="s">
        <v>1916</v>
      </c>
      <c r="E507" s="16" t="s">
        <v>1909</v>
      </c>
      <c r="F507" s="16" t="s">
        <v>1910</v>
      </c>
      <c r="G507" s="16" t="s">
        <v>1757</v>
      </c>
      <c r="H507" s="16" t="s">
        <v>1758</v>
      </c>
      <c r="I507" s="16" t="s">
        <v>198</v>
      </c>
      <c r="J507" s="16" t="s">
        <v>199</v>
      </c>
      <c r="K507" s="16">
        <v>2.4787880000000002</v>
      </c>
      <c r="L507" s="36">
        <v>2228</v>
      </c>
      <c r="M507" s="16">
        <v>537</v>
      </c>
      <c r="N507" s="16">
        <v>458</v>
      </c>
      <c r="O507" s="16">
        <v>577</v>
      </c>
      <c r="P507" s="16">
        <v>460</v>
      </c>
      <c r="Q507" s="16">
        <v>196</v>
      </c>
      <c r="R507" s="16">
        <v>3</v>
      </c>
      <c r="S507" s="16">
        <v>16.551500000000001</v>
      </c>
      <c r="T507" s="16">
        <v>11.1099</v>
      </c>
      <c r="U507" s="16">
        <v>1.0720220549999999</v>
      </c>
      <c r="V507" s="16">
        <v>2</v>
      </c>
      <c r="W507" s="16">
        <v>0.90909099999999998</v>
      </c>
      <c r="X507" s="16">
        <v>0.16767699999999999</v>
      </c>
      <c r="Y507" s="16">
        <v>0.6</v>
      </c>
      <c r="Z507" s="16">
        <v>0.78495000000000004</v>
      </c>
      <c r="AA507" s="37"/>
    </row>
    <row r="508" spans="1:27">
      <c r="A508" s="16" t="s">
        <v>100</v>
      </c>
      <c r="B508" s="16" t="s">
        <v>1917</v>
      </c>
      <c r="C508" s="16" t="s">
        <v>1918</v>
      </c>
      <c r="D508" s="16" t="s">
        <v>1919</v>
      </c>
      <c r="E508" s="16" t="s">
        <v>1896</v>
      </c>
      <c r="F508" s="16" t="s">
        <v>1897</v>
      </c>
      <c r="G508" s="16" t="s">
        <v>1757</v>
      </c>
      <c r="H508" s="16" t="s">
        <v>1758</v>
      </c>
      <c r="I508" s="16" t="s">
        <v>198</v>
      </c>
      <c r="J508" s="16" t="s">
        <v>199</v>
      </c>
      <c r="K508" s="16">
        <v>2.444175</v>
      </c>
      <c r="L508" s="36">
        <v>1804</v>
      </c>
      <c r="M508" s="16">
        <v>427</v>
      </c>
      <c r="N508" s="16">
        <v>362</v>
      </c>
      <c r="O508" s="16">
        <v>395</v>
      </c>
      <c r="P508" s="16">
        <v>498</v>
      </c>
      <c r="Q508" s="16">
        <v>122</v>
      </c>
      <c r="R508" s="16">
        <v>2</v>
      </c>
      <c r="S508" s="16">
        <v>15.374499999999999</v>
      </c>
      <c r="T508" s="16">
        <v>6.4890299999999996</v>
      </c>
      <c r="U508" s="16">
        <v>1.1926518070000001</v>
      </c>
      <c r="V508" s="16">
        <v>2</v>
      </c>
      <c r="W508" s="16">
        <v>0.93082500000000001</v>
      </c>
      <c r="X508" s="16">
        <v>0.23848</v>
      </c>
      <c r="Y508" s="16">
        <v>0.6</v>
      </c>
      <c r="Z508" s="16">
        <v>0.70457800000000004</v>
      </c>
      <c r="AA508" s="37"/>
    </row>
    <row r="509" spans="1:27">
      <c r="A509" s="16" t="s">
        <v>100</v>
      </c>
      <c r="B509" s="16" t="s">
        <v>1920</v>
      </c>
      <c r="C509" s="16" t="s">
        <v>1921</v>
      </c>
      <c r="D509" s="16" t="s">
        <v>1922</v>
      </c>
      <c r="E509" s="16" t="s">
        <v>1923</v>
      </c>
      <c r="F509" s="16" t="s">
        <v>1924</v>
      </c>
      <c r="G509" s="16" t="s">
        <v>1757</v>
      </c>
      <c r="H509" s="16" t="s">
        <v>1758</v>
      </c>
      <c r="I509" s="16" t="s">
        <v>198</v>
      </c>
      <c r="J509" s="16" t="s">
        <v>199</v>
      </c>
      <c r="K509" s="16">
        <v>2.5218590000000001</v>
      </c>
      <c r="L509" s="36">
        <v>1609</v>
      </c>
      <c r="M509" s="16">
        <v>402</v>
      </c>
      <c r="N509" s="16">
        <v>322</v>
      </c>
      <c r="O509" s="16">
        <v>392</v>
      </c>
      <c r="P509" s="16">
        <v>400</v>
      </c>
      <c r="Q509" s="16">
        <v>93</v>
      </c>
      <c r="R509" s="16">
        <v>2</v>
      </c>
      <c r="S509" s="16">
        <v>13.3643</v>
      </c>
      <c r="T509" s="16">
        <v>5.2474800000000004</v>
      </c>
      <c r="U509" s="16">
        <v>1.2307382069999999</v>
      </c>
      <c r="V509" s="16">
        <v>1</v>
      </c>
      <c r="W509" s="16">
        <v>0.91595499999999996</v>
      </c>
      <c r="X509" s="16">
        <v>0.24521100000000001</v>
      </c>
      <c r="Y509" s="16">
        <v>0.6</v>
      </c>
      <c r="Z509" s="16">
        <v>0.76890899999999995</v>
      </c>
      <c r="AA509" s="37"/>
    </row>
    <row r="510" spans="1:27">
      <c r="A510" s="16" t="s">
        <v>100</v>
      </c>
      <c r="B510" s="16" t="s">
        <v>1925</v>
      </c>
      <c r="C510" s="16" t="s">
        <v>1926</v>
      </c>
      <c r="D510" s="16" t="s">
        <v>1927</v>
      </c>
      <c r="E510" s="16" t="s">
        <v>1896</v>
      </c>
      <c r="F510" s="16" t="s">
        <v>1897</v>
      </c>
      <c r="G510" s="16" t="s">
        <v>1757</v>
      </c>
      <c r="H510" s="16" t="s">
        <v>1758</v>
      </c>
      <c r="I510" s="16" t="s">
        <v>198</v>
      </c>
      <c r="J510" s="16" t="s">
        <v>199</v>
      </c>
      <c r="K510" s="16">
        <v>2.2099060000000001</v>
      </c>
      <c r="L510" s="36">
        <v>1673</v>
      </c>
      <c r="M510" s="16">
        <v>395</v>
      </c>
      <c r="N510" s="16">
        <v>271</v>
      </c>
      <c r="O510" s="16">
        <v>492</v>
      </c>
      <c r="P510" s="16">
        <v>379</v>
      </c>
      <c r="Q510" s="16">
        <v>136</v>
      </c>
      <c r="R510" s="16" t="s">
        <v>225</v>
      </c>
      <c r="S510" s="16">
        <v>7.9280799999999996</v>
      </c>
      <c r="T510" s="16">
        <v>0</v>
      </c>
      <c r="U510" s="16">
        <v>0.96574523899999998</v>
      </c>
      <c r="V510" s="16">
        <v>4</v>
      </c>
      <c r="W510" s="16">
        <v>0.90486</v>
      </c>
      <c r="X510" s="16">
        <v>8.1887000000000001E-2</v>
      </c>
      <c r="Y510" s="16">
        <v>0.6</v>
      </c>
      <c r="Z510" s="16">
        <v>0.63059699999999996</v>
      </c>
      <c r="AA510" s="37"/>
    </row>
    <row r="511" spans="1:27">
      <c r="A511" s="16" t="s">
        <v>100</v>
      </c>
      <c r="B511" s="16" t="s">
        <v>1752</v>
      </c>
      <c r="C511" s="16" t="s">
        <v>1753</v>
      </c>
      <c r="D511" s="16" t="s">
        <v>1754</v>
      </c>
      <c r="E511" s="16" t="s">
        <v>1755</v>
      </c>
      <c r="F511" s="16" t="s">
        <v>1756</v>
      </c>
      <c r="G511" s="16" t="s">
        <v>1757</v>
      </c>
      <c r="H511" s="16" t="s">
        <v>1758</v>
      </c>
      <c r="I511" s="16" t="s">
        <v>198</v>
      </c>
      <c r="J511" s="16" t="s">
        <v>199</v>
      </c>
      <c r="K511" s="16">
        <v>2.8865400000000001</v>
      </c>
      <c r="L511" s="36">
        <v>1758</v>
      </c>
      <c r="M511" s="16">
        <v>430</v>
      </c>
      <c r="N511" s="16">
        <v>329</v>
      </c>
      <c r="O511" s="16">
        <v>406</v>
      </c>
      <c r="P511" s="16">
        <v>428</v>
      </c>
      <c r="Q511" s="16">
        <v>165</v>
      </c>
      <c r="R511" s="16" t="s">
        <v>225</v>
      </c>
      <c r="S511" s="16">
        <v>8.6355799999999991</v>
      </c>
      <c r="T511" s="16">
        <v>0</v>
      </c>
      <c r="U511" s="16">
        <v>1.009003995</v>
      </c>
      <c r="V511" s="16">
        <v>2</v>
      </c>
      <c r="W511" s="16">
        <v>0.91594699999999996</v>
      </c>
      <c r="X511" s="16">
        <v>0.41168700000000003</v>
      </c>
      <c r="Y511" s="16">
        <v>0.7</v>
      </c>
      <c r="Z511" s="16">
        <v>0.85018300000000002</v>
      </c>
      <c r="AA511" s="37"/>
    </row>
    <row r="512" spans="1:27">
      <c r="A512" s="16" t="s">
        <v>100</v>
      </c>
      <c r="B512" s="16" t="s">
        <v>1928</v>
      </c>
      <c r="C512" s="16" t="s">
        <v>1929</v>
      </c>
      <c r="D512" s="16" t="s">
        <v>1930</v>
      </c>
      <c r="E512" s="16" t="s">
        <v>1755</v>
      </c>
      <c r="F512" s="16" t="s">
        <v>1756</v>
      </c>
      <c r="G512" s="16" t="s">
        <v>1757</v>
      </c>
      <c r="H512" s="16" t="s">
        <v>1758</v>
      </c>
      <c r="I512" s="16" t="s">
        <v>198</v>
      </c>
      <c r="J512" s="16" t="s">
        <v>199</v>
      </c>
      <c r="K512" s="16">
        <v>2.4699049999999998</v>
      </c>
      <c r="L512" s="36">
        <v>2058</v>
      </c>
      <c r="M512" s="16">
        <v>645</v>
      </c>
      <c r="N512" s="16">
        <v>336</v>
      </c>
      <c r="O512" s="16">
        <v>511</v>
      </c>
      <c r="P512" s="16">
        <v>434</v>
      </c>
      <c r="Q512" s="16">
        <v>132</v>
      </c>
      <c r="R512" s="16" t="s">
        <v>225</v>
      </c>
      <c r="S512" s="16">
        <v>10.5474</v>
      </c>
      <c r="T512" s="16">
        <v>2.0085999999999999</v>
      </c>
      <c r="U512" s="16">
        <v>0.93896919300000004</v>
      </c>
      <c r="V512" s="16">
        <v>3</v>
      </c>
      <c r="W512" s="16">
        <v>0.90400000000000003</v>
      </c>
      <c r="X512" s="16">
        <v>0.20077700000000001</v>
      </c>
      <c r="Y512" s="16">
        <v>0.7</v>
      </c>
      <c r="Z512" s="16">
        <v>0.65163800000000005</v>
      </c>
      <c r="AA512" s="37"/>
    </row>
    <row r="513" spans="1:27">
      <c r="A513" s="16" t="s">
        <v>100</v>
      </c>
      <c r="B513" s="16" t="s">
        <v>1931</v>
      </c>
      <c r="C513" s="16" t="s">
        <v>1932</v>
      </c>
      <c r="D513" s="16" t="s">
        <v>1933</v>
      </c>
      <c r="E513" s="16" t="s">
        <v>1934</v>
      </c>
      <c r="F513" s="16" t="s">
        <v>1935</v>
      </c>
      <c r="G513" s="16" t="s">
        <v>1757</v>
      </c>
      <c r="H513" s="16" t="s">
        <v>1758</v>
      </c>
      <c r="I513" s="16" t="s">
        <v>198</v>
      </c>
      <c r="J513" s="16" t="s">
        <v>199</v>
      </c>
      <c r="K513" s="16">
        <v>2.303159</v>
      </c>
      <c r="L513" s="36">
        <v>2411</v>
      </c>
      <c r="M513" s="16">
        <v>678</v>
      </c>
      <c r="N513" s="16">
        <v>448</v>
      </c>
      <c r="O513" s="16">
        <v>598</v>
      </c>
      <c r="P513" s="16">
        <v>511</v>
      </c>
      <c r="Q513" s="16">
        <v>176</v>
      </c>
      <c r="R513" s="16" t="s">
        <v>225</v>
      </c>
      <c r="S513" s="16">
        <v>6.0065799999999996</v>
      </c>
      <c r="T513" s="16">
        <v>0</v>
      </c>
      <c r="U513" s="16">
        <v>0.99942380399999997</v>
      </c>
      <c r="V513" s="16">
        <v>3</v>
      </c>
      <c r="W513" s="16">
        <v>0.90522000000000002</v>
      </c>
      <c r="X513" s="16">
        <v>0.176422</v>
      </c>
      <c r="Y513" s="16">
        <v>0.6</v>
      </c>
      <c r="Z513" s="16">
        <v>0.61267199999999999</v>
      </c>
      <c r="AA513" s="37"/>
    </row>
    <row r="514" spans="1:27">
      <c r="A514" s="16" t="s">
        <v>100</v>
      </c>
      <c r="B514" s="16" t="s">
        <v>1936</v>
      </c>
      <c r="C514" s="16" t="s">
        <v>1937</v>
      </c>
      <c r="D514" s="16" t="s">
        <v>1938</v>
      </c>
      <c r="E514" s="16" t="s">
        <v>1934</v>
      </c>
      <c r="F514" s="16" t="s">
        <v>1935</v>
      </c>
      <c r="G514" s="16" t="s">
        <v>1757</v>
      </c>
      <c r="H514" s="16" t="s">
        <v>1758</v>
      </c>
      <c r="I514" s="16" t="s">
        <v>198</v>
      </c>
      <c r="J514" s="16" t="s">
        <v>199</v>
      </c>
      <c r="K514" s="16">
        <v>2.619313</v>
      </c>
      <c r="L514" s="36">
        <v>2015</v>
      </c>
      <c r="M514" s="16">
        <v>543</v>
      </c>
      <c r="N514" s="16">
        <v>438</v>
      </c>
      <c r="O514" s="16">
        <v>443</v>
      </c>
      <c r="P514" s="16">
        <v>462</v>
      </c>
      <c r="Q514" s="16">
        <v>129</v>
      </c>
      <c r="R514" s="16">
        <v>2</v>
      </c>
      <c r="S514" s="16">
        <v>12.3043</v>
      </c>
      <c r="T514" s="16">
        <v>4.9329599999999996</v>
      </c>
      <c r="U514" s="16">
        <v>1.040766195</v>
      </c>
      <c r="V514" s="16">
        <v>2</v>
      </c>
      <c r="W514" s="16">
        <v>0.90540100000000001</v>
      </c>
      <c r="X514" s="16">
        <v>0.31223499999999998</v>
      </c>
      <c r="Y514" s="16">
        <v>0.69755699999999998</v>
      </c>
      <c r="Z514" s="16">
        <v>0.67544999999999999</v>
      </c>
      <c r="AA514" s="37"/>
    </row>
    <row r="515" spans="1:27">
      <c r="A515" s="16" t="s">
        <v>100</v>
      </c>
      <c r="B515" s="16" t="s">
        <v>1939</v>
      </c>
      <c r="C515" s="16" t="s">
        <v>1940</v>
      </c>
      <c r="D515" s="16" t="s">
        <v>1941</v>
      </c>
      <c r="E515" s="16" t="s">
        <v>1934</v>
      </c>
      <c r="F515" s="16" t="s">
        <v>1935</v>
      </c>
      <c r="G515" s="16" t="s">
        <v>1757</v>
      </c>
      <c r="H515" s="16" t="s">
        <v>1758</v>
      </c>
      <c r="I515" s="16" t="s">
        <v>198</v>
      </c>
      <c r="J515" s="16" t="s">
        <v>199</v>
      </c>
      <c r="K515" s="16">
        <v>2.283849</v>
      </c>
      <c r="L515" s="36">
        <v>2143</v>
      </c>
      <c r="M515" s="16">
        <v>615</v>
      </c>
      <c r="N515" s="16">
        <v>442</v>
      </c>
      <c r="O515" s="16">
        <v>494</v>
      </c>
      <c r="P515" s="16">
        <v>433</v>
      </c>
      <c r="Q515" s="16">
        <v>159</v>
      </c>
      <c r="R515" s="16" t="s">
        <v>225</v>
      </c>
      <c r="S515" s="16">
        <v>7.9779</v>
      </c>
      <c r="T515" s="16">
        <v>0</v>
      </c>
      <c r="U515" s="16">
        <v>0.96169580499999996</v>
      </c>
      <c r="V515" s="16">
        <v>3</v>
      </c>
      <c r="W515" s="16">
        <v>0.906416</v>
      </c>
      <c r="X515" s="16">
        <v>0.16165599999999999</v>
      </c>
      <c r="Y515" s="16">
        <v>0.61094099999999996</v>
      </c>
      <c r="Z515" s="16">
        <v>0.6</v>
      </c>
      <c r="AA515" s="37"/>
    </row>
    <row r="516" spans="1:27">
      <c r="A516" s="16" t="s">
        <v>100</v>
      </c>
      <c r="B516" s="16" t="s">
        <v>1942</v>
      </c>
      <c r="C516" s="16" t="s">
        <v>1943</v>
      </c>
      <c r="D516" s="16" t="s">
        <v>1944</v>
      </c>
      <c r="E516" s="16" t="s">
        <v>1909</v>
      </c>
      <c r="F516" s="16" t="s">
        <v>1910</v>
      </c>
      <c r="G516" s="16" t="s">
        <v>1757</v>
      </c>
      <c r="H516" s="16" t="s">
        <v>1758</v>
      </c>
      <c r="I516" s="16" t="s">
        <v>198</v>
      </c>
      <c r="J516" s="16" t="s">
        <v>199</v>
      </c>
      <c r="K516" s="16">
        <v>2.6441270000000001</v>
      </c>
      <c r="L516" s="36">
        <v>2364</v>
      </c>
      <c r="M516" s="16">
        <v>630</v>
      </c>
      <c r="N516" s="16">
        <v>440</v>
      </c>
      <c r="O516" s="16">
        <v>597</v>
      </c>
      <c r="P516" s="16">
        <v>548</v>
      </c>
      <c r="Q516" s="16">
        <v>149</v>
      </c>
      <c r="R516" s="16">
        <v>3</v>
      </c>
      <c r="S516" s="16">
        <v>14.9299</v>
      </c>
      <c r="T516" s="16">
        <v>5.9552399999999999</v>
      </c>
      <c r="U516" s="16">
        <v>0.91318144400000001</v>
      </c>
      <c r="V516" s="16">
        <v>2</v>
      </c>
      <c r="W516" s="16">
        <v>0.91730199999999995</v>
      </c>
      <c r="X516" s="16">
        <v>0.39434000000000002</v>
      </c>
      <c r="Y516" s="16">
        <v>0.6</v>
      </c>
      <c r="Z516" s="16">
        <v>0.70505499999999999</v>
      </c>
      <c r="AA516" s="37"/>
    </row>
    <row r="517" spans="1:27">
      <c r="A517" s="16" t="s">
        <v>100</v>
      </c>
      <c r="B517" s="16" t="s">
        <v>1945</v>
      </c>
      <c r="C517" s="16" t="s">
        <v>1946</v>
      </c>
      <c r="D517" s="16" t="s">
        <v>1947</v>
      </c>
      <c r="E517" s="16" t="s">
        <v>1948</v>
      </c>
      <c r="F517" s="16" t="s">
        <v>1949</v>
      </c>
      <c r="G517" s="16" t="s">
        <v>1757</v>
      </c>
      <c r="H517" s="16" t="s">
        <v>1758</v>
      </c>
      <c r="I517" s="16" t="s">
        <v>198</v>
      </c>
      <c r="J517" s="16" t="s">
        <v>199</v>
      </c>
      <c r="K517" s="16">
        <v>2.8210470000000001</v>
      </c>
      <c r="L517" s="36">
        <v>2821</v>
      </c>
      <c r="M517" s="16">
        <v>564</v>
      </c>
      <c r="N517" s="16">
        <v>875</v>
      </c>
      <c r="O517" s="16">
        <v>719</v>
      </c>
      <c r="P517" s="16">
        <v>454</v>
      </c>
      <c r="Q517" s="16">
        <v>209</v>
      </c>
      <c r="R517" s="16">
        <v>4</v>
      </c>
      <c r="S517" s="16">
        <v>34.854100000000003</v>
      </c>
      <c r="T517" s="16">
        <v>1.99583</v>
      </c>
      <c r="U517" s="16">
        <v>0.98411418100000003</v>
      </c>
      <c r="V517" s="16">
        <v>2</v>
      </c>
      <c r="W517" s="16">
        <v>0.93360500000000002</v>
      </c>
      <c r="X517" s="16">
        <v>0.30913299999999999</v>
      </c>
      <c r="Y517" s="16">
        <v>0.6</v>
      </c>
      <c r="Z517" s="16">
        <v>1</v>
      </c>
      <c r="AA517" s="37"/>
    </row>
    <row r="518" spans="1:27">
      <c r="A518" s="16"/>
      <c r="B518" s="16"/>
      <c r="C518" s="16"/>
      <c r="D518" s="16"/>
      <c r="E518" s="16"/>
      <c r="F518" s="16"/>
      <c r="G518" s="16"/>
      <c r="H518" s="16"/>
      <c r="I518" s="16"/>
      <c r="J518" s="16"/>
      <c r="K518" s="16">
        <f>MEDIAN(K502:K517)</f>
        <v>2.5003235000000004</v>
      </c>
      <c r="L518" s="36">
        <f>AVERAGE(L502:L517)</f>
        <v>2147.875</v>
      </c>
      <c r="M518" s="36">
        <f t="shared" ref="M518:Q518" si="47">SUM(M502:M517)</f>
        <v>8312</v>
      </c>
      <c r="N518" s="36">
        <f t="shared" si="47"/>
        <v>7274</v>
      </c>
      <c r="O518" s="36">
        <f t="shared" si="47"/>
        <v>8824</v>
      </c>
      <c r="P518" s="36">
        <f t="shared" si="47"/>
        <v>7392</v>
      </c>
      <c r="Q518" s="36">
        <f t="shared" si="47"/>
        <v>2564</v>
      </c>
      <c r="R518" s="16"/>
      <c r="S518" s="16"/>
      <c r="T518" s="16"/>
      <c r="U518" s="16"/>
      <c r="V518" s="16">
        <f>MEDIAN(V502:V517)</f>
        <v>2</v>
      </c>
      <c r="W518" s="16"/>
      <c r="X518" s="16"/>
      <c r="Y518" s="16"/>
      <c r="Z518" s="16"/>
      <c r="AA518" s="37"/>
    </row>
    <row r="519" spans="1:27">
      <c r="A519" s="16" t="s">
        <v>101</v>
      </c>
      <c r="B519" s="16" t="s">
        <v>1950</v>
      </c>
      <c r="C519" s="16" t="s">
        <v>1951</v>
      </c>
      <c r="D519" s="16" t="s">
        <v>1952</v>
      </c>
      <c r="E519" s="16" t="s">
        <v>1953</v>
      </c>
      <c r="F519" s="16" t="s">
        <v>1954</v>
      </c>
      <c r="G519" s="16" t="s">
        <v>1757</v>
      </c>
      <c r="H519" s="16" t="s">
        <v>1758</v>
      </c>
      <c r="I519" s="16" t="s">
        <v>198</v>
      </c>
      <c r="J519" s="16" t="s">
        <v>199</v>
      </c>
      <c r="K519" s="16">
        <v>2.3135759999999999</v>
      </c>
      <c r="L519" s="36">
        <v>1684</v>
      </c>
      <c r="M519" s="16">
        <v>300</v>
      </c>
      <c r="N519" s="16">
        <v>359</v>
      </c>
      <c r="O519" s="16">
        <v>657</v>
      </c>
      <c r="P519" s="16">
        <v>321</v>
      </c>
      <c r="Q519" s="16">
        <v>47</v>
      </c>
      <c r="R519" s="16">
        <v>2</v>
      </c>
      <c r="S519" s="16">
        <v>10.327400000000001</v>
      </c>
      <c r="T519" s="16">
        <v>1.94587</v>
      </c>
      <c r="U519" s="16">
        <v>0.77485147600000004</v>
      </c>
      <c r="V519" s="16">
        <v>6</v>
      </c>
      <c r="W519" s="16">
        <v>0.894455</v>
      </c>
      <c r="X519" s="16">
        <v>0.18855</v>
      </c>
      <c r="Y519" s="16">
        <v>0.6</v>
      </c>
      <c r="Z519" s="16">
        <v>0.64597700000000002</v>
      </c>
      <c r="AA519" s="37"/>
    </row>
    <row r="520" spans="1:27">
      <c r="A520" s="16" t="s">
        <v>101</v>
      </c>
      <c r="B520" s="16" t="s">
        <v>1955</v>
      </c>
      <c r="C520" s="16" t="s">
        <v>1956</v>
      </c>
      <c r="D520" s="16" t="s">
        <v>1957</v>
      </c>
      <c r="E520" s="16" t="s">
        <v>1958</v>
      </c>
      <c r="F520" s="16" t="s">
        <v>1959</v>
      </c>
      <c r="G520" s="16" t="s">
        <v>1757</v>
      </c>
      <c r="H520" s="16" t="s">
        <v>1758</v>
      </c>
      <c r="I520" s="16" t="s">
        <v>198</v>
      </c>
      <c r="J520" s="16" t="s">
        <v>199</v>
      </c>
      <c r="K520" s="16">
        <v>2.4626670000000002</v>
      </c>
      <c r="L520" s="36">
        <v>1300</v>
      </c>
      <c r="M520" s="16">
        <v>294</v>
      </c>
      <c r="N520" s="16">
        <v>253</v>
      </c>
      <c r="O520" s="16">
        <v>298</v>
      </c>
      <c r="P520" s="16">
        <v>352</v>
      </c>
      <c r="Q520" s="16">
        <v>103</v>
      </c>
      <c r="R520" s="16">
        <v>2</v>
      </c>
      <c r="S520" s="16">
        <v>14.884</v>
      </c>
      <c r="T520" s="16">
        <v>2.0290499999999998</v>
      </c>
      <c r="U520" s="16">
        <v>1.1648278990000001</v>
      </c>
      <c r="V520" s="16">
        <v>2</v>
      </c>
      <c r="W520" s="16">
        <v>0.90239999999999998</v>
      </c>
      <c r="X520" s="16">
        <v>0.13850299999999999</v>
      </c>
      <c r="Y520" s="16">
        <v>0.6</v>
      </c>
      <c r="Z520" s="16">
        <v>0.81260100000000002</v>
      </c>
      <c r="AA520" s="37"/>
    </row>
    <row r="521" spans="1:27">
      <c r="A521" s="16" t="s">
        <v>101</v>
      </c>
      <c r="B521" s="16" t="s">
        <v>1960</v>
      </c>
      <c r="C521" s="16" t="s">
        <v>1961</v>
      </c>
      <c r="D521" s="16" t="s">
        <v>1962</v>
      </c>
      <c r="E521" s="16" t="s">
        <v>1958</v>
      </c>
      <c r="F521" s="16" t="s">
        <v>1959</v>
      </c>
      <c r="G521" s="16" t="s">
        <v>1757</v>
      </c>
      <c r="H521" s="16" t="s">
        <v>1758</v>
      </c>
      <c r="I521" s="16" t="s">
        <v>198</v>
      </c>
      <c r="J521" s="16" t="s">
        <v>199</v>
      </c>
      <c r="K521" s="16">
        <v>2.6591580000000001</v>
      </c>
      <c r="L521" s="36">
        <v>2229</v>
      </c>
      <c r="M521" s="16">
        <v>361</v>
      </c>
      <c r="N521" s="16">
        <v>741</v>
      </c>
      <c r="O521" s="16">
        <v>551</v>
      </c>
      <c r="P521" s="16">
        <v>425</v>
      </c>
      <c r="Q521" s="16">
        <v>151</v>
      </c>
      <c r="R521" s="16">
        <v>3</v>
      </c>
      <c r="S521" s="16">
        <v>15.2971</v>
      </c>
      <c r="T521" s="16">
        <v>6.61808</v>
      </c>
      <c r="U521" s="16">
        <v>0.68647460299999996</v>
      </c>
      <c r="V521" s="16">
        <v>4</v>
      </c>
      <c r="W521" s="16">
        <v>0.90507400000000005</v>
      </c>
      <c r="X521" s="16">
        <v>0.35365600000000003</v>
      </c>
      <c r="Y521" s="16">
        <v>0.6</v>
      </c>
      <c r="Z521" s="16">
        <v>0.79033500000000001</v>
      </c>
      <c r="AA521" s="37"/>
    </row>
    <row r="522" spans="1:27">
      <c r="A522" s="16" t="s">
        <v>101</v>
      </c>
      <c r="B522" s="16" t="s">
        <v>1963</v>
      </c>
      <c r="C522" s="16" t="s">
        <v>1964</v>
      </c>
      <c r="D522" s="16" t="s">
        <v>1965</v>
      </c>
      <c r="E522" s="16" t="s">
        <v>1958</v>
      </c>
      <c r="F522" s="16" t="s">
        <v>1959</v>
      </c>
      <c r="G522" s="16" t="s">
        <v>1757</v>
      </c>
      <c r="H522" s="16" t="s">
        <v>1758</v>
      </c>
      <c r="I522" s="16" t="s">
        <v>198</v>
      </c>
      <c r="J522" s="16" t="s">
        <v>199</v>
      </c>
      <c r="K522" s="16">
        <v>2.491171</v>
      </c>
      <c r="L522" s="36">
        <v>3701</v>
      </c>
      <c r="M522" s="16">
        <v>801</v>
      </c>
      <c r="N522" s="16">
        <v>779</v>
      </c>
      <c r="O522" s="36">
        <v>1342</v>
      </c>
      <c r="P522" s="16">
        <v>680</v>
      </c>
      <c r="Q522" s="16">
        <v>99</v>
      </c>
      <c r="R522" s="16" t="s">
        <v>225</v>
      </c>
      <c r="S522" s="16">
        <v>17.632100000000001</v>
      </c>
      <c r="T522" s="16">
        <v>0</v>
      </c>
      <c r="U522" s="16">
        <v>0.84027932400000005</v>
      </c>
      <c r="V522" s="16">
        <v>3</v>
      </c>
      <c r="W522" s="16">
        <v>0.88204099999999996</v>
      </c>
      <c r="X522" s="16">
        <v>0.16788600000000001</v>
      </c>
      <c r="Y522" s="16">
        <v>0.63620299999999996</v>
      </c>
      <c r="Z522" s="16">
        <v>0.81143299999999996</v>
      </c>
      <c r="AA522" s="37"/>
    </row>
    <row r="523" spans="1:27">
      <c r="A523" s="16" t="s">
        <v>101</v>
      </c>
      <c r="B523" s="16" t="s">
        <v>1966</v>
      </c>
      <c r="C523" s="16" t="s">
        <v>1967</v>
      </c>
      <c r="D523" s="16" t="s">
        <v>1968</v>
      </c>
      <c r="E523" s="16" t="s">
        <v>1969</v>
      </c>
      <c r="F523" s="16" t="s">
        <v>1970</v>
      </c>
      <c r="G523" s="16" t="s">
        <v>1757</v>
      </c>
      <c r="H523" s="16" t="s">
        <v>1758</v>
      </c>
      <c r="I523" s="16" t="s">
        <v>198</v>
      </c>
      <c r="J523" s="16" t="s">
        <v>199</v>
      </c>
      <c r="K523" s="16">
        <v>2.6035149999999998</v>
      </c>
      <c r="L523" s="36">
        <v>1618</v>
      </c>
      <c r="M523" s="16">
        <v>364</v>
      </c>
      <c r="N523" s="16">
        <v>340</v>
      </c>
      <c r="O523" s="16">
        <v>444</v>
      </c>
      <c r="P523" s="16">
        <v>332</v>
      </c>
      <c r="Q523" s="16">
        <v>138</v>
      </c>
      <c r="R523" s="16">
        <v>2</v>
      </c>
      <c r="S523" s="16">
        <v>17.731100000000001</v>
      </c>
      <c r="T523" s="16">
        <v>2.0460699999999998</v>
      </c>
      <c r="U523" s="16">
        <v>0.879010866</v>
      </c>
      <c r="V523" s="16">
        <v>3</v>
      </c>
      <c r="W523" s="16">
        <v>0.90399700000000005</v>
      </c>
      <c r="X523" s="16">
        <v>0.246782</v>
      </c>
      <c r="Y523" s="16">
        <v>0.6</v>
      </c>
      <c r="Z523" s="16">
        <v>0.85364499999999999</v>
      </c>
      <c r="AA523" s="37"/>
    </row>
    <row r="524" spans="1:27">
      <c r="A524" s="16" t="s">
        <v>101</v>
      </c>
      <c r="B524" s="16" t="s">
        <v>1971</v>
      </c>
      <c r="C524" s="16" t="s">
        <v>1972</v>
      </c>
      <c r="D524" s="16" t="s">
        <v>1973</v>
      </c>
      <c r="E524" s="16" t="s">
        <v>1953</v>
      </c>
      <c r="F524" s="16" t="s">
        <v>1954</v>
      </c>
      <c r="G524" s="16" t="s">
        <v>1757</v>
      </c>
      <c r="H524" s="16" t="s">
        <v>1758</v>
      </c>
      <c r="I524" s="16" t="s">
        <v>198</v>
      </c>
      <c r="J524" s="16" t="s">
        <v>199</v>
      </c>
      <c r="K524" s="16">
        <v>2.4575990000000001</v>
      </c>
      <c r="L524" s="36">
        <v>1853</v>
      </c>
      <c r="M524" s="16">
        <v>452</v>
      </c>
      <c r="N524" s="16">
        <v>360</v>
      </c>
      <c r="O524" s="16">
        <v>543</v>
      </c>
      <c r="P524" s="16">
        <v>354</v>
      </c>
      <c r="Q524" s="16">
        <v>144</v>
      </c>
      <c r="R524" s="16">
        <v>2</v>
      </c>
      <c r="S524" s="16">
        <v>12.669600000000001</v>
      </c>
      <c r="T524" s="16">
        <v>1.8656600000000001</v>
      </c>
      <c r="U524" s="16">
        <v>1.007829708</v>
      </c>
      <c r="V524" s="16">
        <v>2</v>
      </c>
      <c r="W524" s="16">
        <v>0.90054199999999995</v>
      </c>
      <c r="X524" s="16">
        <v>0.12084499999999999</v>
      </c>
      <c r="Y524" s="16">
        <v>0.6</v>
      </c>
      <c r="Z524" s="16">
        <v>0.83636100000000002</v>
      </c>
      <c r="AA524" s="37"/>
    </row>
    <row r="525" spans="1:27">
      <c r="A525" s="16"/>
      <c r="B525" s="16"/>
      <c r="C525" s="16"/>
      <c r="D525" s="16"/>
      <c r="E525" s="16"/>
      <c r="F525" s="16"/>
      <c r="G525" s="16"/>
      <c r="H525" s="16"/>
      <c r="I525" s="16"/>
      <c r="J525" s="16"/>
      <c r="K525" s="16">
        <f>MEDIAN(K519:K524)</f>
        <v>2.4769190000000001</v>
      </c>
      <c r="L525" s="36">
        <f>AVERAGE(L519:L524)</f>
        <v>2064.1666666666665</v>
      </c>
      <c r="M525" s="36">
        <f t="shared" ref="M525:Q525" si="48">SUM(M519:M524)</f>
        <v>2572</v>
      </c>
      <c r="N525" s="36">
        <f t="shared" si="48"/>
        <v>2832</v>
      </c>
      <c r="O525" s="36">
        <f t="shared" si="48"/>
        <v>3835</v>
      </c>
      <c r="P525" s="36">
        <f t="shared" si="48"/>
        <v>2464</v>
      </c>
      <c r="Q525" s="36">
        <f t="shared" si="48"/>
        <v>682</v>
      </c>
      <c r="R525" s="16"/>
      <c r="S525" s="16"/>
      <c r="T525" s="16"/>
      <c r="U525" s="16"/>
      <c r="V525" s="16">
        <f>MEDIAN(V519:V524)</f>
        <v>3</v>
      </c>
      <c r="W525" s="16"/>
      <c r="X525" s="16"/>
      <c r="Y525" s="16"/>
      <c r="Z525" s="16"/>
      <c r="AA525" s="37"/>
    </row>
    <row r="526" spans="1:27">
      <c r="A526" s="16" t="s">
        <v>103</v>
      </c>
      <c r="B526" s="16" t="s">
        <v>1974</v>
      </c>
      <c r="C526" s="16" t="s">
        <v>1975</v>
      </c>
      <c r="D526" s="16" t="s">
        <v>1976</v>
      </c>
      <c r="E526" s="16" t="s">
        <v>1977</v>
      </c>
      <c r="F526" s="16" t="s">
        <v>1978</v>
      </c>
      <c r="G526" s="16" t="s">
        <v>1606</v>
      </c>
      <c r="H526" s="16" t="s">
        <v>1607</v>
      </c>
      <c r="I526" s="16" t="s">
        <v>198</v>
      </c>
      <c r="J526" s="16" t="s">
        <v>199</v>
      </c>
      <c r="K526" s="16">
        <v>2.4505460000000001</v>
      </c>
      <c r="L526" s="36">
        <v>1518</v>
      </c>
      <c r="M526" s="16">
        <v>323</v>
      </c>
      <c r="N526" s="16">
        <v>323</v>
      </c>
      <c r="O526" s="16">
        <v>351</v>
      </c>
      <c r="P526" s="16">
        <v>347</v>
      </c>
      <c r="Q526" s="16">
        <v>174</v>
      </c>
      <c r="R526" s="16">
        <v>2</v>
      </c>
      <c r="S526" s="16">
        <v>13.728899999999999</v>
      </c>
      <c r="T526" s="16">
        <v>2.1073900000000001</v>
      </c>
      <c r="U526" s="16">
        <v>0.99355351700000005</v>
      </c>
      <c r="V526" s="16">
        <v>3</v>
      </c>
      <c r="W526" s="16">
        <v>0.90505500000000005</v>
      </c>
      <c r="X526" s="16">
        <v>0.23819899999999999</v>
      </c>
      <c r="Y526" s="16">
        <v>0.65534199999999998</v>
      </c>
      <c r="Z526" s="16">
        <v>0.64816300000000004</v>
      </c>
      <c r="AA526" s="37"/>
    </row>
    <row r="527" spans="1:27">
      <c r="A527" s="16" t="s">
        <v>103</v>
      </c>
      <c r="B527" s="16" t="s">
        <v>1979</v>
      </c>
      <c r="C527" s="16" t="s">
        <v>1980</v>
      </c>
      <c r="D527" s="16" t="s">
        <v>1981</v>
      </c>
      <c r="E527" s="16" t="s">
        <v>1982</v>
      </c>
      <c r="F527" s="16" t="s">
        <v>1983</v>
      </c>
      <c r="G527" s="16" t="s">
        <v>1606</v>
      </c>
      <c r="H527" s="16" t="s">
        <v>1607</v>
      </c>
      <c r="I527" s="16" t="s">
        <v>198</v>
      </c>
      <c r="J527" s="16" t="s">
        <v>199</v>
      </c>
      <c r="K527" s="16">
        <v>2.5227059999999999</v>
      </c>
      <c r="L527" s="36">
        <v>1802</v>
      </c>
      <c r="M527" s="16">
        <v>510</v>
      </c>
      <c r="N527" s="16">
        <v>340</v>
      </c>
      <c r="O527" s="16">
        <v>408</v>
      </c>
      <c r="P527" s="16">
        <v>389</v>
      </c>
      <c r="Q527" s="16">
        <v>155</v>
      </c>
      <c r="R527" s="16">
        <v>2</v>
      </c>
      <c r="S527" s="16">
        <v>13.169</v>
      </c>
      <c r="T527" s="16">
        <v>2.05132</v>
      </c>
      <c r="U527" s="16">
        <v>1.0222951520000001</v>
      </c>
      <c r="V527" s="16">
        <v>2</v>
      </c>
      <c r="W527" s="16">
        <v>0.91035299999999997</v>
      </c>
      <c r="X527" s="16">
        <v>0.32296799999999998</v>
      </c>
      <c r="Y527" s="16">
        <v>0.653864</v>
      </c>
      <c r="Z527" s="16">
        <v>0.62297800000000003</v>
      </c>
      <c r="AA527" s="37"/>
    </row>
    <row r="528" spans="1:27">
      <c r="A528" s="16" t="s">
        <v>103</v>
      </c>
      <c r="B528" s="16" t="s">
        <v>1984</v>
      </c>
      <c r="C528" s="16" t="s">
        <v>1985</v>
      </c>
      <c r="D528" s="16" t="s">
        <v>1986</v>
      </c>
      <c r="E528" s="16" t="s">
        <v>1825</v>
      </c>
      <c r="F528" s="16" t="s">
        <v>1826</v>
      </c>
      <c r="G528" s="16" t="s">
        <v>1606</v>
      </c>
      <c r="H528" s="16" t="s">
        <v>1607</v>
      </c>
      <c r="I528" s="16" t="s">
        <v>198</v>
      </c>
      <c r="J528" s="16" t="s">
        <v>199</v>
      </c>
      <c r="K528" s="16">
        <v>2.4916670000000001</v>
      </c>
      <c r="L528" s="36">
        <v>1921</v>
      </c>
      <c r="M528" s="16">
        <v>708</v>
      </c>
      <c r="N528" s="16">
        <v>303</v>
      </c>
      <c r="O528" s="16">
        <v>440</v>
      </c>
      <c r="P528" s="16">
        <v>388</v>
      </c>
      <c r="Q528" s="16">
        <v>82</v>
      </c>
      <c r="R528" s="16">
        <v>2</v>
      </c>
      <c r="S528" s="16">
        <v>10.979799999999999</v>
      </c>
      <c r="T528" s="16">
        <v>3.8388499999999999</v>
      </c>
      <c r="U528" s="16">
        <v>1.094061269</v>
      </c>
      <c r="V528" s="16">
        <v>2</v>
      </c>
      <c r="W528" s="16">
        <v>0.90768000000000004</v>
      </c>
      <c r="X528" s="16">
        <v>0.23289899999999999</v>
      </c>
      <c r="Y528" s="16">
        <v>0.62148599999999998</v>
      </c>
      <c r="Z528" s="16">
        <v>0.70307900000000001</v>
      </c>
      <c r="AA528" s="37"/>
    </row>
    <row r="529" spans="1:27">
      <c r="A529" s="16" t="s">
        <v>103</v>
      </c>
      <c r="B529" s="16" t="s">
        <v>1987</v>
      </c>
      <c r="C529" s="16" t="s">
        <v>1988</v>
      </c>
      <c r="D529" s="16" t="s">
        <v>1989</v>
      </c>
      <c r="E529" s="16" t="s">
        <v>1977</v>
      </c>
      <c r="F529" s="16" t="s">
        <v>1978</v>
      </c>
      <c r="G529" s="16" t="s">
        <v>1606</v>
      </c>
      <c r="H529" s="16" t="s">
        <v>1607</v>
      </c>
      <c r="I529" s="16" t="s">
        <v>198</v>
      </c>
      <c r="J529" s="16" t="s">
        <v>199</v>
      </c>
      <c r="K529" s="16">
        <v>2.3796580000000001</v>
      </c>
      <c r="L529" s="36">
        <v>2258</v>
      </c>
      <c r="M529" s="16">
        <v>633</v>
      </c>
      <c r="N529" s="16">
        <v>383</v>
      </c>
      <c r="O529" s="16">
        <v>577</v>
      </c>
      <c r="P529" s="16">
        <v>465</v>
      </c>
      <c r="Q529" s="16">
        <v>200</v>
      </c>
      <c r="R529" s="16">
        <v>2</v>
      </c>
      <c r="S529" s="16">
        <v>11.9748</v>
      </c>
      <c r="T529" s="16">
        <v>1.9415100000000001</v>
      </c>
      <c r="U529" s="16">
        <v>0.99604153900000003</v>
      </c>
      <c r="V529" s="16">
        <v>2</v>
      </c>
      <c r="W529" s="16">
        <v>0.90957299999999996</v>
      </c>
      <c r="X529" s="16">
        <v>0.269847</v>
      </c>
      <c r="Y529" s="16">
        <v>0.60476200000000002</v>
      </c>
      <c r="Z529" s="16">
        <v>0.58600699999999994</v>
      </c>
      <c r="AA529" s="37"/>
    </row>
    <row r="530" spans="1:27">
      <c r="A530" s="16" t="s">
        <v>103</v>
      </c>
      <c r="B530" s="16" t="s">
        <v>1990</v>
      </c>
      <c r="C530" s="16" t="s">
        <v>1991</v>
      </c>
      <c r="D530" s="16" t="s">
        <v>1992</v>
      </c>
      <c r="E530" s="16" t="s">
        <v>1993</v>
      </c>
      <c r="F530" s="16" t="s">
        <v>1994</v>
      </c>
      <c r="G530" s="16" t="s">
        <v>1606</v>
      </c>
      <c r="H530" s="16" t="s">
        <v>1607</v>
      </c>
      <c r="I530" s="16" t="s">
        <v>198</v>
      </c>
      <c r="J530" s="16" t="s">
        <v>199</v>
      </c>
      <c r="K530" s="16">
        <v>2.3905439999999998</v>
      </c>
      <c r="L530" s="36">
        <v>1620</v>
      </c>
      <c r="M530" s="16">
        <v>418</v>
      </c>
      <c r="N530" s="16">
        <v>290</v>
      </c>
      <c r="O530" s="16">
        <v>348</v>
      </c>
      <c r="P530" s="16">
        <v>377</v>
      </c>
      <c r="Q530" s="16">
        <v>187</v>
      </c>
      <c r="R530" s="16">
        <v>2</v>
      </c>
      <c r="S530" s="16">
        <v>16.2393</v>
      </c>
      <c r="T530" s="16">
        <v>1.92564</v>
      </c>
      <c r="U530" s="16">
        <v>1.034978792</v>
      </c>
      <c r="V530" s="16">
        <v>2</v>
      </c>
      <c r="W530" s="16">
        <v>0.87144200000000005</v>
      </c>
      <c r="X530" s="16">
        <v>0.24427299999999999</v>
      </c>
      <c r="Y530" s="16">
        <v>0.6</v>
      </c>
      <c r="Z530" s="16">
        <v>0.67935000000000001</v>
      </c>
      <c r="AA530" s="37"/>
    </row>
    <row r="531" spans="1:27">
      <c r="A531" s="16" t="s">
        <v>103</v>
      </c>
      <c r="B531" s="16" t="s">
        <v>1995</v>
      </c>
      <c r="C531" s="16" t="s">
        <v>1996</v>
      </c>
      <c r="D531" s="16" t="s">
        <v>1997</v>
      </c>
      <c r="E531" s="16" t="s">
        <v>1993</v>
      </c>
      <c r="F531" s="16" t="s">
        <v>1994</v>
      </c>
      <c r="G531" s="16" t="s">
        <v>1606</v>
      </c>
      <c r="H531" s="16" t="s">
        <v>1607</v>
      </c>
      <c r="I531" s="16" t="s">
        <v>198</v>
      </c>
      <c r="J531" s="16" t="s">
        <v>199</v>
      </c>
      <c r="K531" s="16">
        <v>2.500432</v>
      </c>
      <c r="L531" s="36">
        <v>1729</v>
      </c>
      <c r="M531" s="16">
        <v>475</v>
      </c>
      <c r="N531" s="16">
        <v>322</v>
      </c>
      <c r="O531" s="16">
        <v>359</v>
      </c>
      <c r="P531" s="16">
        <v>430</v>
      </c>
      <c r="Q531" s="16">
        <v>143</v>
      </c>
      <c r="R531" s="16" t="s">
        <v>225</v>
      </c>
      <c r="S531" s="16">
        <v>10.248799999999999</v>
      </c>
      <c r="T531" s="16">
        <v>0</v>
      </c>
      <c r="U531" s="16">
        <v>0.91823024499999994</v>
      </c>
      <c r="V531" s="16">
        <v>3</v>
      </c>
      <c r="W531" s="16">
        <v>0.81104600000000004</v>
      </c>
      <c r="X531" s="16">
        <v>0.20196700000000001</v>
      </c>
      <c r="Y531" s="16">
        <v>0.6</v>
      </c>
      <c r="Z531" s="16">
        <v>0.88692199999999999</v>
      </c>
      <c r="AA531" s="37"/>
    </row>
    <row r="532" spans="1:27">
      <c r="A532" s="16" t="s">
        <v>103</v>
      </c>
      <c r="B532" s="16" t="s">
        <v>1998</v>
      </c>
      <c r="C532" s="16" t="s">
        <v>1999</v>
      </c>
      <c r="D532" s="16" t="s">
        <v>2000</v>
      </c>
      <c r="E532" s="16" t="s">
        <v>1977</v>
      </c>
      <c r="F532" s="16" t="s">
        <v>1978</v>
      </c>
      <c r="G532" s="16" t="s">
        <v>1606</v>
      </c>
      <c r="H532" s="16" t="s">
        <v>1607</v>
      </c>
      <c r="I532" s="16" t="s">
        <v>198</v>
      </c>
      <c r="J532" s="16" t="s">
        <v>199</v>
      </c>
      <c r="K532" s="16">
        <v>2.1088749999999998</v>
      </c>
      <c r="L532" s="36">
        <v>5820</v>
      </c>
      <c r="M532" s="36">
        <v>1779</v>
      </c>
      <c r="N532" s="36">
        <v>1227</v>
      </c>
      <c r="O532" s="36">
        <v>1541</v>
      </c>
      <c r="P532" s="36">
        <v>1028</v>
      </c>
      <c r="Q532" s="16">
        <v>245</v>
      </c>
      <c r="R532" s="16" t="s">
        <v>225</v>
      </c>
      <c r="S532" s="16">
        <v>9.8387899999999995</v>
      </c>
      <c r="T532" s="16">
        <v>0</v>
      </c>
      <c r="U532" s="16">
        <v>1.1552145540000001</v>
      </c>
      <c r="V532" s="16">
        <v>2</v>
      </c>
      <c r="W532" s="16">
        <v>0.82315499999999997</v>
      </c>
      <c r="X532" s="16">
        <v>3.9932000000000002E-2</v>
      </c>
      <c r="Y532" s="16">
        <v>0.63103699999999996</v>
      </c>
      <c r="Z532" s="16">
        <v>0.61854299999999995</v>
      </c>
      <c r="AA532" s="37"/>
    </row>
    <row r="533" spans="1:27">
      <c r="A533" s="16" t="s">
        <v>103</v>
      </c>
      <c r="B533" s="16" t="s">
        <v>2001</v>
      </c>
      <c r="C533" s="16" t="s">
        <v>2002</v>
      </c>
      <c r="D533" s="16" t="s">
        <v>2003</v>
      </c>
      <c r="E533" s="16" t="s">
        <v>2004</v>
      </c>
      <c r="F533" s="16" t="s">
        <v>2005</v>
      </c>
      <c r="G533" s="16" t="s">
        <v>1606</v>
      </c>
      <c r="H533" s="16" t="s">
        <v>1607</v>
      </c>
      <c r="I533" s="16" t="s">
        <v>198</v>
      </c>
      <c r="J533" s="16" t="s">
        <v>199</v>
      </c>
      <c r="K533" s="16">
        <v>2.4531589999999999</v>
      </c>
      <c r="L533" s="36">
        <v>1797</v>
      </c>
      <c r="M533" s="16">
        <v>511</v>
      </c>
      <c r="N533" s="16">
        <v>377</v>
      </c>
      <c r="O533" s="16">
        <v>428</v>
      </c>
      <c r="P533" s="16">
        <v>360</v>
      </c>
      <c r="Q533" s="16">
        <v>121</v>
      </c>
      <c r="R533" s="16" t="s">
        <v>225</v>
      </c>
      <c r="S533" s="16">
        <v>7.6028599999999997</v>
      </c>
      <c r="T533" s="16">
        <v>2.09904</v>
      </c>
      <c r="U533" s="16">
        <v>1.1753399410000001</v>
      </c>
      <c r="V533" s="16">
        <v>1</v>
      </c>
      <c r="W533" s="16">
        <v>0.89511300000000005</v>
      </c>
      <c r="X533" s="16">
        <v>0.18007100000000001</v>
      </c>
      <c r="Y533" s="16">
        <v>0.69249099999999997</v>
      </c>
      <c r="Z533" s="16">
        <v>0.69809299999999996</v>
      </c>
      <c r="AA533" s="37"/>
    </row>
    <row r="534" spans="1:27">
      <c r="A534" s="16" t="s">
        <v>103</v>
      </c>
      <c r="B534" s="16" t="s">
        <v>2006</v>
      </c>
      <c r="C534" s="16" t="s">
        <v>2007</v>
      </c>
      <c r="D534" s="16" t="s">
        <v>2008</v>
      </c>
      <c r="E534" s="16" t="s">
        <v>2009</v>
      </c>
      <c r="F534" s="16" t="s">
        <v>2010</v>
      </c>
      <c r="G534" s="16" t="s">
        <v>1606</v>
      </c>
      <c r="H534" s="16" t="s">
        <v>1607</v>
      </c>
      <c r="I534" s="16" t="s">
        <v>198</v>
      </c>
      <c r="J534" s="16" t="s">
        <v>199</v>
      </c>
      <c r="K534" s="16">
        <v>2.4555889999999998</v>
      </c>
      <c r="L534" s="36">
        <v>1851</v>
      </c>
      <c r="M534" s="16">
        <v>561</v>
      </c>
      <c r="N534" s="16">
        <v>369</v>
      </c>
      <c r="O534" s="16">
        <v>412</v>
      </c>
      <c r="P534" s="16">
        <v>381</v>
      </c>
      <c r="Q534" s="16">
        <v>128</v>
      </c>
      <c r="R534" s="16" t="s">
        <v>225</v>
      </c>
      <c r="S534" s="16">
        <v>13.2942</v>
      </c>
      <c r="T534" s="16">
        <v>0</v>
      </c>
      <c r="U534" s="16">
        <v>1.0234244050000001</v>
      </c>
      <c r="V534" s="16">
        <v>3</v>
      </c>
      <c r="W534" s="16">
        <v>0.86401300000000003</v>
      </c>
      <c r="X534" s="16">
        <v>0.23192099999999999</v>
      </c>
      <c r="Y534" s="16">
        <v>0.6</v>
      </c>
      <c r="Z534" s="16">
        <v>0.76159299999999996</v>
      </c>
      <c r="AA534" s="37"/>
    </row>
    <row r="535" spans="1:27">
      <c r="A535" s="16" t="s">
        <v>103</v>
      </c>
      <c r="B535" s="16" t="s">
        <v>2011</v>
      </c>
      <c r="C535" s="16" t="s">
        <v>2012</v>
      </c>
      <c r="D535" s="16" t="s">
        <v>2013</v>
      </c>
      <c r="E535" s="16" t="s">
        <v>2004</v>
      </c>
      <c r="F535" s="16" t="s">
        <v>2005</v>
      </c>
      <c r="G535" s="16" t="s">
        <v>1606</v>
      </c>
      <c r="H535" s="16" t="s">
        <v>1607</v>
      </c>
      <c r="I535" s="16" t="s">
        <v>198</v>
      </c>
      <c r="J535" s="16" t="s">
        <v>199</v>
      </c>
      <c r="K535" s="16">
        <v>2.561115</v>
      </c>
      <c r="L535" s="36">
        <v>1828</v>
      </c>
      <c r="M535" s="16">
        <v>613</v>
      </c>
      <c r="N535" s="16">
        <v>380</v>
      </c>
      <c r="O535" s="16">
        <v>388</v>
      </c>
      <c r="P535" s="16">
        <v>352</v>
      </c>
      <c r="Q535" s="16">
        <v>95</v>
      </c>
      <c r="R535" s="16" t="s">
        <v>225</v>
      </c>
      <c r="S535" s="16">
        <v>7.0958199999999998</v>
      </c>
      <c r="T535" s="16">
        <v>0</v>
      </c>
      <c r="U535" s="16">
        <v>1.1034781010000001</v>
      </c>
      <c r="V535" s="16">
        <v>2</v>
      </c>
      <c r="W535" s="16">
        <v>0.89770899999999998</v>
      </c>
      <c r="X535" s="16">
        <v>0.40098699999999998</v>
      </c>
      <c r="Y535" s="16">
        <v>0.63314899999999996</v>
      </c>
      <c r="Z535" s="16">
        <v>0.62305299999999997</v>
      </c>
      <c r="AA535" s="37"/>
    </row>
    <row r="536" spans="1:27">
      <c r="A536" s="16" t="s">
        <v>103</v>
      </c>
      <c r="B536" s="16" t="s">
        <v>2014</v>
      </c>
      <c r="C536" s="16" t="s">
        <v>2015</v>
      </c>
      <c r="D536" s="16" t="s">
        <v>2016</v>
      </c>
      <c r="E536" s="16" t="s">
        <v>2017</v>
      </c>
      <c r="F536" s="16" t="s">
        <v>2018</v>
      </c>
      <c r="G536" s="16" t="s">
        <v>1621</v>
      </c>
      <c r="H536" s="16" t="s">
        <v>1622</v>
      </c>
      <c r="I536" s="16" t="s">
        <v>198</v>
      </c>
      <c r="J536" s="16" t="s">
        <v>199</v>
      </c>
      <c r="K536" s="16">
        <v>1.8411900000000001</v>
      </c>
      <c r="L536" s="36">
        <v>1818</v>
      </c>
      <c r="M536" s="16">
        <v>420</v>
      </c>
      <c r="N536" s="16">
        <v>265</v>
      </c>
      <c r="O536" s="16">
        <v>340</v>
      </c>
      <c r="P536" s="16">
        <v>458</v>
      </c>
      <c r="Q536" s="16">
        <v>335</v>
      </c>
      <c r="R536" s="16" t="s">
        <v>214</v>
      </c>
      <c r="S536" s="16">
        <v>10.0131</v>
      </c>
      <c r="T536" s="16">
        <v>0</v>
      </c>
      <c r="U536" s="16">
        <v>1.070332933</v>
      </c>
      <c r="V536" s="16">
        <v>5</v>
      </c>
      <c r="W536" s="16">
        <v>0.80269199999999996</v>
      </c>
      <c r="X536" s="16">
        <v>0.270092</v>
      </c>
      <c r="Y536" s="16">
        <v>0.55500400000000005</v>
      </c>
      <c r="Z536" s="16">
        <v>0.21455299999999999</v>
      </c>
      <c r="AA536" s="37"/>
    </row>
    <row r="537" spans="1:27">
      <c r="A537" s="16" t="s">
        <v>103</v>
      </c>
      <c r="B537" s="16" t="s">
        <v>2019</v>
      </c>
      <c r="C537" s="16" t="s">
        <v>2020</v>
      </c>
      <c r="D537" s="16" t="s">
        <v>2021</v>
      </c>
      <c r="E537" s="16" t="s">
        <v>2022</v>
      </c>
      <c r="F537" s="16" t="s">
        <v>2023</v>
      </c>
      <c r="G537" s="16" t="s">
        <v>1621</v>
      </c>
      <c r="H537" s="16" t="s">
        <v>1622</v>
      </c>
      <c r="I537" s="16" t="s">
        <v>198</v>
      </c>
      <c r="J537" s="16" t="s">
        <v>199</v>
      </c>
      <c r="K537" s="16">
        <v>1.9520949999999999</v>
      </c>
      <c r="L537" s="36">
        <v>1911</v>
      </c>
      <c r="M537" s="16">
        <v>522</v>
      </c>
      <c r="N537" s="16">
        <v>338</v>
      </c>
      <c r="O537" s="16">
        <v>497</v>
      </c>
      <c r="P537" s="16">
        <v>373</v>
      </c>
      <c r="Q537" s="16">
        <v>181</v>
      </c>
      <c r="R537" s="16">
        <v>2</v>
      </c>
      <c r="S537" s="16">
        <v>12.180300000000001</v>
      </c>
      <c r="T537" s="16">
        <v>0</v>
      </c>
      <c r="U537" s="16">
        <v>1.287619474</v>
      </c>
      <c r="V537" s="16">
        <v>3</v>
      </c>
      <c r="W537" s="16">
        <v>0.81019799999999997</v>
      </c>
      <c r="X537" s="16">
        <v>0.21962000000000001</v>
      </c>
      <c r="Y537" s="16">
        <v>0.6</v>
      </c>
      <c r="Z537" s="16">
        <v>0.32561299999999999</v>
      </c>
      <c r="AA537" s="37"/>
    </row>
    <row r="538" spans="1:27">
      <c r="A538" s="16" t="s">
        <v>103</v>
      </c>
      <c r="B538" s="16" t="s">
        <v>2024</v>
      </c>
      <c r="C538" s="16" t="s">
        <v>2025</v>
      </c>
      <c r="D538" s="16" t="s">
        <v>2026</v>
      </c>
      <c r="E538" s="16" t="s">
        <v>2022</v>
      </c>
      <c r="F538" s="16" t="s">
        <v>2023</v>
      </c>
      <c r="G538" s="16" t="s">
        <v>1621</v>
      </c>
      <c r="H538" s="16" t="s">
        <v>1622</v>
      </c>
      <c r="I538" s="16" t="s">
        <v>198</v>
      </c>
      <c r="J538" s="16" t="s">
        <v>199</v>
      </c>
      <c r="K538" s="16">
        <v>1.7272430000000001</v>
      </c>
      <c r="L538" s="36">
        <v>1551</v>
      </c>
      <c r="M538" s="16">
        <v>366</v>
      </c>
      <c r="N538" s="16">
        <v>273</v>
      </c>
      <c r="O538" s="16">
        <v>322</v>
      </c>
      <c r="P538" s="16">
        <v>392</v>
      </c>
      <c r="Q538" s="16">
        <v>198</v>
      </c>
      <c r="R538" s="16">
        <v>2</v>
      </c>
      <c r="S538" s="16">
        <v>9.2718799999999995</v>
      </c>
      <c r="T538" s="16">
        <v>1.6209199999999999</v>
      </c>
      <c r="U538" s="16">
        <v>1.202752729</v>
      </c>
      <c r="V538" s="16">
        <v>4</v>
      </c>
      <c r="W538" s="16">
        <v>0.80571000000000004</v>
      </c>
      <c r="X538" s="16">
        <v>2.5902000000000001E-2</v>
      </c>
      <c r="Y538" s="16">
        <v>0.6</v>
      </c>
      <c r="Z538" s="16">
        <v>0.29575200000000001</v>
      </c>
      <c r="AA538" s="37"/>
    </row>
    <row r="539" spans="1:27">
      <c r="A539" s="16" t="s">
        <v>103</v>
      </c>
      <c r="B539" s="16" t="s">
        <v>2027</v>
      </c>
      <c r="C539" s="16" t="s">
        <v>2028</v>
      </c>
      <c r="D539" s="16" t="s">
        <v>2029</v>
      </c>
      <c r="E539" s="16" t="s">
        <v>2022</v>
      </c>
      <c r="F539" s="16" t="s">
        <v>2023</v>
      </c>
      <c r="G539" s="16" t="s">
        <v>1621</v>
      </c>
      <c r="H539" s="16" t="s">
        <v>1622</v>
      </c>
      <c r="I539" s="16" t="s">
        <v>198</v>
      </c>
      <c r="J539" s="16" t="s">
        <v>199</v>
      </c>
      <c r="K539" s="16">
        <v>1.660226</v>
      </c>
      <c r="L539" s="36">
        <v>1650</v>
      </c>
      <c r="M539" s="16">
        <v>377</v>
      </c>
      <c r="N539" s="16">
        <v>269</v>
      </c>
      <c r="O539" s="16">
        <v>351</v>
      </c>
      <c r="P539" s="16">
        <v>386</v>
      </c>
      <c r="Q539" s="16">
        <v>267</v>
      </c>
      <c r="R539" s="16" t="s">
        <v>214</v>
      </c>
      <c r="S539" s="16">
        <v>2.3667199999999999</v>
      </c>
      <c r="T539" s="16">
        <v>0</v>
      </c>
      <c r="U539" s="16">
        <v>1.181026176</v>
      </c>
      <c r="V539" s="16">
        <v>6</v>
      </c>
      <c r="W539" s="16">
        <v>0.80032300000000001</v>
      </c>
      <c r="X539" s="16">
        <v>0.101059</v>
      </c>
      <c r="Y539" s="16">
        <v>0.53523200000000004</v>
      </c>
      <c r="Z539" s="16">
        <v>0.218805</v>
      </c>
      <c r="AA539" s="37"/>
    </row>
    <row r="540" spans="1:27">
      <c r="A540" s="16" t="s">
        <v>103</v>
      </c>
      <c r="B540" s="16" t="s">
        <v>2030</v>
      </c>
      <c r="C540" s="16" t="s">
        <v>2031</v>
      </c>
      <c r="D540" s="16" t="s">
        <v>2032</v>
      </c>
      <c r="E540" s="16" t="s">
        <v>2033</v>
      </c>
      <c r="F540" s="16" t="s">
        <v>2034</v>
      </c>
      <c r="G540" s="16" t="s">
        <v>1621</v>
      </c>
      <c r="H540" s="16" t="s">
        <v>1622</v>
      </c>
      <c r="I540" s="16" t="s">
        <v>198</v>
      </c>
      <c r="J540" s="16" t="s">
        <v>199</v>
      </c>
      <c r="K540" s="16">
        <v>2.3264680000000002</v>
      </c>
      <c r="L540" s="36">
        <v>2028</v>
      </c>
      <c r="M540" s="16">
        <v>510</v>
      </c>
      <c r="N540" s="16">
        <v>391</v>
      </c>
      <c r="O540" s="16">
        <v>441</v>
      </c>
      <c r="P540" s="16">
        <v>495</v>
      </c>
      <c r="Q540" s="16">
        <v>191</v>
      </c>
      <c r="R540" s="16" t="s">
        <v>225</v>
      </c>
      <c r="S540" s="16">
        <v>7.5681599999999998</v>
      </c>
      <c r="T540" s="16">
        <v>0</v>
      </c>
      <c r="U540" s="16">
        <v>1.209829979</v>
      </c>
      <c r="V540" s="16">
        <v>2</v>
      </c>
      <c r="W540" s="16">
        <v>0.80882299999999996</v>
      </c>
      <c r="X540" s="16">
        <v>0.29782199999999998</v>
      </c>
      <c r="Y540" s="16">
        <v>0.58183399999999996</v>
      </c>
      <c r="Z540" s="16">
        <v>0.633772</v>
      </c>
      <c r="AA540" s="37"/>
    </row>
    <row r="541" spans="1:27">
      <c r="A541" s="16" t="s">
        <v>103</v>
      </c>
      <c r="B541" s="16" t="s">
        <v>2035</v>
      </c>
      <c r="C541" s="16" t="s">
        <v>2036</v>
      </c>
      <c r="D541" s="16" t="s">
        <v>2037</v>
      </c>
      <c r="E541" s="16" t="s">
        <v>2033</v>
      </c>
      <c r="F541" s="16" t="s">
        <v>2034</v>
      </c>
      <c r="G541" s="16" t="s">
        <v>1621</v>
      </c>
      <c r="H541" s="16" t="s">
        <v>1622</v>
      </c>
      <c r="I541" s="16" t="s">
        <v>198</v>
      </c>
      <c r="J541" s="16" t="s">
        <v>199</v>
      </c>
      <c r="K541" s="16">
        <v>2.4027639999999999</v>
      </c>
      <c r="L541" s="36">
        <v>2293</v>
      </c>
      <c r="M541" s="16">
        <v>557</v>
      </c>
      <c r="N541" s="16">
        <v>406</v>
      </c>
      <c r="O541" s="16">
        <v>503</v>
      </c>
      <c r="P541" s="16">
        <v>544</v>
      </c>
      <c r="Q541" s="16">
        <v>283</v>
      </c>
      <c r="R541" s="16" t="s">
        <v>225</v>
      </c>
      <c r="S541" s="16">
        <v>11.3347</v>
      </c>
      <c r="T541" s="16">
        <v>0</v>
      </c>
      <c r="U541" s="16">
        <v>0.92975730700000003</v>
      </c>
      <c r="V541" s="16">
        <v>3</v>
      </c>
      <c r="W541" s="16">
        <v>0.80701699999999998</v>
      </c>
      <c r="X541" s="16">
        <v>0.26674900000000001</v>
      </c>
      <c r="Y541" s="16">
        <v>0.59617500000000001</v>
      </c>
      <c r="Z541" s="16">
        <v>0.73163</v>
      </c>
      <c r="AA541" s="37"/>
    </row>
    <row r="542" spans="1:27">
      <c r="A542" s="16" t="s">
        <v>103</v>
      </c>
      <c r="B542" s="16" t="s">
        <v>1752</v>
      </c>
      <c r="C542" s="16" t="s">
        <v>1753</v>
      </c>
      <c r="D542" s="16" t="s">
        <v>1754</v>
      </c>
      <c r="E542" s="16" t="s">
        <v>1755</v>
      </c>
      <c r="F542" s="16" t="s">
        <v>1756</v>
      </c>
      <c r="G542" s="16" t="s">
        <v>1757</v>
      </c>
      <c r="H542" s="16" t="s">
        <v>1758</v>
      </c>
      <c r="I542" s="16" t="s">
        <v>198</v>
      </c>
      <c r="J542" s="16" t="s">
        <v>199</v>
      </c>
      <c r="K542" s="16">
        <v>2.8865400000000001</v>
      </c>
      <c r="L542" s="36">
        <v>1758</v>
      </c>
      <c r="M542" s="16">
        <v>430</v>
      </c>
      <c r="N542" s="16">
        <v>329</v>
      </c>
      <c r="O542" s="16">
        <v>406</v>
      </c>
      <c r="P542" s="16">
        <v>428</v>
      </c>
      <c r="Q542" s="16">
        <v>165</v>
      </c>
      <c r="R542" s="16" t="s">
        <v>225</v>
      </c>
      <c r="S542" s="16">
        <v>8.6355799999999991</v>
      </c>
      <c r="T542" s="16">
        <v>0</v>
      </c>
      <c r="U542" s="16">
        <v>1.009003995</v>
      </c>
      <c r="V542" s="16">
        <v>2</v>
      </c>
      <c r="W542" s="16">
        <v>0.91594699999999996</v>
      </c>
      <c r="X542" s="16">
        <v>0.41168700000000003</v>
      </c>
      <c r="Y542" s="16">
        <v>0.7</v>
      </c>
      <c r="Z542" s="16">
        <v>0.85018300000000002</v>
      </c>
      <c r="AA542" s="37"/>
    </row>
    <row r="543" spans="1:27">
      <c r="A543" s="16" t="s">
        <v>103</v>
      </c>
      <c r="B543" s="16" t="s">
        <v>2038</v>
      </c>
      <c r="C543" s="16" t="s">
        <v>2039</v>
      </c>
      <c r="D543" s="16" t="s">
        <v>2040</v>
      </c>
      <c r="E543" s="16" t="s">
        <v>1825</v>
      </c>
      <c r="F543" s="16" t="s">
        <v>1826</v>
      </c>
      <c r="G543" s="16" t="s">
        <v>1606</v>
      </c>
      <c r="H543" s="16" t="s">
        <v>1607</v>
      </c>
      <c r="I543" s="16" t="s">
        <v>198</v>
      </c>
      <c r="J543" s="16" t="s">
        <v>199</v>
      </c>
      <c r="K543" s="16">
        <v>2.6019000000000001</v>
      </c>
      <c r="L543" s="36">
        <v>1644</v>
      </c>
      <c r="M543" s="16">
        <v>535</v>
      </c>
      <c r="N543" s="16">
        <v>265</v>
      </c>
      <c r="O543" s="16">
        <v>465</v>
      </c>
      <c r="P543" s="16">
        <v>290</v>
      </c>
      <c r="Q543" s="16">
        <v>89</v>
      </c>
      <c r="R543" s="16">
        <v>2</v>
      </c>
      <c r="S543" s="16">
        <v>9.6203299999999992</v>
      </c>
      <c r="T543" s="16">
        <v>0</v>
      </c>
      <c r="U543" s="16">
        <v>0.99311933500000005</v>
      </c>
      <c r="V543" s="16">
        <v>2</v>
      </c>
      <c r="W543" s="16">
        <v>0.90142500000000003</v>
      </c>
      <c r="X543" s="16">
        <v>6.7618999999999999E-2</v>
      </c>
      <c r="Y543" s="16">
        <v>0.7</v>
      </c>
      <c r="Z543" s="16">
        <v>0.93167800000000001</v>
      </c>
      <c r="AA543" s="37"/>
    </row>
    <row r="544" spans="1:27">
      <c r="A544" s="16"/>
      <c r="B544" s="16"/>
      <c r="C544" s="16"/>
      <c r="D544" s="16"/>
      <c r="E544" s="16"/>
      <c r="F544" s="16"/>
      <c r="G544" s="16"/>
      <c r="H544" s="16"/>
      <c r="I544" s="16"/>
      <c r="J544" s="16"/>
      <c r="K544" s="16">
        <f>MEDIAN(K526:K543)</f>
        <v>2.4266550000000002</v>
      </c>
      <c r="L544" s="36">
        <f>AVERAGE(L526:L543)</f>
        <v>2044.2777777777778</v>
      </c>
      <c r="M544" s="36">
        <f t="shared" ref="M544:Q544" si="49">SUM(M526:M543)</f>
        <v>10248</v>
      </c>
      <c r="N544" s="36">
        <f t="shared" si="49"/>
        <v>6850</v>
      </c>
      <c r="O544" s="36">
        <f t="shared" si="49"/>
        <v>8577</v>
      </c>
      <c r="P544" s="36">
        <f t="shared" si="49"/>
        <v>7883</v>
      </c>
      <c r="Q544" s="36">
        <f t="shared" si="49"/>
        <v>3239</v>
      </c>
      <c r="R544" s="16"/>
      <c r="S544" s="16"/>
      <c r="T544" s="16"/>
      <c r="U544" s="16"/>
      <c r="V544" s="16">
        <f>MEDIAN(V526:V543)</f>
        <v>2</v>
      </c>
      <c r="W544" s="16"/>
      <c r="X544" s="16"/>
      <c r="Y544" s="16"/>
      <c r="Z544" s="16"/>
      <c r="AA544" s="37"/>
    </row>
    <row r="545" spans="1:27">
      <c r="A545" s="16" t="s">
        <v>68</v>
      </c>
      <c r="B545" s="16" t="s">
        <v>1358</v>
      </c>
      <c r="C545" s="16" t="s">
        <v>1359</v>
      </c>
      <c r="D545" s="16" t="s">
        <v>1360</v>
      </c>
      <c r="E545" s="16" t="s">
        <v>1361</v>
      </c>
      <c r="F545" s="16" t="s">
        <v>1362</v>
      </c>
      <c r="G545" s="16" t="s">
        <v>300</v>
      </c>
      <c r="H545" s="16" t="s">
        <v>301</v>
      </c>
      <c r="I545" s="16" t="s">
        <v>198</v>
      </c>
      <c r="J545" s="16" t="s">
        <v>199</v>
      </c>
      <c r="K545" s="16">
        <v>3.1704349999999999</v>
      </c>
      <c r="L545" s="36">
        <v>2378</v>
      </c>
      <c r="M545" s="16">
        <v>648</v>
      </c>
      <c r="N545" s="16">
        <v>563</v>
      </c>
      <c r="O545" s="16">
        <v>811</v>
      </c>
      <c r="P545" s="16">
        <v>277</v>
      </c>
      <c r="Q545" s="16">
        <v>79</v>
      </c>
      <c r="R545" s="16">
        <v>4</v>
      </c>
      <c r="S545" s="16">
        <v>23.306999999999999</v>
      </c>
      <c r="T545" s="16">
        <v>10.424200000000001</v>
      </c>
      <c r="U545" s="16">
        <v>0.65766641299999995</v>
      </c>
      <c r="V545" s="16">
        <v>2</v>
      </c>
      <c r="W545" s="16">
        <v>0.96782599999999996</v>
      </c>
      <c r="X545" s="16">
        <v>0.56758600000000003</v>
      </c>
      <c r="Y545" s="16">
        <v>0.63545600000000002</v>
      </c>
      <c r="Z545" s="16">
        <v>1</v>
      </c>
      <c r="AA545" s="37"/>
    </row>
    <row r="546" spans="1:27">
      <c r="A546" s="16" t="s">
        <v>68</v>
      </c>
      <c r="B546" s="16" t="s">
        <v>2041</v>
      </c>
      <c r="C546" s="16" t="s">
        <v>2042</v>
      </c>
      <c r="D546" s="16" t="s">
        <v>2043</v>
      </c>
      <c r="E546" s="16" t="s">
        <v>320</v>
      </c>
      <c r="F546" s="16" t="s">
        <v>321</v>
      </c>
      <c r="G546" s="16" t="s">
        <v>300</v>
      </c>
      <c r="H546" s="16" t="s">
        <v>301</v>
      </c>
      <c r="I546" s="16" t="s">
        <v>198</v>
      </c>
      <c r="J546" s="16" t="s">
        <v>199</v>
      </c>
      <c r="K546" s="16">
        <v>2.7711160000000001</v>
      </c>
      <c r="L546" s="36">
        <v>3342</v>
      </c>
      <c r="M546" s="16">
        <v>504</v>
      </c>
      <c r="N546" s="16">
        <v>888</v>
      </c>
      <c r="O546" s="36">
        <v>1333</v>
      </c>
      <c r="P546" s="16">
        <v>499</v>
      </c>
      <c r="Q546" s="16">
        <v>118</v>
      </c>
      <c r="R546" s="16">
        <v>5</v>
      </c>
      <c r="S546" s="16">
        <v>28.668900000000001</v>
      </c>
      <c r="T546" s="16">
        <v>10.766500000000001</v>
      </c>
      <c r="U546" s="16">
        <v>0.63681730000000003</v>
      </c>
      <c r="V546" s="16">
        <v>5</v>
      </c>
      <c r="W546" s="16">
        <v>0.96832700000000005</v>
      </c>
      <c r="X546" s="16">
        <v>0.20315</v>
      </c>
      <c r="Y546" s="16">
        <v>0.6</v>
      </c>
      <c r="Z546" s="16">
        <v>1</v>
      </c>
      <c r="AA546" s="37"/>
    </row>
    <row r="547" spans="1:27">
      <c r="A547" s="16" t="s">
        <v>68</v>
      </c>
      <c r="B547" s="16" t="s">
        <v>2044</v>
      </c>
      <c r="C547" s="16" t="s">
        <v>2045</v>
      </c>
      <c r="D547" s="16" t="s">
        <v>2046</v>
      </c>
      <c r="E547" s="16" t="s">
        <v>320</v>
      </c>
      <c r="F547" s="16" t="s">
        <v>321</v>
      </c>
      <c r="G547" s="16" t="s">
        <v>300</v>
      </c>
      <c r="H547" s="16" t="s">
        <v>301</v>
      </c>
      <c r="I547" s="16" t="s">
        <v>198</v>
      </c>
      <c r="J547" s="16" t="s">
        <v>199</v>
      </c>
      <c r="K547" s="16">
        <v>2.863448</v>
      </c>
      <c r="L547" s="36">
        <v>1807</v>
      </c>
      <c r="M547" s="16">
        <v>390</v>
      </c>
      <c r="N547" s="16">
        <v>370</v>
      </c>
      <c r="O547" s="16">
        <v>554</v>
      </c>
      <c r="P547" s="16">
        <v>364</v>
      </c>
      <c r="Q547" s="16">
        <v>129</v>
      </c>
      <c r="R547" s="16" t="s">
        <v>302</v>
      </c>
      <c r="S547" s="16">
        <v>34.661900000000003</v>
      </c>
      <c r="T547" s="16">
        <v>22.934100000000001</v>
      </c>
      <c r="U547" s="16">
        <v>0.902421268</v>
      </c>
      <c r="V547" s="16">
        <v>2</v>
      </c>
      <c r="W547" s="16">
        <v>0.94551700000000005</v>
      </c>
      <c r="X547" s="16">
        <v>0.27152799999999999</v>
      </c>
      <c r="Y547" s="16">
        <v>0.62</v>
      </c>
      <c r="Z547" s="16">
        <v>1</v>
      </c>
      <c r="AA547" s="37"/>
    </row>
    <row r="548" spans="1:27">
      <c r="A548" s="16" t="s">
        <v>68</v>
      </c>
      <c r="B548" s="16" t="s">
        <v>2047</v>
      </c>
      <c r="C548" s="16" t="s">
        <v>2048</v>
      </c>
      <c r="D548" s="16" t="s">
        <v>2049</v>
      </c>
      <c r="E548" s="16" t="s">
        <v>325</v>
      </c>
      <c r="F548" s="16" t="s">
        <v>326</v>
      </c>
      <c r="G548" s="16" t="s">
        <v>300</v>
      </c>
      <c r="H548" s="16" t="s">
        <v>301</v>
      </c>
      <c r="I548" s="16" t="s">
        <v>198</v>
      </c>
      <c r="J548" s="16" t="s">
        <v>199</v>
      </c>
      <c r="K548" s="16">
        <v>2.9332539999999998</v>
      </c>
      <c r="L548" s="36">
        <v>1916</v>
      </c>
      <c r="M548" s="16">
        <v>448</v>
      </c>
      <c r="N548" s="16">
        <v>400</v>
      </c>
      <c r="O548" s="16">
        <v>531</v>
      </c>
      <c r="P548" s="16">
        <v>352</v>
      </c>
      <c r="Q548" s="16">
        <v>185</v>
      </c>
      <c r="R548" s="16">
        <v>3</v>
      </c>
      <c r="S548" s="16">
        <v>22.793299999999999</v>
      </c>
      <c r="T548" s="16">
        <v>7.3841000000000001</v>
      </c>
      <c r="U548" s="16">
        <v>0.96940461700000002</v>
      </c>
      <c r="V548" s="16">
        <v>2</v>
      </c>
      <c r="W548" s="16">
        <v>0.94346799999999997</v>
      </c>
      <c r="X548" s="16">
        <v>0.31990400000000002</v>
      </c>
      <c r="Y548" s="16">
        <v>0.65261899999999995</v>
      </c>
      <c r="Z548" s="16">
        <v>1</v>
      </c>
      <c r="AA548" s="37"/>
    </row>
    <row r="549" spans="1:27">
      <c r="A549" s="16" t="s">
        <v>68</v>
      </c>
      <c r="B549" s="16" t="s">
        <v>2050</v>
      </c>
      <c r="C549" s="16" t="s">
        <v>2051</v>
      </c>
      <c r="D549" s="16" t="s">
        <v>2052</v>
      </c>
      <c r="E549" s="16" t="s">
        <v>325</v>
      </c>
      <c r="F549" s="16" t="s">
        <v>326</v>
      </c>
      <c r="G549" s="16" t="s">
        <v>300</v>
      </c>
      <c r="H549" s="16" t="s">
        <v>301</v>
      </c>
      <c r="I549" s="16" t="s">
        <v>198</v>
      </c>
      <c r="J549" s="16" t="s">
        <v>199</v>
      </c>
      <c r="K549" s="16">
        <v>2.792141</v>
      </c>
      <c r="L549" s="36">
        <v>2414</v>
      </c>
      <c r="M549" s="16">
        <v>729</v>
      </c>
      <c r="N549" s="16">
        <v>512</v>
      </c>
      <c r="O549" s="16">
        <v>634</v>
      </c>
      <c r="P549" s="16">
        <v>375</v>
      </c>
      <c r="Q549" s="16">
        <v>164</v>
      </c>
      <c r="R549" s="16">
        <v>4</v>
      </c>
      <c r="S549" s="16">
        <v>21.882400000000001</v>
      </c>
      <c r="T549" s="16">
        <v>10.2028</v>
      </c>
      <c r="U549" s="16">
        <v>1.0419497230000001</v>
      </c>
      <c r="V549" s="16">
        <v>3</v>
      </c>
      <c r="W549" s="16">
        <v>0.92276400000000003</v>
      </c>
      <c r="X549" s="16">
        <v>0.26047700000000001</v>
      </c>
      <c r="Y549" s="16">
        <v>0.62299499999999997</v>
      </c>
      <c r="Z549" s="16">
        <v>1</v>
      </c>
      <c r="AA549" s="37"/>
    </row>
    <row r="550" spans="1:27">
      <c r="A550" s="16" t="s">
        <v>68</v>
      </c>
      <c r="B550" s="16" t="s">
        <v>2053</v>
      </c>
      <c r="C550" s="16" t="s">
        <v>2054</v>
      </c>
      <c r="D550" s="16" t="s">
        <v>2055</v>
      </c>
      <c r="E550" s="16" t="s">
        <v>320</v>
      </c>
      <c r="F550" s="16" t="s">
        <v>321</v>
      </c>
      <c r="G550" s="16" t="s">
        <v>300</v>
      </c>
      <c r="H550" s="16" t="s">
        <v>301</v>
      </c>
      <c r="I550" s="16" t="s">
        <v>198</v>
      </c>
      <c r="J550" s="16" t="s">
        <v>199</v>
      </c>
      <c r="K550" s="16">
        <v>2.6012819999999999</v>
      </c>
      <c r="L550" s="36">
        <v>1673</v>
      </c>
      <c r="M550" s="16">
        <v>286</v>
      </c>
      <c r="N550" s="16">
        <v>261</v>
      </c>
      <c r="O550" s="16">
        <v>464</v>
      </c>
      <c r="P550" s="16">
        <v>448</v>
      </c>
      <c r="Q550" s="16">
        <v>214</v>
      </c>
      <c r="R550" s="16">
        <v>4</v>
      </c>
      <c r="S550" s="16">
        <v>25.058700000000002</v>
      </c>
      <c r="T550" s="16">
        <v>12.2136</v>
      </c>
      <c r="U550" s="16">
        <v>0.75481148899999995</v>
      </c>
      <c r="V550" s="16">
        <v>4</v>
      </c>
      <c r="W550" s="16">
        <v>0.95448699999999997</v>
      </c>
      <c r="X550" s="16">
        <v>2.6229999999999999E-3</v>
      </c>
      <c r="Y550" s="16">
        <v>0.64019300000000001</v>
      </c>
      <c r="Z550" s="16">
        <v>1</v>
      </c>
      <c r="AA550" s="37"/>
    </row>
    <row r="551" spans="1:27">
      <c r="A551" s="16" t="s">
        <v>68</v>
      </c>
      <c r="B551" s="16" t="s">
        <v>2056</v>
      </c>
      <c r="C551" s="16" t="s">
        <v>2057</v>
      </c>
      <c r="D551" s="16" t="s">
        <v>2058</v>
      </c>
      <c r="E551" s="16" t="s">
        <v>2059</v>
      </c>
      <c r="F551" s="16" t="s">
        <v>2060</v>
      </c>
      <c r="G551" s="16" t="s">
        <v>300</v>
      </c>
      <c r="H551" s="16" t="s">
        <v>301</v>
      </c>
      <c r="I551" s="16" t="s">
        <v>198</v>
      </c>
      <c r="J551" s="16" t="s">
        <v>199</v>
      </c>
      <c r="K551" s="16">
        <v>2.9891269999999999</v>
      </c>
      <c r="L551" s="36">
        <v>1952</v>
      </c>
      <c r="M551" s="16">
        <v>233</v>
      </c>
      <c r="N551" s="16">
        <v>451</v>
      </c>
      <c r="O551" s="16">
        <v>767</v>
      </c>
      <c r="P551" s="16">
        <v>419</v>
      </c>
      <c r="Q551" s="16">
        <v>82</v>
      </c>
      <c r="R551" s="16">
        <v>5</v>
      </c>
      <c r="S551" s="16">
        <v>34.0471</v>
      </c>
      <c r="T551" s="16">
        <v>12.502000000000001</v>
      </c>
      <c r="U551" s="16">
        <v>0.29915197599999999</v>
      </c>
      <c r="V551" s="16">
        <v>9</v>
      </c>
      <c r="W551" s="16">
        <v>0.94242199999999998</v>
      </c>
      <c r="X551" s="16">
        <v>0.357825</v>
      </c>
      <c r="Y551" s="16">
        <v>0.69810399999999995</v>
      </c>
      <c r="Z551" s="16">
        <v>1</v>
      </c>
      <c r="AA551" s="37"/>
    </row>
    <row r="552" spans="1:27">
      <c r="A552" s="16" t="s">
        <v>68</v>
      </c>
      <c r="B552" s="16" t="s">
        <v>2061</v>
      </c>
      <c r="C552" s="16" t="s">
        <v>2062</v>
      </c>
      <c r="D552" s="16" t="s">
        <v>2063</v>
      </c>
      <c r="E552" s="16" t="s">
        <v>2064</v>
      </c>
      <c r="F552" s="16" t="s">
        <v>2065</v>
      </c>
      <c r="G552" s="16" t="s">
        <v>300</v>
      </c>
      <c r="H552" s="16" t="s">
        <v>301</v>
      </c>
      <c r="I552" s="16" t="s">
        <v>198</v>
      </c>
      <c r="J552" s="16" t="s">
        <v>199</v>
      </c>
      <c r="K552" s="16">
        <v>2.6833330000000002</v>
      </c>
      <c r="L552" s="36">
        <v>1869</v>
      </c>
      <c r="M552" s="16">
        <v>228</v>
      </c>
      <c r="N552" s="16">
        <v>447</v>
      </c>
      <c r="O552" s="16">
        <v>768</v>
      </c>
      <c r="P552" s="16">
        <v>363</v>
      </c>
      <c r="Q552" s="16">
        <v>63</v>
      </c>
      <c r="R552" s="16">
        <v>4</v>
      </c>
      <c r="S552" s="16">
        <v>22.008900000000001</v>
      </c>
      <c r="T552" s="16">
        <v>12.4971</v>
      </c>
      <c r="U552" s="16">
        <v>0.58269889699999999</v>
      </c>
      <c r="V552" s="16">
        <v>7</v>
      </c>
      <c r="W552" s="16">
        <v>0.98796300000000004</v>
      </c>
      <c r="X552" s="16">
        <v>0.114692</v>
      </c>
      <c r="Y552" s="16">
        <v>0.6</v>
      </c>
      <c r="Z552" s="16">
        <v>0.99906099999999998</v>
      </c>
      <c r="AA552" s="37"/>
    </row>
    <row r="553" spans="1:27">
      <c r="A553" s="16" t="s">
        <v>68</v>
      </c>
      <c r="B553" s="16" t="s">
        <v>2066</v>
      </c>
      <c r="C553" s="16" t="s">
        <v>2067</v>
      </c>
      <c r="D553" s="16" t="s">
        <v>2068</v>
      </c>
      <c r="E553" s="16" t="s">
        <v>2064</v>
      </c>
      <c r="F553" s="16" t="s">
        <v>2065</v>
      </c>
      <c r="G553" s="16" t="s">
        <v>300</v>
      </c>
      <c r="H553" s="16" t="s">
        <v>301</v>
      </c>
      <c r="I553" s="16" t="s">
        <v>198</v>
      </c>
      <c r="J553" s="16" t="s">
        <v>199</v>
      </c>
      <c r="K553" s="16">
        <v>3.0197449999999999</v>
      </c>
      <c r="L553" s="36">
        <v>1564</v>
      </c>
      <c r="M553" s="16">
        <v>231</v>
      </c>
      <c r="N553" s="16">
        <v>363</v>
      </c>
      <c r="O553" s="16">
        <v>538</v>
      </c>
      <c r="P553" s="16">
        <v>349</v>
      </c>
      <c r="Q553" s="16">
        <v>83</v>
      </c>
      <c r="R553" s="16">
        <v>5</v>
      </c>
      <c r="S553" s="16">
        <v>28.9071</v>
      </c>
      <c r="T553" s="16">
        <v>18.386299999999999</v>
      </c>
      <c r="U553" s="16">
        <v>0.51614761099999995</v>
      </c>
      <c r="V553" s="16">
        <v>5</v>
      </c>
      <c r="W553" s="16">
        <v>0.99585999999999997</v>
      </c>
      <c r="X553" s="16">
        <v>0.48580400000000001</v>
      </c>
      <c r="Y553" s="16">
        <v>0.6</v>
      </c>
      <c r="Z553" s="16">
        <v>0.98089199999999999</v>
      </c>
      <c r="AA553" s="37"/>
    </row>
    <row r="554" spans="1:27">
      <c r="A554" s="16" t="s">
        <v>68</v>
      </c>
      <c r="B554" s="16" t="s">
        <v>2069</v>
      </c>
      <c r="C554" s="16" t="s">
        <v>2070</v>
      </c>
      <c r="D554" s="16" t="s">
        <v>2071</v>
      </c>
      <c r="E554" s="16" t="s">
        <v>1361</v>
      </c>
      <c r="F554" s="16" t="s">
        <v>1362</v>
      </c>
      <c r="G554" s="16" t="s">
        <v>300</v>
      </c>
      <c r="H554" s="16" t="s">
        <v>301</v>
      </c>
      <c r="I554" s="16" t="s">
        <v>198</v>
      </c>
      <c r="J554" s="16" t="s">
        <v>199</v>
      </c>
      <c r="K554" s="16">
        <v>2.8254049999999999</v>
      </c>
      <c r="L554" s="36">
        <v>1876</v>
      </c>
      <c r="M554" s="16">
        <v>264</v>
      </c>
      <c r="N554" s="16">
        <v>524</v>
      </c>
      <c r="O554" s="16">
        <v>706</v>
      </c>
      <c r="P554" s="16">
        <v>298</v>
      </c>
      <c r="Q554" s="16">
        <v>84</v>
      </c>
      <c r="R554" s="16">
        <v>4</v>
      </c>
      <c r="S554" s="16">
        <v>25.962700000000002</v>
      </c>
      <c r="T554" s="16">
        <v>9.5419499999999999</v>
      </c>
      <c r="U554" s="16">
        <v>0.50317256200000005</v>
      </c>
      <c r="V554" s="16">
        <v>6</v>
      </c>
      <c r="W554" s="16">
        <v>0.92024300000000003</v>
      </c>
      <c r="X554" s="16">
        <v>0.203462</v>
      </c>
      <c r="Y554" s="16">
        <v>0.69928500000000005</v>
      </c>
      <c r="Z554" s="16">
        <v>1</v>
      </c>
      <c r="AA554" s="37"/>
    </row>
    <row r="555" spans="1:27">
      <c r="A555" s="16"/>
      <c r="B555" s="16"/>
      <c r="C555" s="16"/>
      <c r="D555" s="16"/>
      <c r="E555" s="16"/>
      <c r="F555" s="16"/>
      <c r="G555" s="16"/>
      <c r="H555" s="16"/>
      <c r="I555" s="16"/>
      <c r="J555" s="16"/>
      <c r="K555" s="16">
        <f>MEDIAN(K545:K554)</f>
        <v>2.8444265</v>
      </c>
      <c r="L555" s="36">
        <f>AVERAGE(L545:L554)</f>
        <v>2079.1</v>
      </c>
      <c r="M555" s="36">
        <f t="shared" ref="M555:Q555" si="50">SUM(M545:M554)</f>
        <v>3961</v>
      </c>
      <c r="N555" s="36">
        <f t="shared" si="50"/>
        <v>4779</v>
      </c>
      <c r="O555" s="36">
        <f t="shared" si="50"/>
        <v>7106</v>
      </c>
      <c r="P555" s="36">
        <f t="shared" si="50"/>
        <v>3744</v>
      </c>
      <c r="Q555" s="36">
        <f t="shared" si="50"/>
        <v>1201</v>
      </c>
      <c r="R555" s="16"/>
      <c r="S555" s="16"/>
      <c r="T555" s="16"/>
      <c r="U555" s="16"/>
      <c r="V555" s="16">
        <f>MEDIAN(V545:V554)</f>
        <v>4.5</v>
      </c>
      <c r="W555" s="16"/>
      <c r="X555" s="16"/>
      <c r="Y555" s="16"/>
      <c r="Z555" s="16"/>
      <c r="AA555" s="37"/>
    </row>
    <row r="556" spans="1:27">
      <c r="A556" s="16" t="s">
        <v>69</v>
      </c>
      <c r="B556" s="16" t="s">
        <v>2072</v>
      </c>
      <c r="C556" s="16" t="s">
        <v>2073</v>
      </c>
      <c r="D556" s="16" t="s">
        <v>2074</v>
      </c>
      <c r="E556" s="16" t="s">
        <v>2075</v>
      </c>
      <c r="F556" s="16" t="s">
        <v>2076</v>
      </c>
      <c r="G556" s="16" t="s">
        <v>2077</v>
      </c>
      <c r="H556" s="16" t="s">
        <v>2078</v>
      </c>
      <c r="I556" s="16" t="s">
        <v>198</v>
      </c>
      <c r="J556" s="16" t="s">
        <v>199</v>
      </c>
      <c r="K556" s="16">
        <v>2.796646</v>
      </c>
      <c r="L556" s="36">
        <v>1759</v>
      </c>
      <c r="M556" s="16">
        <v>355</v>
      </c>
      <c r="N556" s="16">
        <v>380</v>
      </c>
      <c r="O556" s="16">
        <v>586</v>
      </c>
      <c r="P556" s="16">
        <v>285</v>
      </c>
      <c r="Q556" s="16">
        <v>153</v>
      </c>
      <c r="R556" s="16">
        <v>4</v>
      </c>
      <c r="S556" s="16">
        <v>22.944700000000001</v>
      </c>
      <c r="T556" s="16">
        <v>4.7939800000000004</v>
      </c>
      <c r="U556" s="16">
        <v>0.54600104299999996</v>
      </c>
      <c r="V556" s="16">
        <v>4</v>
      </c>
      <c r="W556" s="16">
        <v>0.91701900000000003</v>
      </c>
      <c r="X556" s="16">
        <v>0.31616899999999998</v>
      </c>
      <c r="Y556" s="16">
        <v>0.60037099999999999</v>
      </c>
      <c r="Z556" s="16">
        <v>0.968642</v>
      </c>
      <c r="AA556" s="37"/>
    </row>
    <row r="557" spans="1:27">
      <c r="A557" s="16" t="s">
        <v>69</v>
      </c>
      <c r="B557" s="16" t="s">
        <v>2079</v>
      </c>
      <c r="C557" s="16" t="s">
        <v>2080</v>
      </c>
      <c r="D557" s="16" t="s">
        <v>2081</v>
      </c>
      <c r="E557" s="16" t="s">
        <v>2082</v>
      </c>
      <c r="F557" s="16" t="s">
        <v>2083</v>
      </c>
      <c r="G557" s="16" t="s">
        <v>2077</v>
      </c>
      <c r="H557" s="16" t="s">
        <v>2078</v>
      </c>
      <c r="I557" s="16" t="s">
        <v>198</v>
      </c>
      <c r="J557" s="16" t="s">
        <v>199</v>
      </c>
      <c r="K557" s="16">
        <v>2.8289580000000001</v>
      </c>
      <c r="L557" s="36">
        <v>2945</v>
      </c>
      <c r="M557" s="16">
        <v>592</v>
      </c>
      <c r="N557" s="16">
        <v>749</v>
      </c>
      <c r="O557" s="16">
        <v>874</v>
      </c>
      <c r="P557" s="16">
        <v>504</v>
      </c>
      <c r="Q557" s="16">
        <v>226</v>
      </c>
      <c r="R557" s="16">
        <v>2</v>
      </c>
      <c r="S557" s="16">
        <v>27.063600000000001</v>
      </c>
      <c r="T557" s="16">
        <v>0</v>
      </c>
      <c r="U557" s="16">
        <v>0.94329411600000002</v>
      </c>
      <c r="V557" s="16">
        <v>2</v>
      </c>
      <c r="W557" s="16">
        <v>0.91776100000000005</v>
      </c>
      <c r="X557" s="16">
        <v>0.29300500000000002</v>
      </c>
      <c r="Y557" s="16">
        <v>0.62024299999999999</v>
      </c>
      <c r="Z557" s="16">
        <v>0.99809599999999998</v>
      </c>
      <c r="AA557" s="37"/>
    </row>
    <row r="558" spans="1:27">
      <c r="A558" s="16" t="s">
        <v>69</v>
      </c>
      <c r="B558" s="16" t="s">
        <v>2084</v>
      </c>
      <c r="C558" s="16" t="s">
        <v>2085</v>
      </c>
      <c r="D558" s="16" t="s">
        <v>2086</v>
      </c>
      <c r="E558" s="16" t="s">
        <v>2075</v>
      </c>
      <c r="F558" s="16" t="s">
        <v>2076</v>
      </c>
      <c r="G558" s="16" t="s">
        <v>2077</v>
      </c>
      <c r="H558" s="16" t="s">
        <v>2078</v>
      </c>
      <c r="I558" s="16" t="s">
        <v>198</v>
      </c>
      <c r="J558" s="16" t="s">
        <v>199</v>
      </c>
      <c r="K558" s="16">
        <v>2.65971</v>
      </c>
      <c r="L558" s="36">
        <v>2093</v>
      </c>
      <c r="M558" s="16">
        <v>394</v>
      </c>
      <c r="N558" s="16">
        <v>565</v>
      </c>
      <c r="O558" s="16">
        <v>624</v>
      </c>
      <c r="P558" s="16">
        <v>377</v>
      </c>
      <c r="Q558" s="16">
        <v>133</v>
      </c>
      <c r="R558" s="16">
        <v>4</v>
      </c>
      <c r="S558" s="16">
        <v>24.013500000000001</v>
      </c>
      <c r="T558" s="16">
        <v>11.209</v>
      </c>
      <c r="U558" s="16">
        <v>0.61772773999999997</v>
      </c>
      <c r="V558" s="16">
        <v>6</v>
      </c>
      <c r="W558" s="16">
        <v>0.91778599999999999</v>
      </c>
      <c r="X558" s="16">
        <v>0.26142599999999999</v>
      </c>
      <c r="Y558" s="16">
        <v>0.60127699999999995</v>
      </c>
      <c r="Z558" s="16">
        <v>0.87696499999999999</v>
      </c>
      <c r="AA558" s="37"/>
    </row>
    <row r="559" spans="1:27">
      <c r="A559" s="16" t="s">
        <v>69</v>
      </c>
      <c r="B559" s="16" t="s">
        <v>2087</v>
      </c>
      <c r="C559" s="16" t="s">
        <v>2088</v>
      </c>
      <c r="D559" s="16" t="s">
        <v>2089</v>
      </c>
      <c r="E559" s="16" t="s">
        <v>2090</v>
      </c>
      <c r="F559" s="16" t="s">
        <v>2091</v>
      </c>
      <c r="G559" s="16" t="s">
        <v>2077</v>
      </c>
      <c r="H559" s="16" t="s">
        <v>2078</v>
      </c>
      <c r="I559" s="16" t="s">
        <v>198</v>
      </c>
      <c r="J559" s="16" t="s">
        <v>199</v>
      </c>
      <c r="K559" s="16">
        <v>2.585833</v>
      </c>
      <c r="L559" s="36">
        <v>1870</v>
      </c>
      <c r="M559" s="16">
        <v>436</v>
      </c>
      <c r="N559" s="16">
        <v>245</v>
      </c>
      <c r="O559" s="16">
        <v>560</v>
      </c>
      <c r="P559" s="16">
        <v>453</v>
      </c>
      <c r="Q559" s="16">
        <v>176</v>
      </c>
      <c r="R559" s="16">
        <v>4</v>
      </c>
      <c r="S559" s="16">
        <v>18.7911</v>
      </c>
      <c r="T559" s="16">
        <v>9.06921</v>
      </c>
      <c r="U559" s="16">
        <v>0.614093526</v>
      </c>
      <c r="V559" s="16">
        <v>6</v>
      </c>
      <c r="W559" s="16">
        <v>0.91125</v>
      </c>
      <c r="X559" s="16">
        <v>0.21476300000000001</v>
      </c>
      <c r="Y559" s="16">
        <v>0.68227099999999996</v>
      </c>
      <c r="Z559" s="16">
        <v>0.79889699999999997</v>
      </c>
      <c r="AA559" s="37"/>
    </row>
    <row r="560" spans="1:27">
      <c r="A560" s="16" t="s">
        <v>69</v>
      </c>
      <c r="B560" s="16" t="s">
        <v>2092</v>
      </c>
      <c r="C560" s="16" t="s">
        <v>2093</v>
      </c>
      <c r="D560" s="16" t="s">
        <v>2094</v>
      </c>
      <c r="E560" s="16" t="s">
        <v>2090</v>
      </c>
      <c r="F560" s="16" t="s">
        <v>2091</v>
      </c>
      <c r="G560" s="16" t="s">
        <v>2077</v>
      </c>
      <c r="H560" s="16" t="s">
        <v>2078</v>
      </c>
      <c r="I560" s="16" t="s">
        <v>198</v>
      </c>
      <c r="J560" s="16" t="s">
        <v>199</v>
      </c>
      <c r="K560" s="16">
        <v>2.3337080000000001</v>
      </c>
      <c r="L560" s="36">
        <v>1744</v>
      </c>
      <c r="M560" s="16">
        <v>373</v>
      </c>
      <c r="N560" s="16">
        <v>186</v>
      </c>
      <c r="O560" s="16">
        <v>495</v>
      </c>
      <c r="P560" s="16">
        <v>455</v>
      </c>
      <c r="Q560" s="16">
        <v>235</v>
      </c>
      <c r="R560" s="16">
        <v>3</v>
      </c>
      <c r="S560" s="16">
        <v>23.709800000000001</v>
      </c>
      <c r="T560" s="16">
        <v>4.0599299999999996</v>
      </c>
      <c r="U560" s="16">
        <v>0.71231076299999996</v>
      </c>
      <c r="V560" s="16">
        <v>7</v>
      </c>
      <c r="W560" s="16">
        <v>0.91235999999999995</v>
      </c>
      <c r="X560" s="16">
        <v>0.112222</v>
      </c>
      <c r="Y560" s="16">
        <v>0.7</v>
      </c>
      <c r="Z560" s="16">
        <v>0.62059900000000001</v>
      </c>
      <c r="AA560" s="37"/>
    </row>
    <row r="561" spans="1:27">
      <c r="A561" s="16" t="s">
        <v>69</v>
      </c>
      <c r="B561" s="16" t="s">
        <v>2095</v>
      </c>
      <c r="C561" s="16" t="s">
        <v>2096</v>
      </c>
      <c r="D561" s="16" t="s">
        <v>2097</v>
      </c>
      <c r="E561" s="16" t="s">
        <v>2098</v>
      </c>
      <c r="F561" s="16" t="s">
        <v>2099</v>
      </c>
      <c r="G561" s="16" t="s">
        <v>2077</v>
      </c>
      <c r="H561" s="16" t="s">
        <v>2078</v>
      </c>
      <c r="I561" s="16" t="s">
        <v>198</v>
      </c>
      <c r="J561" s="16" t="s">
        <v>199</v>
      </c>
      <c r="K561" s="16">
        <v>2.5615139999999998</v>
      </c>
      <c r="L561" s="36">
        <v>1621</v>
      </c>
      <c r="M561" s="16">
        <v>290</v>
      </c>
      <c r="N561" s="16">
        <v>245</v>
      </c>
      <c r="O561" s="16">
        <v>431</v>
      </c>
      <c r="P561" s="16">
        <v>376</v>
      </c>
      <c r="Q561" s="16">
        <v>279</v>
      </c>
      <c r="R561" s="16">
        <v>4</v>
      </c>
      <c r="S561" s="16">
        <v>22.622299999999999</v>
      </c>
      <c r="T561" s="16">
        <v>14.4095</v>
      </c>
      <c r="U561" s="16">
        <v>0.73108244200000005</v>
      </c>
      <c r="V561" s="16">
        <v>5</v>
      </c>
      <c r="W561" s="16">
        <v>0.91739099999999996</v>
      </c>
      <c r="X561" s="16">
        <v>0.27516299999999999</v>
      </c>
      <c r="Y561" s="16">
        <v>0.69440800000000003</v>
      </c>
      <c r="Z561" s="16">
        <v>0.65928299999999995</v>
      </c>
      <c r="AA561" s="37"/>
    </row>
    <row r="562" spans="1:27">
      <c r="A562" s="16" t="s">
        <v>69</v>
      </c>
      <c r="B562" s="16" t="s">
        <v>2100</v>
      </c>
      <c r="C562" s="16" t="s">
        <v>2101</v>
      </c>
      <c r="D562" s="16" t="s">
        <v>2102</v>
      </c>
      <c r="E562" s="16" t="s">
        <v>2098</v>
      </c>
      <c r="F562" s="16" t="s">
        <v>2099</v>
      </c>
      <c r="G562" s="16" t="s">
        <v>2077</v>
      </c>
      <c r="H562" s="16" t="s">
        <v>2078</v>
      </c>
      <c r="I562" s="16" t="s">
        <v>198</v>
      </c>
      <c r="J562" s="16" t="s">
        <v>199</v>
      </c>
      <c r="K562" s="16">
        <v>2.3234569999999999</v>
      </c>
      <c r="L562" s="36">
        <v>1465</v>
      </c>
      <c r="M562" s="16">
        <v>372</v>
      </c>
      <c r="N562" s="16">
        <v>190</v>
      </c>
      <c r="O562" s="16">
        <v>348</v>
      </c>
      <c r="P562" s="16">
        <v>391</v>
      </c>
      <c r="Q562" s="16">
        <v>164</v>
      </c>
      <c r="R562" s="16">
        <v>3</v>
      </c>
      <c r="S562" s="16">
        <v>19.5685</v>
      </c>
      <c r="T562" s="16">
        <v>6.5556000000000001</v>
      </c>
      <c r="U562" s="16">
        <v>0.67963536499999999</v>
      </c>
      <c r="V562" s="16">
        <v>7</v>
      </c>
      <c r="W562" s="16">
        <v>0.90070499999999998</v>
      </c>
      <c r="X562" s="16">
        <v>7.4955999999999995E-2</v>
      </c>
      <c r="Y562" s="16">
        <v>0.66361999999999999</v>
      </c>
      <c r="Z562" s="16">
        <v>0.69315800000000005</v>
      </c>
      <c r="AA562" s="37"/>
    </row>
    <row r="563" spans="1:27">
      <c r="A563" s="16"/>
      <c r="B563" s="16"/>
      <c r="C563" s="16"/>
      <c r="D563" s="16"/>
      <c r="E563" s="16"/>
      <c r="F563" s="16"/>
      <c r="G563" s="16"/>
      <c r="H563" s="16"/>
      <c r="I563" s="16"/>
      <c r="J563" s="16"/>
      <c r="K563" s="16">
        <f>MEDIAN(K556:K562)</f>
        <v>2.585833</v>
      </c>
      <c r="L563" s="36">
        <f>AVERAGE(L556:L562)</f>
        <v>1928.1428571428571</v>
      </c>
      <c r="M563" s="36">
        <f t="shared" ref="M563:Q563" si="51">SUM(M556:M562)</f>
        <v>2812</v>
      </c>
      <c r="N563" s="36">
        <f t="shared" si="51"/>
        <v>2560</v>
      </c>
      <c r="O563" s="36">
        <f t="shared" si="51"/>
        <v>3918</v>
      </c>
      <c r="P563" s="36">
        <f t="shared" si="51"/>
        <v>2841</v>
      </c>
      <c r="Q563" s="36">
        <f t="shared" si="51"/>
        <v>1366</v>
      </c>
      <c r="R563" s="16"/>
      <c r="S563" s="16"/>
      <c r="T563" s="16"/>
      <c r="U563" s="16"/>
      <c r="V563" s="16">
        <f>MEDIAN(V556:V562)</f>
        <v>6</v>
      </c>
      <c r="W563" s="16"/>
      <c r="X563" s="16"/>
      <c r="Y563" s="16"/>
      <c r="Z563" s="16"/>
      <c r="AA563" s="37"/>
    </row>
    <row r="564" spans="1:27">
      <c r="A564" s="16" t="s">
        <v>117</v>
      </c>
      <c r="B564" s="16" t="s">
        <v>2103</v>
      </c>
      <c r="C564" s="16" t="s">
        <v>2104</v>
      </c>
      <c r="D564" s="16" t="s">
        <v>2105</v>
      </c>
      <c r="E564" s="16" t="s">
        <v>2106</v>
      </c>
      <c r="F564" s="16" t="s">
        <v>2107</v>
      </c>
      <c r="G564" s="16" t="s">
        <v>2077</v>
      </c>
      <c r="H564" s="16" t="s">
        <v>2078</v>
      </c>
      <c r="I564" s="16" t="s">
        <v>198</v>
      </c>
      <c r="J564" s="16" t="s">
        <v>199</v>
      </c>
      <c r="K564" s="16">
        <v>2.649394</v>
      </c>
      <c r="L564" s="36">
        <v>1273</v>
      </c>
      <c r="M564" s="16">
        <v>309</v>
      </c>
      <c r="N564" s="16">
        <v>254</v>
      </c>
      <c r="O564" s="16">
        <v>450</v>
      </c>
      <c r="P564" s="16">
        <v>162</v>
      </c>
      <c r="Q564" s="16">
        <v>98</v>
      </c>
      <c r="R564" s="16" t="s">
        <v>668</v>
      </c>
      <c r="S564" s="16">
        <v>47.723199999999999</v>
      </c>
      <c r="T564" s="16">
        <v>34.894300000000001</v>
      </c>
      <c r="U564" s="16">
        <v>0.88817473599999996</v>
      </c>
      <c r="V564" s="16">
        <v>3</v>
      </c>
      <c r="W564" s="16">
        <v>0.90545500000000001</v>
      </c>
      <c r="X564" s="16">
        <v>0.15276100000000001</v>
      </c>
      <c r="Y564" s="16">
        <v>0.6</v>
      </c>
      <c r="Z564" s="16">
        <v>0.98614500000000005</v>
      </c>
      <c r="AA564" s="37"/>
    </row>
    <row r="565" spans="1:27">
      <c r="A565" s="16" t="s">
        <v>117</v>
      </c>
      <c r="B565" s="16" t="s">
        <v>2108</v>
      </c>
      <c r="C565" s="16" t="s">
        <v>2109</v>
      </c>
      <c r="D565" s="16" t="s">
        <v>2110</v>
      </c>
      <c r="E565" s="16" t="s">
        <v>2106</v>
      </c>
      <c r="F565" s="16" t="s">
        <v>2107</v>
      </c>
      <c r="G565" s="16" t="s">
        <v>2077</v>
      </c>
      <c r="H565" s="16" t="s">
        <v>2078</v>
      </c>
      <c r="I565" s="16" t="s">
        <v>198</v>
      </c>
      <c r="J565" s="16" t="s">
        <v>199</v>
      </c>
      <c r="K565" s="16">
        <v>2.8146100000000001</v>
      </c>
      <c r="L565" s="36">
        <v>1545</v>
      </c>
      <c r="M565" s="16">
        <v>375</v>
      </c>
      <c r="N565" s="16">
        <v>277</v>
      </c>
      <c r="O565" s="16">
        <v>494</v>
      </c>
      <c r="P565" s="16">
        <v>309</v>
      </c>
      <c r="Q565" s="16">
        <v>90</v>
      </c>
      <c r="R565" s="16" t="s">
        <v>302</v>
      </c>
      <c r="S565" s="16">
        <v>42.897799999999997</v>
      </c>
      <c r="T565" s="16">
        <v>17.173400000000001</v>
      </c>
      <c r="U565" s="16">
        <v>0.89841732200000002</v>
      </c>
      <c r="V565" s="16">
        <v>2</v>
      </c>
      <c r="W565" s="16">
        <v>0.91177299999999994</v>
      </c>
      <c r="X565" s="16">
        <v>0.36638399999999999</v>
      </c>
      <c r="Y565" s="16">
        <v>0.6</v>
      </c>
      <c r="Z565" s="16">
        <v>0.93850500000000003</v>
      </c>
      <c r="AA565" s="37"/>
    </row>
    <row r="566" spans="1:27">
      <c r="A566" s="16" t="s">
        <v>117</v>
      </c>
      <c r="B566" s="16" t="s">
        <v>2111</v>
      </c>
      <c r="C566" s="16" t="s">
        <v>2112</v>
      </c>
      <c r="D566" s="16" t="s">
        <v>2113</v>
      </c>
      <c r="E566" s="16" t="s">
        <v>2114</v>
      </c>
      <c r="F566" s="16" t="s">
        <v>2115</v>
      </c>
      <c r="G566" s="16" t="s">
        <v>2077</v>
      </c>
      <c r="H566" s="16" t="s">
        <v>2078</v>
      </c>
      <c r="I566" s="16" t="s">
        <v>198</v>
      </c>
      <c r="J566" s="16" t="s">
        <v>199</v>
      </c>
      <c r="K566" s="16">
        <v>2.680841</v>
      </c>
      <c r="L566" s="36">
        <v>1670</v>
      </c>
      <c r="M566" s="16">
        <v>410</v>
      </c>
      <c r="N566" s="16">
        <v>313</v>
      </c>
      <c r="O566" s="16">
        <v>589</v>
      </c>
      <c r="P566" s="16">
        <v>284</v>
      </c>
      <c r="Q566" s="16">
        <v>74</v>
      </c>
      <c r="R566" s="16" t="s">
        <v>302</v>
      </c>
      <c r="S566" s="16">
        <v>50.806399999999996</v>
      </c>
      <c r="T566" s="16">
        <v>32.132100000000001</v>
      </c>
      <c r="U566" s="16">
        <v>0.99385624299999997</v>
      </c>
      <c r="V566" s="16">
        <v>2</v>
      </c>
      <c r="W566" s="16">
        <v>0.90584100000000001</v>
      </c>
      <c r="X566" s="16">
        <v>0.20095199999999999</v>
      </c>
      <c r="Y566" s="16">
        <v>0.6</v>
      </c>
      <c r="Z566" s="16">
        <v>0.98207500000000003</v>
      </c>
      <c r="AA566" s="37"/>
    </row>
    <row r="567" spans="1:27">
      <c r="A567" s="16" t="s">
        <v>117</v>
      </c>
      <c r="B567" s="16" t="s">
        <v>2116</v>
      </c>
      <c r="C567" s="16" t="s">
        <v>2117</v>
      </c>
      <c r="D567" s="16" t="s">
        <v>2118</v>
      </c>
      <c r="E567" s="16" t="s">
        <v>2119</v>
      </c>
      <c r="F567" s="16" t="s">
        <v>2120</v>
      </c>
      <c r="G567" s="16" t="s">
        <v>2077</v>
      </c>
      <c r="H567" s="16" t="s">
        <v>2078</v>
      </c>
      <c r="I567" s="16" t="s">
        <v>198</v>
      </c>
      <c r="J567" s="16" t="s">
        <v>199</v>
      </c>
      <c r="K567" s="16">
        <v>2.3320129999999999</v>
      </c>
      <c r="L567" s="36">
        <v>1701</v>
      </c>
      <c r="M567" s="16">
        <v>332</v>
      </c>
      <c r="N567" s="16">
        <v>601</v>
      </c>
      <c r="O567" s="16">
        <v>445</v>
      </c>
      <c r="P567" s="16">
        <v>281</v>
      </c>
      <c r="Q567" s="16">
        <v>42</v>
      </c>
      <c r="R567" s="16">
        <v>3</v>
      </c>
      <c r="S567" s="16">
        <v>37.082700000000003</v>
      </c>
      <c r="T567" s="16">
        <v>0</v>
      </c>
      <c r="U567" s="16">
        <v>0.913338859</v>
      </c>
      <c r="V567" s="16">
        <v>4</v>
      </c>
      <c r="W567" s="16">
        <v>0.90314700000000003</v>
      </c>
      <c r="X567" s="16">
        <v>0.101789</v>
      </c>
      <c r="Y567" s="16">
        <v>0.64030399999999998</v>
      </c>
      <c r="Z567" s="16">
        <v>0.68753399999999998</v>
      </c>
      <c r="AA567" s="37"/>
    </row>
    <row r="568" spans="1:27">
      <c r="A568" s="16" t="s">
        <v>117</v>
      </c>
      <c r="B568" s="16" t="s">
        <v>2121</v>
      </c>
      <c r="C568" s="16" t="s">
        <v>2122</v>
      </c>
      <c r="D568" s="16" t="s">
        <v>2123</v>
      </c>
      <c r="E568" s="16" t="s">
        <v>2124</v>
      </c>
      <c r="F568" s="16" t="s">
        <v>2125</v>
      </c>
      <c r="G568" s="16" t="s">
        <v>2077</v>
      </c>
      <c r="H568" s="16" t="s">
        <v>2078</v>
      </c>
      <c r="I568" s="16" t="s">
        <v>198</v>
      </c>
      <c r="J568" s="16" t="s">
        <v>199</v>
      </c>
      <c r="K568" s="16">
        <v>2.0671560000000002</v>
      </c>
      <c r="L568" s="36">
        <v>1788</v>
      </c>
      <c r="M568" s="16">
        <v>356</v>
      </c>
      <c r="N568" s="16">
        <v>299</v>
      </c>
      <c r="O568" s="16">
        <v>479</v>
      </c>
      <c r="P568" s="16">
        <v>441</v>
      </c>
      <c r="Q568" s="16">
        <v>213</v>
      </c>
      <c r="R568" s="16" t="s">
        <v>225</v>
      </c>
      <c r="S568" s="16">
        <v>9.8986000000000001</v>
      </c>
      <c r="T568" s="16">
        <v>0</v>
      </c>
      <c r="U568" s="16">
        <v>0.92088524500000002</v>
      </c>
      <c r="V568" s="16">
        <v>5</v>
      </c>
      <c r="W568" s="16">
        <v>0.90129599999999999</v>
      </c>
      <c r="X568" s="16">
        <v>6.1351999999999997E-2</v>
      </c>
      <c r="Y568" s="16">
        <v>0.7</v>
      </c>
      <c r="Z568" s="16">
        <v>0.40112900000000001</v>
      </c>
      <c r="AA568" s="37"/>
    </row>
    <row r="569" spans="1:27">
      <c r="A569" s="16" t="s">
        <v>117</v>
      </c>
      <c r="B569" s="16" t="s">
        <v>2126</v>
      </c>
      <c r="C569" s="16" t="s">
        <v>2127</v>
      </c>
      <c r="D569" s="16" t="s">
        <v>2128</v>
      </c>
      <c r="E569" s="16" t="s">
        <v>2129</v>
      </c>
      <c r="F569" s="16" t="s">
        <v>2130</v>
      </c>
      <c r="G569" s="16" t="s">
        <v>2077</v>
      </c>
      <c r="H569" s="16" t="s">
        <v>2078</v>
      </c>
      <c r="I569" s="16" t="s">
        <v>198</v>
      </c>
      <c r="J569" s="16" t="s">
        <v>199</v>
      </c>
      <c r="K569" s="16">
        <v>2.0386649999999999</v>
      </c>
      <c r="L569" s="36">
        <v>1787</v>
      </c>
      <c r="M569" s="16">
        <v>391</v>
      </c>
      <c r="N569" s="16">
        <v>212</v>
      </c>
      <c r="O569" s="16">
        <v>474</v>
      </c>
      <c r="P569" s="16">
        <v>437</v>
      </c>
      <c r="Q569" s="16">
        <v>273</v>
      </c>
      <c r="R569" s="16" t="s">
        <v>225</v>
      </c>
      <c r="S569" s="16">
        <v>4.9636899999999997</v>
      </c>
      <c r="T569" s="16">
        <v>1.8088</v>
      </c>
      <c r="U569" s="16">
        <v>0.84859554699999995</v>
      </c>
      <c r="V569" s="16">
        <v>7</v>
      </c>
      <c r="W569" s="16">
        <v>0.90170799999999995</v>
      </c>
      <c r="X569" s="16">
        <v>4.4236999999999999E-2</v>
      </c>
      <c r="Y569" s="16">
        <v>0.7</v>
      </c>
      <c r="Z569" s="16">
        <v>0.40451700000000002</v>
      </c>
      <c r="AA569" s="37"/>
    </row>
    <row r="570" spans="1:27">
      <c r="A570" s="16" t="s">
        <v>117</v>
      </c>
      <c r="B570" s="16" t="s">
        <v>2131</v>
      </c>
      <c r="C570" s="16" t="s">
        <v>2132</v>
      </c>
      <c r="D570" s="16" t="s">
        <v>2133</v>
      </c>
      <c r="E570" s="16" t="s">
        <v>2129</v>
      </c>
      <c r="F570" s="16" t="s">
        <v>2130</v>
      </c>
      <c r="G570" s="16" t="s">
        <v>2077</v>
      </c>
      <c r="H570" s="16" t="s">
        <v>2078</v>
      </c>
      <c r="I570" s="16" t="s">
        <v>198</v>
      </c>
      <c r="J570" s="16" t="s">
        <v>199</v>
      </c>
      <c r="K570" s="16">
        <v>2.1592530000000001</v>
      </c>
      <c r="L570" s="36">
        <v>1685</v>
      </c>
      <c r="M570" s="16">
        <v>336</v>
      </c>
      <c r="N570" s="16">
        <v>192</v>
      </c>
      <c r="O570" s="16">
        <v>396</v>
      </c>
      <c r="P570" s="16">
        <v>441</v>
      </c>
      <c r="Q570" s="16">
        <v>320</v>
      </c>
      <c r="R570" s="16">
        <v>2</v>
      </c>
      <c r="S570" s="16">
        <v>12.0947</v>
      </c>
      <c r="T570" s="16">
        <v>2.31996</v>
      </c>
      <c r="U570" s="16">
        <v>0.89693343400000003</v>
      </c>
      <c r="V570" s="16">
        <v>5</v>
      </c>
      <c r="W570" s="16">
        <v>0.90227299999999999</v>
      </c>
      <c r="X570" s="16">
        <v>9.8696999999999993E-2</v>
      </c>
      <c r="Y570" s="16">
        <v>0.7</v>
      </c>
      <c r="Z570" s="16">
        <v>0.45441399999999998</v>
      </c>
      <c r="AA570" s="37"/>
    </row>
    <row r="571" spans="1:27">
      <c r="A571" s="16" t="s">
        <v>117</v>
      </c>
      <c r="B571" s="16" t="s">
        <v>2134</v>
      </c>
      <c r="C571" s="16" t="s">
        <v>2135</v>
      </c>
      <c r="D571" s="16" t="s">
        <v>2136</v>
      </c>
      <c r="E571" s="16" t="s">
        <v>2137</v>
      </c>
      <c r="F571" s="16" t="s">
        <v>2138</v>
      </c>
      <c r="G571" s="16" t="s">
        <v>2077</v>
      </c>
      <c r="H571" s="16" t="s">
        <v>2078</v>
      </c>
      <c r="I571" s="16" t="s">
        <v>198</v>
      </c>
      <c r="J571" s="16" t="s">
        <v>199</v>
      </c>
      <c r="K571" s="16">
        <v>2.6087069999999999</v>
      </c>
      <c r="L571" s="36">
        <v>1595</v>
      </c>
      <c r="M571" s="16">
        <v>395</v>
      </c>
      <c r="N571" s="16">
        <v>290</v>
      </c>
      <c r="O571" s="16">
        <v>335</v>
      </c>
      <c r="P571" s="16">
        <v>377</v>
      </c>
      <c r="Q571" s="16">
        <v>198</v>
      </c>
      <c r="R571" s="16">
        <v>2</v>
      </c>
      <c r="S571" s="16">
        <v>19.205200000000001</v>
      </c>
      <c r="T571" s="16">
        <v>2.1311900000000001</v>
      </c>
      <c r="U571" s="16">
        <v>0.91418089999999996</v>
      </c>
      <c r="V571" s="16">
        <v>3</v>
      </c>
      <c r="W571" s="16">
        <v>0.91415000000000002</v>
      </c>
      <c r="X571" s="16">
        <v>0.36205999999999999</v>
      </c>
      <c r="Y571" s="16">
        <v>0.67708000000000002</v>
      </c>
      <c r="Z571" s="16">
        <v>0.66019000000000005</v>
      </c>
      <c r="AA571" s="37"/>
    </row>
    <row r="572" spans="1:27">
      <c r="A572" s="16" t="s">
        <v>117</v>
      </c>
      <c r="B572" s="16" t="s">
        <v>2139</v>
      </c>
      <c r="C572" s="16" t="s">
        <v>2140</v>
      </c>
      <c r="D572" s="16" t="s">
        <v>2141</v>
      </c>
      <c r="E572" s="16" t="s">
        <v>2137</v>
      </c>
      <c r="F572" s="16" t="s">
        <v>2138</v>
      </c>
      <c r="G572" s="16" t="s">
        <v>2077</v>
      </c>
      <c r="H572" s="16" t="s">
        <v>2078</v>
      </c>
      <c r="I572" s="16" t="s">
        <v>198</v>
      </c>
      <c r="J572" s="16" t="s">
        <v>199</v>
      </c>
      <c r="K572" s="16">
        <v>2.6294469999999999</v>
      </c>
      <c r="L572" s="36">
        <v>1697</v>
      </c>
      <c r="M572" s="16">
        <v>330</v>
      </c>
      <c r="N572" s="16">
        <v>241</v>
      </c>
      <c r="O572" s="16">
        <v>410</v>
      </c>
      <c r="P572" s="16">
        <v>452</v>
      </c>
      <c r="Q572" s="16">
        <v>264</v>
      </c>
      <c r="R572" s="16">
        <v>4</v>
      </c>
      <c r="S572" s="16">
        <v>24.060500000000001</v>
      </c>
      <c r="T572" s="16">
        <v>8.5097799999999992</v>
      </c>
      <c r="U572" s="16">
        <v>0.95585179399999998</v>
      </c>
      <c r="V572" s="16">
        <v>3</v>
      </c>
      <c r="W572" s="16">
        <v>0.910968</v>
      </c>
      <c r="X572" s="16">
        <v>0.36515700000000001</v>
      </c>
      <c r="Y572" s="16">
        <v>0.7</v>
      </c>
      <c r="Z572" s="16">
        <v>0.65093599999999996</v>
      </c>
      <c r="AA572" s="37"/>
    </row>
    <row r="573" spans="1:27">
      <c r="A573" s="16" t="s">
        <v>117</v>
      </c>
      <c r="B573" s="16" t="s">
        <v>2142</v>
      </c>
      <c r="C573" s="16" t="s">
        <v>2143</v>
      </c>
      <c r="D573" s="16" t="s">
        <v>2144</v>
      </c>
      <c r="E573" s="16" t="s">
        <v>2137</v>
      </c>
      <c r="F573" s="16" t="s">
        <v>2138</v>
      </c>
      <c r="G573" s="16" t="s">
        <v>2077</v>
      </c>
      <c r="H573" s="16" t="s">
        <v>2078</v>
      </c>
      <c r="I573" s="16" t="s">
        <v>198</v>
      </c>
      <c r="J573" s="16" t="s">
        <v>199</v>
      </c>
      <c r="K573" s="16">
        <v>2.2152379999999998</v>
      </c>
      <c r="L573" s="36">
        <v>1518</v>
      </c>
      <c r="M573" s="16">
        <v>301</v>
      </c>
      <c r="N573" s="16">
        <v>197</v>
      </c>
      <c r="O573" s="16">
        <v>323</v>
      </c>
      <c r="P573" s="16">
        <v>450</v>
      </c>
      <c r="Q573" s="16">
        <v>247</v>
      </c>
      <c r="R573" s="16">
        <v>2</v>
      </c>
      <c r="S573" s="16">
        <v>13.503399999999999</v>
      </c>
      <c r="T573" s="16">
        <v>3.3028599999999999</v>
      </c>
      <c r="U573" s="16">
        <v>0.98378352199999997</v>
      </c>
      <c r="V573" s="16">
        <v>4</v>
      </c>
      <c r="W573" s="16">
        <v>0.90190499999999996</v>
      </c>
      <c r="X573" s="16">
        <v>7.3100999999999999E-2</v>
      </c>
      <c r="Y573" s="16">
        <v>0.7</v>
      </c>
      <c r="Z573" s="16">
        <v>0.528254</v>
      </c>
      <c r="AA573" s="37"/>
    </row>
    <row r="574" spans="1:27">
      <c r="A574" s="16" t="s">
        <v>117</v>
      </c>
      <c r="B574" s="16" t="s">
        <v>2145</v>
      </c>
      <c r="C574" s="16" t="s">
        <v>2146</v>
      </c>
      <c r="D574" s="16" t="s">
        <v>2147</v>
      </c>
      <c r="E574" s="16" t="s">
        <v>2137</v>
      </c>
      <c r="F574" s="16" t="s">
        <v>2138</v>
      </c>
      <c r="G574" s="16" t="s">
        <v>2077</v>
      </c>
      <c r="H574" s="16" t="s">
        <v>2078</v>
      </c>
      <c r="I574" s="16" t="s">
        <v>198</v>
      </c>
      <c r="J574" s="16" t="s">
        <v>199</v>
      </c>
      <c r="K574" s="16">
        <v>2.4504450000000002</v>
      </c>
      <c r="L574" s="36">
        <v>1603</v>
      </c>
      <c r="M574" s="16">
        <v>355</v>
      </c>
      <c r="N574" s="16">
        <v>254</v>
      </c>
      <c r="O574" s="16">
        <v>337</v>
      </c>
      <c r="P574" s="16">
        <v>409</v>
      </c>
      <c r="Q574" s="16">
        <v>248</v>
      </c>
      <c r="R574" s="16">
        <v>2</v>
      </c>
      <c r="S574" s="16">
        <v>14.256</v>
      </c>
      <c r="T574" s="16">
        <v>2.5042</v>
      </c>
      <c r="U574" s="16">
        <v>1.101719495</v>
      </c>
      <c r="V574" s="16">
        <v>2</v>
      </c>
      <c r="W574" s="16">
        <v>0.907497</v>
      </c>
      <c r="X574" s="16">
        <v>0.21526500000000001</v>
      </c>
      <c r="Y574" s="16">
        <v>0.69631500000000002</v>
      </c>
      <c r="Z574" s="16">
        <v>0.61920600000000003</v>
      </c>
      <c r="AA574" s="37"/>
    </row>
    <row r="575" spans="1:27">
      <c r="A575" s="16" t="s">
        <v>117</v>
      </c>
      <c r="B575" s="16" t="s">
        <v>2148</v>
      </c>
      <c r="C575" s="16" t="s">
        <v>2149</v>
      </c>
      <c r="D575" s="16" t="s">
        <v>2150</v>
      </c>
      <c r="E575" s="16" t="s">
        <v>2151</v>
      </c>
      <c r="F575" s="16" t="s">
        <v>2152</v>
      </c>
      <c r="G575" s="16" t="s">
        <v>2077</v>
      </c>
      <c r="H575" s="16" t="s">
        <v>2078</v>
      </c>
      <c r="I575" s="16" t="s">
        <v>198</v>
      </c>
      <c r="J575" s="16" t="s">
        <v>199</v>
      </c>
      <c r="K575" s="16">
        <v>2.1910859999999999</v>
      </c>
      <c r="L575" s="36">
        <v>1590</v>
      </c>
      <c r="M575" s="16">
        <v>307</v>
      </c>
      <c r="N575" s="16">
        <v>233</v>
      </c>
      <c r="O575" s="16">
        <v>328</v>
      </c>
      <c r="P575" s="16">
        <v>447</v>
      </c>
      <c r="Q575" s="16">
        <v>275</v>
      </c>
      <c r="R575" s="16">
        <v>3</v>
      </c>
      <c r="S575" s="16">
        <v>16.626799999999999</v>
      </c>
      <c r="T575" s="16">
        <v>6.7156599999999997</v>
      </c>
      <c r="U575" s="16">
        <v>0.82948994399999998</v>
      </c>
      <c r="V575" s="16">
        <v>5</v>
      </c>
      <c r="W575" s="16">
        <v>0.90372799999999998</v>
      </c>
      <c r="X575" s="16">
        <v>7.7451000000000006E-2</v>
      </c>
      <c r="Y575" s="16">
        <v>0.7</v>
      </c>
      <c r="Z575" s="16">
        <v>0.51680300000000001</v>
      </c>
      <c r="AA575" s="37"/>
    </row>
    <row r="576" spans="1:27">
      <c r="A576" s="16" t="s">
        <v>117</v>
      </c>
      <c r="B576" s="16" t="s">
        <v>2153</v>
      </c>
      <c r="C576" s="16" t="s">
        <v>2154</v>
      </c>
      <c r="D576" s="16" t="s">
        <v>2155</v>
      </c>
      <c r="E576" s="16" t="s">
        <v>2119</v>
      </c>
      <c r="F576" s="16" t="s">
        <v>2120</v>
      </c>
      <c r="G576" s="16" t="s">
        <v>2077</v>
      </c>
      <c r="H576" s="16" t="s">
        <v>2078</v>
      </c>
      <c r="I576" s="16" t="s">
        <v>198</v>
      </c>
      <c r="J576" s="16" t="s">
        <v>199</v>
      </c>
      <c r="K576" s="16">
        <v>2.2652909999999999</v>
      </c>
      <c r="L576" s="36">
        <v>1944</v>
      </c>
      <c r="M576" s="16">
        <v>535</v>
      </c>
      <c r="N576" s="16">
        <v>319</v>
      </c>
      <c r="O576" s="16">
        <v>613</v>
      </c>
      <c r="P576" s="16">
        <v>358</v>
      </c>
      <c r="Q576" s="16">
        <v>119</v>
      </c>
      <c r="R576" s="16">
        <v>2</v>
      </c>
      <c r="S576" s="16">
        <v>15.5862</v>
      </c>
      <c r="T576" s="16">
        <v>1.88334</v>
      </c>
      <c r="U576" s="16">
        <v>0.994770971</v>
      </c>
      <c r="V576" s="16">
        <v>3</v>
      </c>
      <c r="W576" s="16">
        <v>0.90334099999999995</v>
      </c>
      <c r="X576" s="16">
        <v>0.19189300000000001</v>
      </c>
      <c r="Y576" s="16">
        <v>0.7</v>
      </c>
      <c r="Z576" s="16">
        <v>0.46950599999999998</v>
      </c>
      <c r="AA576" s="37"/>
    </row>
    <row r="577" spans="1:27">
      <c r="A577" s="16" t="s">
        <v>117</v>
      </c>
      <c r="B577" s="16" t="s">
        <v>2156</v>
      </c>
      <c r="C577" s="16" t="s">
        <v>2157</v>
      </c>
      <c r="D577" s="16" t="s">
        <v>2158</v>
      </c>
      <c r="E577" s="16" t="s">
        <v>2119</v>
      </c>
      <c r="F577" s="16" t="s">
        <v>2120</v>
      </c>
      <c r="G577" s="16" t="s">
        <v>2077</v>
      </c>
      <c r="H577" s="16" t="s">
        <v>2078</v>
      </c>
      <c r="I577" s="16" t="s">
        <v>198</v>
      </c>
      <c r="J577" s="16" t="s">
        <v>199</v>
      </c>
      <c r="K577" s="16">
        <v>2.23</v>
      </c>
      <c r="L577" s="36">
        <v>1605</v>
      </c>
      <c r="M577" s="16">
        <v>464</v>
      </c>
      <c r="N577" s="16">
        <v>342</v>
      </c>
      <c r="O577" s="16">
        <v>297</v>
      </c>
      <c r="P577" s="16">
        <v>399</v>
      </c>
      <c r="Q577" s="16">
        <v>103</v>
      </c>
      <c r="R577" s="16" t="s">
        <v>225</v>
      </c>
      <c r="S577" s="16">
        <v>7.2089800000000004</v>
      </c>
      <c r="T577" s="16">
        <v>1.8801699999999999</v>
      </c>
      <c r="U577" s="16">
        <v>1.1931907429999999</v>
      </c>
      <c r="V577" s="16">
        <v>2</v>
      </c>
      <c r="W577" s="16">
        <v>0.90249999999999997</v>
      </c>
      <c r="X577" s="16">
        <v>4.1695999999999997E-2</v>
      </c>
      <c r="Y577" s="16">
        <v>0.7</v>
      </c>
      <c r="Z577" s="16">
        <v>0.60827299999999995</v>
      </c>
      <c r="AA577" s="37"/>
    </row>
    <row r="578" spans="1:27">
      <c r="A578" s="16"/>
      <c r="B578" s="16"/>
      <c r="C578" s="16"/>
      <c r="D578" s="16"/>
      <c r="E578" s="16"/>
      <c r="F578" s="16"/>
      <c r="G578" s="16"/>
      <c r="H578" s="16"/>
      <c r="I578" s="16"/>
      <c r="J578" s="16"/>
      <c r="K578" s="16">
        <f>MEDIAN(K564:K577)</f>
        <v>2.2986519999999997</v>
      </c>
      <c r="L578" s="36">
        <f>AVERAGE(L564:L577)</f>
        <v>1642.9285714285713</v>
      </c>
      <c r="M578" s="36">
        <f t="shared" ref="M578:Q578" si="52">SUM(M564:M577)</f>
        <v>5196</v>
      </c>
      <c r="N578" s="36">
        <f t="shared" si="52"/>
        <v>4024</v>
      </c>
      <c r="O578" s="36">
        <f t="shared" si="52"/>
        <v>5970</v>
      </c>
      <c r="P578" s="36">
        <f t="shared" si="52"/>
        <v>5247</v>
      </c>
      <c r="Q578" s="36">
        <f t="shared" si="52"/>
        <v>2564</v>
      </c>
      <c r="R578" s="16"/>
      <c r="S578" s="16"/>
      <c r="T578" s="16"/>
      <c r="U578" s="16"/>
      <c r="V578" s="16">
        <f>MEDIAN(V564:V577)</f>
        <v>3</v>
      </c>
      <c r="W578" s="16"/>
      <c r="X578" s="16"/>
      <c r="Y578" s="16"/>
      <c r="Z578" s="16"/>
      <c r="AA578" s="37"/>
    </row>
    <row r="579" spans="1:27">
      <c r="A579" s="16" t="s">
        <v>71</v>
      </c>
      <c r="B579" s="16" t="s">
        <v>2159</v>
      </c>
      <c r="C579" s="16" t="s">
        <v>2160</v>
      </c>
      <c r="D579" s="16" t="s">
        <v>2161</v>
      </c>
      <c r="E579" s="16" t="s">
        <v>2162</v>
      </c>
      <c r="F579" s="16" t="s">
        <v>2163</v>
      </c>
      <c r="G579" s="16" t="s">
        <v>2164</v>
      </c>
      <c r="H579" s="16" t="s">
        <v>2165</v>
      </c>
      <c r="I579" s="16" t="s">
        <v>198</v>
      </c>
      <c r="J579" s="16" t="s">
        <v>199</v>
      </c>
      <c r="K579" s="16">
        <v>2.242238</v>
      </c>
      <c r="L579" s="36">
        <v>1630</v>
      </c>
      <c r="M579" s="16">
        <v>328</v>
      </c>
      <c r="N579" s="16">
        <v>333</v>
      </c>
      <c r="O579" s="16">
        <v>488</v>
      </c>
      <c r="P579" s="16">
        <v>350</v>
      </c>
      <c r="Q579" s="16">
        <v>131</v>
      </c>
      <c r="R579" s="16">
        <v>3</v>
      </c>
      <c r="S579" s="16">
        <v>36.184699999999999</v>
      </c>
      <c r="T579" s="16">
        <v>2.8951199999999999</v>
      </c>
      <c r="U579" s="16">
        <v>0.92710213200000002</v>
      </c>
      <c r="V579" s="16">
        <v>5</v>
      </c>
      <c r="W579" s="16">
        <v>0.90769200000000005</v>
      </c>
      <c r="X579" s="16">
        <v>0.159834</v>
      </c>
      <c r="Y579" s="16">
        <v>0.7</v>
      </c>
      <c r="Z579" s="16">
        <v>0.493724</v>
      </c>
      <c r="AA579" s="37"/>
    </row>
    <row r="580" spans="1:27">
      <c r="A580" s="16" t="s">
        <v>71</v>
      </c>
      <c r="B580" s="16" t="s">
        <v>2166</v>
      </c>
      <c r="C580" s="16" t="s">
        <v>2167</v>
      </c>
      <c r="D580" s="16" t="s">
        <v>2168</v>
      </c>
      <c r="E580" s="16" t="s">
        <v>2169</v>
      </c>
      <c r="F580" s="16" t="s">
        <v>2170</v>
      </c>
      <c r="G580" s="16" t="s">
        <v>2164</v>
      </c>
      <c r="H580" s="16" t="s">
        <v>2165</v>
      </c>
      <c r="I580" s="16" t="s">
        <v>198</v>
      </c>
      <c r="J580" s="16" t="s">
        <v>199</v>
      </c>
      <c r="K580" s="16">
        <v>2.6951350000000001</v>
      </c>
      <c r="L580" s="36">
        <v>1781</v>
      </c>
      <c r="M580" s="16">
        <v>302</v>
      </c>
      <c r="N580" s="16">
        <v>439</v>
      </c>
      <c r="O580" s="16">
        <v>522</v>
      </c>
      <c r="P580" s="16">
        <v>337</v>
      </c>
      <c r="Q580" s="16">
        <v>181</v>
      </c>
      <c r="R580" s="16" t="s">
        <v>302</v>
      </c>
      <c r="S580" s="16">
        <v>45.133499999999998</v>
      </c>
      <c r="T580" s="16">
        <v>21.852900000000002</v>
      </c>
      <c r="U580" s="16">
        <v>1.055723915</v>
      </c>
      <c r="V580" s="16">
        <v>2</v>
      </c>
      <c r="W580" s="16">
        <v>0.91162200000000004</v>
      </c>
      <c r="X580" s="16">
        <v>0.21813299999999999</v>
      </c>
      <c r="Y580" s="16">
        <v>0.7</v>
      </c>
      <c r="Z580" s="16">
        <v>0.87924500000000005</v>
      </c>
      <c r="AA580" s="37"/>
    </row>
    <row r="581" spans="1:27">
      <c r="A581" s="16" t="s">
        <v>71</v>
      </c>
      <c r="B581" s="16" t="s">
        <v>2171</v>
      </c>
      <c r="C581" s="16" t="s">
        <v>2172</v>
      </c>
      <c r="D581" s="16" t="s">
        <v>2173</v>
      </c>
      <c r="E581" s="16" t="s">
        <v>2174</v>
      </c>
      <c r="F581" s="16" t="s">
        <v>2175</v>
      </c>
      <c r="G581" s="16" t="s">
        <v>2164</v>
      </c>
      <c r="H581" s="16" t="s">
        <v>2165</v>
      </c>
      <c r="I581" s="16" t="s">
        <v>198</v>
      </c>
      <c r="J581" s="16" t="s">
        <v>199</v>
      </c>
      <c r="K581" s="16">
        <v>2.0990510000000002</v>
      </c>
      <c r="L581" s="36">
        <v>1734</v>
      </c>
      <c r="M581" s="16">
        <v>296</v>
      </c>
      <c r="N581" s="16">
        <v>336</v>
      </c>
      <c r="O581" s="16">
        <v>497</v>
      </c>
      <c r="P581" s="16">
        <v>412</v>
      </c>
      <c r="Q581" s="16">
        <v>193</v>
      </c>
      <c r="R581" s="16">
        <v>4</v>
      </c>
      <c r="S581" s="16">
        <v>21.9192</v>
      </c>
      <c r="T581" s="16">
        <v>0</v>
      </c>
      <c r="U581" s="16">
        <v>0.82826939399999999</v>
      </c>
      <c r="V581" s="16">
        <v>7</v>
      </c>
      <c r="W581" s="16">
        <v>0.90708900000000003</v>
      </c>
      <c r="X581" s="16">
        <v>0.175288</v>
      </c>
      <c r="Y581" s="16">
        <v>0.65972200000000003</v>
      </c>
      <c r="Z581" s="16">
        <v>0.36468800000000001</v>
      </c>
      <c r="AA581" s="37"/>
    </row>
    <row r="582" spans="1:27">
      <c r="A582" s="16" t="s">
        <v>71</v>
      </c>
      <c r="B582" s="16" t="s">
        <v>2176</v>
      </c>
      <c r="C582" s="16" t="s">
        <v>2177</v>
      </c>
      <c r="D582" s="16" t="s">
        <v>2178</v>
      </c>
      <c r="E582" s="16" t="s">
        <v>2179</v>
      </c>
      <c r="F582" s="16" t="s">
        <v>2180</v>
      </c>
      <c r="G582" s="16" t="s">
        <v>2164</v>
      </c>
      <c r="H582" s="16" t="s">
        <v>2165</v>
      </c>
      <c r="I582" s="16" t="s">
        <v>198</v>
      </c>
      <c r="J582" s="16" t="s">
        <v>199</v>
      </c>
      <c r="K582" s="16">
        <v>2.5594000000000001</v>
      </c>
      <c r="L582" s="36">
        <v>2237</v>
      </c>
      <c r="M582" s="16">
        <v>362</v>
      </c>
      <c r="N582" s="16">
        <v>464</v>
      </c>
      <c r="O582" s="16">
        <v>823</v>
      </c>
      <c r="P582" s="16">
        <v>447</v>
      </c>
      <c r="Q582" s="16">
        <v>141</v>
      </c>
      <c r="R582" s="16" t="s">
        <v>302</v>
      </c>
      <c r="S582" s="16">
        <v>43.487400000000001</v>
      </c>
      <c r="T582" s="16">
        <v>21.998999999999999</v>
      </c>
      <c r="U582" s="16">
        <v>1.056909012</v>
      </c>
      <c r="V582" s="16">
        <v>2</v>
      </c>
      <c r="W582" s="16">
        <v>0.90480000000000005</v>
      </c>
      <c r="X582" s="16">
        <v>8.5713999999999999E-2</v>
      </c>
      <c r="Y582" s="16">
        <v>0.7</v>
      </c>
      <c r="Z582" s="16">
        <v>0.86345400000000005</v>
      </c>
      <c r="AA582" s="37"/>
    </row>
    <row r="583" spans="1:27">
      <c r="A583" s="16" t="s">
        <v>71</v>
      </c>
      <c r="B583" s="16" t="s">
        <v>2181</v>
      </c>
      <c r="C583" s="16" t="s">
        <v>2182</v>
      </c>
      <c r="D583" s="16" t="s">
        <v>2183</v>
      </c>
      <c r="E583" s="16" t="s">
        <v>2184</v>
      </c>
      <c r="F583" s="16" t="s">
        <v>2185</v>
      </c>
      <c r="G583" s="16" t="s">
        <v>2077</v>
      </c>
      <c r="H583" s="16" t="s">
        <v>2078</v>
      </c>
      <c r="I583" s="16" t="s">
        <v>198</v>
      </c>
      <c r="J583" s="16" t="s">
        <v>199</v>
      </c>
      <c r="K583" s="16">
        <v>2.1326040000000002</v>
      </c>
      <c r="L583" s="36">
        <v>1789</v>
      </c>
      <c r="M583" s="16">
        <v>331</v>
      </c>
      <c r="N583" s="16">
        <v>255</v>
      </c>
      <c r="O583" s="16">
        <v>450</v>
      </c>
      <c r="P583" s="16">
        <v>464</v>
      </c>
      <c r="Q583" s="16">
        <v>289</v>
      </c>
      <c r="R583" s="16">
        <v>2</v>
      </c>
      <c r="S583" s="16">
        <v>21.779399999999999</v>
      </c>
      <c r="T583" s="16">
        <v>0</v>
      </c>
      <c r="U583" s="16">
        <v>0.804703956</v>
      </c>
      <c r="V583" s="16">
        <v>7</v>
      </c>
      <c r="W583" s="16">
        <v>0.90339400000000003</v>
      </c>
      <c r="X583" s="16">
        <v>0.108767</v>
      </c>
      <c r="Y583" s="16">
        <v>0.69752499999999995</v>
      </c>
      <c r="Z583" s="16">
        <v>0.41756300000000002</v>
      </c>
      <c r="AA583" s="37"/>
    </row>
    <row r="584" spans="1:27">
      <c r="A584" s="16" t="s">
        <v>71</v>
      </c>
      <c r="B584" s="16" t="s">
        <v>2186</v>
      </c>
      <c r="C584" s="16" t="s">
        <v>2187</v>
      </c>
      <c r="D584" s="16" t="s">
        <v>2188</v>
      </c>
      <c r="E584" s="16" t="s">
        <v>2184</v>
      </c>
      <c r="F584" s="16" t="s">
        <v>2185</v>
      </c>
      <c r="G584" s="16" t="s">
        <v>2077</v>
      </c>
      <c r="H584" s="16" t="s">
        <v>2078</v>
      </c>
      <c r="I584" s="16" t="s">
        <v>198</v>
      </c>
      <c r="J584" s="16" t="s">
        <v>199</v>
      </c>
      <c r="K584" s="16">
        <v>2.7259829999999998</v>
      </c>
      <c r="L584" s="36">
        <v>2552</v>
      </c>
      <c r="M584" s="16">
        <v>392</v>
      </c>
      <c r="N584" s="16">
        <v>672</v>
      </c>
      <c r="O584" s="16">
        <v>864</v>
      </c>
      <c r="P584" s="16">
        <v>463</v>
      </c>
      <c r="Q584" s="16">
        <v>161</v>
      </c>
      <c r="R584" s="16">
        <v>5</v>
      </c>
      <c r="S584" s="16">
        <v>32.825499999999998</v>
      </c>
      <c r="T584" s="16">
        <v>9.7896400000000003</v>
      </c>
      <c r="U584" s="16">
        <v>0.58993035999999999</v>
      </c>
      <c r="V584" s="16">
        <v>6</v>
      </c>
      <c r="W584" s="16">
        <v>0.91350399999999998</v>
      </c>
      <c r="X584" s="16">
        <v>0.25517200000000001</v>
      </c>
      <c r="Y584" s="16">
        <v>0.7</v>
      </c>
      <c r="Z584" s="16">
        <v>0.84674700000000003</v>
      </c>
      <c r="AA584" s="37"/>
    </row>
    <row r="585" spans="1:27">
      <c r="A585" s="16" t="s">
        <v>71</v>
      </c>
      <c r="B585" s="16" t="s">
        <v>2189</v>
      </c>
      <c r="C585" s="16" t="s">
        <v>2190</v>
      </c>
      <c r="D585" s="16" t="s">
        <v>2191</v>
      </c>
      <c r="E585" s="16" t="s">
        <v>2192</v>
      </c>
      <c r="F585" s="16" t="s">
        <v>2193</v>
      </c>
      <c r="G585" s="16" t="s">
        <v>2077</v>
      </c>
      <c r="H585" s="16" t="s">
        <v>2078</v>
      </c>
      <c r="I585" s="16" t="s">
        <v>198</v>
      </c>
      <c r="J585" s="16" t="s">
        <v>199</v>
      </c>
      <c r="K585" s="16">
        <v>2.2064970000000002</v>
      </c>
      <c r="L585" s="36">
        <v>1737</v>
      </c>
      <c r="M585" s="16">
        <v>280</v>
      </c>
      <c r="N585" s="16">
        <v>307</v>
      </c>
      <c r="O585" s="16">
        <v>529</v>
      </c>
      <c r="P585" s="16">
        <v>359</v>
      </c>
      <c r="Q585" s="16">
        <v>262</v>
      </c>
      <c r="R585" s="16">
        <v>3</v>
      </c>
      <c r="S585" s="16">
        <v>24.5534</v>
      </c>
      <c r="T585" s="16">
        <v>8.7256900000000002</v>
      </c>
      <c r="U585" s="16">
        <v>0.76089823400000001</v>
      </c>
      <c r="V585" s="16">
        <v>8</v>
      </c>
      <c r="W585" s="16">
        <v>0.90614799999999995</v>
      </c>
      <c r="X585" s="16">
        <v>9.2841000000000007E-2</v>
      </c>
      <c r="Y585" s="16">
        <v>0.686311</v>
      </c>
      <c r="Z585" s="16">
        <v>0.51397199999999998</v>
      </c>
      <c r="AA585" s="37"/>
    </row>
    <row r="586" spans="1:27">
      <c r="A586" s="16" t="s">
        <v>71</v>
      </c>
      <c r="B586" s="16" t="s">
        <v>2194</v>
      </c>
      <c r="C586" s="16" t="s">
        <v>2195</v>
      </c>
      <c r="D586" s="16" t="s">
        <v>2196</v>
      </c>
      <c r="E586" s="16" t="s">
        <v>2192</v>
      </c>
      <c r="F586" s="16" t="s">
        <v>2193</v>
      </c>
      <c r="G586" s="16" t="s">
        <v>2077</v>
      </c>
      <c r="H586" s="16" t="s">
        <v>2078</v>
      </c>
      <c r="I586" s="16" t="s">
        <v>198</v>
      </c>
      <c r="J586" s="16" t="s">
        <v>199</v>
      </c>
      <c r="K586" s="16">
        <v>2.3450120000000001</v>
      </c>
      <c r="L586" s="36">
        <v>1643</v>
      </c>
      <c r="M586" s="16">
        <v>233</v>
      </c>
      <c r="N586" s="16">
        <v>309</v>
      </c>
      <c r="O586" s="16">
        <v>482</v>
      </c>
      <c r="P586" s="16">
        <v>363</v>
      </c>
      <c r="Q586" s="16">
        <v>256</v>
      </c>
      <c r="R586" s="16">
        <v>2</v>
      </c>
      <c r="S586" s="16">
        <v>16.080400000000001</v>
      </c>
      <c r="T586" s="16">
        <v>0</v>
      </c>
      <c r="U586" s="16">
        <v>0.70911929200000001</v>
      </c>
      <c r="V586" s="16">
        <v>7</v>
      </c>
      <c r="W586" s="16">
        <v>0.912219</v>
      </c>
      <c r="X586" s="16">
        <v>0.24185499999999999</v>
      </c>
      <c r="Y586" s="16">
        <v>0.62327900000000003</v>
      </c>
      <c r="Z586" s="16">
        <v>0.57244399999999995</v>
      </c>
      <c r="AA586" s="37"/>
    </row>
    <row r="587" spans="1:27">
      <c r="A587" s="16" t="s">
        <v>71</v>
      </c>
      <c r="B587" s="16" t="s">
        <v>2197</v>
      </c>
      <c r="C587" s="16" t="s">
        <v>2198</v>
      </c>
      <c r="D587" s="16" t="s">
        <v>2199</v>
      </c>
      <c r="E587" s="16" t="s">
        <v>2200</v>
      </c>
      <c r="F587" s="16" t="s">
        <v>2201</v>
      </c>
      <c r="G587" s="16" t="s">
        <v>2164</v>
      </c>
      <c r="H587" s="16" t="s">
        <v>2165</v>
      </c>
      <c r="I587" s="16" t="s">
        <v>198</v>
      </c>
      <c r="J587" s="16" t="s">
        <v>199</v>
      </c>
      <c r="K587" s="16">
        <v>2.6529410000000002</v>
      </c>
      <c r="L587" s="36">
        <v>1534</v>
      </c>
      <c r="M587" s="16">
        <v>98</v>
      </c>
      <c r="N587" s="16">
        <v>470</v>
      </c>
      <c r="O587" s="16">
        <v>763</v>
      </c>
      <c r="P587" s="16">
        <v>169</v>
      </c>
      <c r="Q587" s="16">
        <v>34</v>
      </c>
      <c r="R587" s="16">
        <v>5</v>
      </c>
      <c r="S587" s="16"/>
      <c r="T587" s="16"/>
      <c r="U587" s="16"/>
      <c r="V587" s="16">
        <v>5</v>
      </c>
      <c r="W587" s="16">
        <v>0.90855600000000003</v>
      </c>
      <c r="X587" s="16">
        <v>0.30581999999999998</v>
      </c>
      <c r="Y587" s="16">
        <v>0.7</v>
      </c>
      <c r="Z587" s="16">
        <v>0.75751299999999999</v>
      </c>
      <c r="AA587" s="37"/>
    </row>
    <row r="588" spans="1:27">
      <c r="A588" s="16" t="s">
        <v>71</v>
      </c>
      <c r="B588" s="16" t="s">
        <v>2202</v>
      </c>
      <c r="C588" s="16" t="s">
        <v>2203</v>
      </c>
      <c r="D588" s="16" t="s">
        <v>2204</v>
      </c>
      <c r="E588" s="16" t="s">
        <v>2162</v>
      </c>
      <c r="F588" s="16" t="s">
        <v>2163</v>
      </c>
      <c r="G588" s="16" t="s">
        <v>2164</v>
      </c>
      <c r="H588" s="16" t="s">
        <v>2165</v>
      </c>
      <c r="I588" s="16" t="s">
        <v>198</v>
      </c>
      <c r="J588" s="16" t="s">
        <v>199</v>
      </c>
      <c r="K588" s="16">
        <v>2.5018180000000001</v>
      </c>
      <c r="L588" s="36">
        <v>1359</v>
      </c>
      <c r="M588" s="16">
        <v>336</v>
      </c>
      <c r="N588" s="16">
        <v>299</v>
      </c>
      <c r="O588" s="16">
        <v>339</v>
      </c>
      <c r="P588" s="16">
        <v>268</v>
      </c>
      <c r="Q588" s="16">
        <v>117</v>
      </c>
      <c r="R588" s="16">
        <v>4</v>
      </c>
      <c r="S588" s="16"/>
      <c r="T588" s="16"/>
      <c r="U588" s="16"/>
      <c r="V588" s="16">
        <v>2</v>
      </c>
      <c r="W588" s="16">
        <v>0.91018200000000005</v>
      </c>
      <c r="X588" s="16">
        <v>0.218773</v>
      </c>
      <c r="Y588" s="16">
        <v>0.7</v>
      </c>
      <c r="Z588" s="16">
        <v>0.68540100000000004</v>
      </c>
      <c r="AA588" s="37"/>
    </row>
    <row r="589" spans="1:27">
      <c r="A589" s="16" t="s">
        <v>71</v>
      </c>
      <c r="B589" s="16" t="s">
        <v>2205</v>
      </c>
      <c r="C589" s="16" t="s">
        <v>2206</v>
      </c>
      <c r="D589" s="16" t="s">
        <v>2207</v>
      </c>
      <c r="E589" s="16" t="s">
        <v>2179</v>
      </c>
      <c r="F589" s="16" t="s">
        <v>2180</v>
      </c>
      <c r="G589" s="16" t="s">
        <v>2164</v>
      </c>
      <c r="H589" s="16" t="s">
        <v>2165</v>
      </c>
      <c r="I589" s="16" t="s">
        <v>198</v>
      </c>
      <c r="J589" s="16" t="s">
        <v>199</v>
      </c>
      <c r="K589" s="16">
        <v>2.7631890000000001</v>
      </c>
      <c r="L589" s="36">
        <v>1886</v>
      </c>
      <c r="M589" s="16">
        <v>319</v>
      </c>
      <c r="N589" s="16">
        <v>504</v>
      </c>
      <c r="O589" s="16">
        <v>553</v>
      </c>
      <c r="P589" s="16">
        <v>444</v>
      </c>
      <c r="Q589" s="16">
        <v>66</v>
      </c>
      <c r="R589" s="16">
        <v>5</v>
      </c>
      <c r="S589" s="16"/>
      <c r="T589" s="16"/>
      <c r="U589" s="16"/>
      <c r="V589" s="16">
        <v>2</v>
      </c>
      <c r="W589" s="16">
        <v>0.91043300000000005</v>
      </c>
      <c r="X589" s="16">
        <v>0.25369700000000001</v>
      </c>
      <c r="Y589" s="16">
        <v>0.7</v>
      </c>
      <c r="Z589" s="16">
        <v>0.9</v>
      </c>
      <c r="AA589" s="37"/>
    </row>
    <row r="590" spans="1:27">
      <c r="A590" s="16" t="s">
        <v>71</v>
      </c>
      <c r="B590" s="16" t="s">
        <v>2208</v>
      </c>
      <c r="C590" s="16" t="s">
        <v>2209</v>
      </c>
      <c r="D590" s="16" t="s">
        <v>2210</v>
      </c>
      <c r="E590" s="16" t="s">
        <v>2211</v>
      </c>
      <c r="F590" s="16" t="s">
        <v>2212</v>
      </c>
      <c r="G590" s="16" t="s">
        <v>2077</v>
      </c>
      <c r="H590" s="16" t="s">
        <v>2078</v>
      </c>
      <c r="I590" s="16" t="s">
        <v>198</v>
      </c>
      <c r="J590" s="16" t="s">
        <v>199</v>
      </c>
      <c r="K590" s="16">
        <v>2.7313320000000001</v>
      </c>
      <c r="L590" s="36">
        <v>3159</v>
      </c>
      <c r="M590" s="16">
        <v>474</v>
      </c>
      <c r="N590" s="36">
        <v>1019</v>
      </c>
      <c r="O590" s="36">
        <v>1268</v>
      </c>
      <c r="P590" s="16">
        <v>285</v>
      </c>
      <c r="Q590" s="16">
        <v>113</v>
      </c>
      <c r="R590" s="16">
        <v>5</v>
      </c>
      <c r="S590" s="16"/>
      <c r="T590" s="16"/>
      <c r="U590" s="16"/>
      <c r="V590" s="16">
        <v>6</v>
      </c>
      <c r="W590" s="16">
        <v>0.90806799999999999</v>
      </c>
      <c r="X590" s="16">
        <v>0.23923800000000001</v>
      </c>
      <c r="Y590" s="16">
        <v>0.7</v>
      </c>
      <c r="Z590" s="16">
        <v>0.88674200000000003</v>
      </c>
      <c r="AA590" s="37"/>
    </row>
    <row r="591" spans="1:27">
      <c r="A591" s="16" t="s">
        <v>71</v>
      </c>
      <c r="B591" s="16" t="s">
        <v>2213</v>
      </c>
      <c r="C591" s="16" t="s">
        <v>2214</v>
      </c>
      <c r="D591" s="16" t="s">
        <v>2215</v>
      </c>
      <c r="E591" s="16" t="s">
        <v>2184</v>
      </c>
      <c r="F591" s="16" t="s">
        <v>2185</v>
      </c>
      <c r="G591" s="16" t="s">
        <v>2077</v>
      </c>
      <c r="H591" s="16" t="s">
        <v>2078</v>
      </c>
      <c r="I591" s="16" t="s">
        <v>198</v>
      </c>
      <c r="J591" s="16" t="s">
        <v>199</v>
      </c>
      <c r="K591" s="16">
        <v>2.4996900000000002</v>
      </c>
      <c r="L591" s="36">
        <v>2132</v>
      </c>
      <c r="M591" s="16">
        <v>476</v>
      </c>
      <c r="N591" s="16">
        <v>465</v>
      </c>
      <c r="O591" s="16">
        <v>532</v>
      </c>
      <c r="P591" s="16">
        <v>432</v>
      </c>
      <c r="Q591" s="16">
        <v>227</v>
      </c>
      <c r="R591" s="16">
        <v>4</v>
      </c>
      <c r="S591" s="16"/>
      <c r="T591" s="16"/>
      <c r="U591" s="16"/>
      <c r="V591" s="16">
        <v>3</v>
      </c>
      <c r="W591" s="16">
        <v>0.90309600000000001</v>
      </c>
      <c r="X591" s="16">
        <v>0.115951</v>
      </c>
      <c r="Y591" s="16">
        <v>0.7</v>
      </c>
      <c r="Z591" s="16">
        <v>0.78198800000000002</v>
      </c>
      <c r="AA591" s="37"/>
    </row>
    <row r="592" spans="1:27">
      <c r="A592" s="16"/>
      <c r="B592" s="16"/>
      <c r="C592" s="16"/>
      <c r="D592" s="16"/>
      <c r="E592" s="16"/>
      <c r="F592" s="16"/>
      <c r="G592" s="16"/>
      <c r="H592" s="16"/>
      <c r="I592" s="16"/>
      <c r="J592" s="16"/>
      <c r="K592" s="16">
        <f>MEDIAN(K579:K591)</f>
        <v>2.5018180000000001</v>
      </c>
      <c r="L592" s="36">
        <f t="shared" ref="L592:Q592" si="53">SUM(L579:L591)</f>
        <v>25173</v>
      </c>
      <c r="M592" s="36">
        <f t="shared" si="53"/>
        <v>4227</v>
      </c>
      <c r="N592" s="36">
        <f t="shared" si="53"/>
        <v>5872</v>
      </c>
      <c r="O592" s="36">
        <f t="shared" si="53"/>
        <v>8110</v>
      </c>
      <c r="P592" s="36">
        <f t="shared" si="53"/>
        <v>4793</v>
      </c>
      <c r="Q592" s="36">
        <f t="shared" si="53"/>
        <v>2171</v>
      </c>
      <c r="R592" s="16"/>
      <c r="S592" s="16"/>
      <c r="T592" s="16"/>
      <c r="U592" s="16"/>
      <c r="V592" s="16">
        <f>MEDIAN(V579:V586)</f>
        <v>6.5</v>
      </c>
      <c r="W592" s="16"/>
      <c r="X592" s="16"/>
      <c r="Y592" s="16"/>
      <c r="Z592" s="16"/>
      <c r="AA592" s="37"/>
    </row>
    <row r="593" spans="1:27">
      <c r="A593" s="16" t="s">
        <v>72</v>
      </c>
      <c r="B593" s="16" t="s">
        <v>2159</v>
      </c>
      <c r="C593" s="16" t="s">
        <v>2160</v>
      </c>
      <c r="D593" s="16" t="s">
        <v>2161</v>
      </c>
      <c r="E593" s="16" t="s">
        <v>2162</v>
      </c>
      <c r="F593" s="16" t="s">
        <v>2163</v>
      </c>
      <c r="G593" s="16" t="s">
        <v>2164</v>
      </c>
      <c r="H593" s="16" t="s">
        <v>2165</v>
      </c>
      <c r="I593" s="16" t="s">
        <v>198</v>
      </c>
      <c r="J593" s="16" t="s">
        <v>199</v>
      </c>
      <c r="K593" s="16">
        <v>2.242238</v>
      </c>
      <c r="L593" s="36">
        <v>1630</v>
      </c>
      <c r="M593" s="16">
        <v>328</v>
      </c>
      <c r="N593" s="16">
        <v>333</v>
      </c>
      <c r="O593" s="16">
        <v>488</v>
      </c>
      <c r="P593" s="16">
        <v>350</v>
      </c>
      <c r="Q593" s="16">
        <v>131</v>
      </c>
      <c r="R593" s="16">
        <v>3</v>
      </c>
      <c r="S593" s="16">
        <v>36.184699999999999</v>
      </c>
      <c r="T593" s="16">
        <v>2.8951199999999999</v>
      </c>
      <c r="U593" s="16">
        <v>0.92710213200000002</v>
      </c>
      <c r="V593" s="16">
        <v>5</v>
      </c>
      <c r="W593" s="16">
        <v>0.90769200000000005</v>
      </c>
      <c r="X593" s="16">
        <v>0.159834</v>
      </c>
      <c r="Y593" s="16">
        <v>0.7</v>
      </c>
      <c r="Z593" s="16">
        <v>0.493724</v>
      </c>
      <c r="AA593" s="37"/>
    </row>
    <row r="594" spans="1:27">
      <c r="A594" s="16" t="s">
        <v>72</v>
      </c>
      <c r="B594" s="16" t="s">
        <v>2166</v>
      </c>
      <c r="C594" s="16" t="s">
        <v>2167</v>
      </c>
      <c r="D594" s="16" t="s">
        <v>2168</v>
      </c>
      <c r="E594" s="16" t="s">
        <v>2169</v>
      </c>
      <c r="F594" s="16" t="s">
        <v>2170</v>
      </c>
      <c r="G594" s="16" t="s">
        <v>2164</v>
      </c>
      <c r="H594" s="16" t="s">
        <v>2165</v>
      </c>
      <c r="I594" s="16" t="s">
        <v>198</v>
      </c>
      <c r="J594" s="16" t="s">
        <v>199</v>
      </c>
      <c r="K594" s="16">
        <v>2.6951350000000001</v>
      </c>
      <c r="L594" s="36">
        <v>1781</v>
      </c>
      <c r="M594" s="16">
        <v>302</v>
      </c>
      <c r="N594" s="16">
        <v>439</v>
      </c>
      <c r="O594" s="16">
        <v>522</v>
      </c>
      <c r="P594" s="16">
        <v>337</v>
      </c>
      <c r="Q594" s="16">
        <v>181</v>
      </c>
      <c r="R594" s="16" t="s">
        <v>302</v>
      </c>
      <c r="S594" s="16">
        <v>45.133499999999998</v>
      </c>
      <c r="T594" s="16">
        <v>21.852900000000002</v>
      </c>
      <c r="U594" s="16">
        <v>1.055723915</v>
      </c>
      <c r="V594" s="16">
        <v>2</v>
      </c>
      <c r="W594" s="16">
        <v>0.91162200000000004</v>
      </c>
      <c r="X594" s="16">
        <v>0.21813299999999999</v>
      </c>
      <c r="Y594" s="16">
        <v>0.7</v>
      </c>
      <c r="Z594" s="16">
        <v>0.87924500000000005</v>
      </c>
      <c r="AA594" s="37"/>
    </row>
    <row r="595" spans="1:27">
      <c r="A595" s="16" t="s">
        <v>72</v>
      </c>
      <c r="B595" s="16" t="s">
        <v>2171</v>
      </c>
      <c r="C595" s="16" t="s">
        <v>2172</v>
      </c>
      <c r="D595" s="16" t="s">
        <v>2173</v>
      </c>
      <c r="E595" s="16" t="s">
        <v>2174</v>
      </c>
      <c r="F595" s="16" t="s">
        <v>2175</v>
      </c>
      <c r="G595" s="16" t="s">
        <v>2164</v>
      </c>
      <c r="H595" s="16" t="s">
        <v>2165</v>
      </c>
      <c r="I595" s="16" t="s">
        <v>198</v>
      </c>
      <c r="J595" s="16" t="s">
        <v>199</v>
      </c>
      <c r="K595" s="16">
        <v>2.0990510000000002</v>
      </c>
      <c r="L595" s="36">
        <v>1734</v>
      </c>
      <c r="M595" s="16">
        <v>296</v>
      </c>
      <c r="N595" s="16">
        <v>336</v>
      </c>
      <c r="O595" s="16">
        <v>497</v>
      </c>
      <c r="P595" s="16">
        <v>412</v>
      </c>
      <c r="Q595" s="16">
        <v>193</v>
      </c>
      <c r="R595" s="16">
        <v>4</v>
      </c>
      <c r="S595" s="16">
        <v>21.9192</v>
      </c>
      <c r="T595" s="16">
        <v>0</v>
      </c>
      <c r="U595" s="16">
        <v>0.82826939399999999</v>
      </c>
      <c r="V595" s="16">
        <v>7</v>
      </c>
      <c r="W595" s="16">
        <v>0.90708900000000003</v>
      </c>
      <c r="X595" s="16">
        <v>0.175288</v>
      </c>
      <c r="Y595" s="16">
        <v>0.65972200000000003</v>
      </c>
      <c r="Z595" s="16">
        <v>0.36468800000000001</v>
      </c>
      <c r="AA595" s="37"/>
    </row>
    <row r="596" spans="1:27">
      <c r="A596" s="16" t="s">
        <v>72</v>
      </c>
      <c r="B596" s="16" t="s">
        <v>2176</v>
      </c>
      <c r="C596" s="16" t="s">
        <v>2177</v>
      </c>
      <c r="D596" s="16" t="s">
        <v>2178</v>
      </c>
      <c r="E596" s="16" t="s">
        <v>2179</v>
      </c>
      <c r="F596" s="16" t="s">
        <v>2180</v>
      </c>
      <c r="G596" s="16" t="s">
        <v>2164</v>
      </c>
      <c r="H596" s="16" t="s">
        <v>2165</v>
      </c>
      <c r="I596" s="16" t="s">
        <v>198</v>
      </c>
      <c r="J596" s="16" t="s">
        <v>199</v>
      </c>
      <c r="K596" s="16">
        <v>2.5594000000000001</v>
      </c>
      <c r="L596" s="36">
        <v>2237</v>
      </c>
      <c r="M596" s="16">
        <v>362</v>
      </c>
      <c r="N596" s="16">
        <v>464</v>
      </c>
      <c r="O596" s="16">
        <v>823</v>
      </c>
      <c r="P596" s="16">
        <v>447</v>
      </c>
      <c r="Q596" s="16">
        <v>141</v>
      </c>
      <c r="R596" s="16" t="s">
        <v>302</v>
      </c>
      <c r="S596" s="16">
        <v>43.487400000000001</v>
      </c>
      <c r="T596" s="16">
        <v>21.998999999999999</v>
      </c>
      <c r="U596" s="16">
        <v>1.056909012</v>
      </c>
      <c r="V596" s="16">
        <v>2</v>
      </c>
      <c r="W596" s="16">
        <v>0.90480000000000005</v>
      </c>
      <c r="X596" s="16">
        <v>8.5713999999999999E-2</v>
      </c>
      <c r="Y596" s="16">
        <v>0.7</v>
      </c>
      <c r="Z596" s="16">
        <v>0.86345400000000005</v>
      </c>
      <c r="AA596" s="37"/>
    </row>
    <row r="597" spans="1:27">
      <c r="A597" s="16" t="s">
        <v>72</v>
      </c>
      <c r="B597" s="16" t="s">
        <v>2216</v>
      </c>
      <c r="C597" s="16" t="s">
        <v>2217</v>
      </c>
      <c r="D597" s="16" t="s">
        <v>2218</v>
      </c>
      <c r="E597" s="16" t="s">
        <v>2219</v>
      </c>
      <c r="F597" s="16" t="s">
        <v>2220</v>
      </c>
      <c r="G597" s="16" t="s">
        <v>2221</v>
      </c>
      <c r="H597" s="16" t="s">
        <v>2222</v>
      </c>
      <c r="I597" s="16" t="s">
        <v>198</v>
      </c>
      <c r="J597" s="16" t="s">
        <v>199</v>
      </c>
      <c r="K597" s="16">
        <v>1.8155140000000001</v>
      </c>
      <c r="L597" s="36">
        <v>1565</v>
      </c>
      <c r="M597" s="16">
        <v>299</v>
      </c>
      <c r="N597" s="16">
        <v>216</v>
      </c>
      <c r="O597" s="16">
        <v>309</v>
      </c>
      <c r="P597" s="16">
        <v>420</v>
      </c>
      <c r="Q597" s="16">
        <v>321</v>
      </c>
      <c r="R597" s="16">
        <v>2</v>
      </c>
      <c r="S597" s="16">
        <v>14.549799999999999</v>
      </c>
      <c r="T597" s="16">
        <v>0</v>
      </c>
      <c r="U597" s="16">
        <v>0.90366413099999998</v>
      </c>
      <c r="V597" s="16">
        <v>8</v>
      </c>
      <c r="W597" s="16">
        <v>0.82183799999999996</v>
      </c>
      <c r="X597" s="16">
        <v>0.10514800000000001</v>
      </c>
      <c r="Y597" s="16">
        <v>0.6</v>
      </c>
      <c r="Z597" s="16">
        <v>0.28268900000000002</v>
      </c>
      <c r="AA597" s="37"/>
    </row>
    <row r="598" spans="1:27">
      <c r="A598" s="16" t="s">
        <v>72</v>
      </c>
      <c r="B598" s="16" t="s">
        <v>2223</v>
      </c>
      <c r="C598" s="16" t="s">
        <v>2224</v>
      </c>
      <c r="D598" s="16" t="s">
        <v>2225</v>
      </c>
      <c r="E598" s="16" t="s">
        <v>2226</v>
      </c>
      <c r="F598" s="16" t="s">
        <v>2227</v>
      </c>
      <c r="G598" s="16" t="s">
        <v>2221</v>
      </c>
      <c r="H598" s="16" t="s">
        <v>2222</v>
      </c>
      <c r="I598" s="16" t="s">
        <v>198</v>
      </c>
      <c r="J598" s="16" t="s">
        <v>199</v>
      </c>
      <c r="K598" s="16">
        <v>2.1356280000000001</v>
      </c>
      <c r="L598" s="36">
        <v>1664</v>
      </c>
      <c r="M598" s="16">
        <v>298</v>
      </c>
      <c r="N598" s="16">
        <v>239</v>
      </c>
      <c r="O598" s="16">
        <v>359</v>
      </c>
      <c r="P598" s="16">
        <v>458</v>
      </c>
      <c r="Q598" s="16">
        <v>310</v>
      </c>
      <c r="R598" s="16" t="s">
        <v>225</v>
      </c>
      <c r="S598" s="16">
        <v>8.6355000000000004</v>
      </c>
      <c r="T598" s="16">
        <v>0</v>
      </c>
      <c r="U598" s="16">
        <v>0.799222082</v>
      </c>
      <c r="V598" s="16">
        <v>7</v>
      </c>
      <c r="W598" s="16">
        <v>0.82185900000000001</v>
      </c>
      <c r="X598" s="16">
        <v>0.34207799999999999</v>
      </c>
      <c r="Y598" s="16">
        <v>0.6</v>
      </c>
      <c r="Z598" s="16">
        <v>0.36238199999999998</v>
      </c>
      <c r="AA598" s="37"/>
    </row>
    <row r="599" spans="1:27">
      <c r="A599" s="16" t="s">
        <v>72</v>
      </c>
      <c r="B599" s="16" t="s">
        <v>2228</v>
      </c>
      <c r="C599" s="16" t="s">
        <v>2229</v>
      </c>
      <c r="D599" s="16" t="s">
        <v>2230</v>
      </c>
      <c r="E599" s="16" t="s">
        <v>2219</v>
      </c>
      <c r="F599" s="16" t="s">
        <v>2220</v>
      </c>
      <c r="G599" s="16" t="s">
        <v>2221</v>
      </c>
      <c r="H599" s="16" t="s">
        <v>2222</v>
      </c>
      <c r="I599" s="16" t="s">
        <v>198</v>
      </c>
      <c r="J599" s="16" t="s">
        <v>199</v>
      </c>
      <c r="K599" s="16">
        <v>1.826338</v>
      </c>
      <c r="L599" s="36">
        <v>1626</v>
      </c>
      <c r="M599" s="16">
        <v>311</v>
      </c>
      <c r="N599" s="16">
        <v>219</v>
      </c>
      <c r="O599" s="16">
        <v>278</v>
      </c>
      <c r="P599" s="16">
        <v>439</v>
      </c>
      <c r="Q599" s="16">
        <v>379</v>
      </c>
      <c r="R599" s="16" t="s">
        <v>225</v>
      </c>
      <c r="S599" s="16">
        <v>6.0464500000000001</v>
      </c>
      <c r="T599" s="16">
        <v>0</v>
      </c>
      <c r="U599" s="16">
        <v>0.88081583100000005</v>
      </c>
      <c r="V599" s="16">
        <v>9</v>
      </c>
      <c r="W599" s="16">
        <v>0.84957199999999999</v>
      </c>
      <c r="X599" s="16">
        <v>0.19614100000000001</v>
      </c>
      <c r="Y599" s="16">
        <v>0.51850300000000005</v>
      </c>
      <c r="Z599" s="16">
        <v>0.278947</v>
      </c>
      <c r="AA599" s="37"/>
    </row>
    <row r="600" spans="1:27">
      <c r="A600" s="16" t="s">
        <v>72</v>
      </c>
      <c r="B600" s="16" t="s">
        <v>2231</v>
      </c>
      <c r="C600" s="16" t="s">
        <v>2232</v>
      </c>
      <c r="D600" s="16" t="s">
        <v>2233</v>
      </c>
      <c r="E600" s="16" t="s">
        <v>2234</v>
      </c>
      <c r="F600" s="16" t="s">
        <v>2235</v>
      </c>
      <c r="G600" s="16" t="s">
        <v>2221</v>
      </c>
      <c r="H600" s="16" t="s">
        <v>2222</v>
      </c>
      <c r="I600" s="16" t="s">
        <v>198</v>
      </c>
      <c r="J600" s="16" t="s">
        <v>199</v>
      </c>
      <c r="K600" s="16">
        <v>2.133467</v>
      </c>
      <c r="L600" s="36">
        <v>1678</v>
      </c>
      <c r="M600" s="16">
        <v>331</v>
      </c>
      <c r="N600" s="16">
        <v>256</v>
      </c>
      <c r="O600" s="16">
        <v>356</v>
      </c>
      <c r="P600" s="16">
        <v>430</v>
      </c>
      <c r="Q600" s="16">
        <v>305</v>
      </c>
      <c r="R600" s="16" t="s">
        <v>225</v>
      </c>
      <c r="S600" s="16">
        <v>5.8648800000000003</v>
      </c>
      <c r="T600" s="16">
        <v>0</v>
      </c>
      <c r="U600" s="16">
        <v>0.86181504499999995</v>
      </c>
      <c r="V600" s="16">
        <v>6</v>
      </c>
      <c r="W600" s="16">
        <v>0.87942100000000001</v>
      </c>
      <c r="X600" s="16">
        <v>0.37670700000000001</v>
      </c>
      <c r="Y600" s="16">
        <v>0.6</v>
      </c>
      <c r="Z600" s="16">
        <v>0.28303400000000001</v>
      </c>
      <c r="AA600" s="37"/>
    </row>
    <row r="601" spans="1:27">
      <c r="A601" s="16" t="s">
        <v>72</v>
      </c>
      <c r="B601" s="16" t="s">
        <v>2236</v>
      </c>
      <c r="C601" s="16" t="s">
        <v>2237</v>
      </c>
      <c r="D601" s="16" t="s">
        <v>2238</v>
      </c>
      <c r="E601" s="16" t="s">
        <v>2226</v>
      </c>
      <c r="F601" s="16" t="s">
        <v>2227</v>
      </c>
      <c r="G601" s="16" t="s">
        <v>2221</v>
      </c>
      <c r="H601" s="16" t="s">
        <v>2222</v>
      </c>
      <c r="I601" s="16" t="s">
        <v>198</v>
      </c>
      <c r="J601" s="16" t="s">
        <v>199</v>
      </c>
      <c r="K601" s="16">
        <v>1.7667729999999999</v>
      </c>
      <c r="L601" s="36">
        <v>1466</v>
      </c>
      <c r="M601" s="16">
        <v>256</v>
      </c>
      <c r="N601" s="16">
        <v>169</v>
      </c>
      <c r="O601" s="16">
        <v>242</v>
      </c>
      <c r="P601" s="16">
        <v>395</v>
      </c>
      <c r="Q601" s="16">
        <v>404</v>
      </c>
      <c r="R601" s="16">
        <v>2</v>
      </c>
      <c r="S601" s="16">
        <v>13.8878</v>
      </c>
      <c r="T601" s="16">
        <v>0</v>
      </c>
      <c r="U601" s="16">
        <v>0.89893748500000004</v>
      </c>
      <c r="V601" s="16">
        <v>10</v>
      </c>
      <c r="W601" s="16">
        <v>0.81017499999999998</v>
      </c>
      <c r="X601" s="16">
        <v>0.134131</v>
      </c>
      <c r="Y601" s="16">
        <v>0.56001599999999996</v>
      </c>
      <c r="Z601" s="16">
        <v>0.26533499999999999</v>
      </c>
      <c r="AA601" s="37"/>
    </row>
    <row r="602" spans="1:27">
      <c r="A602" s="16" t="s">
        <v>72</v>
      </c>
      <c r="B602" s="16" t="s">
        <v>2239</v>
      </c>
      <c r="C602" s="16" t="s">
        <v>2240</v>
      </c>
      <c r="D602" s="16" t="s">
        <v>2241</v>
      </c>
      <c r="E602" s="16" t="s">
        <v>2242</v>
      </c>
      <c r="F602" s="16" t="s">
        <v>2243</v>
      </c>
      <c r="G602" s="16" t="s">
        <v>2221</v>
      </c>
      <c r="H602" s="16" t="s">
        <v>2222</v>
      </c>
      <c r="I602" s="16" t="s">
        <v>198</v>
      </c>
      <c r="J602" s="16" t="s">
        <v>199</v>
      </c>
      <c r="K602" s="16">
        <v>1.8629359999999999</v>
      </c>
      <c r="L602" s="36">
        <v>1466</v>
      </c>
      <c r="M602" s="16">
        <v>250</v>
      </c>
      <c r="N602" s="16">
        <v>264</v>
      </c>
      <c r="O602" s="16">
        <v>294</v>
      </c>
      <c r="P602" s="16">
        <v>390</v>
      </c>
      <c r="Q602" s="16">
        <v>268</v>
      </c>
      <c r="R602" s="16" t="s">
        <v>225</v>
      </c>
      <c r="S602" s="16">
        <v>5.2613200000000004</v>
      </c>
      <c r="T602" s="16">
        <v>3.0670600000000001</v>
      </c>
      <c r="U602" s="16">
        <v>0.91224724400000001</v>
      </c>
      <c r="V602" s="16">
        <v>8</v>
      </c>
      <c r="W602" s="16">
        <v>0.89449500000000004</v>
      </c>
      <c r="X602" s="16">
        <v>8.4000000000000005E-2</v>
      </c>
      <c r="Y602" s="16">
        <v>0.6</v>
      </c>
      <c r="Z602" s="16">
        <v>0.28229900000000002</v>
      </c>
      <c r="AA602" s="37"/>
    </row>
    <row r="603" spans="1:27">
      <c r="A603" s="16" t="s">
        <v>72</v>
      </c>
      <c r="B603" s="16" t="s">
        <v>2244</v>
      </c>
      <c r="C603" s="16" t="s">
        <v>2245</v>
      </c>
      <c r="D603" s="16" t="s">
        <v>2246</v>
      </c>
      <c r="E603" s="16" t="s">
        <v>2247</v>
      </c>
      <c r="F603" s="16" t="s">
        <v>2248</v>
      </c>
      <c r="G603" s="16" t="s">
        <v>2221</v>
      </c>
      <c r="H603" s="16" t="s">
        <v>2222</v>
      </c>
      <c r="I603" s="16" t="s">
        <v>198</v>
      </c>
      <c r="J603" s="16" t="s">
        <v>199</v>
      </c>
      <c r="K603" s="16">
        <v>2.0188449999999998</v>
      </c>
      <c r="L603" s="36">
        <v>1802</v>
      </c>
      <c r="M603" s="16">
        <v>392</v>
      </c>
      <c r="N603" s="16">
        <v>286</v>
      </c>
      <c r="O603" s="16">
        <v>461</v>
      </c>
      <c r="P603" s="16">
        <v>451</v>
      </c>
      <c r="Q603" s="16">
        <v>212</v>
      </c>
      <c r="R603" s="16">
        <v>2</v>
      </c>
      <c r="S603" s="16">
        <v>11.1549</v>
      </c>
      <c r="T603" s="16">
        <v>0</v>
      </c>
      <c r="U603" s="16">
        <v>0.84896360500000001</v>
      </c>
      <c r="V603" s="16">
        <v>9</v>
      </c>
      <c r="W603" s="16">
        <v>0.87262700000000004</v>
      </c>
      <c r="X603" s="16">
        <v>0.29068500000000003</v>
      </c>
      <c r="Y603" s="16">
        <v>0.6</v>
      </c>
      <c r="Z603" s="16">
        <v>0.26195099999999999</v>
      </c>
      <c r="AA603" s="37"/>
    </row>
    <row r="604" spans="1:27">
      <c r="A604" s="16" t="s">
        <v>72</v>
      </c>
      <c r="B604" s="16" t="s">
        <v>2249</v>
      </c>
      <c r="C604" s="16" t="s">
        <v>2250</v>
      </c>
      <c r="D604" s="16" t="s">
        <v>2251</v>
      </c>
      <c r="E604" s="16" t="s">
        <v>2247</v>
      </c>
      <c r="F604" s="16" t="s">
        <v>2248</v>
      </c>
      <c r="G604" s="16" t="s">
        <v>2221</v>
      </c>
      <c r="H604" s="16" t="s">
        <v>2222</v>
      </c>
      <c r="I604" s="16" t="s">
        <v>198</v>
      </c>
      <c r="J604" s="16" t="s">
        <v>199</v>
      </c>
      <c r="K604" s="16">
        <v>2.17327</v>
      </c>
      <c r="L604" s="36">
        <v>1380</v>
      </c>
      <c r="M604" s="16">
        <v>260</v>
      </c>
      <c r="N604" s="16">
        <v>258</v>
      </c>
      <c r="O604" s="16">
        <v>267</v>
      </c>
      <c r="P604" s="16">
        <v>356</v>
      </c>
      <c r="Q604" s="16">
        <v>239</v>
      </c>
      <c r="R604" s="16" t="s">
        <v>225</v>
      </c>
      <c r="S604" s="16">
        <v>6.7171599999999998</v>
      </c>
      <c r="T604" s="16">
        <v>0</v>
      </c>
      <c r="U604" s="16">
        <v>0.79456728300000001</v>
      </c>
      <c r="V604" s="16">
        <v>8</v>
      </c>
      <c r="W604" s="16">
        <v>0.90723299999999996</v>
      </c>
      <c r="X604" s="16">
        <v>0.36346499999999998</v>
      </c>
      <c r="Y604" s="16">
        <v>0.6</v>
      </c>
      <c r="Z604" s="16">
        <v>0.3</v>
      </c>
      <c r="AA604" s="37"/>
    </row>
    <row r="605" spans="1:27">
      <c r="A605" s="16" t="s">
        <v>72</v>
      </c>
      <c r="B605" s="16" t="s">
        <v>2252</v>
      </c>
      <c r="C605" s="16" t="s">
        <v>2253</v>
      </c>
      <c r="D605" s="16" t="s">
        <v>2254</v>
      </c>
      <c r="E605" s="16" t="s">
        <v>2219</v>
      </c>
      <c r="F605" s="16" t="s">
        <v>2220</v>
      </c>
      <c r="G605" s="16" t="s">
        <v>2221</v>
      </c>
      <c r="H605" s="16" t="s">
        <v>2222</v>
      </c>
      <c r="I605" s="16" t="s">
        <v>198</v>
      </c>
      <c r="J605" s="16" t="s">
        <v>199</v>
      </c>
      <c r="K605" s="16">
        <v>1.9010800000000001</v>
      </c>
      <c r="L605" s="36">
        <v>1259</v>
      </c>
      <c r="M605" s="16">
        <v>241</v>
      </c>
      <c r="N605" s="16">
        <v>176</v>
      </c>
      <c r="O605" s="16">
        <v>216</v>
      </c>
      <c r="P605" s="16">
        <v>351</v>
      </c>
      <c r="Q605" s="16">
        <v>275</v>
      </c>
      <c r="R605" s="16" t="s">
        <v>225</v>
      </c>
      <c r="S605" s="16">
        <v>7.04094</v>
      </c>
      <c r="T605" s="16">
        <v>0</v>
      </c>
      <c r="U605" s="16">
        <v>0.899345336</v>
      </c>
      <c r="V605" s="16">
        <v>8</v>
      </c>
      <c r="W605" s="16">
        <v>0.82557400000000003</v>
      </c>
      <c r="X605" s="16">
        <v>0.23938200000000001</v>
      </c>
      <c r="Y605" s="16">
        <v>0.6</v>
      </c>
      <c r="Z605" s="16">
        <v>0.23025599999999999</v>
      </c>
      <c r="AA605" s="37"/>
    </row>
    <row r="606" spans="1:27">
      <c r="A606" s="16" t="s">
        <v>72</v>
      </c>
      <c r="B606" s="16" t="s">
        <v>2255</v>
      </c>
      <c r="C606" s="16" t="s">
        <v>2256</v>
      </c>
      <c r="D606" s="16" t="s">
        <v>2257</v>
      </c>
      <c r="E606" s="16" t="s">
        <v>2234</v>
      </c>
      <c r="F606" s="16" t="s">
        <v>2235</v>
      </c>
      <c r="G606" s="16" t="s">
        <v>2221</v>
      </c>
      <c r="H606" s="16" t="s">
        <v>2222</v>
      </c>
      <c r="I606" s="16" t="s">
        <v>198</v>
      </c>
      <c r="J606" s="16" t="s">
        <v>199</v>
      </c>
      <c r="K606" s="16">
        <v>1.929805</v>
      </c>
      <c r="L606" s="36">
        <v>1763</v>
      </c>
      <c r="M606" s="16">
        <v>353</v>
      </c>
      <c r="N606" s="16">
        <v>336</v>
      </c>
      <c r="O606" s="16">
        <v>399</v>
      </c>
      <c r="P606" s="16">
        <v>422</v>
      </c>
      <c r="Q606" s="16">
        <v>253</v>
      </c>
      <c r="R606" s="16" t="s">
        <v>214</v>
      </c>
      <c r="S606" s="16">
        <v>5.1371099999999998</v>
      </c>
      <c r="T606" s="16">
        <v>0</v>
      </c>
      <c r="U606" s="16">
        <v>0.93825966500000002</v>
      </c>
      <c r="V606" s="16">
        <v>7</v>
      </c>
      <c r="W606" s="16">
        <v>0.83291800000000005</v>
      </c>
      <c r="X606" s="16">
        <v>0.25158799999999998</v>
      </c>
      <c r="Y606" s="16">
        <v>0.6</v>
      </c>
      <c r="Z606" s="16">
        <v>0.236314</v>
      </c>
      <c r="AA606" s="37"/>
    </row>
    <row r="607" spans="1:27">
      <c r="A607" s="16" t="s">
        <v>72</v>
      </c>
      <c r="B607" s="16" t="s">
        <v>2181</v>
      </c>
      <c r="C607" s="16" t="s">
        <v>2182</v>
      </c>
      <c r="D607" s="16" t="s">
        <v>2183</v>
      </c>
      <c r="E607" s="16" t="s">
        <v>2184</v>
      </c>
      <c r="F607" s="16" t="s">
        <v>2185</v>
      </c>
      <c r="G607" s="16" t="s">
        <v>2077</v>
      </c>
      <c r="H607" s="16" t="s">
        <v>2078</v>
      </c>
      <c r="I607" s="16" t="s">
        <v>198</v>
      </c>
      <c r="J607" s="16" t="s">
        <v>199</v>
      </c>
      <c r="K607" s="16">
        <v>2.1326040000000002</v>
      </c>
      <c r="L607" s="36">
        <v>1789</v>
      </c>
      <c r="M607" s="16">
        <v>331</v>
      </c>
      <c r="N607" s="16">
        <v>255</v>
      </c>
      <c r="O607" s="16">
        <v>450</v>
      </c>
      <c r="P607" s="16">
        <v>464</v>
      </c>
      <c r="Q607" s="16">
        <v>289</v>
      </c>
      <c r="R607" s="16">
        <v>2</v>
      </c>
      <c r="S607" s="16">
        <v>21.779399999999999</v>
      </c>
      <c r="T607" s="16">
        <v>0</v>
      </c>
      <c r="U607" s="16">
        <v>0.804703956</v>
      </c>
      <c r="V607" s="16">
        <v>7</v>
      </c>
      <c r="W607" s="16">
        <v>0.90339400000000003</v>
      </c>
      <c r="X607" s="16">
        <v>0.108767</v>
      </c>
      <c r="Y607" s="16">
        <v>0.69752499999999995</v>
      </c>
      <c r="Z607" s="16">
        <v>0.41756300000000002</v>
      </c>
      <c r="AA607" s="37"/>
    </row>
    <row r="608" spans="1:27">
      <c r="A608" s="16" t="s">
        <v>72</v>
      </c>
      <c r="B608" s="16" t="s">
        <v>2186</v>
      </c>
      <c r="C608" s="16" t="s">
        <v>2187</v>
      </c>
      <c r="D608" s="16" t="s">
        <v>2188</v>
      </c>
      <c r="E608" s="16" t="s">
        <v>2184</v>
      </c>
      <c r="F608" s="16" t="s">
        <v>2185</v>
      </c>
      <c r="G608" s="16" t="s">
        <v>2077</v>
      </c>
      <c r="H608" s="16" t="s">
        <v>2078</v>
      </c>
      <c r="I608" s="16" t="s">
        <v>198</v>
      </c>
      <c r="J608" s="16" t="s">
        <v>199</v>
      </c>
      <c r="K608" s="16">
        <v>2.7259829999999998</v>
      </c>
      <c r="L608" s="36">
        <v>2552</v>
      </c>
      <c r="M608" s="16">
        <v>392</v>
      </c>
      <c r="N608" s="16">
        <v>672</v>
      </c>
      <c r="O608" s="16">
        <v>864</v>
      </c>
      <c r="P608" s="16">
        <v>463</v>
      </c>
      <c r="Q608" s="16">
        <v>161</v>
      </c>
      <c r="R608" s="16">
        <v>5</v>
      </c>
      <c r="S608" s="16">
        <v>32.825499999999998</v>
      </c>
      <c r="T608" s="16">
        <v>9.7896400000000003</v>
      </c>
      <c r="U608" s="16">
        <v>0.58993035999999999</v>
      </c>
      <c r="V608" s="16">
        <v>6</v>
      </c>
      <c r="W608" s="16">
        <v>0.91350399999999998</v>
      </c>
      <c r="X608" s="16">
        <v>0.25517200000000001</v>
      </c>
      <c r="Y608" s="16">
        <v>0.7</v>
      </c>
      <c r="Z608" s="16">
        <v>0.84674700000000003</v>
      </c>
      <c r="AA608" s="37"/>
    </row>
    <row r="609" spans="1:27">
      <c r="A609" s="16" t="s">
        <v>72</v>
      </c>
      <c r="B609" s="16" t="s">
        <v>2258</v>
      </c>
      <c r="C609" s="16" t="s">
        <v>2259</v>
      </c>
      <c r="D609" s="16" t="s">
        <v>2260</v>
      </c>
      <c r="E609" s="16" t="s">
        <v>2151</v>
      </c>
      <c r="F609" s="16" t="s">
        <v>2152</v>
      </c>
      <c r="G609" s="16" t="s">
        <v>2077</v>
      </c>
      <c r="H609" s="16" t="s">
        <v>2078</v>
      </c>
      <c r="I609" s="16" t="s">
        <v>198</v>
      </c>
      <c r="J609" s="16" t="s">
        <v>199</v>
      </c>
      <c r="K609" s="16">
        <v>1.999922</v>
      </c>
      <c r="L609" s="36">
        <v>1452</v>
      </c>
      <c r="M609" s="16">
        <v>295</v>
      </c>
      <c r="N609" s="16">
        <v>225</v>
      </c>
      <c r="O609" s="16">
        <v>211</v>
      </c>
      <c r="P609" s="16">
        <v>411</v>
      </c>
      <c r="Q609" s="16">
        <v>310</v>
      </c>
      <c r="R609" s="16">
        <v>2</v>
      </c>
      <c r="S609" s="16">
        <v>19.220500000000001</v>
      </c>
      <c r="T609" s="16">
        <v>0</v>
      </c>
      <c r="U609" s="16">
        <v>0.88243718000000004</v>
      </c>
      <c r="V609" s="16">
        <v>6</v>
      </c>
      <c r="W609" s="16">
        <v>0.88048400000000004</v>
      </c>
      <c r="X609" s="16">
        <v>9.2572000000000002E-2</v>
      </c>
      <c r="Y609" s="16">
        <v>0.680844</v>
      </c>
      <c r="Z609" s="16">
        <v>0.34898299999999999</v>
      </c>
      <c r="AA609" s="37"/>
    </row>
    <row r="610" spans="1:27">
      <c r="A610" s="16" t="s">
        <v>72</v>
      </c>
      <c r="B610" s="16" t="s">
        <v>2261</v>
      </c>
      <c r="C610" s="16" t="s">
        <v>2262</v>
      </c>
      <c r="D610" s="16" t="s">
        <v>2263</v>
      </c>
      <c r="E610" s="16" t="s">
        <v>2151</v>
      </c>
      <c r="F610" s="16" t="s">
        <v>2152</v>
      </c>
      <c r="G610" s="16" t="s">
        <v>2077</v>
      </c>
      <c r="H610" s="16" t="s">
        <v>2078</v>
      </c>
      <c r="I610" s="16" t="s">
        <v>198</v>
      </c>
      <c r="J610" s="16" t="s">
        <v>199</v>
      </c>
      <c r="K610" s="16">
        <v>2.369729</v>
      </c>
      <c r="L610" s="36">
        <v>1715</v>
      </c>
      <c r="M610" s="16">
        <v>303</v>
      </c>
      <c r="N610" s="16">
        <v>232</v>
      </c>
      <c r="O610" s="16">
        <v>350</v>
      </c>
      <c r="P610" s="16">
        <v>459</v>
      </c>
      <c r="Q610" s="16">
        <v>371</v>
      </c>
      <c r="R610" s="16">
        <v>5</v>
      </c>
      <c r="S610" s="16">
        <v>26.6312</v>
      </c>
      <c r="T610" s="16">
        <v>14.724600000000001</v>
      </c>
      <c r="U610" s="16">
        <v>0.85927756499999997</v>
      </c>
      <c r="V610" s="16">
        <v>4</v>
      </c>
      <c r="W610" s="16">
        <v>0.90793299999999999</v>
      </c>
      <c r="X610" s="16">
        <v>0.19727700000000001</v>
      </c>
      <c r="Y610" s="16">
        <v>0.7</v>
      </c>
      <c r="Z610" s="16">
        <v>0.55769599999999997</v>
      </c>
      <c r="AA610" s="37"/>
    </row>
    <row r="611" spans="1:27">
      <c r="A611" s="16" t="s">
        <v>72</v>
      </c>
      <c r="B611" s="16" t="s">
        <v>2264</v>
      </c>
      <c r="C611" s="16" t="s">
        <v>2265</v>
      </c>
      <c r="D611" s="16" t="s">
        <v>2266</v>
      </c>
      <c r="E611" s="16" t="s">
        <v>2267</v>
      </c>
      <c r="F611" s="16" t="s">
        <v>2268</v>
      </c>
      <c r="G611" s="16" t="s">
        <v>2077</v>
      </c>
      <c r="H611" s="16" t="s">
        <v>2078</v>
      </c>
      <c r="I611" s="16" t="s">
        <v>198</v>
      </c>
      <c r="J611" s="16" t="s">
        <v>199</v>
      </c>
      <c r="K611" s="16">
        <v>1.922086</v>
      </c>
      <c r="L611" s="36">
        <v>1431</v>
      </c>
      <c r="M611" s="16">
        <v>235</v>
      </c>
      <c r="N611" s="16">
        <v>198</v>
      </c>
      <c r="O611" s="16">
        <v>252</v>
      </c>
      <c r="P611" s="16">
        <v>406</v>
      </c>
      <c r="Q611" s="16">
        <v>340</v>
      </c>
      <c r="R611" s="16">
        <v>2</v>
      </c>
      <c r="S611" s="16">
        <v>12.5618</v>
      </c>
      <c r="T611" s="16">
        <v>0</v>
      </c>
      <c r="U611" s="16">
        <v>0.87629115599999996</v>
      </c>
      <c r="V611" s="16">
        <v>9</v>
      </c>
      <c r="W611" s="16">
        <v>0.82696099999999995</v>
      </c>
      <c r="X611" s="16">
        <v>0.164801</v>
      </c>
      <c r="Y611" s="16">
        <v>0.6</v>
      </c>
      <c r="Z611" s="16">
        <v>0.33233099999999999</v>
      </c>
      <c r="AA611" s="37"/>
    </row>
    <row r="612" spans="1:27">
      <c r="A612" s="16" t="s">
        <v>72</v>
      </c>
      <c r="B612" s="16" t="s">
        <v>2139</v>
      </c>
      <c r="C612" s="16" t="s">
        <v>2140</v>
      </c>
      <c r="D612" s="16" t="s">
        <v>2141</v>
      </c>
      <c r="E612" s="16" t="s">
        <v>2137</v>
      </c>
      <c r="F612" s="16" t="s">
        <v>2138</v>
      </c>
      <c r="G612" s="16" t="s">
        <v>2077</v>
      </c>
      <c r="H612" s="16" t="s">
        <v>2078</v>
      </c>
      <c r="I612" s="16" t="s">
        <v>198</v>
      </c>
      <c r="J612" s="16" t="s">
        <v>199</v>
      </c>
      <c r="K612" s="16">
        <v>2.6294469999999999</v>
      </c>
      <c r="L612" s="36">
        <v>1697</v>
      </c>
      <c r="M612" s="16">
        <v>330</v>
      </c>
      <c r="N612" s="16">
        <v>241</v>
      </c>
      <c r="O612" s="16">
        <v>410</v>
      </c>
      <c r="P612" s="16">
        <v>452</v>
      </c>
      <c r="Q612" s="16">
        <v>264</v>
      </c>
      <c r="R612" s="16">
        <v>4</v>
      </c>
      <c r="S612" s="16">
        <v>24.060500000000001</v>
      </c>
      <c r="T612" s="16">
        <v>8.5097799999999992</v>
      </c>
      <c r="U612" s="16">
        <v>0.95585179399999998</v>
      </c>
      <c r="V612" s="16">
        <v>3</v>
      </c>
      <c r="W612" s="16">
        <v>0.910968</v>
      </c>
      <c r="X612" s="16">
        <v>0.36515700000000001</v>
      </c>
      <c r="Y612" s="16">
        <v>0.7</v>
      </c>
      <c r="Z612" s="16">
        <v>0.65093599999999996</v>
      </c>
      <c r="AA612" s="37"/>
    </row>
    <row r="613" spans="1:27">
      <c r="A613" s="16" t="s">
        <v>72</v>
      </c>
      <c r="B613" s="16" t="s">
        <v>2269</v>
      </c>
      <c r="C613" s="16" t="s">
        <v>2270</v>
      </c>
      <c r="D613" s="16" t="s">
        <v>2271</v>
      </c>
      <c r="E613" s="16" t="s">
        <v>2151</v>
      </c>
      <c r="F613" s="16" t="s">
        <v>2152</v>
      </c>
      <c r="G613" s="16" t="s">
        <v>2077</v>
      </c>
      <c r="H613" s="16" t="s">
        <v>2078</v>
      </c>
      <c r="I613" s="16" t="s">
        <v>198</v>
      </c>
      <c r="J613" s="16" t="s">
        <v>199</v>
      </c>
      <c r="K613" s="16">
        <v>2.2995920000000001</v>
      </c>
      <c r="L613" s="36">
        <v>1550</v>
      </c>
      <c r="M613" s="16">
        <v>310</v>
      </c>
      <c r="N613" s="16">
        <v>216</v>
      </c>
      <c r="O613" s="16">
        <v>364</v>
      </c>
      <c r="P613" s="16">
        <v>407</v>
      </c>
      <c r="Q613" s="16">
        <v>253</v>
      </c>
      <c r="R613" s="16">
        <v>4</v>
      </c>
      <c r="S613" s="16">
        <v>25.479800000000001</v>
      </c>
      <c r="T613" s="16">
        <v>8.7763000000000009</v>
      </c>
      <c r="U613" s="16">
        <v>0.70131627299999999</v>
      </c>
      <c r="V613" s="16">
        <v>7</v>
      </c>
      <c r="W613" s="16">
        <v>0.90829899999999997</v>
      </c>
      <c r="X613" s="16">
        <v>0.14133699999999999</v>
      </c>
      <c r="Y613" s="16">
        <v>0.7</v>
      </c>
      <c r="Z613" s="16">
        <v>0.54986500000000005</v>
      </c>
      <c r="AA613" s="37"/>
    </row>
    <row r="614" spans="1:27">
      <c r="A614" s="16" t="s">
        <v>72</v>
      </c>
      <c r="B614" s="16" t="s">
        <v>2272</v>
      </c>
      <c r="C614" s="16" t="s">
        <v>2273</v>
      </c>
      <c r="D614" s="16" t="s">
        <v>2274</v>
      </c>
      <c r="E614" s="16" t="s">
        <v>2129</v>
      </c>
      <c r="F614" s="16" t="s">
        <v>2130</v>
      </c>
      <c r="G614" s="16" t="s">
        <v>2077</v>
      </c>
      <c r="H614" s="16" t="s">
        <v>2078</v>
      </c>
      <c r="I614" s="16" t="s">
        <v>198</v>
      </c>
      <c r="J614" s="16" t="s">
        <v>199</v>
      </c>
      <c r="K614" s="16">
        <v>1.8451150000000001</v>
      </c>
      <c r="L614" s="36">
        <v>1648</v>
      </c>
      <c r="M614" s="16">
        <v>311</v>
      </c>
      <c r="N614" s="16">
        <v>201</v>
      </c>
      <c r="O614" s="16">
        <v>336</v>
      </c>
      <c r="P614" s="16">
        <v>461</v>
      </c>
      <c r="Q614" s="16">
        <v>339</v>
      </c>
      <c r="R614" s="16">
        <v>2</v>
      </c>
      <c r="S614" s="16">
        <v>11.7341</v>
      </c>
      <c r="T614" s="16">
        <v>0</v>
      </c>
      <c r="U614" s="16">
        <v>0.88897705500000002</v>
      </c>
      <c r="V614" s="16">
        <v>9</v>
      </c>
      <c r="W614" s="16">
        <v>0.83150400000000002</v>
      </c>
      <c r="X614" s="16">
        <v>0.11622499999999999</v>
      </c>
      <c r="Y614" s="16">
        <v>0.64476900000000004</v>
      </c>
      <c r="Z614" s="16">
        <v>0.244389</v>
      </c>
      <c r="AA614" s="37"/>
    </row>
    <row r="615" spans="1:27">
      <c r="A615" s="16" t="s">
        <v>72</v>
      </c>
      <c r="B615" s="16" t="s">
        <v>2189</v>
      </c>
      <c r="C615" s="16" t="s">
        <v>2190</v>
      </c>
      <c r="D615" s="16" t="s">
        <v>2191</v>
      </c>
      <c r="E615" s="16" t="s">
        <v>2192</v>
      </c>
      <c r="F615" s="16" t="s">
        <v>2193</v>
      </c>
      <c r="G615" s="16" t="s">
        <v>2077</v>
      </c>
      <c r="H615" s="16" t="s">
        <v>2078</v>
      </c>
      <c r="I615" s="16" t="s">
        <v>198</v>
      </c>
      <c r="J615" s="16" t="s">
        <v>199</v>
      </c>
      <c r="K615" s="16">
        <v>2.2064970000000002</v>
      </c>
      <c r="L615" s="36">
        <v>1737</v>
      </c>
      <c r="M615" s="16">
        <v>280</v>
      </c>
      <c r="N615" s="16">
        <v>307</v>
      </c>
      <c r="O615" s="16">
        <v>529</v>
      </c>
      <c r="P615" s="16">
        <v>359</v>
      </c>
      <c r="Q615" s="16">
        <v>262</v>
      </c>
      <c r="R615" s="16">
        <v>3</v>
      </c>
      <c r="S615" s="16">
        <v>24.5534</v>
      </c>
      <c r="T615" s="16">
        <v>8.7256900000000002</v>
      </c>
      <c r="U615" s="16">
        <v>0.76089823400000001</v>
      </c>
      <c r="V615" s="16">
        <v>8</v>
      </c>
      <c r="W615" s="16">
        <v>0.90614799999999995</v>
      </c>
      <c r="X615" s="16">
        <v>9.2841000000000007E-2</v>
      </c>
      <c r="Y615" s="16">
        <v>0.686311</v>
      </c>
      <c r="Z615" s="16">
        <v>0.51397199999999998</v>
      </c>
      <c r="AA615" s="37"/>
    </row>
    <row r="616" spans="1:27">
      <c r="A616" s="16" t="s">
        <v>72</v>
      </c>
      <c r="B616" s="16" t="s">
        <v>2194</v>
      </c>
      <c r="C616" s="16" t="s">
        <v>2195</v>
      </c>
      <c r="D616" s="16" t="s">
        <v>2196</v>
      </c>
      <c r="E616" s="16" t="s">
        <v>2192</v>
      </c>
      <c r="F616" s="16" t="s">
        <v>2193</v>
      </c>
      <c r="G616" s="16" t="s">
        <v>2077</v>
      </c>
      <c r="H616" s="16" t="s">
        <v>2078</v>
      </c>
      <c r="I616" s="16" t="s">
        <v>198</v>
      </c>
      <c r="J616" s="16" t="s">
        <v>199</v>
      </c>
      <c r="K616" s="16">
        <v>2.3450120000000001</v>
      </c>
      <c r="L616" s="36">
        <v>1643</v>
      </c>
      <c r="M616" s="16">
        <v>233</v>
      </c>
      <c r="N616" s="16">
        <v>309</v>
      </c>
      <c r="O616" s="16">
        <v>482</v>
      </c>
      <c r="P616" s="16">
        <v>363</v>
      </c>
      <c r="Q616" s="16">
        <v>256</v>
      </c>
      <c r="R616" s="16">
        <v>2</v>
      </c>
      <c r="S616" s="16">
        <v>16.080400000000001</v>
      </c>
      <c r="T616" s="16">
        <v>0</v>
      </c>
      <c r="U616" s="16">
        <v>0.70911929200000001</v>
      </c>
      <c r="V616" s="16">
        <v>7</v>
      </c>
      <c r="W616" s="16">
        <v>0.912219</v>
      </c>
      <c r="X616" s="16">
        <v>0.24185499999999999</v>
      </c>
      <c r="Y616" s="16">
        <v>0.62327900000000003</v>
      </c>
      <c r="Z616" s="16">
        <v>0.57244399999999995</v>
      </c>
      <c r="AA616" s="37"/>
    </row>
    <row r="617" spans="1:27">
      <c r="A617" s="16"/>
      <c r="B617" s="16"/>
      <c r="C617" s="16"/>
      <c r="D617" s="16"/>
      <c r="E617" s="16"/>
      <c r="F617" s="16"/>
      <c r="G617" s="16"/>
      <c r="H617" s="16"/>
      <c r="I617" s="16"/>
      <c r="J617" s="16"/>
      <c r="K617" s="16">
        <f>MEDIAN(K593:K616)</f>
        <v>2.1330355000000001</v>
      </c>
      <c r="L617" s="36">
        <f>AVERAGE(L593:L616)</f>
        <v>1677.7083333333333</v>
      </c>
      <c r="M617" s="36">
        <f t="shared" ref="M617:Q617" si="54">SUM(M593:M616)</f>
        <v>7299</v>
      </c>
      <c r="N617" s="36">
        <f t="shared" si="54"/>
        <v>6847</v>
      </c>
      <c r="O617" s="36">
        <f t="shared" si="54"/>
        <v>9759</v>
      </c>
      <c r="P617" s="36">
        <f t="shared" si="54"/>
        <v>9903</v>
      </c>
      <c r="Q617" s="36">
        <f t="shared" si="54"/>
        <v>6457</v>
      </c>
      <c r="R617" s="16"/>
      <c r="S617" s="16"/>
      <c r="T617" s="16"/>
      <c r="U617" s="16"/>
      <c r="V617" s="16">
        <f>MEDIAN(V593:V616)</f>
        <v>7</v>
      </c>
      <c r="W617" s="16"/>
      <c r="X617" s="16"/>
      <c r="Y617" s="16"/>
      <c r="Z617" s="16"/>
      <c r="AA617" s="37"/>
    </row>
    <row r="618" spans="1:27">
      <c r="A618" s="16" t="s">
        <v>73</v>
      </c>
      <c r="B618" s="16" t="s">
        <v>2275</v>
      </c>
      <c r="C618" s="16" t="s">
        <v>2276</v>
      </c>
      <c r="D618" s="16" t="s">
        <v>2277</v>
      </c>
      <c r="E618" s="16" t="s">
        <v>2278</v>
      </c>
      <c r="F618" s="16" t="s">
        <v>2279</v>
      </c>
      <c r="G618" s="16" t="s">
        <v>2077</v>
      </c>
      <c r="H618" s="16" t="s">
        <v>2078</v>
      </c>
      <c r="I618" s="16" t="s">
        <v>198</v>
      </c>
      <c r="J618" s="16" t="s">
        <v>199</v>
      </c>
      <c r="K618" s="16">
        <v>2.4724020000000002</v>
      </c>
      <c r="L618" s="36">
        <v>4008</v>
      </c>
      <c r="M618" s="36">
        <v>1007</v>
      </c>
      <c r="N618" s="16">
        <v>660</v>
      </c>
      <c r="O618" s="36">
        <v>1055</v>
      </c>
      <c r="P618" s="16">
        <v>760</v>
      </c>
      <c r="Q618" s="16">
        <v>526</v>
      </c>
      <c r="R618" s="16">
        <v>2</v>
      </c>
      <c r="S618" s="16">
        <v>14.1165</v>
      </c>
      <c r="T618" s="16">
        <v>0</v>
      </c>
      <c r="U618" s="16">
        <v>1.0393310819999999</v>
      </c>
      <c r="V618" s="16">
        <v>2</v>
      </c>
      <c r="W618" s="16">
        <v>0.90991599999999995</v>
      </c>
      <c r="X618" s="16">
        <v>0.28227600000000003</v>
      </c>
      <c r="Y618" s="16">
        <v>0.67222000000000004</v>
      </c>
      <c r="Z618" s="16">
        <v>0.60580500000000004</v>
      </c>
      <c r="AA618" s="37"/>
    </row>
    <row r="619" spans="1:27">
      <c r="A619" s="16" t="s">
        <v>73</v>
      </c>
      <c r="B619" s="16" t="s">
        <v>2280</v>
      </c>
      <c r="C619" s="16" t="s">
        <v>2281</v>
      </c>
      <c r="D619" s="16" t="s">
        <v>2282</v>
      </c>
      <c r="E619" s="16" t="s">
        <v>2283</v>
      </c>
      <c r="F619" s="16" t="s">
        <v>2284</v>
      </c>
      <c r="G619" s="16" t="s">
        <v>2077</v>
      </c>
      <c r="H619" s="16" t="s">
        <v>2078</v>
      </c>
      <c r="I619" s="16" t="s">
        <v>198</v>
      </c>
      <c r="J619" s="16" t="s">
        <v>199</v>
      </c>
      <c r="K619" s="16">
        <v>2.3567239999999998</v>
      </c>
      <c r="L619" s="36">
        <v>1663</v>
      </c>
      <c r="M619" s="16">
        <v>275</v>
      </c>
      <c r="N619" s="16">
        <v>285</v>
      </c>
      <c r="O619" s="16">
        <v>416</v>
      </c>
      <c r="P619" s="16">
        <v>401</v>
      </c>
      <c r="Q619" s="16">
        <v>286</v>
      </c>
      <c r="R619" s="16">
        <v>2</v>
      </c>
      <c r="S619" s="16">
        <v>15.1036</v>
      </c>
      <c r="T619" s="16">
        <v>4.4771799999999997</v>
      </c>
      <c r="U619" s="16">
        <v>0.81547657900000003</v>
      </c>
      <c r="V619" s="16">
        <v>6</v>
      </c>
      <c r="W619" s="16">
        <v>0.91171800000000003</v>
      </c>
      <c r="X619" s="16">
        <v>0.2072</v>
      </c>
      <c r="Y619" s="16">
        <v>0.7</v>
      </c>
      <c r="Z619" s="16">
        <v>0.551535</v>
      </c>
      <c r="AA619" s="37"/>
    </row>
    <row r="620" spans="1:27">
      <c r="A620" s="16" t="s">
        <v>73</v>
      </c>
      <c r="B620" s="16" t="s">
        <v>2285</v>
      </c>
      <c r="C620" s="16" t="s">
        <v>2286</v>
      </c>
      <c r="D620" s="16" t="s">
        <v>2287</v>
      </c>
      <c r="E620" s="16" t="s">
        <v>2278</v>
      </c>
      <c r="F620" s="16" t="s">
        <v>2279</v>
      </c>
      <c r="G620" s="16" t="s">
        <v>2077</v>
      </c>
      <c r="H620" s="16" t="s">
        <v>2078</v>
      </c>
      <c r="I620" s="16" t="s">
        <v>198</v>
      </c>
      <c r="J620" s="16" t="s">
        <v>199</v>
      </c>
      <c r="K620" s="16">
        <v>2.3660239999999999</v>
      </c>
      <c r="L620" s="36">
        <v>1477</v>
      </c>
      <c r="M620" s="16">
        <v>283</v>
      </c>
      <c r="N620" s="16">
        <v>259</v>
      </c>
      <c r="O620" s="16">
        <v>305</v>
      </c>
      <c r="P620" s="16">
        <v>367</v>
      </c>
      <c r="Q620" s="16">
        <v>263</v>
      </c>
      <c r="R620" s="16">
        <v>2</v>
      </c>
      <c r="S620" s="16">
        <v>11.502800000000001</v>
      </c>
      <c r="T620" s="16">
        <v>2.6467499999999999</v>
      </c>
      <c r="U620" s="16">
        <v>0.83150925499999995</v>
      </c>
      <c r="V620" s="16">
        <v>5</v>
      </c>
      <c r="W620" s="16">
        <v>0.90817300000000001</v>
      </c>
      <c r="X620" s="16">
        <v>0.26405099999999998</v>
      </c>
      <c r="Y620" s="16">
        <v>0.64571900000000004</v>
      </c>
      <c r="Z620" s="16">
        <v>0.53897499999999998</v>
      </c>
      <c r="AA620" s="37"/>
    </row>
    <row r="621" spans="1:27">
      <c r="A621" s="16" t="s">
        <v>73</v>
      </c>
      <c r="B621" s="16" t="s">
        <v>2288</v>
      </c>
      <c r="C621" s="16" t="s">
        <v>2289</v>
      </c>
      <c r="D621" s="16" t="s">
        <v>2290</v>
      </c>
      <c r="E621" s="16" t="s">
        <v>2291</v>
      </c>
      <c r="F621" s="16" t="s">
        <v>2292</v>
      </c>
      <c r="G621" s="16" t="s">
        <v>2077</v>
      </c>
      <c r="H621" s="16" t="s">
        <v>2078</v>
      </c>
      <c r="I621" s="16" t="s">
        <v>198</v>
      </c>
      <c r="J621" s="16" t="s">
        <v>199</v>
      </c>
      <c r="K621" s="16">
        <v>2.1695479999999998</v>
      </c>
      <c r="L621" s="36">
        <v>1640</v>
      </c>
      <c r="M621" s="16">
        <v>402</v>
      </c>
      <c r="N621" s="16">
        <v>256</v>
      </c>
      <c r="O621" s="16">
        <v>371</v>
      </c>
      <c r="P621" s="16">
        <v>359</v>
      </c>
      <c r="Q621" s="16">
        <v>252</v>
      </c>
      <c r="R621" s="16">
        <v>2</v>
      </c>
      <c r="S621" s="16">
        <v>15.102600000000001</v>
      </c>
      <c r="T621" s="16">
        <v>2.29819</v>
      </c>
      <c r="U621" s="16">
        <v>1.1335225149999999</v>
      </c>
      <c r="V621" s="16">
        <v>2</v>
      </c>
      <c r="W621" s="16">
        <v>0.89563800000000005</v>
      </c>
      <c r="X621" s="16">
        <v>0.128745</v>
      </c>
      <c r="Y621" s="16">
        <v>0.65222999999999998</v>
      </c>
      <c r="Z621" s="16">
        <v>0.50600599999999996</v>
      </c>
      <c r="AA621" s="37"/>
    </row>
    <row r="622" spans="1:27">
      <c r="A622" s="16" t="s">
        <v>73</v>
      </c>
      <c r="B622" s="16" t="s">
        <v>2293</v>
      </c>
      <c r="C622" s="16" t="s">
        <v>2294</v>
      </c>
      <c r="D622" s="16" t="s">
        <v>2295</v>
      </c>
      <c r="E622" s="16" t="s">
        <v>2124</v>
      </c>
      <c r="F622" s="16" t="s">
        <v>2125</v>
      </c>
      <c r="G622" s="16" t="s">
        <v>2077</v>
      </c>
      <c r="H622" s="16" t="s">
        <v>2078</v>
      </c>
      <c r="I622" s="16" t="s">
        <v>198</v>
      </c>
      <c r="J622" s="16" t="s">
        <v>199</v>
      </c>
      <c r="K622" s="16">
        <v>2.3235830000000002</v>
      </c>
      <c r="L622" s="36">
        <v>1493</v>
      </c>
      <c r="M622" s="16">
        <v>279</v>
      </c>
      <c r="N622" s="16">
        <v>234</v>
      </c>
      <c r="O622" s="16">
        <v>343</v>
      </c>
      <c r="P622" s="16">
        <v>400</v>
      </c>
      <c r="Q622" s="16">
        <v>237</v>
      </c>
      <c r="R622" s="16">
        <v>2</v>
      </c>
      <c r="S622" s="16">
        <v>13.200799999999999</v>
      </c>
      <c r="T622" s="16">
        <v>0</v>
      </c>
      <c r="U622" s="16">
        <v>0.82677719900000002</v>
      </c>
      <c r="V622" s="16">
        <v>4</v>
      </c>
      <c r="W622" s="16">
        <v>0.911134</v>
      </c>
      <c r="X622" s="16">
        <v>0.21429999999999999</v>
      </c>
      <c r="Y622" s="16">
        <v>0.7</v>
      </c>
      <c r="Z622" s="16">
        <v>0.51168199999999997</v>
      </c>
      <c r="AA622" s="37"/>
    </row>
    <row r="623" spans="1:27">
      <c r="A623" s="16" t="s">
        <v>73</v>
      </c>
      <c r="B623" s="16" t="s">
        <v>2134</v>
      </c>
      <c r="C623" s="16" t="s">
        <v>2135</v>
      </c>
      <c r="D623" s="16" t="s">
        <v>2136</v>
      </c>
      <c r="E623" s="16" t="s">
        <v>2137</v>
      </c>
      <c r="F623" s="16" t="s">
        <v>2138</v>
      </c>
      <c r="G623" s="16" t="s">
        <v>2077</v>
      </c>
      <c r="H623" s="16" t="s">
        <v>2078</v>
      </c>
      <c r="I623" s="16" t="s">
        <v>198</v>
      </c>
      <c r="J623" s="16" t="s">
        <v>199</v>
      </c>
      <c r="K623" s="16">
        <v>2.6087069999999999</v>
      </c>
      <c r="L623" s="36">
        <v>1595</v>
      </c>
      <c r="M623" s="16">
        <v>395</v>
      </c>
      <c r="N623" s="16">
        <v>290</v>
      </c>
      <c r="O623" s="16">
        <v>335</v>
      </c>
      <c r="P623" s="16">
        <v>377</v>
      </c>
      <c r="Q623" s="16">
        <v>198</v>
      </c>
      <c r="R623" s="16">
        <v>2</v>
      </c>
      <c r="S623" s="16">
        <v>19.205200000000001</v>
      </c>
      <c r="T623" s="16">
        <v>2.1311900000000001</v>
      </c>
      <c r="U623" s="16">
        <v>0.91418089999999996</v>
      </c>
      <c r="V623" s="16">
        <v>3</v>
      </c>
      <c r="W623" s="16">
        <v>0.91415000000000002</v>
      </c>
      <c r="X623" s="16">
        <v>0.36205999999999999</v>
      </c>
      <c r="Y623" s="16">
        <v>0.67708000000000002</v>
      </c>
      <c r="Z623" s="16">
        <v>0.66019000000000005</v>
      </c>
      <c r="AA623" s="37"/>
    </row>
    <row r="624" spans="1:27">
      <c r="A624" s="16" t="s">
        <v>73</v>
      </c>
      <c r="B624" s="16" t="s">
        <v>2296</v>
      </c>
      <c r="C624" s="16" t="s">
        <v>2297</v>
      </c>
      <c r="D624" s="16" t="s">
        <v>2298</v>
      </c>
      <c r="E624" s="16" t="s">
        <v>2137</v>
      </c>
      <c r="F624" s="16" t="s">
        <v>2138</v>
      </c>
      <c r="G624" s="16" t="s">
        <v>2077</v>
      </c>
      <c r="H624" s="16" t="s">
        <v>2078</v>
      </c>
      <c r="I624" s="16" t="s">
        <v>198</v>
      </c>
      <c r="J624" s="16" t="s">
        <v>199</v>
      </c>
      <c r="K624" s="16">
        <v>2.528</v>
      </c>
      <c r="L624" s="36">
        <v>1852</v>
      </c>
      <c r="M624" s="16">
        <v>425</v>
      </c>
      <c r="N624" s="16">
        <v>313</v>
      </c>
      <c r="O624" s="16">
        <v>480</v>
      </c>
      <c r="P624" s="16">
        <v>472</v>
      </c>
      <c r="Q624" s="16">
        <v>162</v>
      </c>
      <c r="R624" s="16">
        <v>2</v>
      </c>
      <c r="S624" s="16">
        <v>12.361700000000001</v>
      </c>
      <c r="T624" s="16">
        <v>3.49776</v>
      </c>
      <c r="U624" s="16">
        <v>0.82497479500000004</v>
      </c>
      <c r="V624" s="16">
        <v>4</v>
      </c>
      <c r="W624" s="16">
        <v>0.91522599999999998</v>
      </c>
      <c r="X624" s="16">
        <v>0.32159399999999999</v>
      </c>
      <c r="Y624" s="16">
        <v>0.7</v>
      </c>
      <c r="Z624" s="16">
        <v>0.59601000000000004</v>
      </c>
      <c r="AA624" s="37"/>
    </row>
    <row r="625" spans="1:27">
      <c r="A625" s="16" t="s">
        <v>73</v>
      </c>
      <c r="B625" s="16" t="s">
        <v>2145</v>
      </c>
      <c r="C625" s="16" t="s">
        <v>2146</v>
      </c>
      <c r="D625" s="16" t="s">
        <v>2147</v>
      </c>
      <c r="E625" s="16" t="s">
        <v>2137</v>
      </c>
      <c r="F625" s="16" t="s">
        <v>2138</v>
      </c>
      <c r="G625" s="16" t="s">
        <v>2077</v>
      </c>
      <c r="H625" s="16" t="s">
        <v>2078</v>
      </c>
      <c r="I625" s="16" t="s">
        <v>198</v>
      </c>
      <c r="J625" s="16" t="s">
        <v>199</v>
      </c>
      <c r="K625" s="16">
        <v>2.4504450000000002</v>
      </c>
      <c r="L625" s="36">
        <v>1603</v>
      </c>
      <c r="M625" s="16">
        <v>355</v>
      </c>
      <c r="N625" s="16">
        <v>254</v>
      </c>
      <c r="O625" s="16">
        <v>337</v>
      </c>
      <c r="P625" s="16">
        <v>409</v>
      </c>
      <c r="Q625" s="16">
        <v>248</v>
      </c>
      <c r="R625" s="16">
        <v>2</v>
      </c>
      <c r="S625" s="16">
        <v>14.256</v>
      </c>
      <c r="T625" s="16">
        <v>2.5042</v>
      </c>
      <c r="U625" s="16">
        <v>1.101719495</v>
      </c>
      <c r="V625" s="16">
        <v>2</v>
      </c>
      <c r="W625" s="16">
        <v>0.907497</v>
      </c>
      <c r="X625" s="16">
        <v>0.21526500000000001</v>
      </c>
      <c r="Y625" s="16">
        <v>0.69631500000000002</v>
      </c>
      <c r="Z625" s="16">
        <v>0.61920600000000003</v>
      </c>
      <c r="AA625" s="37"/>
    </row>
    <row r="626" spans="1:27">
      <c r="A626" s="16" t="s">
        <v>73</v>
      </c>
      <c r="B626" s="16" t="s">
        <v>2299</v>
      </c>
      <c r="C626" s="16" t="s">
        <v>2300</v>
      </c>
      <c r="D626" s="16" t="s">
        <v>2301</v>
      </c>
      <c r="E626" s="16" t="s">
        <v>2192</v>
      </c>
      <c r="F626" s="16" t="s">
        <v>2193</v>
      </c>
      <c r="G626" s="16" t="s">
        <v>2077</v>
      </c>
      <c r="H626" s="16" t="s">
        <v>2078</v>
      </c>
      <c r="I626" s="16" t="s">
        <v>198</v>
      </c>
      <c r="J626" s="16" t="s">
        <v>199</v>
      </c>
      <c r="K626" s="16">
        <v>2.3603360000000002</v>
      </c>
      <c r="L626" s="36">
        <v>1535</v>
      </c>
      <c r="M626" s="16">
        <v>352</v>
      </c>
      <c r="N626" s="16">
        <v>207</v>
      </c>
      <c r="O626" s="16">
        <v>376</v>
      </c>
      <c r="P626" s="16">
        <v>340</v>
      </c>
      <c r="Q626" s="16">
        <v>260</v>
      </c>
      <c r="R626" s="16">
        <v>2</v>
      </c>
      <c r="S626" s="16">
        <v>12.3744</v>
      </c>
      <c r="T626" s="16">
        <v>0</v>
      </c>
      <c r="U626" s="16">
        <v>0.89811816700000002</v>
      </c>
      <c r="V626" s="16">
        <v>4</v>
      </c>
      <c r="W626" s="16">
        <v>0.90870899999999999</v>
      </c>
      <c r="X626" s="16">
        <v>0.22953599999999999</v>
      </c>
      <c r="Y626" s="16">
        <v>0.65663199999999999</v>
      </c>
      <c r="Z626" s="16">
        <v>0.55293499999999995</v>
      </c>
      <c r="AA626" s="37"/>
    </row>
    <row r="627" spans="1:27">
      <c r="A627" s="16" t="s">
        <v>73</v>
      </c>
      <c r="B627" s="16" t="s">
        <v>2194</v>
      </c>
      <c r="C627" s="16" t="s">
        <v>2195</v>
      </c>
      <c r="D627" s="16" t="s">
        <v>2196</v>
      </c>
      <c r="E627" s="16" t="s">
        <v>2192</v>
      </c>
      <c r="F627" s="16" t="s">
        <v>2193</v>
      </c>
      <c r="G627" s="16" t="s">
        <v>2077</v>
      </c>
      <c r="H627" s="16" t="s">
        <v>2078</v>
      </c>
      <c r="I627" s="16" t="s">
        <v>198</v>
      </c>
      <c r="J627" s="16" t="s">
        <v>199</v>
      </c>
      <c r="K627" s="16">
        <v>2.3450120000000001</v>
      </c>
      <c r="L627" s="36">
        <v>1643</v>
      </c>
      <c r="M627" s="16">
        <v>233</v>
      </c>
      <c r="N627" s="16">
        <v>309</v>
      </c>
      <c r="O627" s="16">
        <v>482</v>
      </c>
      <c r="P627" s="16">
        <v>363</v>
      </c>
      <c r="Q627" s="16">
        <v>256</v>
      </c>
      <c r="R627" s="16">
        <v>2</v>
      </c>
      <c r="S627" s="16">
        <v>16.080400000000001</v>
      </c>
      <c r="T627" s="16">
        <v>0</v>
      </c>
      <c r="U627" s="16">
        <v>0.70911929200000001</v>
      </c>
      <c r="V627" s="16">
        <v>7</v>
      </c>
      <c r="W627" s="16">
        <v>0.912219</v>
      </c>
      <c r="X627" s="16">
        <v>0.24185499999999999</v>
      </c>
      <c r="Y627" s="16">
        <v>0.62327900000000003</v>
      </c>
      <c r="Z627" s="16">
        <v>0.57244399999999995</v>
      </c>
      <c r="AA627" s="37"/>
    </row>
    <row r="628" spans="1:27">
      <c r="A628" s="16"/>
      <c r="B628" s="16"/>
      <c r="C628" s="16"/>
      <c r="D628" s="16"/>
      <c r="E628" s="16"/>
      <c r="F628" s="16"/>
      <c r="G628" s="16"/>
      <c r="H628" s="16"/>
      <c r="I628" s="16"/>
      <c r="J628" s="16"/>
      <c r="K628" s="16">
        <f>MEDIAN(K618:K627)</f>
        <v>2.3631799999999998</v>
      </c>
      <c r="L628" s="36">
        <f>AVERAGE(L618:L627)</f>
        <v>1850.9</v>
      </c>
      <c r="M628" s="36">
        <f t="shared" ref="M628:Q628" si="55">SUM(M618:M627)</f>
        <v>4006</v>
      </c>
      <c r="N628" s="36">
        <f t="shared" si="55"/>
        <v>3067</v>
      </c>
      <c r="O628" s="36">
        <f t="shared" si="55"/>
        <v>4500</v>
      </c>
      <c r="P628" s="36">
        <f t="shared" si="55"/>
        <v>4248</v>
      </c>
      <c r="Q628" s="36">
        <f t="shared" si="55"/>
        <v>2688</v>
      </c>
      <c r="R628" s="16"/>
      <c r="S628" s="16"/>
      <c r="T628" s="16"/>
      <c r="U628" s="16"/>
      <c r="V628" s="16">
        <f>MEDIAN(V618:V627)</f>
        <v>4</v>
      </c>
      <c r="W628" s="16"/>
      <c r="X628" s="16"/>
      <c r="Y628" s="16"/>
      <c r="Z628" s="16"/>
      <c r="AA628" s="37"/>
    </row>
    <row r="629" spans="1:27">
      <c r="A629" s="16" t="s">
        <v>74</v>
      </c>
      <c r="B629" s="16" t="s">
        <v>2302</v>
      </c>
      <c r="C629" s="16" t="s">
        <v>2303</v>
      </c>
      <c r="D629" s="16" t="s">
        <v>2304</v>
      </c>
      <c r="E629" s="16" t="s">
        <v>2162</v>
      </c>
      <c r="F629" s="16" t="s">
        <v>2163</v>
      </c>
      <c r="G629" s="16" t="s">
        <v>2164</v>
      </c>
      <c r="H629" s="16" t="s">
        <v>2165</v>
      </c>
      <c r="I629" s="16" t="s">
        <v>198</v>
      </c>
      <c r="J629" s="16" t="s">
        <v>199</v>
      </c>
      <c r="K629" s="16">
        <v>2.1509740000000002</v>
      </c>
      <c r="L629" s="36">
        <v>1896</v>
      </c>
      <c r="M629" s="16">
        <v>304</v>
      </c>
      <c r="N629" s="16">
        <v>350</v>
      </c>
      <c r="O629" s="16">
        <v>578</v>
      </c>
      <c r="P629" s="16">
        <v>444</v>
      </c>
      <c r="Q629" s="16">
        <v>220</v>
      </c>
      <c r="R629" s="16">
        <v>4</v>
      </c>
      <c r="S629" s="16">
        <v>62.725900000000003</v>
      </c>
      <c r="T629" s="16">
        <v>0</v>
      </c>
      <c r="U629" s="16">
        <v>0.83154441599999995</v>
      </c>
      <c r="V629" s="16">
        <v>7</v>
      </c>
      <c r="W629" s="16">
        <v>0.90313900000000003</v>
      </c>
      <c r="X629" s="16">
        <v>7.5546000000000002E-2</v>
      </c>
      <c r="Y629" s="16">
        <v>0.7</v>
      </c>
      <c r="Z629" s="16">
        <v>0.47481000000000001</v>
      </c>
      <c r="AA629" s="37"/>
    </row>
    <row r="630" spans="1:27">
      <c r="A630" s="16" t="s">
        <v>74</v>
      </c>
      <c r="B630" s="16" t="s">
        <v>2305</v>
      </c>
      <c r="C630" s="16" t="s">
        <v>2306</v>
      </c>
      <c r="D630" s="16" t="s">
        <v>2307</v>
      </c>
      <c r="E630" s="16" t="s">
        <v>2162</v>
      </c>
      <c r="F630" s="16" t="s">
        <v>2163</v>
      </c>
      <c r="G630" s="16" t="s">
        <v>2164</v>
      </c>
      <c r="H630" s="16" t="s">
        <v>2165</v>
      </c>
      <c r="I630" s="16" t="s">
        <v>198</v>
      </c>
      <c r="J630" s="16" t="s">
        <v>199</v>
      </c>
      <c r="K630" s="16">
        <v>2.4345189999999999</v>
      </c>
      <c r="L630" s="36">
        <v>1700</v>
      </c>
      <c r="M630" s="16">
        <v>321</v>
      </c>
      <c r="N630" s="16">
        <v>355</v>
      </c>
      <c r="O630" s="16">
        <v>430</v>
      </c>
      <c r="P630" s="16">
        <v>464</v>
      </c>
      <c r="Q630" s="16">
        <v>130</v>
      </c>
      <c r="R630" s="16" t="s">
        <v>668</v>
      </c>
      <c r="S630" s="16">
        <v>63.2836</v>
      </c>
      <c r="T630" s="16">
        <v>21.758900000000001</v>
      </c>
      <c r="U630" s="16">
        <v>0.94636794099999999</v>
      </c>
      <c r="V630" s="16">
        <v>3</v>
      </c>
      <c r="W630" s="16">
        <v>0.90585800000000005</v>
      </c>
      <c r="X630" s="16">
        <v>0.20211399999999999</v>
      </c>
      <c r="Y630" s="16">
        <v>0.7</v>
      </c>
      <c r="Z630" s="16">
        <v>0.64109000000000005</v>
      </c>
      <c r="AA630" s="37"/>
    </row>
    <row r="631" spans="1:27">
      <c r="A631" s="16" t="s">
        <v>74</v>
      </c>
      <c r="B631" s="16" t="s">
        <v>2308</v>
      </c>
      <c r="C631" s="16" t="s">
        <v>2309</v>
      </c>
      <c r="D631" s="16" t="s">
        <v>2310</v>
      </c>
      <c r="E631" s="16" t="s">
        <v>2174</v>
      </c>
      <c r="F631" s="16" t="s">
        <v>2175</v>
      </c>
      <c r="G631" s="16" t="s">
        <v>2164</v>
      </c>
      <c r="H631" s="16" t="s">
        <v>2165</v>
      </c>
      <c r="I631" s="16" t="s">
        <v>198</v>
      </c>
      <c r="J631" s="16" t="s">
        <v>199</v>
      </c>
      <c r="K631" s="16">
        <v>2.0775380000000001</v>
      </c>
      <c r="L631" s="36">
        <v>1623</v>
      </c>
      <c r="M631" s="16">
        <v>259</v>
      </c>
      <c r="N631" s="16">
        <v>215</v>
      </c>
      <c r="O631" s="16">
        <v>452</v>
      </c>
      <c r="P631" s="16">
        <v>384</v>
      </c>
      <c r="Q631" s="16">
        <v>313</v>
      </c>
      <c r="R631" s="16">
        <v>4</v>
      </c>
      <c r="S631" s="16">
        <v>22.277200000000001</v>
      </c>
      <c r="T631" s="16">
        <v>9.4272299999999998</v>
      </c>
      <c r="U631" s="16">
        <v>0.76789462200000003</v>
      </c>
      <c r="V631" s="16">
        <v>8</v>
      </c>
      <c r="W631" s="16">
        <v>0.90784600000000004</v>
      </c>
      <c r="X631" s="16">
        <v>6.9219000000000003E-2</v>
      </c>
      <c r="Y631" s="16">
        <v>0.69923999999999997</v>
      </c>
      <c r="Z631" s="16">
        <v>0.4</v>
      </c>
      <c r="AA631" s="37"/>
    </row>
    <row r="632" spans="1:27">
      <c r="A632" s="16" t="s">
        <v>74</v>
      </c>
      <c r="B632" s="16" t="s">
        <v>2311</v>
      </c>
      <c r="C632" s="16" t="s">
        <v>2312</v>
      </c>
      <c r="D632" s="16" t="s">
        <v>2313</v>
      </c>
      <c r="E632" s="16" t="s">
        <v>2174</v>
      </c>
      <c r="F632" s="16" t="s">
        <v>2175</v>
      </c>
      <c r="G632" s="16" t="s">
        <v>2164</v>
      </c>
      <c r="H632" s="16" t="s">
        <v>2165</v>
      </c>
      <c r="I632" s="16" t="s">
        <v>198</v>
      </c>
      <c r="J632" s="16" t="s">
        <v>199</v>
      </c>
      <c r="K632" s="16">
        <v>2.180653</v>
      </c>
      <c r="L632" s="36">
        <v>2017</v>
      </c>
      <c r="M632" s="16">
        <v>301</v>
      </c>
      <c r="N632" s="16">
        <v>354</v>
      </c>
      <c r="O632" s="16">
        <v>698</v>
      </c>
      <c r="P632" s="16">
        <v>470</v>
      </c>
      <c r="Q632" s="16">
        <v>194</v>
      </c>
      <c r="R632" s="16">
        <v>3</v>
      </c>
      <c r="S632" s="16">
        <v>17.410499999999999</v>
      </c>
      <c r="T632" s="16">
        <v>7.0227000000000004</v>
      </c>
      <c r="U632" s="16">
        <v>0.99857373900000002</v>
      </c>
      <c r="V632" s="16">
        <v>4</v>
      </c>
      <c r="W632" s="16">
        <v>0.90256400000000003</v>
      </c>
      <c r="X632" s="16">
        <v>0.162441</v>
      </c>
      <c r="Y632" s="16">
        <v>0.7</v>
      </c>
      <c r="Z632" s="16">
        <v>0.40821600000000002</v>
      </c>
      <c r="AA632" s="37"/>
    </row>
    <row r="633" spans="1:27">
      <c r="A633" s="16" t="s">
        <v>74</v>
      </c>
      <c r="B633" s="16" t="s">
        <v>2314</v>
      </c>
      <c r="C633" s="16" t="s">
        <v>2315</v>
      </c>
      <c r="D633" s="16" t="s">
        <v>2316</v>
      </c>
      <c r="E633" s="16" t="s">
        <v>2317</v>
      </c>
      <c r="F633" s="16" t="s">
        <v>2318</v>
      </c>
      <c r="G633" s="16" t="s">
        <v>2164</v>
      </c>
      <c r="H633" s="16" t="s">
        <v>2165</v>
      </c>
      <c r="I633" s="16" t="s">
        <v>198</v>
      </c>
      <c r="J633" s="16" t="s">
        <v>199</v>
      </c>
      <c r="K633" s="16">
        <v>2.2451099999999999</v>
      </c>
      <c r="L633" s="36">
        <v>2174</v>
      </c>
      <c r="M633" s="16">
        <v>365</v>
      </c>
      <c r="N633" s="16">
        <v>450</v>
      </c>
      <c r="O633" s="16">
        <v>547</v>
      </c>
      <c r="P633" s="16">
        <v>485</v>
      </c>
      <c r="Q633" s="16">
        <v>327</v>
      </c>
      <c r="R633" s="16" t="s">
        <v>302</v>
      </c>
      <c r="S633" s="16">
        <v>51.721800000000002</v>
      </c>
      <c r="T633" s="16">
        <v>6.6202500000000004</v>
      </c>
      <c r="U633" s="16">
        <v>1.1321972179999999</v>
      </c>
      <c r="V633" s="16">
        <v>3</v>
      </c>
      <c r="W633" s="16">
        <v>0.90399200000000002</v>
      </c>
      <c r="X633" s="16">
        <v>0.103571</v>
      </c>
      <c r="Y633" s="16">
        <v>0.7</v>
      </c>
      <c r="Z633" s="16">
        <v>0.53480000000000005</v>
      </c>
      <c r="AA633" s="37"/>
    </row>
    <row r="634" spans="1:27">
      <c r="A634" s="16" t="s">
        <v>74</v>
      </c>
      <c r="B634" s="16" t="s">
        <v>2319</v>
      </c>
      <c r="C634" s="16" t="s">
        <v>2320</v>
      </c>
      <c r="D634" s="16" t="s">
        <v>2321</v>
      </c>
      <c r="E634" s="16" t="s">
        <v>2322</v>
      </c>
      <c r="F634" s="16" t="s">
        <v>2323</v>
      </c>
      <c r="G634" s="16" t="s">
        <v>2164</v>
      </c>
      <c r="H634" s="16" t="s">
        <v>2165</v>
      </c>
      <c r="I634" s="16" t="s">
        <v>198</v>
      </c>
      <c r="J634" s="16" t="s">
        <v>199</v>
      </c>
      <c r="K634" s="16">
        <v>2.1945250000000001</v>
      </c>
      <c r="L634" s="36">
        <v>2716</v>
      </c>
      <c r="M634" s="16">
        <v>419</v>
      </c>
      <c r="N634" s="16">
        <v>718</v>
      </c>
      <c r="O634" s="16">
        <v>845</v>
      </c>
      <c r="P634" s="16">
        <v>535</v>
      </c>
      <c r="Q634" s="16">
        <v>199</v>
      </c>
      <c r="R634" s="16">
        <v>3</v>
      </c>
      <c r="S634" s="16">
        <v>25.697099999999999</v>
      </c>
      <c r="T634" s="16">
        <v>7.7978100000000001</v>
      </c>
      <c r="U634" s="16">
        <v>0.94094636099999995</v>
      </c>
      <c r="V634" s="16">
        <v>4</v>
      </c>
      <c r="W634" s="16">
        <v>0.90193199999999996</v>
      </c>
      <c r="X634" s="16">
        <v>0.14855299999999999</v>
      </c>
      <c r="Y634" s="16">
        <v>0.69076199999999999</v>
      </c>
      <c r="Z634" s="16">
        <v>0.46455299999999999</v>
      </c>
      <c r="AA634" s="37"/>
    </row>
    <row r="635" spans="1:27">
      <c r="A635" s="16" t="s">
        <v>74</v>
      </c>
      <c r="B635" s="16" t="s">
        <v>2324</v>
      </c>
      <c r="C635" s="16" t="s">
        <v>2325</v>
      </c>
      <c r="D635" s="16" t="s">
        <v>2326</v>
      </c>
      <c r="E635" s="16" t="s">
        <v>2322</v>
      </c>
      <c r="F635" s="16" t="s">
        <v>2323</v>
      </c>
      <c r="G635" s="16" t="s">
        <v>2164</v>
      </c>
      <c r="H635" s="16" t="s">
        <v>2165</v>
      </c>
      <c r="I635" s="16" t="s">
        <v>198</v>
      </c>
      <c r="J635" s="16" t="s">
        <v>199</v>
      </c>
      <c r="K635" s="16">
        <v>2.0610089999999999</v>
      </c>
      <c r="L635" s="36">
        <v>2248</v>
      </c>
      <c r="M635" s="16">
        <v>489</v>
      </c>
      <c r="N635" s="16">
        <v>265</v>
      </c>
      <c r="O635" s="16">
        <v>666</v>
      </c>
      <c r="P635" s="16">
        <v>585</v>
      </c>
      <c r="Q635" s="16">
        <v>243</v>
      </c>
      <c r="R635" s="16">
        <v>2</v>
      </c>
      <c r="S635" s="16">
        <v>16.914999999999999</v>
      </c>
      <c r="T635" s="16">
        <v>6.0763999999999996</v>
      </c>
      <c r="U635" s="16">
        <v>0.85289598600000005</v>
      </c>
      <c r="V635" s="16">
        <v>7</v>
      </c>
      <c r="W635" s="16">
        <v>0.90290499999999996</v>
      </c>
      <c r="X635" s="16">
        <v>6.1110999999999999E-2</v>
      </c>
      <c r="Y635" s="16">
        <v>0.7</v>
      </c>
      <c r="Z635" s="16">
        <v>0.4</v>
      </c>
      <c r="AA635" s="37"/>
    </row>
    <row r="636" spans="1:27">
      <c r="A636" s="16" t="s">
        <v>74</v>
      </c>
      <c r="B636" s="16" t="s">
        <v>2327</v>
      </c>
      <c r="C636" s="16" t="s">
        <v>2328</v>
      </c>
      <c r="D636" s="16" t="s">
        <v>2329</v>
      </c>
      <c r="E636" s="16" t="s">
        <v>2322</v>
      </c>
      <c r="F636" s="16" t="s">
        <v>2323</v>
      </c>
      <c r="G636" s="16" t="s">
        <v>2164</v>
      </c>
      <c r="H636" s="16" t="s">
        <v>2165</v>
      </c>
      <c r="I636" s="16" t="s">
        <v>198</v>
      </c>
      <c r="J636" s="16" t="s">
        <v>199</v>
      </c>
      <c r="K636" s="16">
        <v>2.0545079999999998</v>
      </c>
      <c r="L636" s="36">
        <v>1967</v>
      </c>
      <c r="M636" s="16">
        <v>402</v>
      </c>
      <c r="N636" s="16">
        <v>287</v>
      </c>
      <c r="O636" s="16">
        <v>609</v>
      </c>
      <c r="P636" s="16">
        <v>465</v>
      </c>
      <c r="Q636" s="16">
        <v>204</v>
      </c>
      <c r="R636" s="16">
        <v>2</v>
      </c>
      <c r="S636" s="16">
        <v>14.0961</v>
      </c>
      <c r="T636" s="16">
        <v>5.8821000000000003</v>
      </c>
      <c r="U636" s="16">
        <v>0.97497774800000003</v>
      </c>
      <c r="V636" s="16">
        <v>5</v>
      </c>
      <c r="W636" s="16">
        <v>0.9</v>
      </c>
      <c r="X636" s="16">
        <v>5.2332999999999998E-2</v>
      </c>
      <c r="Y636" s="16">
        <v>0.7</v>
      </c>
      <c r="Z636" s="16">
        <v>0.40449000000000002</v>
      </c>
      <c r="AA636" s="37"/>
    </row>
    <row r="637" spans="1:27">
      <c r="A637" s="16" t="s">
        <v>74</v>
      </c>
      <c r="B637" s="16" t="s">
        <v>2330</v>
      </c>
      <c r="C637" s="16" t="s">
        <v>2331</v>
      </c>
      <c r="D637" s="16" t="s">
        <v>2332</v>
      </c>
      <c r="E637" s="16" t="s">
        <v>2322</v>
      </c>
      <c r="F637" s="16" t="s">
        <v>2323</v>
      </c>
      <c r="G637" s="16" t="s">
        <v>2164</v>
      </c>
      <c r="H637" s="16" t="s">
        <v>2165</v>
      </c>
      <c r="I637" s="16" t="s">
        <v>198</v>
      </c>
      <c r="J637" s="16" t="s">
        <v>199</v>
      </c>
      <c r="K637" s="16">
        <v>2.2625679999999999</v>
      </c>
      <c r="L637" s="36">
        <v>1823</v>
      </c>
      <c r="M637" s="16">
        <v>450</v>
      </c>
      <c r="N637" s="16">
        <v>237</v>
      </c>
      <c r="O637" s="16">
        <v>462</v>
      </c>
      <c r="P637" s="16">
        <v>442</v>
      </c>
      <c r="Q637" s="16">
        <v>232</v>
      </c>
      <c r="R637" s="16">
        <v>3</v>
      </c>
      <c r="S637" s="16">
        <v>14.9145</v>
      </c>
      <c r="T637" s="16">
        <v>6.82118</v>
      </c>
      <c r="U637" s="16">
        <v>1.039462149</v>
      </c>
      <c r="V637" s="16">
        <v>3</v>
      </c>
      <c r="W637" s="16">
        <v>0.90669100000000002</v>
      </c>
      <c r="X637" s="16">
        <v>0.19023499999999999</v>
      </c>
      <c r="Y637" s="16">
        <v>0.7</v>
      </c>
      <c r="Z637" s="16">
        <v>0.47454499999999999</v>
      </c>
      <c r="AA637" s="37"/>
    </row>
    <row r="638" spans="1:27">
      <c r="A638" s="16" t="s">
        <v>74</v>
      </c>
      <c r="B638" s="16" t="s">
        <v>2333</v>
      </c>
      <c r="C638" s="16" t="s">
        <v>2334</v>
      </c>
      <c r="D638" s="16" t="s">
        <v>2335</v>
      </c>
      <c r="E638" s="16" t="s">
        <v>2278</v>
      </c>
      <c r="F638" s="16" t="s">
        <v>2279</v>
      </c>
      <c r="G638" s="16" t="s">
        <v>2077</v>
      </c>
      <c r="H638" s="16" t="s">
        <v>2078</v>
      </c>
      <c r="I638" s="16" t="s">
        <v>198</v>
      </c>
      <c r="J638" s="16" t="s">
        <v>199</v>
      </c>
      <c r="K638" s="16">
        <v>2.0603769999999999</v>
      </c>
      <c r="L638" s="36">
        <v>1865</v>
      </c>
      <c r="M638" s="16">
        <v>434</v>
      </c>
      <c r="N638" s="16">
        <v>264</v>
      </c>
      <c r="O638" s="16">
        <v>478</v>
      </c>
      <c r="P638" s="16">
        <v>430</v>
      </c>
      <c r="Q638" s="16">
        <v>259</v>
      </c>
      <c r="R638" s="16">
        <v>2</v>
      </c>
      <c r="S638" s="16">
        <v>18.207899999999999</v>
      </c>
      <c r="T638" s="16">
        <v>0</v>
      </c>
      <c r="U638" s="16">
        <v>0.846056476</v>
      </c>
      <c r="V638" s="16">
        <v>8</v>
      </c>
      <c r="W638" s="16">
        <v>0.90467200000000003</v>
      </c>
      <c r="X638" s="16">
        <v>4.2484000000000001E-2</v>
      </c>
      <c r="Y638" s="16">
        <v>0.7</v>
      </c>
      <c r="Z638" s="16">
        <v>0.40914800000000001</v>
      </c>
      <c r="AA638" s="37"/>
    </row>
    <row r="639" spans="1:27">
      <c r="A639" s="16" t="s">
        <v>74</v>
      </c>
      <c r="B639" s="16" t="s">
        <v>2336</v>
      </c>
      <c r="C639" s="16" t="s">
        <v>2337</v>
      </c>
      <c r="D639" s="16" t="s">
        <v>2338</v>
      </c>
      <c r="E639" s="16" t="s">
        <v>2278</v>
      </c>
      <c r="F639" s="16" t="s">
        <v>2279</v>
      </c>
      <c r="G639" s="16" t="s">
        <v>2077</v>
      </c>
      <c r="H639" s="16" t="s">
        <v>2078</v>
      </c>
      <c r="I639" s="16" t="s">
        <v>198</v>
      </c>
      <c r="J639" s="16" t="s">
        <v>199</v>
      </c>
      <c r="K639" s="16">
        <v>2.2387860000000002</v>
      </c>
      <c r="L639" s="36">
        <v>1693</v>
      </c>
      <c r="M639" s="16">
        <v>389</v>
      </c>
      <c r="N639" s="16">
        <v>239</v>
      </c>
      <c r="O639" s="16">
        <v>410</v>
      </c>
      <c r="P639" s="16">
        <v>371</v>
      </c>
      <c r="Q639" s="16">
        <v>284</v>
      </c>
      <c r="R639" s="16">
        <v>2</v>
      </c>
      <c r="S639" s="16">
        <v>12.2758</v>
      </c>
      <c r="T639" s="16">
        <v>4.2387499999999996</v>
      </c>
      <c r="U639" s="16">
        <v>0.89547326599999999</v>
      </c>
      <c r="V639" s="16">
        <v>5</v>
      </c>
      <c r="W639" s="16">
        <v>0.90295099999999995</v>
      </c>
      <c r="X639" s="16">
        <v>0.17521100000000001</v>
      </c>
      <c r="Y639" s="16">
        <v>0.68581099999999995</v>
      </c>
      <c r="Z639" s="16">
        <v>0.46855000000000002</v>
      </c>
      <c r="AA639" s="37"/>
    </row>
    <row r="640" spans="1:27">
      <c r="A640" s="16"/>
      <c r="B640" s="16"/>
      <c r="C640" s="16"/>
      <c r="D640" s="16"/>
      <c r="E640" s="16"/>
      <c r="F640" s="16"/>
      <c r="G640" s="16"/>
      <c r="H640" s="16"/>
      <c r="I640" s="16"/>
      <c r="J640" s="16"/>
      <c r="K640" s="16">
        <f>MEDIAN(K629:K639)</f>
        <v>2.180653</v>
      </c>
      <c r="L640" s="36">
        <f>AVERAGE(L629:L639)</f>
        <v>1974.7272727272727</v>
      </c>
      <c r="M640" s="36">
        <f t="shared" ref="M640:Q640" si="56">SUM(M629:M639)</f>
        <v>4133</v>
      </c>
      <c r="N640" s="36">
        <f t="shared" si="56"/>
        <v>3734</v>
      </c>
      <c r="O640" s="36">
        <f t="shared" si="56"/>
        <v>6175</v>
      </c>
      <c r="P640" s="36">
        <f t="shared" si="56"/>
        <v>5075</v>
      </c>
      <c r="Q640" s="36">
        <f t="shared" si="56"/>
        <v>2605</v>
      </c>
      <c r="R640" s="16"/>
      <c r="S640" s="16"/>
      <c r="T640" s="16"/>
      <c r="U640" s="16"/>
      <c r="V640" s="16">
        <f>MEDIAN(V629:V639)</f>
        <v>5</v>
      </c>
      <c r="W640" s="16"/>
      <c r="X640" s="16"/>
      <c r="Y640" s="16"/>
      <c r="Z640" s="16"/>
      <c r="AA640" s="37"/>
    </row>
    <row r="641" spans="1:27">
      <c r="A641" s="16" t="s">
        <v>75</v>
      </c>
      <c r="B641" s="16" t="s">
        <v>2339</v>
      </c>
      <c r="C641" s="16" t="s">
        <v>2340</v>
      </c>
      <c r="D641" s="16" t="s">
        <v>2341</v>
      </c>
      <c r="E641" s="16" t="s">
        <v>2342</v>
      </c>
      <c r="F641" s="16" t="s">
        <v>2343</v>
      </c>
      <c r="G641" s="16" t="s">
        <v>655</v>
      </c>
      <c r="H641" s="16" t="s">
        <v>656</v>
      </c>
      <c r="I641" s="16" t="s">
        <v>198</v>
      </c>
      <c r="J641" s="16" t="s">
        <v>199</v>
      </c>
      <c r="K641" s="16">
        <v>2.77094</v>
      </c>
      <c r="L641" s="36">
        <v>2560</v>
      </c>
      <c r="M641" s="16">
        <v>518</v>
      </c>
      <c r="N641" s="16">
        <v>540</v>
      </c>
      <c r="O641" s="16">
        <v>981</v>
      </c>
      <c r="P641" s="16">
        <v>387</v>
      </c>
      <c r="Q641" s="16">
        <v>134</v>
      </c>
      <c r="R641" s="16">
        <v>5</v>
      </c>
      <c r="S641" s="16">
        <v>28.421399999999998</v>
      </c>
      <c r="T641" s="16">
        <v>19.271999999999998</v>
      </c>
      <c r="U641" s="16">
        <v>0.69637461199999995</v>
      </c>
      <c r="V641" s="16">
        <v>4</v>
      </c>
      <c r="W641" s="16">
        <v>0.919373</v>
      </c>
      <c r="X641" s="16">
        <v>0.153529</v>
      </c>
      <c r="Y641" s="16">
        <v>0.7</v>
      </c>
      <c r="Z641" s="16">
        <v>1</v>
      </c>
      <c r="AA641" s="37"/>
    </row>
    <row r="642" spans="1:27">
      <c r="A642" s="16" t="s">
        <v>75</v>
      </c>
      <c r="B642" s="16" t="s">
        <v>2344</v>
      </c>
      <c r="C642" s="16" t="s">
        <v>2345</v>
      </c>
      <c r="D642" s="16" t="s">
        <v>2346</v>
      </c>
      <c r="E642" s="16" t="s">
        <v>2347</v>
      </c>
      <c r="F642" s="16" t="s">
        <v>2348</v>
      </c>
      <c r="G642" s="16" t="s">
        <v>655</v>
      </c>
      <c r="H642" s="16" t="s">
        <v>656</v>
      </c>
      <c r="I642" s="16" t="s">
        <v>198</v>
      </c>
      <c r="J642" s="16" t="s">
        <v>199</v>
      </c>
      <c r="K642" s="16">
        <v>2.764246</v>
      </c>
      <c r="L642" s="36">
        <v>1388</v>
      </c>
      <c r="M642" s="16">
        <v>397</v>
      </c>
      <c r="N642" s="16">
        <v>250</v>
      </c>
      <c r="O642" s="16">
        <v>368</v>
      </c>
      <c r="P642" s="16">
        <v>300</v>
      </c>
      <c r="Q642" s="16">
        <v>73</v>
      </c>
      <c r="R642" s="16">
        <v>5</v>
      </c>
      <c r="S642" s="16">
        <v>21.471599999999999</v>
      </c>
      <c r="T642" s="16">
        <v>16.943999999999999</v>
      </c>
      <c r="U642" s="16">
        <v>0.86282011999999997</v>
      </c>
      <c r="V642" s="16">
        <v>3</v>
      </c>
      <c r="W642" s="16">
        <v>0.90782099999999999</v>
      </c>
      <c r="X642" s="16">
        <v>0.16441700000000001</v>
      </c>
      <c r="Y642" s="16">
        <v>0.70736200000000005</v>
      </c>
      <c r="Z642" s="16">
        <v>1</v>
      </c>
      <c r="AA642" s="37"/>
    </row>
    <row r="643" spans="1:27">
      <c r="A643" s="16" t="s">
        <v>75</v>
      </c>
      <c r="B643" s="16" t="s">
        <v>2349</v>
      </c>
      <c r="C643" s="16" t="s">
        <v>2350</v>
      </c>
      <c r="D643" s="16" t="s">
        <v>2351</v>
      </c>
      <c r="E643" s="16" t="s">
        <v>2352</v>
      </c>
      <c r="F643" s="16" t="s">
        <v>2353</v>
      </c>
      <c r="G643" s="16" t="s">
        <v>655</v>
      </c>
      <c r="H643" s="16" t="s">
        <v>656</v>
      </c>
      <c r="I643" s="16" t="s">
        <v>198</v>
      </c>
      <c r="J643" s="16" t="s">
        <v>199</v>
      </c>
      <c r="K643" s="16">
        <v>2.6012140000000001</v>
      </c>
      <c r="L643" s="36">
        <v>2134</v>
      </c>
      <c r="M643" s="16">
        <v>373</v>
      </c>
      <c r="N643" s="16">
        <v>394</v>
      </c>
      <c r="O643" s="16">
        <v>741</v>
      </c>
      <c r="P643" s="16">
        <v>418</v>
      </c>
      <c r="Q643" s="16">
        <v>208</v>
      </c>
      <c r="R643" s="16" t="s">
        <v>302</v>
      </c>
      <c r="S643" s="16">
        <v>35.919899999999998</v>
      </c>
      <c r="T643" s="16">
        <v>16.831099999999999</v>
      </c>
      <c r="U643" s="16">
        <v>0.93778822699999997</v>
      </c>
      <c r="V643" s="16">
        <v>3</v>
      </c>
      <c r="W643" s="16">
        <v>0.91189299999999995</v>
      </c>
      <c r="X643" s="16">
        <v>2.2329999999999999E-2</v>
      </c>
      <c r="Y643" s="16">
        <v>0.7</v>
      </c>
      <c r="Z643" s="16">
        <v>0.97111599999999998</v>
      </c>
      <c r="AA643" s="37"/>
    </row>
    <row r="644" spans="1:27">
      <c r="A644" s="16" t="s">
        <v>75</v>
      </c>
      <c r="B644" s="16" t="s">
        <v>2354</v>
      </c>
      <c r="C644" s="16" t="s">
        <v>2355</v>
      </c>
      <c r="D644" s="16" t="s">
        <v>2356</v>
      </c>
      <c r="E644" s="16" t="s">
        <v>2357</v>
      </c>
      <c r="F644" s="16" t="s">
        <v>2358</v>
      </c>
      <c r="G644" s="16" t="s">
        <v>655</v>
      </c>
      <c r="H644" s="16" t="s">
        <v>656</v>
      </c>
      <c r="I644" s="16" t="s">
        <v>198</v>
      </c>
      <c r="J644" s="16" t="s">
        <v>199</v>
      </c>
      <c r="K644" s="16">
        <v>2.6524220000000001</v>
      </c>
      <c r="L644" s="36">
        <v>2277</v>
      </c>
      <c r="M644" s="16">
        <v>445</v>
      </c>
      <c r="N644" s="16">
        <v>479</v>
      </c>
      <c r="O644" s="16">
        <v>753</v>
      </c>
      <c r="P644" s="16">
        <v>494</v>
      </c>
      <c r="Q644" s="16">
        <v>106</v>
      </c>
      <c r="R644" s="16">
        <v>4</v>
      </c>
      <c r="S644" s="16">
        <v>23.069800000000001</v>
      </c>
      <c r="T644" s="16">
        <v>11.5433</v>
      </c>
      <c r="U644" s="16">
        <v>0.98259476199999995</v>
      </c>
      <c r="V644" s="16">
        <v>2</v>
      </c>
      <c r="W644" s="16">
        <v>0.915385</v>
      </c>
      <c r="X644" s="16">
        <v>4.1126999999999997E-2</v>
      </c>
      <c r="Y644" s="16">
        <v>0.7</v>
      </c>
      <c r="Z644" s="16">
        <v>1</v>
      </c>
      <c r="AA644" s="37"/>
    </row>
    <row r="645" spans="1:27">
      <c r="A645" s="16" t="s">
        <v>75</v>
      </c>
      <c r="B645" s="16" t="s">
        <v>2359</v>
      </c>
      <c r="C645" s="16" t="s">
        <v>2360</v>
      </c>
      <c r="D645" s="16" t="s">
        <v>2361</v>
      </c>
      <c r="E645" s="16" t="s">
        <v>2362</v>
      </c>
      <c r="F645" s="16" t="s">
        <v>2363</v>
      </c>
      <c r="G645" s="16" t="s">
        <v>655</v>
      </c>
      <c r="H645" s="16" t="s">
        <v>656</v>
      </c>
      <c r="I645" s="16" t="s">
        <v>198</v>
      </c>
      <c r="J645" s="16" t="s">
        <v>199</v>
      </c>
      <c r="K645" s="16">
        <v>2.6793909999999999</v>
      </c>
      <c r="L645" s="36">
        <v>2589</v>
      </c>
      <c r="M645" s="16">
        <v>325</v>
      </c>
      <c r="N645" s="16">
        <v>642</v>
      </c>
      <c r="O645" s="36">
        <v>1043</v>
      </c>
      <c r="P645" s="16">
        <v>392</v>
      </c>
      <c r="Q645" s="16">
        <v>187</v>
      </c>
      <c r="R645" s="16">
        <v>5</v>
      </c>
      <c r="S645" s="16">
        <v>32.9876</v>
      </c>
      <c r="T645" s="16">
        <v>15.786300000000001</v>
      </c>
      <c r="U645" s="16">
        <v>0.86996858700000002</v>
      </c>
      <c r="V645" s="16">
        <v>3</v>
      </c>
      <c r="W645" s="16">
        <v>0.91615899999999995</v>
      </c>
      <c r="X645" s="16">
        <v>5.5268999999999999E-2</v>
      </c>
      <c r="Y645" s="16">
        <v>0.7</v>
      </c>
      <c r="Z645" s="16">
        <v>1</v>
      </c>
      <c r="AA645" s="37"/>
    </row>
    <row r="646" spans="1:27">
      <c r="A646" s="16" t="s">
        <v>75</v>
      </c>
      <c r="B646" s="16" t="s">
        <v>2364</v>
      </c>
      <c r="C646" s="16" t="s">
        <v>2365</v>
      </c>
      <c r="D646" s="16" t="s">
        <v>2366</v>
      </c>
      <c r="E646" s="16" t="s">
        <v>2367</v>
      </c>
      <c r="F646" s="16" t="s">
        <v>2368</v>
      </c>
      <c r="G646" s="16" t="s">
        <v>655</v>
      </c>
      <c r="H646" s="16" t="s">
        <v>656</v>
      </c>
      <c r="I646" s="16" t="s">
        <v>198</v>
      </c>
      <c r="J646" s="16" t="s">
        <v>199</v>
      </c>
      <c r="K646" s="16">
        <v>2.7826849999999999</v>
      </c>
      <c r="L646" s="36">
        <v>3065</v>
      </c>
      <c r="M646" s="16">
        <v>440</v>
      </c>
      <c r="N646" s="16">
        <v>740</v>
      </c>
      <c r="O646" s="36">
        <v>1173</v>
      </c>
      <c r="P646" s="16">
        <v>523</v>
      </c>
      <c r="Q646" s="16">
        <v>189</v>
      </c>
      <c r="R646" s="16" t="s">
        <v>302</v>
      </c>
      <c r="S646" s="16">
        <v>37.809399999999997</v>
      </c>
      <c r="T646" s="16">
        <v>22.013100000000001</v>
      </c>
      <c r="U646" s="16">
        <v>0.82398208900000003</v>
      </c>
      <c r="V646" s="16">
        <v>3</v>
      </c>
      <c r="W646" s="16">
        <v>0.91614799999999996</v>
      </c>
      <c r="X646" s="16">
        <v>0.166409</v>
      </c>
      <c r="Y646" s="16">
        <v>0.7</v>
      </c>
      <c r="Z646" s="16">
        <v>1</v>
      </c>
      <c r="AA646" s="37"/>
    </row>
    <row r="647" spans="1:27">
      <c r="A647" s="16" t="s">
        <v>75</v>
      </c>
      <c r="B647" s="16" t="s">
        <v>2369</v>
      </c>
      <c r="C647" s="16" t="s">
        <v>2370</v>
      </c>
      <c r="D647" s="16" t="s">
        <v>2371</v>
      </c>
      <c r="E647" s="16" t="s">
        <v>2352</v>
      </c>
      <c r="F647" s="16" t="s">
        <v>2353</v>
      </c>
      <c r="G647" s="16" t="s">
        <v>655</v>
      </c>
      <c r="H647" s="16" t="s">
        <v>656</v>
      </c>
      <c r="I647" s="16" t="s">
        <v>198</v>
      </c>
      <c r="J647" s="16" t="s">
        <v>199</v>
      </c>
      <c r="K647" s="16">
        <v>2.7307519999999998</v>
      </c>
      <c r="L647" s="36">
        <v>2341</v>
      </c>
      <c r="M647" s="16">
        <v>377</v>
      </c>
      <c r="N647" s="16">
        <v>463</v>
      </c>
      <c r="O647" s="16">
        <v>920</v>
      </c>
      <c r="P647" s="16">
        <v>420</v>
      </c>
      <c r="Q647" s="16">
        <v>161</v>
      </c>
      <c r="R647" s="16">
        <v>5</v>
      </c>
      <c r="S647" s="16">
        <v>30.433399999999999</v>
      </c>
      <c r="T647" s="16">
        <v>16.305700000000002</v>
      </c>
      <c r="U647" s="16">
        <v>0.89962090800000005</v>
      </c>
      <c r="V647" s="16">
        <v>2</v>
      </c>
      <c r="W647" s="16">
        <v>0.93143500000000001</v>
      </c>
      <c r="X647" s="16">
        <v>8.8532E-2</v>
      </c>
      <c r="Y647" s="16">
        <v>0.7</v>
      </c>
      <c r="Z647" s="16">
        <v>1</v>
      </c>
      <c r="AA647" s="37"/>
    </row>
    <row r="648" spans="1:27">
      <c r="A648" s="16" t="s">
        <v>75</v>
      </c>
      <c r="B648" s="16" t="s">
        <v>2372</v>
      </c>
      <c r="C648" s="16" t="s">
        <v>2373</v>
      </c>
      <c r="D648" s="16" t="s">
        <v>2374</v>
      </c>
      <c r="E648" s="16" t="s">
        <v>2375</v>
      </c>
      <c r="F648" s="16" t="s">
        <v>2376</v>
      </c>
      <c r="G648" s="16" t="s">
        <v>655</v>
      </c>
      <c r="H648" s="16" t="s">
        <v>656</v>
      </c>
      <c r="I648" s="16" t="s">
        <v>198</v>
      </c>
      <c r="J648" s="16" t="s">
        <v>199</v>
      </c>
      <c r="K648" s="16">
        <v>2.7351269999999999</v>
      </c>
      <c r="L648" s="36">
        <v>3767</v>
      </c>
      <c r="M648" s="16">
        <v>612</v>
      </c>
      <c r="N648" s="16">
        <v>749</v>
      </c>
      <c r="O648" s="36">
        <v>1582</v>
      </c>
      <c r="P648" s="16">
        <v>599</v>
      </c>
      <c r="Q648" s="16">
        <v>225</v>
      </c>
      <c r="R648" s="16">
        <v>4</v>
      </c>
      <c r="S648" s="16">
        <v>26.0061</v>
      </c>
      <c r="T648" s="16">
        <v>15.245900000000001</v>
      </c>
      <c r="U648" s="16">
        <v>0.875127455</v>
      </c>
      <c r="V648" s="16">
        <v>3</v>
      </c>
      <c r="W648" s="16">
        <v>0.92322899999999997</v>
      </c>
      <c r="X648" s="16">
        <v>0.108333</v>
      </c>
      <c r="Y648" s="16">
        <v>0.69754799999999995</v>
      </c>
      <c r="Z648" s="16">
        <v>1</v>
      </c>
      <c r="AA648" s="37"/>
    </row>
    <row r="649" spans="1:27">
      <c r="A649" s="16" t="s">
        <v>75</v>
      </c>
      <c r="B649" s="16" t="s">
        <v>2377</v>
      </c>
      <c r="C649" s="16" t="s">
        <v>2378</v>
      </c>
      <c r="D649" s="16" t="s">
        <v>2379</v>
      </c>
      <c r="E649" s="16" t="s">
        <v>2375</v>
      </c>
      <c r="F649" s="16" t="s">
        <v>2376</v>
      </c>
      <c r="G649" s="16" t="s">
        <v>655</v>
      </c>
      <c r="H649" s="16" t="s">
        <v>656</v>
      </c>
      <c r="I649" s="16" t="s">
        <v>198</v>
      </c>
      <c r="J649" s="16" t="s">
        <v>199</v>
      </c>
      <c r="K649" s="16">
        <v>2.6856659999999999</v>
      </c>
      <c r="L649" s="36">
        <v>1805</v>
      </c>
      <c r="M649" s="16">
        <v>382</v>
      </c>
      <c r="N649" s="16">
        <v>394</v>
      </c>
      <c r="O649" s="16">
        <v>565</v>
      </c>
      <c r="P649" s="16">
        <v>341</v>
      </c>
      <c r="Q649" s="16">
        <v>123</v>
      </c>
      <c r="R649" s="16">
        <v>4</v>
      </c>
      <c r="S649" s="16">
        <v>22.2136</v>
      </c>
      <c r="T649" s="16">
        <v>13.445499999999999</v>
      </c>
      <c r="U649" s="16">
        <v>0.97928970699999995</v>
      </c>
      <c r="V649" s="16">
        <v>2</v>
      </c>
      <c r="W649" s="16">
        <v>0.95801999999999998</v>
      </c>
      <c r="X649" s="16">
        <v>6.8851999999999997E-2</v>
      </c>
      <c r="Y649" s="16">
        <v>0.65384600000000004</v>
      </c>
      <c r="Z649" s="16">
        <v>1</v>
      </c>
      <c r="AA649" s="37"/>
    </row>
    <row r="650" spans="1:27">
      <c r="A650" s="16" t="s">
        <v>75</v>
      </c>
      <c r="B650" s="16" t="s">
        <v>2380</v>
      </c>
      <c r="C650" s="16" t="s">
        <v>2381</v>
      </c>
      <c r="D650" s="16" t="s">
        <v>2382</v>
      </c>
      <c r="E650" s="16" t="s">
        <v>2352</v>
      </c>
      <c r="F650" s="16" t="s">
        <v>2353</v>
      </c>
      <c r="G650" s="16" t="s">
        <v>655</v>
      </c>
      <c r="H650" s="16" t="s">
        <v>656</v>
      </c>
      <c r="I650" s="16" t="s">
        <v>198</v>
      </c>
      <c r="J650" s="16" t="s">
        <v>199</v>
      </c>
      <c r="K650" s="16">
        <v>2.7755990000000001</v>
      </c>
      <c r="L650" s="36">
        <v>2264</v>
      </c>
      <c r="M650" s="16">
        <v>248</v>
      </c>
      <c r="N650" s="16">
        <v>469</v>
      </c>
      <c r="O650" s="36">
        <v>1013</v>
      </c>
      <c r="P650" s="16">
        <v>357</v>
      </c>
      <c r="Q650" s="16">
        <v>177</v>
      </c>
      <c r="R650" s="16" t="s">
        <v>302</v>
      </c>
      <c r="S650" s="16">
        <v>36.408499999999997</v>
      </c>
      <c r="T650" s="16">
        <v>20.290400000000002</v>
      </c>
      <c r="U650" s="16">
        <v>0.66816446100000004</v>
      </c>
      <c r="V650" s="16">
        <v>4</v>
      </c>
      <c r="W650" s="16">
        <v>0.93006500000000003</v>
      </c>
      <c r="X650" s="16">
        <v>0.14795700000000001</v>
      </c>
      <c r="Y650" s="16">
        <v>0.7</v>
      </c>
      <c r="Z650" s="16">
        <v>1</v>
      </c>
      <c r="AA650" s="37"/>
    </row>
    <row r="651" spans="1:27">
      <c r="A651" s="16" t="s">
        <v>75</v>
      </c>
      <c r="B651" s="16" t="s">
        <v>2383</v>
      </c>
      <c r="C651" s="16" t="s">
        <v>2384</v>
      </c>
      <c r="D651" s="16" t="s">
        <v>2385</v>
      </c>
      <c r="E651" s="16" t="s">
        <v>2386</v>
      </c>
      <c r="F651" s="16" t="s">
        <v>2387</v>
      </c>
      <c r="G651" s="16" t="s">
        <v>655</v>
      </c>
      <c r="H651" s="16" t="s">
        <v>656</v>
      </c>
      <c r="I651" s="16" t="s">
        <v>198</v>
      </c>
      <c r="J651" s="16" t="s">
        <v>199</v>
      </c>
      <c r="K651" s="16">
        <v>2.5388890000000002</v>
      </c>
      <c r="L651" s="36">
        <v>1490</v>
      </c>
      <c r="M651" s="16">
        <v>299</v>
      </c>
      <c r="N651" s="16">
        <v>267</v>
      </c>
      <c r="O651" s="16">
        <v>466</v>
      </c>
      <c r="P651" s="16">
        <v>322</v>
      </c>
      <c r="Q651" s="16">
        <v>136</v>
      </c>
      <c r="R651" s="16">
        <v>4</v>
      </c>
      <c r="S651" s="16">
        <v>20.191400000000002</v>
      </c>
      <c r="T651" s="16">
        <v>16.3476</v>
      </c>
      <c r="U651" s="16">
        <v>1.217919124</v>
      </c>
      <c r="V651" s="16">
        <v>2</v>
      </c>
      <c r="W651" s="16">
        <v>0.90786999999999995</v>
      </c>
      <c r="X651" s="16">
        <v>0</v>
      </c>
      <c r="Y651" s="16">
        <v>0.7</v>
      </c>
      <c r="Z651" s="16">
        <v>0.93084100000000003</v>
      </c>
      <c r="AA651" s="37"/>
    </row>
    <row r="652" spans="1:27">
      <c r="A652" s="16" t="s">
        <v>75</v>
      </c>
      <c r="B652" s="16" t="s">
        <v>2388</v>
      </c>
      <c r="C652" s="16" t="s">
        <v>2389</v>
      </c>
      <c r="D652" s="16" t="s">
        <v>2390</v>
      </c>
      <c r="E652" s="16" t="s">
        <v>2375</v>
      </c>
      <c r="F652" s="16" t="s">
        <v>2376</v>
      </c>
      <c r="G652" s="16" t="s">
        <v>655</v>
      </c>
      <c r="H652" s="16" t="s">
        <v>656</v>
      </c>
      <c r="I652" s="16" t="s">
        <v>198</v>
      </c>
      <c r="J652" s="16" t="s">
        <v>199</v>
      </c>
      <c r="K652" s="16">
        <v>2.692348</v>
      </c>
      <c r="L652" s="36">
        <v>2711</v>
      </c>
      <c r="M652" s="16">
        <v>501</v>
      </c>
      <c r="N652" s="16">
        <v>527</v>
      </c>
      <c r="O652" s="36">
        <v>1132</v>
      </c>
      <c r="P652" s="16">
        <v>400</v>
      </c>
      <c r="Q652" s="16">
        <v>151</v>
      </c>
      <c r="R652" s="16">
        <v>4</v>
      </c>
      <c r="S652" s="16">
        <v>23.1752</v>
      </c>
      <c r="T652" s="16">
        <v>16.226099999999999</v>
      </c>
      <c r="U652" s="16">
        <v>0.95031245099999995</v>
      </c>
      <c r="V652" s="16">
        <v>2</v>
      </c>
      <c r="W652" s="16">
        <v>0.930871</v>
      </c>
      <c r="X652" s="16">
        <v>9.4399999999999998E-2</v>
      </c>
      <c r="Y652" s="16">
        <v>0.68324200000000002</v>
      </c>
      <c r="Z652" s="16">
        <v>0.983379</v>
      </c>
      <c r="AA652" s="37"/>
    </row>
    <row r="653" spans="1:27">
      <c r="A653" s="16" t="s">
        <v>75</v>
      </c>
      <c r="B653" s="16" t="s">
        <v>2391</v>
      </c>
      <c r="C653" s="16" t="s">
        <v>2392</v>
      </c>
      <c r="D653" s="16" t="s">
        <v>2393</v>
      </c>
      <c r="E653" s="16" t="s">
        <v>2375</v>
      </c>
      <c r="F653" s="16" t="s">
        <v>2376</v>
      </c>
      <c r="G653" s="16" t="s">
        <v>655</v>
      </c>
      <c r="H653" s="16" t="s">
        <v>656</v>
      </c>
      <c r="I653" s="16" t="s">
        <v>198</v>
      </c>
      <c r="J653" s="16" t="s">
        <v>199</v>
      </c>
      <c r="K653" s="16">
        <v>2.613245</v>
      </c>
      <c r="L653" s="36">
        <v>1736</v>
      </c>
      <c r="M653" s="16">
        <v>272</v>
      </c>
      <c r="N653" s="16">
        <v>365</v>
      </c>
      <c r="O653" s="16">
        <v>545</v>
      </c>
      <c r="P653" s="16">
        <v>374</v>
      </c>
      <c r="Q653" s="16">
        <v>180</v>
      </c>
      <c r="R653" s="16">
        <v>5</v>
      </c>
      <c r="S653" s="16">
        <v>25.290400000000002</v>
      </c>
      <c r="T653" s="16">
        <v>15.5707</v>
      </c>
      <c r="U653" s="16">
        <v>1.0561410760000001</v>
      </c>
      <c r="V653" s="16">
        <v>1</v>
      </c>
      <c r="W653" s="16">
        <v>0.94900700000000004</v>
      </c>
      <c r="X653" s="16">
        <v>7.3649000000000006E-2</v>
      </c>
      <c r="Y653" s="16">
        <v>0.60592100000000004</v>
      </c>
      <c r="Z653" s="16">
        <v>1</v>
      </c>
      <c r="AA653" s="37"/>
    </row>
    <row r="654" spans="1:27">
      <c r="A654" s="16" t="s">
        <v>75</v>
      </c>
      <c r="B654" s="16" t="s">
        <v>2394</v>
      </c>
      <c r="C654" s="16" t="s">
        <v>2395</v>
      </c>
      <c r="D654" s="16" t="s">
        <v>2396</v>
      </c>
      <c r="E654" s="16" t="s">
        <v>1285</v>
      </c>
      <c r="F654" s="16" t="s">
        <v>1286</v>
      </c>
      <c r="G654" s="16" t="s">
        <v>655</v>
      </c>
      <c r="H654" s="16" t="s">
        <v>656</v>
      </c>
      <c r="I654" s="16" t="s">
        <v>198</v>
      </c>
      <c r="J654" s="16" t="s">
        <v>199</v>
      </c>
      <c r="K654" s="16">
        <v>2.7840340000000001</v>
      </c>
      <c r="L654" s="36">
        <v>2378</v>
      </c>
      <c r="M654" s="16">
        <v>428</v>
      </c>
      <c r="N654" s="16">
        <v>595</v>
      </c>
      <c r="O654" s="16">
        <v>805</v>
      </c>
      <c r="P654" s="16">
        <v>437</v>
      </c>
      <c r="Q654" s="16">
        <v>113</v>
      </c>
      <c r="R654" s="16" t="s">
        <v>302</v>
      </c>
      <c r="S654" s="16">
        <v>40.798299999999998</v>
      </c>
      <c r="T654" s="16">
        <v>15.039</v>
      </c>
      <c r="U654" s="16">
        <v>0.82606292800000003</v>
      </c>
      <c r="V654" s="16">
        <v>2</v>
      </c>
      <c r="W654" s="16">
        <v>0.98445400000000005</v>
      </c>
      <c r="X654" s="16">
        <v>0.19203400000000001</v>
      </c>
      <c r="Y654" s="16">
        <v>0.6</v>
      </c>
      <c r="Z654" s="16">
        <v>1</v>
      </c>
      <c r="AA654" s="37"/>
    </row>
    <row r="655" spans="1:27">
      <c r="A655" s="16" t="s">
        <v>75</v>
      </c>
      <c r="B655" s="16" t="s">
        <v>2397</v>
      </c>
      <c r="C655" s="16" t="s">
        <v>2398</v>
      </c>
      <c r="D655" s="16" t="s">
        <v>2399</v>
      </c>
      <c r="E655" s="16" t="s">
        <v>2400</v>
      </c>
      <c r="F655" s="16" t="s">
        <v>2401</v>
      </c>
      <c r="G655" s="16" t="s">
        <v>655</v>
      </c>
      <c r="H655" s="16" t="s">
        <v>656</v>
      </c>
      <c r="I655" s="16" t="s">
        <v>198</v>
      </c>
      <c r="J655" s="16" t="s">
        <v>199</v>
      </c>
      <c r="K655" s="16">
        <v>2.6607449999999999</v>
      </c>
      <c r="L655" s="36">
        <v>1744</v>
      </c>
      <c r="M655" s="16">
        <v>683</v>
      </c>
      <c r="N655" s="16">
        <v>333</v>
      </c>
      <c r="O655" s="16">
        <v>365</v>
      </c>
      <c r="P655" s="16">
        <v>251</v>
      </c>
      <c r="Q655" s="16">
        <v>112</v>
      </c>
      <c r="R655" s="16">
        <v>3</v>
      </c>
      <c r="S655" s="16">
        <v>21.366</v>
      </c>
      <c r="T655" s="16">
        <v>6.6152199999999999</v>
      </c>
      <c r="U655" s="16">
        <v>0.775101174</v>
      </c>
      <c r="V655" s="16">
        <v>4</v>
      </c>
      <c r="W655" s="16">
        <v>0.9</v>
      </c>
      <c r="X655" s="16">
        <v>9.1013999999999998E-2</v>
      </c>
      <c r="Y655" s="16">
        <v>0.72737799999999997</v>
      </c>
      <c r="Z655" s="16">
        <v>0.94102600000000003</v>
      </c>
      <c r="AA655" s="37"/>
    </row>
    <row r="656" spans="1:27">
      <c r="A656" s="16" t="s">
        <v>75</v>
      </c>
      <c r="B656" s="16" t="s">
        <v>2402</v>
      </c>
      <c r="C656" s="16" t="s">
        <v>2403</v>
      </c>
      <c r="D656" s="16" t="s">
        <v>2404</v>
      </c>
      <c r="E656" s="16" t="s">
        <v>2347</v>
      </c>
      <c r="F656" s="16" t="s">
        <v>2348</v>
      </c>
      <c r="G656" s="16" t="s">
        <v>655</v>
      </c>
      <c r="H656" s="16" t="s">
        <v>656</v>
      </c>
      <c r="I656" s="16" t="s">
        <v>198</v>
      </c>
      <c r="J656" s="16" t="s">
        <v>199</v>
      </c>
      <c r="K656" s="16">
        <v>2.92</v>
      </c>
      <c r="L656" s="36">
        <v>1947</v>
      </c>
      <c r="M656" s="16">
        <v>720</v>
      </c>
      <c r="N656" s="16">
        <v>347</v>
      </c>
      <c r="O656" s="16">
        <v>400</v>
      </c>
      <c r="P656" s="16">
        <v>330</v>
      </c>
      <c r="Q656" s="16">
        <v>150</v>
      </c>
      <c r="R656" s="16">
        <v>5</v>
      </c>
      <c r="S656" s="16">
        <v>27.297999999999998</v>
      </c>
      <c r="T656" s="16">
        <v>12.484500000000001</v>
      </c>
      <c r="U656" s="16">
        <v>0.86798026299999997</v>
      </c>
      <c r="V656" s="16">
        <v>2</v>
      </c>
      <c r="W656" s="16">
        <v>0.90081599999999995</v>
      </c>
      <c r="X656" s="16">
        <v>0.30494300000000002</v>
      </c>
      <c r="Y656" s="16">
        <v>0.704511</v>
      </c>
      <c r="Z656" s="16">
        <v>1</v>
      </c>
      <c r="AA656" s="37"/>
    </row>
    <row r="657" spans="1:27">
      <c r="A657" s="16" t="s">
        <v>75</v>
      </c>
      <c r="B657" s="16" t="s">
        <v>2405</v>
      </c>
      <c r="C657" s="16" t="s">
        <v>2406</v>
      </c>
      <c r="D657" s="16" t="s">
        <v>2407</v>
      </c>
      <c r="E657" s="16" t="s">
        <v>2408</v>
      </c>
      <c r="F657" s="16" t="s">
        <v>2409</v>
      </c>
      <c r="G657" s="16" t="s">
        <v>655</v>
      </c>
      <c r="H657" s="16" t="s">
        <v>656</v>
      </c>
      <c r="I657" s="16" t="s">
        <v>198</v>
      </c>
      <c r="J657" s="16" t="s">
        <v>199</v>
      </c>
      <c r="K657" s="16">
        <v>2.687954</v>
      </c>
      <c r="L657" s="36">
        <v>1274</v>
      </c>
      <c r="M657" s="16">
        <v>262</v>
      </c>
      <c r="N657" s="16">
        <v>236</v>
      </c>
      <c r="O657" s="16">
        <v>415</v>
      </c>
      <c r="P657" s="16">
        <v>253</v>
      </c>
      <c r="Q657" s="16">
        <v>108</v>
      </c>
      <c r="R657" s="16">
        <v>4</v>
      </c>
      <c r="S657" s="16">
        <v>29.237500000000001</v>
      </c>
      <c r="T657" s="16">
        <v>8.2367600000000003</v>
      </c>
      <c r="U657" s="16">
        <v>0.78296111700000004</v>
      </c>
      <c r="V657" s="16">
        <v>3</v>
      </c>
      <c r="W657" s="16">
        <v>0.90818200000000004</v>
      </c>
      <c r="X657" s="16">
        <v>8.2697000000000007E-2</v>
      </c>
      <c r="Y657" s="16">
        <v>0.7</v>
      </c>
      <c r="Z657" s="16">
        <v>0.99685400000000002</v>
      </c>
      <c r="AA657" s="37"/>
    </row>
    <row r="658" spans="1:27">
      <c r="A658" s="16" t="s">
        <v>75</v>
      </c>
      <c r="B658" s="16" t="s">
        <v>2410</v>
      </c>
      <c r="C658" s="16" t="s">
        <v>2411</v>
      </c>
      <c r="D658" s="16" t="s">
        <v>2412</v>
      </c>
      <c r="E658" s="16" t="s">
        <v>1833</v>
      </c>
      <c r="F658" s="16" t="s">
        <v>1834</v>
      </c>
      <c r="G658" s="16" t="s">
        <v>655</v>
      </c>
      <c r="H658" s="16" t="s">
        <v>656</v>
      </c>
      <c r="I658" s="16" t="s">
        <v>198</v>
      </c>
      <c r="J658" s="16" t="s">
        <v>199</v>
      </c>
      <c r="K658" s="16">
        <v>2.9440719999999998</v>
      </c>
      <c r="L658" s="36">
        <v>2172</v>
      </c>
      <c r="M658" s="16">
        <v>892</v>
      </c>
      <c r="N658" s="16">
        <v>433</v>
      </c>
      <c r="O658" s="16">
        <v>443</v>
      </c>
      <c r="P658" s="16">
        <v>269</v>
      </c>
      <c r="Q658" s="16">
        <v>135</v>
      </c>
      <c r="R658" s="16">
        <v>5</v>
      </c>
      <c r="S658" s="16">
        <v>25.956</v>
      </c>
      <c r="T658" s="16">
        <v>19.8005</v>
      </c>
      <c r="U658" s="16">
        <v>0.68720594999999995</v>
      </c>
      <c r="V658" s="16">
        <v>3</v>
      </c>
      <c r="W658" s="16">
        <v>0.91340200000000005</v>
      </c>
      <c r="X658" s="16">
        <v>0.26412200000000002</v>
      </c>
      <c r="Y658" s="16">
        <v>0.8</v>
      </c>
      <c r="Z658" s="16">
        <v>0.97289000000000003</v>
      </c>
      <c r="AA658" s="37"/>
    </row>
    <row r="659" spans="1:27">
      <c r="A659" s="16" t="s">
        <v>75</v>
      </c>
      <c r="B659" s="16" t="s">
        <v>2413</v>
      </c>
      <c r="C659" s="16" t="s">
        <v>2414</v>
      </c>
      <c r="D659" s="16" t="s">
        <v>2415</v>
      </c>
      <c r="E659" s="16" t="s">
        <v>1833</v>
      </c>
      <c r="F659" s="16" t="s">
        <v>1834</v>
      </c>
      <c r="G659" s="16" t="s">
        <v>655</v>
      </c>
      <c r="H659" s="16" t="s">
        <v>656</v>
      </c>
      <c r="I659" s="16" t="s">
        <v>198</v>
      </c>
      <c r="J659" s="16" t="s">
        <v>199</v>
      </c>
      <c r="K659" s="16">
        <v>2.790286</v>
      </c>
      <c r="L659" s="36">
        <v>2283</v>
      </c>
      <c r="M659" s="16">
        <v>846</v>
      </c>
      <c r="N659" s="16">
        <v>397</v>
      </c>
      <c r="O659" s="16">
        <v>480</v>
      </c>
      <c r="P659" s="16">
        <v>335</v>
      </c>
      <c r="Q659" s="16">
        <v>225</v>
      </c>
      <c r="R659" s="16">
        <v>5</v>
      </c>
      <c r="S659" s="16">
        <v>28.168900000000001</v>
      </c>
      <c r="T659" s="16">
        <v>15.7796</v>
      </c>
      <c r="U659" s="16">
        <v>0.73738036200000001</v>
      </c>
      <c r="V659" s="16">
        <v>3</v>
      </c>
      <c r="W659" s="16">
        <v>0.90314300000000003</v>
      </c>
      <c r="X659" s="16">
        <v>0.14277500000000001</v>
      </c>
      <c r="Y659" s="16">
        <v>0.8</v>
      </c>
      <c r="Z659" s="16">
        <v>0.94085700000000005</v>
      </c>
      <c r="AA659" s="37"/>
    </row>
    <row r="660" spans="1:27">
      <c r="A660" s="16" t="s">
        <v>75</v>
      </c>
      <c r="B660" s="16" t="s">
        <v>2416</v>
      </c>
      <c r="C660" s="16" t="s">
        <v>2417</v>
      </c>
      <c r="D660" s="16" t="s">
        <v>2418</v>
      </c>
      <c r="E660" s="16" t="s">
        <v>2367</v>
      </c>
      <c r="F660" s="16" t="s">
        <v>2368</v>
      </c>
      <c r="G660" s="16" t="s">
        <v>655</v>
      </c>
      <c r="H660" s="16" t="s">
        <v>656</v>
      </c>
      <c r="I660" s="16" t="s">
        <v>198</v>
      </c>
      <c r="J660" s="16" t="s">
        <v>199</v>
      </c>
      <c r="K660" s="16">
        <v>2.5222769999999999</v>
      </c>
      <c r="L660" s="36">
        <v>1749</v>
      </c>
      <c r="M660" s="16">
        <v>249</v>
      </c>
      <c r="N660" s="16">
        <v>241</v>
      </c>
      <c r="O660" s="16">
        <v>470</v>
      </c>
      <c r="P660" s="16">
        <v>455</v>
      </c>
      <c r="Q660" s="16">
        <v>334</v>
      </c>
      <c r="R660" s="16">
        <v>3</v>
      </c>
      <c r="S660" s="16">
        <v>18.6694</v>
      </c>
      <c r="T660" s="16">
        <v>7.6549300000000002</v>
      </c>
      <c r="U660" s="16">
        <v>0.88705723400000003</v>
      </c>
      <c r="V660" s="16">
        <v>3</v>
      </c>
      <c r="W660" s="16">
        <v>0.917327</v>
      </c>
      <c r="X660" s="16">
        <v>0</v>
      </c>
      <c r="Y660" s="16">
        <v>0.7</v>
      </c>
      <c r="Z660" s="16">
        <v>0.90443300000000004</v>
      </c>
      <c r="AA660" s="37"/>
    </row>
    <row r="661" spans="1:27">
      <c r="A661" s="16" t="s">
        <v>75</v>
      </c>
      <c r="B661" s="16" t="s">
        <v>2419</v>
      </c>
      <c r="C661" s="16" t="s">
        <v>2420</v>
      </c>
      <c r="D661" s="16" t="s">
        <v>2421</v>
      </c>
      <c r="E661" s="16" t="s">
        <v>2408</v>
      </c>
      <c r="F661" s="16" t="s">
        <v>2409</v>
      </c>
      <c r="G661" s="16" t="s">
        <v>655</v>
      </c>
      <c r="H661" s="16" t="s">
        <v>656</v>
      </c>
      <c r="I661" s="16" t="s">
        <v>198</v>
      </c>
      <c r="J661" s="16" t="s">
        <v>199</v>
      </c>
      <c r="K661" s="16">
        <v>2.6417869999999999</v>
      </c>
      <c r="L661" s="36">
        <v>1859</v>
      </c>
      <c r="M661" s="16">
        <v>399</v>
      </c>
      <c r="N661" s="16">
        <v>302</v>
      </c>
      <c r="O661" s="16">
        <v>575</v>
      </c>
      <c r="P661" s="16">
        <v>387</v>
      </c>
      <c r="Q661" s="16">
        <v>196</v>
      </c>
      <c r="R661" s="16">
        <v>4</v>
      </c>
      <c r="S661" s="16">
        <v>27.705500000000001</v>
      </c>
      <c r="T661" s="16">
        <v>13.7484</v>
      </c>
      <c r="U661" s="16">
        <v>0.64627903399999997</v>
      </c>
      <c r="V661" s="16">
        <v>6</v>
      </c>
      <c r="W661" s="16">
        <v>0.91873199999999999</v>
      </c>
      <c r="X661" s="16">
        <v>3.6782000000000002E-2</v>
      </c>
      <c r="Y661" s="16">
        <v>0.7</v>
      </c>
      <c r="Z661" s="16">
        <v>0.97716800000000004</v>
      </c>
      <c r="AA661" s="37"/>
    </row>
    <row r="662" spans="1:27">
      <c r="A662" s="16" t="s">
        <v>75</v>
      </c>
      <c r="B662" s="16" t="s">
        <v>2422</v>
      </c>
      <c r="C662" s="16" t="s">
        <v>2423</v>
      </c>
      <c r="D662" s="16" t="s">
        <v>2424</v>
      </c>
      <c r="E662" s="16" t="s">
        <v>2362</v>
      </c>
      <c r="F662" s="16" t="s">
        <v>2363</v>
      </c>
      <c r="G662" s="16" t="s">
        <v>655</v>
      </c>
      <c r="H662" s="16" t="s">
        <v>656</v>
      </c>
      <c r="I662" s="16" t="s">
        <v>198</v>
      </c>
      <c r="J662" s="16" t="s">
        <v>199</v>
      </c>
      <c r="K662" s="16">
        <v>2.7389939999999999</v>
      </c>
      <c r="L662" s="36">
        <v>2069</v>
      </c>
      <c r="M662" s="16">
        <v>272</v>
      </c>
      <c r="N662" s="16">
        <v>346</v>
      </c>
      <c r="O662" s="16">
        <v>767</v>
      </c>
      <c r="P662" s="16">
        <v>467</v>
      </c>
      <c r="Q662" s="16">
        <v>217</v>
      </c>
      <c r="R662" s="16">
        <v>4</v>
      </c>
      <c r="S662" s="16">
        <v>23.982700000000001</v>
      </c>
      <c r="T662" s="16">
        <v>12.8139</v>
      </c>
      <c r="U662" s="16">
        <v>0.90756402999999997</v>
      </c>
      <c r="V662" s="16">
        <v>3</v>
      </c>
      <c r="W662" s="16">
        <v>0.91289299999999995</v>
      </c>
      <c r="X662" s="16">
        <v>0.12523999999999999</v>
      </c>
      <c r="Y662" s="16">
        <v>0.7</v>
      </c>
      <c r="Z662" s="16">
        <v>0.97476600000000002</v>
      </c>
      <c r="AA662" s="37"/>
    </row>
    <row r="663" spans="1:27">
      <c r="A663" s="16" t="s">
        <v>75</v>
      </c>
      <c r="B663" s="16" t="s">
        <v>2425</v>
      </c>
      <c r="C663" s="16" t="s">
        <v>2426</v>
      </c>
      <c r="D663" s="16" t="s">
        <v>2427</v>
      </c>
      <c r="E663" s="16" t="s">
        <v>2408</v>
      </c>
      <c r="F663" s="16" t="s">
        <v>2409</v>
      </c>
      <c r="G663" s="16" t="s">
        <v>655</v>
      </c>
      <c r="H663" s="16" t="s">
        <v>656</v>
      </c>
      <c r="I663" s="16" t="s">
        <v>198</v>
      </c>
      <c r="J663" s="16" t="s">
        <v>199</v>
      </c>
      <c r="K663" s="16">
        <v>2.8276919999999999</v>
      </c>
      <c r="L663" s="36">
        <v>1710</v>
      </c>
      <c r="M663" s="16">
        <v>205</v>
      </c>
      <c r="N663" s="16">
        <v>332</v>
      </c>
      <c r="O663" s="16">
        <v>642</v>
      </c>
      <c r="P663" s="16">
        <v>337</v>
      </c>
      <c r="Q663" s="16">
        <v>194</v>
      </c>
      <c r="R663" s="16" t="s">
        <v>302</v>
      </c>
      <c r="S663" s="16">
        <v>32.902000000000001</v>
      </c>
      <c r="T663" s="16">
        <v>22.6052</v>
      </c>
      <c r="U663" s="16">
        <v>0.76187729900000001</v>
      </c>
      <c r="V663" s="16">
        <v>3</v>
      </c>
      <c r="W663" s="16">
        <v>0.93753799999999998</v>
      </c>
      <c r="X663" s="16">
        <v>0.19761200000000001</v>
      </c>
      <c r="Y663" s="16">
        <v>0.7</v>
      </c>
      <c r="Z663" s="16">
        <v>1</v>
      </c>
      <c r="AA663" s="37"/>
    </row>
    <row r="664" spans="1:27">
      <c r="A664" s="16" t="s">
        <v>75</v>
      </c>
      <c r="B664" s="16" t="s">
        <v>2428</v>
      </c>
      <c r="C664" s="16" t="s">
        <v>2429</v>
      </c>
      <c r="D664" s="16" t="s">
        <v>2430</v>
      </c>
      <c r="E664" s="16" t="s">
        <v>2408</v>
      </c>
      <c r="F664" s="16" t="s">
        <v>2409</v>
      </c>
      <c r="G664" s="16" t="s">
        <v>655</v>
      </c>
      <c r="H664" s="16" t="s">
        <v>656</v>
      </c>
      <c r="I664" s="16" t="s">
        <v>198</v>
      </c>
      <c r="J664" s="16" t="s">
        <v>199</v>
      </c>
      <c r="K664" s="16">
        <v>2.8896099999999998</v>
      </c>
      <c r="L664" s="36">
        <v>1747</v>
      </c>
      <c r="M664" s="16">
        <v>225</v>
      </c>
      <c r="N664" s="16">
        <v>397</v>
      </c>
      <c r="O664" s="16">
        <v>606</v>
      </c>
      <c r="P664" s="16">
        <v>391</v>
      </c>
      <c r="Q664" s="16">
        <v>128</v>
      </c>
      <c r="R664" s="16">
        <v>5</v>
      </c>
      <c r="S664" s="16">
        <v>26.077100000000002</v>
      </c>
      <c r="T664" s="16">
        <v>15.603400000000001</v>
      </c>
      <c r="U664" s="16">
        <v>0.66008318300000002</v>
      </c>
      <c r="V664" s="16">
        <v>3</v>
      </c>
      <c r="W664" s="16">
        <v>0.93181800000000004</v>
      </c>
      <c r="X664" s="16">
        <v>0.268571</v>
      </c>
      <c r="Y664" s="16">
        <v>0.7</v>
      </c>
      <c r="Z664" s="16">
        <v>1</v>
      </c>
      <c r="AA664" s="37"/>
    </row>
    <row r="665" spans="1:27">
      <c r="A665" s="16" t="s">
        <v>75</v>
      </c>
      <c r="B665" s="16" t="s">
        <v>2431</v>
      </c>
      <c r="C665" s="16" t="s">
        <v>2432</v>
      </c>
      <c r="D665" s="16" t="s">
        <v>2433</v>
      </c>
      <c r="E665" s="16" t="s">
        <v>2362</v>
      </c>
      <c r="F665" s="16" t="s">
        <v>2363</v>
      </c>
      <c r="G665" s="16" t="s">
        <v>655</v>
      </c>
      <c r="H665" s="16" t="s">
        <v>656</v>
      </c>
      <c r="I665" s="16" t="s">
        <v>198</v>
      </c>
      <c r="J665" s="16" t="s">
        <v>199</v>
      </c>
      <c r="K665" s="16">
        <v>2.6498520000000001</v>
      </c>
      <c r="L665" s="36">
        <v>2553</v>
      </c>
      <c r="M665" s="16">
        <v>492</v>
      </c>
      <c r="N665" s="16">
        <v>462</v>
      </c>
      <c r="O665" s="16">
        <v>931</v>
      </c>
      <c r="P665" s="16">
        <v>505</v>
      </c>
      <c r="Q665" s="16">
        <v>163</v>
      </c>
      <c r="R665" s="16">
        <v>4</v>
      </c>
      <c r="S665" s="16">
        <v>18.473099999999999</v>
      </c>
      <c r="T665" s="16">
        <v>13.885199999999999</v>
      </c>
      <c r="U665" s="16">
        <v>0.89694529599999995</v>
      </c>
      <c r="V665" s="16">
        <v>3</v>
      </c>
      <c r="W665" s="16">
        <v>0.91268400000000005</v>
      </c>
      <c r="X665" s="16">
        <v>5.2786E-2</v>
      </c>
      <c r="Y665" s="16">
        <v>0.7</v>
      </c>
      <c r="Z665" s="16">
        <v>1</v>
      </c>
      <c r="AA665" s="37"/>
    </row>
    <row r="666" spans="1:27">
      <c r="A666" s="16" t="s">
        <v>75</v>
      </c>
      <c r="B666" s="16" t="s">
        <v>2434</v>
      </c>
      <c r="C666" s="16" t="s">
        <v>2435</v>
      </c>
      <c r="D666" s="16" t="s">
        <v>2436</v>
      </c>
      <c r="E666" s="16" t="s">
        <v>2362</v>
      </c>
      <c r="F666" s="16" t="s">
        <v>2363</v>
      </c>
      <c r="G666" s="16" t="s">
        <v>655</v>
      </c>
      <c r="H666" s="16" t="s">
        <v>656</v>
      </c>
      <c r="I666" s="16" t="s">
        <v>198</v>
      </c>
      <c r="J666" s="16" t="s">
        <v>199</v>
      </c>
      <c r="K666" s="16">
        <v>2.7164950000000001</v>
      </c>
      <c r="L666" s="36">
        <v>1995</v>
      </c>
      <c r="M666" s="16">
        <v>305</v>
      </c>
      <c r="N666" s="16">
        <v>354</v>
      </c>
      <c r="O666" s="16">
        <v>843</v>
      </c>
      <c r="P666" s="16">
        <v>359</v>
      </c>
      <c r="Q666" s="16">
        <v>134</v>
      </c>
      <c r="R666" s="16">
        <v>4</v>
      </c>
      <c r="S666" s="16">
        <v>24.970099999999999</v>
      </c>
      <c r="T666" s="16">
        <v>10.642099999999999</v>
      </c>
      <c r="U666" s="16">
        <v>0.82133131299999995</v>
      </c>
      <c r="V666" s="16">
        <v>3</v>
      </c>
      <c r="W666" s="16">
        <v>0.90996600000000005</v>
      </c>
      <c r="X666" s="16">
        <v>0.101767</v>
      </c>
      <c r="Y666" s="16">
        <v>0.7</v>
      </c>
      <c r="Z666" s="16">
        <v>0.99790199999999996</v>
      </c>
      <c r="AA666" s="37"/>
    </row>
    <row r="667" spans="1:27">
      <c r="A667" s="16" t="s">
        <v>75</v>
      </c>
      <c r="B667" s="16" t="s">
        <v>2437</v>
      </c>
      <c r="C667" s="16" t="s">
        <v>2438</v>
      </c>
      <c r="D667" s="16" t="s">
        <v>2439</v>
      </c>
      <c r="E667" s="16" t="s">
        <v>2362</v>
      </c>
      <c r="F667" s="16" t="s">
        <v>2363</v>
      </c>
      <c r="G667" s="16" t="s">
        <v>655</v>
      </c>
      <c r="H667" s="16" t="s">
        <v>656</v>
      </c>
      <c r="I667" s="16" t="s">
        <v>198</v>
      </c>
      <c r="J667" s="16" t="s">
        <v>199</v>
      </c>
      <c r="K667" s="16">
        <v>2.676444</v>
      </c>
      <c r="L667" s="36">
        <v>1252</v>
      </c>
      <c r="M667" s="16">
        <v>165</v>
      </c>
      <c r="N667" s="16">
        <v>239</v>
      </c>
      <c r="O667" s="16">
        <v>446</v>
      </c>
      <c r="P667" s="16">
        <v>308</v>
      </c>
      <c r="Q667" s="16">
        <v>94</v>
      </c>
      <c r="R667" s="16">
        <v>4</v>
      </c>
      <c r="S667" s="16">
        <v>24.851900000000001</v>
      </c>
      <c r="T667" s="16">
        <v>15.0091</v>
      </c>
      <c r="U667" s="16">
        <v>0.69245302500000006</v>
      </c>
      <c r="V667" s="16">
        <v>5</v>
      </c>
      <c r="W667" s="16">
        <v>0.90177799999999997</v>
      </c>
      <c r="X667" s="16">
        <v>5.8181999999999998E-2</v>
      </c>
      <c r="Y667" s="16">
        <v>0.7</v>
      </c>
      <c r="Z667" s="16">
        <v>1</v>
      </c>
      <c r="AA667" s="37"/>
    </row>
    <row r="668" spans="1:27">
      <c r="A668" s="16" t="s">
        <v>75</v>
      </c>
      <c r="B668" s="16" t="s">
        <v>2440</v>
      </c>
      <c r="C668" s="16" t="s">
        <v>2441</v>
      </c>
      <c r="D668" s="16" t="s">
        <v>2442</v>
      </c>
      <c r="E668" s="16" t="s">
        <v>2443</v>
      </c>
      <c r="F668" s="16" t="s">
        <v>2444</v>
      </c>
      <c r="G668" s="16" t="s">
        <v>497</v>
      </c>
      <c r="H668" s="16" t="s">
        <v>498</v>
      </c>
      <c r="I668" s="16" t="s">
        <v>198</v>
      </c>
      <c r="J668" s="16" t="s">
        <v>199</v>
      </c>
      <c r="K668" s="16">
        <v>2.82443</v>
      </c>
      <c r="L668" s="36">
        <v>1933</v>
      </c>
      <c r="M668" s="16">
        <v>434</v>
      </c>
      <c r="N668" s="16">
        <v>516</v>
      </c>
      <c r="O668" s="16">
        <v>492</v>
      </c>
      <c r="P668" s="16">
        <v>346</v>
      </c>
      <c r="Q668" s="16">
        <v>145</v>
      </c>
      <c r="R668" s="16" t="s">
        <v>302</v>
      </c>
      <c r="S668" s="16">
        <v>34.278799999999997</v>
      </c>
      <c r="T668" s="16">
        <v>11.965</v>
      </c>
      <c r="U668" s="16">
        <v>1.078109008</v>
      </c>
      <c r="V668" s="16">
        <v>2</v>
      </c>
      <c r="W668" s="16">
        <v>0.92312700000000003</v>
      </c>
      <c r="X668" s="16">
        <v>0.189744</v>
      </c>
      <c r="Y668" s="16">
        <v>0.7</v>
      </c>
      <c r="Z668" s="16">
        <v>1</v>
      </c>
      <c r="AA668" s="37"/>
    </row>
    <row r="669" spans="1:27">
      <c r="A669" s="16" t="s">
        <v>75</v>
      </c>
      <c r="B669" s="16" t="s">
        <v>2445</v>
      </c>
      <c r="C669" s="16" t="s">
        <v>2446</v>
      </c>
      <c r="D669" s="16" t="s">
        <v>2447</v>
      </c>
      <c r="E669" s="16" t="s">
        <v>2448</v>
      </c>
      <c r="F669" s="16" t="s">
        <v>2449</v>
      </c>
      <c r="G669" s="16" t="s">
        <v>300</v>
      </c>
      <c r="H669" s="16" t="s">
        <v>301</v>
      </c>
      <c r="I669" s="16" t="s">
        <v>198</v>
      </c>
      <c r="J669" s="16" t="s">
        <v>199</v>
      </c>
      <c r="K669" s="16">
        <v>2.6759689999999998</v>
      </c>
      <c r="L669" s="36">
        <v>1879</v>
      </c>
      <c r="M669" s="16">
        <v>406</v>
      </c>
      <c r="N669" s="16">
        <v>428</v>
      </c>
      <c r="O669" s="16">
        <v>534</v>
      </c>
      <c r="P669" s="16">
        <v>361</v>
      </c>
      <c r="Q669" s="16">
        <v>150</v>
      </c>
      <c r="R669" s="16" t="s">
        <v>302</v>
      </c>
      <c r="S669" s="16">
        <v>41.843499999999999</v>
      </c>
      <c r="T669" s="16">
        <v>18.9758</v>
      </c>
      <c r="U669" s="16">
        <v>1.0694330510000001</v>
      </c>
      <c r="V669" s="16">
        <v>2</v>
      </c>
      <c r="W669" s="16">
        <v>0.99302299999999999</v>
      </c>
      <c r="X669" s="16">
        <v>0.105882</v>
      </c>
      <c r="Y669" s="16">
        <v>0.6</v>
      </c>
      <c r="Z669" s="16">
        <v>1</v>
      </c>
      <c r="AA669" s="37"/>
    </row>
    <row r="670" spans="1:27">
      <c r="A670" s="16" t="s">
        <v>75</v>
      </c>
      <c r="B670" s="16" t="s">
        <v>2450</v>
      </c>
      <c r="C670" s="16" t="s">
        <v>2451</v>
      </c>
      <c r="D670" s="16" t="s">
        <v>2452</v>
      </c>
      <c r="E670" s="16" t="s">
        <v>2448</v>
      </c>
      <c r="F670" s="16" t="s">
        <v>2449</v>
      </c>
      <c r="G670" s="16" t="s">
        <v>300</v>
      </c>
      <c r="H670" s="16" t="s">
        <v>301</v>
      </c>
      <c r="I670" s="16" t="s">
        <v>198</v>
      </c>
      <c r="J670" s="16" t="s">
        <v>199</v>
      </c>
      <c r="K670" s="16">
        <v>2.801031</v>
      </c>
      <c r="L670" s="36">
        <v>1737</v>
      </c>
      <c r="M670" s="16">
        <v>365</v>
      </c>
      <c r="N670" s="16">
        <v>366</v>
      </c>
      <c r="O670" s="16">
        <v>497</v>
      </c>
      <c r="P670" s="16">
        <v>369</v>
      </c>
      <c r="Q670" s="16">
        <v>140</v>
      </c>
      <c r="R670" s="16">
        <v>4</v>
      </c>
      <c r="S670" s="16">
        <v>24.1158</v>
      </c>
      <c r="T670" s="16">
        <v>12.6395</v>
      </c>
      <c r="U670" s="16">
        <v>1.035360592</v>
      </c>
      <c r="V670" s="16">
        <v>2</v>
      </c>
      <c r="W670" s="16">
        <v>0.98762899999999998</v>
      </c>
      <c r="X670" s="16">
        <v>0.28410299999999999</v>
      </c>
      <c r="Y670" s="16">
        <v>0.6</v>
      </c>
      <c r="Z670" s="16">
        <v>1</v>
      </c>
      <c r="AA670" s="37"/>
    </row>
    <row r="671" spans="1:27">
      <c r="A671" s="16" t="s">
        <v>75</v>
      </c>
      <c r="B671" s="16" t="s">
        <v>2453</v>
      </c>
      <c r="C671" s="16" t="s">
        <v>2454</v>
      </c>
      <c r="D671" s="16" t="s">
        <v>2455</v>
      </c>
      <c r="E671" s="16" t="s">
        <v>2352</v>
      </c>
      <c r="F671" s="16" t="s">
        <v>2353</v>
      </c>
      <c r="G671" s="16" t="s">
        <v>655</v>
      </c>
      <c r="H671" s="16" t="s">
        <v>656</v>
      </c>
      <c r="I671" s="16" t="s">
        <v>198</v>
      </c>
      <c r="J671" s="16" t="s">
        <v>199</v>
      </c>
      <c r="K671" s="16">
        <v>2.5349729999999999</v>
      </c>
      <c r="L671" s="36">
        <v>1091</v>
      </c>
      <c r="M671" s="16">
        <v>171</v>
      </c>
      <c r="N671" s="16">
        <v>210</v>
      </c>
      <c r="O671" s="16">
        <v>354</v>
      </c>
      <c r="P671" s="16">
        <v>220</v>
      </c>
      <c r="Q671" s="16">
        <v>136</v>
      </c>
      <c r="R671" s="16">
        <v>4</v>
      </c>
      <c r="S671" s="16">
        <v>22.017900000000001</v>
      </c>
      <c r="T671" s="16">
        <v>14.2342</v>
      </c>
      <c r="U671" s="16">
        <v>1.1124564180000001</v>
      </c>
      <c r="V671" s="16">
        <v>2</v>
      </c>
      <c r="W671" s="16">
        <v>0.912022</v>
      </c>
      <c r="X671" s="16">
        <v>0</v>
      </c>
      <c r="Y671" s="16">
        <v>0.7</v>
      </c>
      <c r="Z671" s="16">
        <v>0.92245999999999995</v>
      </c>
      <c r="AA671" s="37"/>
    </row>
    <row r="672" spans="1:27">
      <c r="A672" s="16" t="s">
        <v>75</v>
      </c>
      <c r="B672" s="16" t="s">
        <v>2456</v>
      </c>
      <c r="C672" s="16" t="s">
        <v>2457</v>
      </c>
      <c r="D672" s="16" t="s">
        <v>2458</v>
      </c>
      <c r="E672" s="16" t="s">
        <v>2352</v>
      </c>
      <c r="F672" s="16" t="s">
        <v>2353</v>
      </c>
      <c r="G672" s="16" t="s">
        <v>655</v>
      </c>
      <c r="H672" s="16" t="s">
        <v>656</v>
      </c>
      <c r="I672" s="16" t="s">
        <v>198</v>
      </c>
      <c r="J672" s="16" t="s">
        <v>199</v>
      </c>
      <c r="K672" s="16">
        <v>2.8490199999999999</v>
      </c>
      <c r="L672" s="36">
        <v>1416</v>
      </c>
      <c r="M672" s="16">
        <v>133</v>
      </c>
      <c r="N672" s="16">
        <v>419</v>
      </c>
      <c r="O672" s="16">
        <v>638</v>
      </c>
      <c r="P672" s="16">
        <v>165</v>
      </c>
      <c r="Q672" s="16">
        <v>61</v>
      </c>
      <c r="R672" s="16" t="s">
        <v>302</v>
      </c>
      <c r="S672" s="16">
        <v>37.306199999999997</v>
      </c>
      <c r="T672" s="16">
        <v>20.919499999999999</v>
      </c>
      <c r="U672" s="16">
        <v>0.77330071600000005</v>
      </c>
      <c r="V672" s="16">
        <v>2</v>
      </c>
      <c r="W672" s="16">
        <v>0.93660100000000002</v>
      </c>
      <c r="X672" s="16">
        <v>0.21107500000000001</v>
      </c>
      <c r="Y672" s="16">
        <v>0.7</v>
      </c>
      <c r="Z672" s="16">
        <v>1</v>
      </c>
      <c r="AA672" s="37"/>
    </row>
    <row r="673" spans="1:27">
      <c r="A673" s="16" t="s">
        <v>75</v>
      </c>
      <c r="B673" s="16" t="s">
        <v>2459</v>
      </c>
      <c r="C673" s="16" t="s">
        <v>2460</v>
      </c>
      <c r="D673" s="16" t="s">
        <v>2461</v>
      </c>
      <c r="E673" s="16" t="s">
        <v>2352</v>
      </c>
      <c r="F673" s="16" t="s">
        <v>2353</v>
      </c>
      <c r="G673" s="16" t="s">
        <v>655</v>
      </c>
      <c r="H673" s="16" t="s">
        <v>656</v>
      </c>
      <c r="I673" s="16" t="s">
        <v>198</v>
      </c>
      <c r="J673" s="16" t="s">
        <v>199</v>
      </c>
      <c r="K673" s="16">
        <v>2.8547060000000002</v>
      </c>
      <c r="L673" s="36">
        <v>3127</v>
      </c>
      <c r="M673" s="16">
        <v>305</v>
      </c>
      <c r="N673" s="16">
        <v>850</v>
      </c>
      <c r="O673" s="36">
        <v>1510</v>
      </c>
      <c r="P673" s="16">
        <v>316</v>
      </c>
      <c r="Q673" s="16">
        <v>146</v>
      </c>
      <c r="R673" s="16" t="s">
        <v>302</v>
      </c>
      <c r="S673" s="16">
        <v>40.531399999999998</v>
      </c>
      <c r="T673" s="16">
        <v>25.764399999999998</v>
      </c>
      <c r="U673" s="16">
        <v>0.81631038600000005</v>
      </c>
      <c r="V673" s="16">
        <v>3</v>
      </c>
      <c r="W673" s="16">
        <v>0.94647099999999995</v>
      </c>
      <c r="X673" s="16">
        <v>0.23145399999999999</v>
      </c>
      <c r="Y673" s="16">
        <v>0.7</v>
      </c>
      <c r="Z673" s="16">
        <v>1</v>
      </c>
      <c r="AA673" s="37"/>
    </row>
    <row r="674" spans="1:27">
      <c r="A674" s="16" t="s">
        <v>75</v>
      </c>
      <c r="B674" s="16" t="s">
        <v>1324</v>
      </c>
      <c r="C674" s="16" t="s">
        <v>1325</v>
      </c>
      <c r="D674" s="16" t="s">
        <v>1326</v>
      </c>
      <c r="E674" s="16" t="s">
        <v>1285</v>
      </c>
      <c r="F674" s="16" t="s">
        <v>1286</v>
      </c>
      <c r="G674" s="16" t="s">
        <v>655</v>
      </c>
      <c r="H674" s="16" t="s">
        <v>656</v>
      </c>
      <c r="I674" s="16" t="s">
        <v>198</v>
      </c>
      <c r="J674" s="16" t="s">
        <v>199</v>
      </c>
      <c r="K674" s="16">
        <v>2.9576190000000002</v>
      </c>
      <c r="L674" s="36">
        <v>1742</v>
      </c>
      <c r="M674" s="16">
        <v>100</v>
      </c>
      <c r="N674" s="16">
        <v>715</v>
      </c>
      <c r="O674" s="16">
        <v>742</v>
      </c>
      <c r="P674" s="16">
        <v>141</v>
      </c>
      <c r="Q674" s="16">
        <v>44</v>
      </c>
      <c r="R674" s="16" t="s">
        <v>302</v>
      </c>
      <c r="S674" s="16">
        <v>45.213999999999999</v>
      </c>
      <c r="T674" s="16">
        <v>27.811800000000002</v>
      </c>
      <c r="U674" s="16">
        <v>0.64083785999999998</v>
      </c>
      <c r="V674" s="16">
        <v>3</v>
      </c>
      <c r="W674" s="16">
        <v>1</v>
      </c>
      <c r="X674" s="16">
        <v>0.35518899999999998</v>
      </c>
      <c r="Y674" s="16">
        <v>0.60189599999999999</v>
      </c>
      <c r="Z674" s="16">
        <v>1</v>
      </c>
      <c r="AA674" s="37"/>
    </row>
    <row r="675" spans="1:27">
      <c r="A675" s="16" t="s">
        <v>75</v>
      </c>
      <c r="B675" s="16" t="s">
        <v>2462</v>
      </c>
      <c r="C675" s="16" t="s">
        <v>2463</v>
      </c>
      <c r="D675" s="16" t="s">
        <v>2464</v>
      </c>
      <c r="E675" s="16" t="s">
        <v>2352</v>
      </c>
      <c r="F675" s="16" t="s">
        <v>2353</v>
      </c>
      <c r="G675" s="16" t="s">
        <v>655</v>
      </c>
      <c r="H675" s="16" t="s">
        <v>656</v>
      </c>
      <c r="I675" s="16" t="s">
        <v>198</v>
      </c>
      <c r="J675" s="16" t="s">
        <v>199</v>
      </c>
      <c r="K675" s="16">
        <v>2.729841</v>
      </c>
      <c r="L675" s="36">
        <v>1383</v>
      </c>
      <c r="M675" s="16">
        <v>143</v>
      </c>
      <c r="N675" s="16">
        <v>334</v>
      </c>
      <c r="O675" s="16">
        <v>539</v>
      </c>
      <c r="P675" s="16">
        <v>246</v>
      </c>
      <c r="Q675" s="16">
        <v>121</v>
      </c>
      <c r="R675" s="16">
        <v>5</v>
      </c>
      <c r="S675" s="16">
        <v>31.6004</v>
      </c>
      <c r="T675" s="16">
        <v>15.716100000000001</v>
      </c>
      <c r="U675" s="16">
        <v>0.94216679599999997</v>
      </c>
      <c r="V675" s="16">
        <v>3</v>
      </c>
      <c r="W675" s="16">
        <v>0.93587299999999995</v>
      </c>
      <c r="X675" s="16">
        <v>0.127331</v>
      </c>
      <c r="Y675" s="16">
        <v>0.7</v>
      </c>
      <c r="Z675" s="16">
        <v>0.99460300000000001</v>
      </c>
      <c r="AA675" s="37"/>
    </row>
    <row r="676" spans="1:27">
      <c r="A676" s="16"/>
      <c r="B676" s="16"/>
      <c r="C676" s="16"/>
      <c r="D676" s="16"/>
      <c r="E676" s="16"/>
      <c r="F676" s="16"/>
      <c r="G676" s="16"/>
      <c r="H676" s="16"/>
      <c r="I676" s="16"/>
      <c r="J676" s="16"/>
      <c r="K676" s="16">
        <f>MAX(K641:K675)</f>
        <v>2.9576190000000002</v>
      </c>
      <c r="L676" s="36">
        <f>AVERAGE(L641:L675)</f>
        <v>2033.3428571428572</v>
      </c>
      <c r="M676" s="16">
        <f t="shared" ref="M676:N676" si="57">SUM(M641:M675)</f>
        <v>13389</v>
      </c>
      <c r="N676" s="16">
        <f t="shared" si="57"/>
        <v>15131</v>
      </c>
      <c r="O676" s="16"/>
      <c r="P676" s="16"/>
      <c r="Q676" s="16"/>
      <c r="R676" s="16"/>
      <c r="S676" s="16"/>
      <c r="T676" s="16"/>
      <c r="U676" s="16"/>
      <c r="V676" s="16">
        <f>MEDIAN(V641:V675)</f>
        <v>3</v>
      </c>
      <c r="W676" s="16"/>
      <c r="X676" s="16"/>
      <c r="Y676" s="16"/>
      <c r="Z676" s="16"/>
      <c r="AA676" s="37"/>
    </row>
    <row r="677" spans="1:27">
      <c r="A677" s="16" t="s">
        <v>131</v>
      </c>
      <c r="B677" s="16" t="s">
        <v>2465</v>
      </c>
      <c r="C677" s="16" t="s">
        <v>2466</v>
      </c>
      <c r="D677" s="16" t="s">
        <v>2467</v>
      </c>
      <c r="E677" s="16" t="s">
        <v>2468</v>
      </c>
      <c r="F677" s="16" t="s">
        <v>2469</v>
      </c>
      <c r="G677" s="16" t="s">
        <v>2164</v>
      </c>
      <c r="H677" s="16" t="s">
        <v>2165</v>
      </c>
      <c r="I677" s="16" t="s">
        <v>198</v>
      </c>
      <c r="J677" s="16" t="s">
        <v>199</v>
      </c>
      <c r="K677" s="16">
        <v>2.3794930000000001</v>
      </c>
      <c r="L677" s="36">
        <v>1919</v>
      </c>
      <c r="M677" s="16">
        <v>407</v>
      </c>
      <c r="N677" s="16">
        <v>357</v>
      </c>
      <c r="O677" s="16">
        <v>546</v>
      </c>
      <c r="P677" s="16">
        <v>432</v>
      </c>
      <c r="Q677" s="16">
        <v>177</v>
      </c>
      <c r="R677" s="16">
        <v>2</v>
      </c>
      <c r="S677" s="16">
        <v>12.2471</v>
      </c>
      <c r="T677" s="16">
        <v>0</v>
      </c>
      <c r="U677" s="16">
        <v>0.87689252100000004</v>
      </c>
      <c r="V677" s="16">
        <v>4</v>
      </c>
      <c r="W677" s="16">
        <v>0.906393</v>
      </c>
      <c r="X677" s="16">
        <v>0.26386599999999999</v>
      </c>
      <c r="Y677" s="16">
        <v>0.7</v>
      </c>
      <c r="Z677" s="16">
        <v>0.52249100000000004</v>
      </c>
      <c r="AA677" s="37"/>
    </row>
    <row r="678" spans="1:27">
      <c r="A678" s="16" t="s">
        <v>131</v>
      </c>
      <c r="B678" s="16" t="s">
        <v>2470</v>
      </c>
      <c r="C678" s="16" t="s">
        <v>2471</v>
      </c>
      <c r="D678" s="16" t="s">
        <v>2472</v>
      </c>
      <c r="E678" s="16" t="s">
        <v>2468</v>
      </c>
      <c r="F678" s="16" t="s">
        <v>2469</v>
      </c>
      <c r="G678" s="16" t="s">
        <v>2164</v>
      </c>
      <c r="H678" s="16" t="s">
        <v>2165</v>
      </c>
      <c r="I678" s="16" t="s">
        <v>198</v>
      </c>
      <c r="J678" s="16" t="s">
        <v>199</v>
      </c>
      <c r="K678" s="16">
        <v>2.109375</v>
      </c>
      <c r="L678" s="36">
        <v>1659</v>
      </c>
      <c r="M678" s="16">
        <v>334</v>
      </c>
      <c r="N678" s="16">
        <v>260</v>
      </c>
      <c r="O678" s="16">
        <v>399</v>
      </c>
      <c r="P678" s="16">
        <v>448</v>
      </c>
      <c r="Q678" s="16">
        <v>218</v>
      </c>
      <c r="R678" s="16">
        <v>2</v>
      </c>
      <c r="S678" s="16">
        <v>12.110300000000001</v>
      </c>
      <c r="T678" s="16">
        <v>1.83867</v>
      </c>
      <c r="U678" s="16">
        <v>1.100096988</v>
      </c>
      <c r="V678" s="16">
        <v>3</v>
      </c>
      <c r="W678" s="16">
        <v>0.91217099999999995</v>
      </c>
      <c r="X678" s="16">
        <v>0.13858799999999999</v>
      </c>
      <c r="Y678" s="16">
        <v>0.7</v>
      </c>
      <c r="Z678" s="16">
        <v>0.37898199999999999</v>
      </c>
      <c r="AA678" s="37"/>
    </row>
    <row r="679" spans="1:27">
      <c r="A679" s="16" t="s">
        <v>131</v>
      </c>
      <c r="B679" s="16" t="s">
        <v>2473</v>
      </c>
      <c r="C679" s="16" t="s">
        <v>2474</v>
      </c>
      <c r="D679" s="16" t="s">
        <v>2475</v>
      </c>
      <c r="E679" s="16" t="s">
        <v>2476</v>
      </c>
      <c r="F679" s="16" t="s">
        <v>2477</v>
      </c>
      <c r="G679" s="16" t="s">
        <v>2164</v>
      </c>
      <c r="H679" s="16" t="s">
        <v>2165</v>
      </c>
      <c r="I679" s="16" t="s">
        <v>198</v>
      </c>
      <c r="J679" s="16" t="s">
        <v>199</v>
      </c>
      <c r="K679" s="16">
        <v>1.992075</v>
      </c>
      <c r="L679" s="36">
        <v>1775</v>
      </c>
      <c r="M679" s="16">
        <v>418</v>
      </c>
      <c r="N679" s="16">
        <v>285</v>
      </c>
      <c r="O679" s="16">
        <v>428</v>
      </c>
      <c r="P679" s="16">
        <v>462</v>
      </c>
      <c r="Q679" s="16">
        <v>182</v>
      </c>
      <c r="R679" s="16">
        <v>2</v>
      </c>
      <c r="S679" s="16">
        <v>10.917400000000001</v>
      </c>
      <c r="T679" s="16">
        <v>7.1782399999999997</v>
      </c>
      <c r="U679" s="16">
        <v>1.023815959</v>
      </c>
      <c r="V679" s="16">
        <v>4</v>
      </c>
      <c r="W679" s="16">
        <v>0.90326300000000004</v>
      </c>
      <c r="X679" s="16">
        <v>6.9141999999999995E-2</v>
      </c>
      <c r="Y679" s="16">
        <v>0.7</v>
      </c>
      <c r="Z679" s="16">
        <v>0.34545500000000001</v>
      </c>
      <c r="AA679" s="37"/>
    </row>
    <row r="680" spans="1:27">
      <c r="A680" s="16" t="s">
        <v>131</v>
      </c>
      <c r="B680" s="16" t="s">
        <v>2478</v>
      </c>
      <c r="C680" s="16" t="s">
        <v>2479</v>
      </c>
      <c r="D680" s="16" t="s">
        <v>2480</v>
      </c>
      <c r="E680" s="16" t="s">
        <v>2476</v>
      </c>
      <c r="F680" s="16" t="s">
        <v>2477</v>
      </c>
      <c r="G680" s="16" t="s">
        <v>2164</v>
      </c>
      <c r="H680" s="16" t="s">
        <v>2165</v>
      </c>
      <c r="I680" s="16" t="s">
        <v>198</v>
      </c>
      <c r="J680" s="16" t="s">
        <v>199</v>
      </c>
      <c r="K680" s="16">
        <v>2.0882809999999998</v>
      </c>
      <c r="L680" s="36">
        <v>1799</v>
      </c>
      <c r="M680" s="16">
        <v>290</v>
      </c>
      <c r="N680" s="16">
        <v>282</v>
      </c>
      <c r="O680" s="16">
        <v>546</v>
      </c>
      <c r="P680" s="16">
        <v>471</v>
      </c>
      <c r="Q680" s="16">
        <v>210</v>
      </c>
      <c r="R680" s="16">
        <v>2</v>
      </c>
      <c r="S680" s="16">
        <v>10.6966</v>
      </c>
      <c r="T680" s="16">
        <v>6.4383499999999998</v>
      </c>
      <c r="U680" s="16">
        <v>1.0555542440000001</v>
      </c>
      <c r="V680" s="16">
        <v>4</v>
      </c>
      <c r="W680" s="16">
        <v>0.90722700000000001</v>
      </c>
      <c r="X680" s="16">
        <v>5.7588E-2</v>
      </c>
      <c r="Y680" s="16">
        <v>0.7</v>
      </c>
      <c r="Z680" s="16">
        <v>0.43313800000000002</v>
      </c>
      <c r="AA680" s="37"/>
    </row>
    <row r="681" spans="1:27">
      <c r="A681" s="16" t="s">
        <v>131</v>
      </c>
      <c r="B681" s="16" t="s">
        <v>2481</v>
      </c>
      <c r="C681" s="16" t="s">
        <v>2482</v>
      </c>
      <c r="D681" s="16" t="s">
        <v>2483</v>
      </c>
      <c r="E681" s="16" t="s">
        <v>2484</v>
      </c>
      <c r="F681" s="16" t="s">
        <v>2485</v>
      </c>
      <c r="G681" s="16" t="s">
        <v>2164</v>
      </c>
      <c r="H681" s="16" t="s">
        <v>2165</v>
      </c>
      <c r="I681" s="16" t="s">
        <v>198</v>
      </c>
      <c r="J681" s="16" t="s">
        <v>199</v>
      </c>
      <c r="K681" s="16">
        <v>2.1531709999999999</v>
      </c>
      <c r="L681" s="36">
        <v>1834</v>
      </c>
      <c r="M681" s="16">
        <v>459</v>
      </c>
      <c r="N681" s="16">
        <v>275</v>
      </c>
      <c r="O681" s="16">
        <v>549</v>
      </c>
      <c r="P681" s="16">
        <v>408</v>
      </c>
      <c r="Q681" s="16">
        <v>143</v>
      </c>
      <c r="R681" s="16">
        <v>4</v>
      </c>
      <c r="S681" s="16">
        <v>30.730899999999998</v>
      </c>
      <c r="T681" s="16">
        <v>11.5442</v>
      </c>
      <c r="U681" s="16">
        <v>1.288119748</v>
      </c>
      <c r="V681" s="16">
        <v>2</v>
      </c>
      <c r="W681" s="16">
        <v>0.906829</v>
      </c>
      <c r="X681" s="16">
        <v>0.13187299999999999</v>
      </c>
      <c r="Y681" s="16">
        <v>0.67125599999999996</v>
      </c>
      <c r="Z681" s="16">
        <v>0.45599000000000001</v>
      </c>
      <c r="AA681" s="37"/>
    </row>
    <row r="682" spans="1:27">
      <c r="A682" s="16" t="s">
        <v>131</v>
      </c>
      <c r="B682" s="16" t="s">
        <v>2486</v>
      </c>
      <c r="C682" s="16" t="s">
        <v>2487</v>
      </c>
      <c r="D682" s="16" t="s">
        <v>2488</v>
      </c>
      <c r="E682" s="16" t="s">
        <v>2484</v>
      </c>
      <c r="F682" s="16" t="s">
        <v>2485</v>
      </c>
      <c r="G682" s="16" t="s">
        <v>2164</v>
      </c>
      <c r="H682" s="16" t="s">
        <v>2165</v>
      </c>
      <c r="I682" s="16" t="s">
        <v>198</v>
      </c>
      <c r="J682" s="16" t="s">
        <v>199</v>
      </c>
      <c r="K682" s="16">
        <v>2.252618</v>
      </c>
      <c r="L682" s="36">
        <v>1998</v>
      </c>
      <c r="M682" s="16">
        <v>455</v>
      </c>
      <c r="N682" s="16">
        <v>323</v>
      </c>
      <c r="O682" s="16">
        <v>508</v>
      </c>
      <c r="P682" s="16">
        <v>495</v>
      </c>
      <c r="Q682" s="16">
        <v>217</v>
      </c>
      <c r="R682" s="16">
        <v>5</v>
      </c>
      <c r="S682" s="16">
        <v>30.582699999999999</v>
      </c>
      <c r="T682" s="16">
        <v>8.8207299999999993</v>
      </c>
      <c r="U682" s="16">
        <v>1.071344109</v>
      </c>
      <c r="V682" s="16">
        <v>3</v>
      </c>
      <c r="W682" s="16">
        <v>0.91047400000000001</v>
      </c>
      <c r="X682" s="16">
        <v>0.19147900000000001</v>
      </c>
      <c r="Y682" s="16">
        <v>0.7</v>
      </c>
      <c r="Z682" s="16">
        <v>0.46898299999999998</v>
      </c>
      <c r="AA682" s="37"/>
    </row>
    <row r="683" spans="1:27">
      <c r="A683" s="16" t="s">
        <v>131</v>
      </c>
      <c r="B683" s="16" t="s">
        <v>2489</v>
      </c>
      <c r="C683" s="16" t="s">
        <v>2490</v>
      </c>
      <c r="D683" s="16" t="s">
        <v>2491</v>
      </c>
      <c r="E683" s="16" t="s">
        <v>2484</v>
      </c>
      <c r="F683" s="16" t="s">
        <v>2485</v>
      </c>
      <c r="G683" s="16" t="s">
        <v>2164</v>
      </c>
      <c r="H683" s="16" t="s">
        <v>2165</v>
      </c>
      <c r="I683" s="16" t="s">
        <v>198</v>
      </c>
      <c r="J683" s="16" t="s">
        <v>199</v>
      </c>
      <c r="K683" s="16">
        <v>2.083272</v>
      </c>
      <c r="L683" s="36">
        <v>1362</v>
      </c>
      <c r="M683" s="16">
        <v>278</v>
      </c>
      <c r="N683" s="16">
        <v>229</v>
      </c>
      <c r="O683" s="16">
        <v>374</v>
      </c>
      <c r="P683" s="16">
        <v>385</v>
      </c>
      <c r="Q683" s="16">
        <v>96</v>
      </c>
      <c r="R683" s="16">
        <v>2</v>
      </c>
      <c r="S683" s="16">
        <v>11.769</v>
      </c>
      <c r="T683" s="16">
        <v>2.31792</v>
      </c>
      <c r="U683" s="16">
        <v>1.2394278240000001</v>
      </c>
      <c r="V683" s="16">
        <v>2</v>
      </c>
      <c r="W683" s="16">
        <v>0.90073499999999995</v>
      </c>
      <c r="X683" s="16">
        <v>8.9376999999999998E-2</v>
      </c>
      <c r="Y683" s="16">
        <v>0.698905</v>
      </c>
      <c r="Z683" s="16">
        <v>0.39560400000000001</v>
      </c>
      <c r="AA683" s="37"/>
    </row>
    <row r="684" spans="1:27">
      <c r="A684" s="16" t="s">
        <v>131</v>
      </c>
      <c r="B684" s="16" t="s">
        <v>2492</v>
      </c>
      <c r="C684" s="16" t="s">
        <v>2493</v>
      </c>
      <c r="D684" s="16" t="s">
        <v>2494</v>
      </c>
      <c r="E684" s="16" t="s">
        <v>2495</v>
      </c>
      <c r="F684" s="16" t="s">
        <v>2496</v>
      </c>
      <c r="G684" s="16" t="s">
        <v>2164</v>
      </c>
      <c r="H684" s="16" t="s">
        <v>2165</v>
      </c>
      <c r="I684" s="16" t="s">
        <v>198</v>
      </c>
      <c r="J684" s="16" t="s">
        <v>199</v>
      </c>
      <c r="K684" s="16">
        <v>2.3055759999999998</v>
      </c>
      <c r="L684" s="36">
        <v>1896</v>
      </c>
      <c r="M684" s="16">
        <v>434</v>
      </c>
      <c r="N684" s="16">
        <v>312</v>
      </c>
      <c r="O684" s="16">
        <v>500</v>
      </c>
      <c r="P684" s="16">
        <v>484</v>
      </c>
      <c r="Q684" s="16">
        <v>166</v>
      </c>
      <c r="R684" s="16">
        <v>3</v>
      </c>
      <c r="S684" s="16">
        <v>14.1076</v>
      </c>
      <c r="T684" s="16">
        <v>7.4285300000000003</v>
      </c>
      <c r="U684" s="16">
        <v>0.99320235800000001</v>
      </c>
      <c r="V684" s="16">
        <v>3</v>
      </c>
      <c r="W684" s="16">
        <v>0.90233799999999997</v>
      </c>
      <c r="X684" s="16">
        <v>0.19783400000000001</v>
      </c>
      <c r="Y684" s="16">
        <v>0.7</v>
      </c>
      <c r="Z684" s="16">
        <v>0.49220999999999998</v>
      </c>
      <c r="AA684" s="37"/>
    </row>
    <row r="685" spans="1:27">
      <c r="A685" s="16" t="s">
        <v>131</v>
      </c>
      <c r="B685" s="16" t="s">
        <v>2497</v>
      </c>
      <c r="C685" s="16" t="s">
        <v>2498</v>
      </c>
      <c r="D685" s="16" t="s">
        <v>2499</v>
      </c>
      <c r="E685" s="16" t="s">
        <v>2500</v>
      </c>
      <c r="F685" s="16" t="s">
        <v>2501</v>
      </c>
      <c r="G685" s="16" t="s">
        <v>2164</v>
      </c>
      <c r="H685" s="16" t="s">
        <v>2165</v>
      </c>
      <c r="I685" s="16" t="s">
        <v>198</v>
      </c>
      <c r="J685" s="16" t="s">
        <v>199</v>
      </c>
      <c r="K685" s="16">
        <v>2.4740609999999998</v>
      </c>
      <c r="L685" s="36">
        <v>1824</v>
      </c>
      <c r="M685" s="16">
        <v>467</v>
      </c>
      <c r="N685" s="16">
        <v>230</v>
      </c>
      <c r="O685" s="16">
        <v>507</v>
      </c>
      <c r="P685" s="16">
        <v>416</v>
      </c>
      <c r="Q685" s="16">
        <v>204</v>
      </c>
      <c r="R685" s="16">
        <v>2</v>
      </c>
      <c r="S685" s="16">
        <v>13.185600000000001</v>
      </c>
      <c r="T685" s="16">
        <v>4.38619</v>
      </c>
      <c r="U685" s="16">
        <v>0.90010764899999995</v>
      </c>
      <c r="V685" s="16">
        <v>3</v>
      </c>
      <c r="W685" s="16">
        <v>0.90716699999999995</v>
      </c>
      <c r="X685" s="16">
        <v>0.36785099999999998</v>
      </c>
      <c r="Y685" s="16">
        <v>0.7</v>
      </c>
      <c r="Z685" s="16">
        <v>0.47819400000000001</v>
      </c>
      <c r="AA685" s="37"/>
    </row>
    <row r="686" spans="1:27">
      <c r="A686" s="16" t="s">
        <v>131</v>
      </c>
      <c r="B686" s="16" t="s">
        <v>2502</v>
      </c>
      <c r="C686" s="16" t="s">
        <v>2503</v>
      </c>
      <c r="D686" s="16" t="s">
        <v>2504</v>
      </c>
      <c r="E686" s="16" t="s">
        <v>2500</v>
      </c>
      <c r="F686" s="16" t="s">
        <v>2501</v>
      </c>
      <c r="G686" s="16" t="s">
        <v>2164</v>
      </c>
      <c r="H686" s="16" t="s">
        <v>2165</v>
      </c>
      <c r="I686" s="16" t="s">
        <v>198</v>
      </c>
      <c r="J686" s="16" t="s">
        <v>199</v>
      </c>
      <c r="K686" s="16">
        <v>2.3585039999999999</v>
      </c>
      <c r="L686" s="36">
        <v>1613</v>
      </c>
      <c r="M686" s="16">
        <v>317</v>
      </c>
      <c r="N686" s="16">
        <v>216</v>
      </c>
      <c r="O686" s="16">
        <v>387</v>
      </c>
      <c r="P686" s="16">
        <v>452</v>
      </c>
      <c r="Q686" s="16">
        <v>241</v>
      </c>
      <c r="R686" s="16">
        <v>2</v>
      </c>
      <c r="S686" s="16">
        <v>12.936999999999999</v>
      </c>
      <c r="T686" s="16">
        <v>4.0242699999999996</v>
      </c>
      <c r="U686" s="16">
        <v>0.75330637300000003</v>
      </c>
      <c r="V686" s="16">
        <v>6</v>
      </c>
      <c r="W686" s="16">
        <v>0.90122899999999995</v>
      </c>
      <c r="X686" s="16">
        <v>0.246673</v>
      </c>
      <c r="Y686" s="16">
        <v>0.7</v>
      </c>
      <c r="Z686" s="16">
        <v>0.51081600000000005</v>
      </c>
      <c r="AA686" s="37"/>
    </row>
    <row r="687" spans="1:27">
      <c r="A687" s="16" t="s">
        <v>131</v>
      </c>
      <c r="B687" s="16" t="s">
        <v>2505</v>
      </c>
      <c r="C687" s="16" t="s">
        <v>2506</v>
      </c>
      <c r="D687" s="16" t="s">
        <v>2507</v>
      </c>
      <c r="E687" s="16" t="s">
        <v>2495</v>
      </c>
      <c r="F687" s="16" t="s">
        <v>2496</v>
      </c>
      <c r="G687" s="16" t="s">
        <v>2164</v>
      </c>
      <c r="H687" s="16" t="s">
        <v>2165</v>
      </c>
      <c r="I687" s="16" t="s">
        <v>198</v>
      </c>
      <c r="J687" s="16" t="s">
        <v>199</v>
      </c>
      <c r="K687" s="16">
        <v>2.079907</v>
      </c>
      <c r="L687" s="36">
        <v>1842</v>
      </c>
      <c r="M687" s="16">
        <v>337</v>
      </c>
      <c r="N687" s="16">
        <v>303</v>
      </c>
      <c r="O687" s="16">
        <v>577</v>
      </c>
      <c r="P687" s="16">
        <v>452</v>
      </c>
      <c r="Q687" s="16">
        <v>173</v>
      </c>
      <c r="R687" s="16">
        <v>2</v>
      </c>
      <c r="S687" s="16">
        <v>11.589600000000001</v>
      </c>
      <c r="T687" s="16">
        <v>2.7818000000000001</v>
      </c>
      <c r="U687" s="16">
        <v>0.99167100799999996</v>
      </c>
      <c r="V687" s="16">
        <v>4</v>
      </c>
      <c r="W687" s="16">
        <v>0.90303699999999998</v>
      </c>
      <c r="X687" s="16">
        <v>5.4975999999999997E-2</v>
      </c>
      <c r="Y687" s="16">
        <v>0.69506999999999997</v>
      </c>
      <c r="Z687" s="16">
        <v>0.40985899999999997</v>
      </c>
      <c r="AA687" s="37"/>
    </row>
    <row r="688" spans="1:27">
      <c r="A688" s="16" t="s">
        <v>131</v>
      </c>
      <c r="B688" s="16" t="s">
        <v>2285</v>
      </c>
      <c r="C688" s="16" t="s">
        <v>2286</v>
      </c>
      <c r="D688" s="16" t="s">
        <v>2287</v>
      </c>
      <c r="E688" s="16" t="s">
        <v>2278</v>
      </c>
      <c r="F688" s="16" t="s">
        <v>2279</v>
      </c>
      <c r="G688" s="16" t="s">
        <v>2077</v>
      </c>
      <c r="H688" s="16" t="s">
        <v>2078</v>
      </c>
      <c r="I688" s="16" t="s">
        <v>198</v>
      </c>
      <c r="J688" s="16" t="s">
        <v>199</v>
      </c>
      <c r="K688" s="16">
        <v>2.3660239999999999</v>
      </c>
      <c r="L688" s="36">
        <v>1477</v>
      </c>
      <c r="M688" s="16">
        <v>283</v>
      </c>
      <c r="N688" s="16">
        <v>259</v>
      </c>
      <c r="O688" s="16">
        <v>305</v>
      </c>
      <c r="P688" s="16">
        <v>367</v>
      </c>
      <c r="Q688" s="16">
        <v>263</v>
      </c>
      <c r="R688" s="16">
        <v>2</v>
      </c>
      <c r="S688" s="16">
        <v>11.502800000000001</v>
      </c>
      <c r="T688" s="16">
        <v>2.6467499999999999</v>
      </c>
      <c r="U688" s="16">
        <v>0.83150925499999995</v>
      </c>
      <c r="V688" s="16">
        <v>5</v>
      </c>
      <c r="W688" s="16">
        <v>0.90817300000000001</v>
      </c>
      <c r="X688" s="16">
        <v>0.26405099999999998</v>
      </c>
      <c r="Y688" s="16">
        <v>0.64571900000000004</v>
      </c>
      <c r="Z688" s="16">
        <v>0.53897499999999998</v>
      </c>
      <c r="AA688" s="37"/>
    </row>
    <row r="689" spans="1:27">
      <c r="A689" s="16" t="s">
        <v>131</v>
      </c>
      <c r="B689" s="16" t="s">
        <v>2508</v>
      </c>
      <c r="C689" s="16" t="s">
        <v>2509</v>
      </c>
      <c r="D689" s="16" t="s">
        <v>2510</v>
      </c>
      <c r="E689" s="16" t="s">
        <v>2291</v>
      </c>
      <c r="F689" s="16" t="s">
        <v>2292</v>
      </c>
      <c r="G689" s="16" t="s">
        <v>2077</v>
      </c>
      <c r="H689" s="16" t="s">
        <v>2078</v>
      </c>
      <c r="I689" s="16" t="s">
        <v>198</v>
      </c>
      <c r="J689" s="16" t="s">
        <v>199</v>
      </c>
      <c r="K689" s="16">
        <v>2.3326920000000002</v>
      </c>
      <c r="L689" s="36">
        <v>1623</v>
      </c>
      <c r="M689" s="16">
        <v>395</v>
      </c>
      <c r="N689" s="16">
        <v>268</v>
      </c>
      <c r="O689" s="16">
        <v>357</v>
      </c>
      <c r="P689" s="16">
        <v>408</v>
      </c>
      <c r="Q689" s="16">
        <v>195</v>
      </c>
      <c r="R689" s="16" t="s">
        <v>225</v>
      </c>
      <c r="S689" s="16">
        <v>8.8075200000000002</v>
      </c>
      <c r="T689" s="16">
        <v>1.86511</v>
      </c>
      <c r="U689" s="16">
        <v>1.0997825969999999</v>
      </c>
      <c r="V689" s="16">
        <v>2</v>
      </c>
      <c r="W689" s="16">
        <v>0.90854699999999999</v>
      </c>
      <c r="X689" s="16">
        <v>0.29755599999999999</v>
      </c>
      <c r="Y689" s="16">
        <v>0.651864</v>
      </c>
      <c r="Z689" s="16">
        <v>0.47726800000000003</v>
      </c>
      <c r="AA689" s="37"/>
    </row>
    <row r="690" spans="1:27">
      <c r="A690" s="16"/>
      <c r="B690" s="16"/>
      <c r="C690" s="16"/>
      <c r="D690" s="16"/>
      <c r="E690" s="16"/>
      <c r="F690" s="16"/>
      <c r="G690" s="16"/>
      <c r="H690" s="16"/>
      <c r="I690" s="16"/>
      <c r="J690" s="16"/>
      <c r="K690" s="16">
        <f>MEDIAN(K677:K689)</f>
        <v>2.252618</v>
      </c>
      <c r="L690" s="36">
        <f>AVERAGE(L677:L689)</f>
        <v>1740.0769230769231</v>
      </c>
      <c r="M690" s="36">
        <f t="shared" ref="M690:Q690" si="58">SUM(M677:M689)</f>
        <v>4874</v>
      </c>
      <c r="N690" s="36">
        <f t="shared" si="58"/>
        <v>3599</v>
      </c>
      <c r="O690" s="36">
        <f t="shared" si="58"/>
        <v>5983</v>
      </c>
      <c r="P690" s="36">
        <f t="shared" si="58"/>
        <v>5680</v>
      </c>
      <c r="Q690" s="36">
        <f t="shared" si="58"/>
        <v>2485</v>
      </c>
      <c r="R690" s="16"/>
      <c r="S690" s="16"/>
      <c r="T690" s="16"/>
      <c r="U690" s="16"/>
      <c r="V690" s="16">
        <f>MEDIAN(V677:V689)</f>
        <v>3</v>
      </c>
      <c r="W690" s="16"/>
      <c r="X690" s="16"/>
      <c r="Y690" s="16"/>
      <c r="Z690" s="16"/>
      <c r="AA690" s="37"/>
    </row>
    <row r="691" spans="1:27">
      <c r="A691" s="16" t="s">
        <v>77</v>
      </c>
      <c r="B691" s="16" t="s">
        <v>2511</v>
      </c>
      <c r="C691" s="16" t="s">
        <v>2512</v>
      </c>
      <c r="D691" s="16" t="s">
        <v>2513</v>
      </c>
      <c r="E691" s="16" t="s">
        <v>2514</v>
      </c>
      <c r="F691" s="16" t="s">
        <v>2515</v>
      </c>
      <c r="G691" s="16" t="s">
        <v>2516</v>
      </c>
      <c r="H691" s="16" t="s">
        <v>2517</v>
      </c>
      <c r="I691" s="16" t="s">
        <v>198</v>
      </c>
      <c r="J691" s="16" t="s">
        <v>199</v>
      </c>
      <c r="K691" s="16">
        <v>1.8254300000000001</v>
      </c>
      <c r="L691" s="36">
        <v>1278</v>
      </c>
      <c r="M691" s="16">
        <v>205</v>
      </c>
      <c r="N691" s="16">
        <v>162</v>
      </c>
      <c r="O691" s="16">
        <v>262</v>
      </c>
      <c r="P691" s="16">
        <v>336</v>
      </c>
      <c r="Q691" s="16">
        <v>313</v>
      </c>
      <c r="R691" s="16" t="s">
        <v>225</v>
      </c>
      <c r="S691" s="16">
        <v>13.0764</v>
      </c>
      <c r="T691" s="16">
        <v>0</v>
      </c>
      <c r="U691" s="16">
        <v>1.075560506</v>
      </c>
      <c r="V691" s="16">
        <v>6</v>
      </c>
      <c r="W691" s="16">
        <v>0.81407700000000005</v>
      </c>
      <c r="X691" s="16">
        <v>3.4759999999999999E-2</v>
      </c>
      <c r="Y691" s="16">
        <v>0.7</v>
      </c>
      <c r="Z691" s="16">
        <v>0.27761999999999998</v>
      </c>
      <c r="AA691" s="37"/>
    </row>
    <row r="692" spans="1:27">
      <c r="A692" s="16" t="s">
        <v>77</v>
      </c>
      <c r="B692" s="16" t="s">
        <v>2518</v>
      </c>
      <c r="C692" s="16" t="s">
        <v>2519</v>
      </c>
      <c r="D692" s="16" t="s">
        <v>2520</v>
      </c>
      <c r="E692" s="16" t="s">
        <v>2521</v>
      </c>
      <c r="F692" s="16" t="s">
        <v>2522</v>
      </c>
      <c r="G692" s="16" t="s">
        <v>2516</v>
      </c>
      <c r="H692" s="16" t="s">
        <v>2517</v>
      </c>
      <c r="I692" s="16" t="s">
        <v>198</v>
      </c>
      <c r="J692" s="16" t="s">
        <v>199</v>
      </c>
      <c r="K692" s="16">
        <v>2.0541309999999999</v>
      </c>
      <c r="L692" s="36">
        <v>1539</v>
      </c>
      <c r="M692" s="16">
        <v>377</v>
      </c>
      <c r="N692" s="16">
        <v>283</v>
      </c>
      <c r="O692" s="16">
        <v>310</v>
      </c>
      <c r="P692" s="16">
        <v>372</v>
      </c>
      <c r="Q692" s="16">
        <v>197</v>
      </c>
      <c r="R692" s="16" t="s">
        <v>225</v>
      </c>
      <c r="S692" s="16">
        <v>7.7232599999999998</v>
      </c>
      <c r="T692" s="16">
        <v>0</v>
      </c>
      <c r="U692" s="16">
        <v>1.1798631319999999</v>
      </c>
      <c r="V692" s="16">
        <v>3</v>
      </c>
      <c r="W692" s="16">
        <v>0.81203700000000001</v>
      </c>
      <c r="X692" s="16">
        <v>0.28761599999999998</v>
      </c>
      <c r="Y692" s="16">
        <v>0.6</v>
      </c>
      <c r="Z692" s="16">
        <v>0.360342</v>
      </c>
      <c r="AA692" s="37"/>
    </row>
    <row r="693" spans="1:27">
      <c r="A693" s="16" t="s">
        <v>77</v>
      </c>
      <c r="B693" s="16" t="s">
        <v>2523</v>
      </c>
      <c r="C693" s="16" t="s">
        <v>2524</v>
      </c>
      <c r="D693" s="16" t="s">
        <v>2525</v>
      </c>
      <c r="E693" s="16" t="s">
        <v>2526</v>
      </c>
      <c r="F693" s="16" t="s">
        <v>2527</v>
      </c>
      <c r="G693" s="16" t="s">
        <v>2516</v>
      </c>
      <c r="H693" s="16" t="s">
        <v>2517</v>
      </c>
      <c r="I693" s="16" t="s">
        <v>198</v>
      </c>
      <c r="J693" s="16" t="s">
        <v>199</v>
      </c>
      <c r="K693" s="16">
        <v>1.672588</v>
      </c>
      <c r="L693" s="36">
        <v>1482</v>
      </c>
      <c r="M693" s="16">
        <v>288</v>
      </c>
      <c r="N693" s="16">
        <v>269</v>
      </c>
      <c r="O693" s="16">
        <v>299</v>
      </c>
      <c r="P693" s="16">
        <v>374</v>
      </c>
      <c r="Q693" s="16">
        <v>252</v>
      </c>
      <c r="R693" s="16" t="s">
        <v>214</v>
      </c>
      <c r="S693" s="16">
        <v>4.6034800000000002</v>
      </c>
      <c r="T693" s="16">
        <v>0</v>
      </c>
      <c r="U693" s="16">
        <v>1.2993504069999999</v>
      </c>
      <c r="V693" s="16">
        <v>4</v>
      </c>
      <c r="W693" s="16">
        <v>0.80306100000000002</v>
      </c>
      <c r="X693" s="16">
        <v>7.8909999999999994E-2</v>
      </c>
      <c r="Y693" s="16">
        <v>0.6</v>
      </c>
      <c r="Z693" s="16">
        <v>0.18979499999999999</v>
      </c>
      <c r="AA693" s="37"/>
    </row>
    <row r="694" spans="1:27">
      <c r="A694" s="16" t="s">
        <v>77</v>
      </c>
      <c r="B694" s="16" t="s">
        <v>2528</v>
      </c>
      <c r="C694" s="16" t="s">
        <v>2529</v>
      </c>
      <c r="D694" s="16" t="s">
        <v>2530</v>
      </c>
      <c r="E694" s="16" t="s">
        <v>2531</v>
      </c>
      <c r="F694" s="16" t="s">
        <v>2532</v>
      </c>
      <c r="G694" s="16" t="s">
        <v>2221</v>
      </c>
      <c r="H694" s="16" t="s">
        <v>2222</v>
      </c>
      <c r="I694" s="16" t="s">
        <v>198</v>
      </c>
      <c r="J694" s="16" t="s">
        <v>199</v>
      </c>
      <c r="K694" s="16">
        <v>2.1697220000000002</v>
      </c>
      <c r="L694" s="36">
        <v>1539</v>
      </c>
      <c r="M694" s="16">
        <v>341</v>
      </c>
      <c r="N694" s="16">
        <v>272</v>
      </c>
      <c r="O694" s="16">
        <v>292</v>
      </c>
      <c r="P694" s="16">
        <v>379</v>
      </c>
      <c r="Q694" s="16">
        <v>255</v>
      </c>
      <c r="R694" s="16">
        <v>2</v>
      </c>
      <c r="S694" s="16">
        <v>10.734</v>
      </c>
      <c r="T694" s="16">
        <v>0</v>
      </c>
      <c r="U694" s="16">
        <v>1.1756625169999999</v>
      </c>
      <c r="V694" s="16">
        <v>2</v>
      </c>
      <c r="W694" s="16">
        <v>0.813944</v>
      </c>
      <c r="X694" s="16">
        <v>0.28130300000000003</v>
      </c>
      <c r="Y694" s="16">
        <v>0.6</v>
      </c>
      <c r="Z694" s="16">
        <v>0.469613</v>
      </c>
      <c r="AA694" s="37"/>
    </row>
    <row r="695" spans="1:27">
      <c r="A695" s="16" t="s">
        <v>77</v>
      </c>
      <c r="B695" s="16" t="s">
        <v>2533</v>
      </c>
      <c r="C695" s="16" t="s">
        <v>2534</v>
      </c>
      <c r="D695" s="16" t="s">
        <v>2535</v>
      </c>
      <c r="E695" s="16" t="s">
        <v>2536</v>
      </c>
      <c r="F695" s="16" t="s">
        <v>2537</v>
      </c>
      <c r="G695" s="16" t="s">
        <v>2221</v>
      </c>
      <c r="H695" s="16" t="s">
        <v>2222</v>
      </c>
      <c r="I695" s="16" t="s">
        <v>198</v>
      </c>
      <c r="J695" s="16" t="s">
        <v>199</v>
      </c>
      <c r="K695" s="16">
        <v>1.873769</v>
      </c>
      <c r="L695" s="36">
        <v>1637</v>
      </c>
      <c r="M695" s="16">
        <v>318</v>
      </c>
      <c r="N695" s="16">
        <v>210</v>
      </c>
      <c r="O695" s="16">
        <v>315</v>
      </c>
      <c r="P695" s="16">
        <v>431</v>
      </c>
      <c r="Q695" s="16">
        <v>363</v>
      </c>
      <c r="R695" s="16">
        <v>2</v>
      </c>
      <c r="S695" s="16">
        <v>10.1937</v>
      </c>
      <c r="T695" s="16">
        <v>1.5066600000000001</v>
      </c>
      <c r="U695" s="16">
        <v>0.81339808999999996</v>
      </c>
      <c r="V695" s="16">
        <v>10</v>
      </c>
      <c r="W695" s="16">
        <v>0.81810300000000002</v>
      </c>
      <c r="X695" s="16">
        <v>0.17100399999999999</v>
      </c>
      <c r="Y695" s="16">
        <v>0.6</v>
      </c>
      <c r="Z695" s="16">
        <v>0.28041899999999997</v>
      </c>
      <c r="AA695" s="37"/>
    </row>
    <row r="696" spans="1:27">
      <c r="A696" s="16" t="s">
        <v>77</v>
      </c>
      <c r="B696" s="16" t="s">
        <v>2538</v>
      </c>
      <c r="C696" s="16" t="s">
        <v>2539</v>
      </c>
      <c r="D696" s="16" t="s">
        <v>2540</v>
      </c>
      <c r="E696" s="16" t="s">
        <v>2541</v>
      </c>
      <c r="F696" s="16" t="s">
        <v>2542</v>
      </c>
      <c r="G696" s="16" t="s">
        <v>2221</v>
      </c>
      <c r="H696" s="16" t="s">
        <v>2222</v>
      </c>
      <c r="I696" s="16" t="s">
        <v>198</v>
      </c>
      <c r="J696" s="16" t="s">
        <v>199</v>
      </c>
      <c r="K696" s="16">
        <v>1.8110649999999999</v>
      </c>
      <c r="L696" s="36">
        <v>1594</v>
      </c>
      <c r="M696" s="16">
        <v>297</v>
      </c>
      <c r="N696" s="16">
        <v>259</v>
      </c>
      <c r="O696" s="16">
        <v>374</v>
      </c>
      <c r="P696" s="16">
        <v>414</v>
      </c>
      <c r="Q696" s="16">
        <v>250</v>
      </c>
      <c r="R696" s="16" t="s">
        <v>225</v>
      </c>
      <c r="S696" s="16">
        <v>5.7485900000000001</v>
      </c>
      <c r="T696" s="16">
        <v>0</v>
      </c>
      <c r="U696" s="16">
        <v>0.92614785300000002</v>
      </c>
      <c r="V696" s="16">
        <v>8</v>
      </c>
      <c r="W696" s="16">
        <v>0.81825700000000001</v>
      </c>
      <c r="X696" s="16">
        <v>0.196384</v>
      </c>
      <c r="Y696" s="16">
        <v>0.6</v>
      </c>
      <c r="Z696" s="16">
        <v>0.2</v>
      </c>
      <c r="AA696" s="37"/>
    </row>
    <row r="697" spans="1:27">
      <c r="A697" s="16" t="s">
        <v>77</v>
      </c>
      <c r="B697" s="16" t="s">
        <v>2543</v>
      </c>
      <c r="C697" s="16" t="s">
        <v>2544</v>
      </c>
      <c r="D697" s="16" t="s">
        <v>2545</v>
      </c>
      <c r="E697" s="16" t="s">
        <v>2541</v>
      </c>
      <c r="F697" s="16" t="s">
        <v>2542</v>
      </c>
      <c r="G697" s="16" t="s">
        <v>2221</v>
      </c>
      <c r="H697" s="16" t="s">
        <v>2222</v>
      </c>
      <c r="I697" s="16" t="s">
        <v>198</v>
      </c>
      <c r="J697" s="16" t="s">
        <v>199</v>
      </c>
      <c r="K697" s="16">
        <v>1.7750220000000001</v>
      </c>
      <c r="L697" s="36">
        <v>2225</v>
      </c>
      <c r="M697" s="16">
        <v>427</v>
      </c>
      <c r="N697" s="16">
        <v>381</v>
      </c>
      <c r="O697" s="16">
        <v>409</v>
      </c>
      <c r="P697" s="16">
        <v>515</v>
      </c>
      <c r="Q697" s="16">
        <v>493</v>
      </c>
      <c r="R697" s="16" t="s">
        <v>225</v>
      </c>
      <c r="S697" s="16">
        <v>12.502700000000001</v>
      </c>
      <c r="T697" s="16">
        <v>0</v>
      </c>
      <c r="U697" s="16">
        <v>1.0041565210000001</v>
      </c>
      <c r="V697" s="16">
        <v>7</v>
      </c>
      <c r="W697" s="16">
        <v>0.80806</v>
      </c>
      <c r="X697" s="16">
        <v>0.14569699999999999</v>
      </c>
      <c r="Y697" s="16">
        <v>0.6</v>
      </c>
      <c r="Z697" s="16">
        <v>0.228964</v>
      </c>
      <c r="AA697" s="37"/>
    </row>
    <row r="698" spans="1:27">
      <c r="A698" s="16" t="s">
        <v>77</v>
      </c>
      <c r="B698" s="16" t="s">
        <v>2546</v>
      </c>
      <c r="C698" s="16" t="s">
        <v>2547</v>
      </c>
      <c r="D698" s="16" t="s">
        <v>2548</v>
      </c>
      <c r="E698" s="16" t="s">
        <v>2549</v>
      </c>
      <c r="F698" s="16" t="s">
        <v>2550</v>
      </c>
      <c r="G698" s="16" t="s">
        <v>2221</v>
      </c>
      <c r="H698" s="16" t="s">
        <v>2222</v>
      </c>
      <c r="I698" s="16" t="s">
        <v>198</v>
      </c>
      <c r="J698" s="16" t="s">
        <v>199</v>
      </c>
      <c r="K698" s="16">
        <v>2.0409929999999998</v>
      </c>
      <c r="L698" s="36">
        <v>1860</v>
      </c>
      <c r="M698" s="16">
        <v>232</v>
      </c>
      <c r="N698" s="16">
        <v>414</v>
      </c>
      <c r="O698" s="16">
        <v>365</v>
      </c>
      <c r="P698" s="16">
        <v>391</v>
      </c>
      <c r="Q698" s="16">
        <v>458</v>
      </c>
      <c r="R698" s="16">
        <v>2</v>
      </c>
      <c r="S698" s="16">
        <v>21.407599999999999</v>
      </c>
      <c r="T698" s="16">
        <v>0</v>
      </c>
      <c r="U698" s="16">
        <v>1.0591431979999999</v>
      </c>
      <c r="V698" s="16">
        <v>4</v>
      </c>
      <c r="W698" s="16">
        <v>0.81178499999999998</v>
      </c>
      <c r="X698" s="16">
        <v>0.28749999999999998</v>
      </c>
      <c r="Y698" s="16">
        <v>0.6</v>
      </c>
      <c r="Z698" s="16">
        <v>0.34015200000000001</v>
      </c>
      <c r="AA698" s="37"/>
    </row>
    <row r="699" spans="1:27">
      <c r="A699" s="16" t="s">
        <v>77</v>
      </c>
      <c r="B699" s="16" t="s">
        <v>2551</v>
      </c>
      <c r="C699" s="16" t="s">
        <v>2552</v>
      </c>
      <c r="D699" s="16" t="s">
        <v>2553</v>
      </c>
      <c r="E699" s="16" t="s">
        <v>2291</v>
      </c>
      <c r="F699" s="16" t="s">
        <v>2292</v>
      </c>
      <c r="G699" s="16" t="s">
        <v>2077</v>
      </c>
      <c r="H699" s="16" t="s">
        <v>2078</v>
      </c>
      <c r="I699" s="16" t="s">
        <v>198</v>
      </c>
      <c r="J699" s="16" t="s">
        <v>199</v>
      </c>
      <c r="K699" s="16">
        <v>2.141591</v>
      </c>
      <c r="L699" s="36">
        <v>1578</v>
      </c>
      <c r="M699" s="16">
        <v>418</v>
      </c>
      <c r="N699" s="16">
        <v>233</v>
      </c>
      <c r="O699" s="16">
        <v>390</v>
      </c>
      <c r="P699" s="16">
        <v>359</v>
      </c>
      <c r="Q699" s="16">
        <v>178</v>
      </c>
      <c r="R699" s="16" t="s">
        <v>225</v>
      </c>
      <c r="S699" s="16">
        <v>4.9847299999999999</v>
      </c>
      <c r="T699" s="16">
        <v>1.72492</v>
      </c>
      <c r="U699" s="16">
        <v>1.29804823</v>
      </c>
      <c r="V699" s="16">
        <v>2</v>
      </c>
      <c r="W699" s="16">
        <v>0.88709300000000002</v>
      </c>
      <c r="X699" s="16">
        <v>0.17660999999999999</v>
      </c>
      <c r="Y699" s="16">
        <v>0.69868799999999998</v>
      </c>
      <c r="Z699" s="16">
        <v>0.38112000000000001</v>
      </c>
      <c r="AA699" s="37"/>
    </row>
    <row r="700" spans="1:27">
      <c r="A700" s="16" t="s">
        <v>77</v>
      </c>
      <c r="B700" s="16" t="s">
        <v>2554</v>
      </c>
      <c r="C700" s="16" t="s">
        <v>2555</v>
      </c>
      <c r="D700" s="16" t="s">
        <v>2556</v>
      </c>
      <c r="E700" s="16" t="s">
        <v>2291</v>
      </c>
      <c r="F700" s="16" t="s">
        <v>2292</v>
      </c>
      <c r="G700" s="16" t="s">
        <v>2077</v>
      </c>
      <c r="H700" s="16" t="s">
        <v>2078</v>
      </c>
      <c r="I700" s="16" t="s">
        <v>198</v>
      </c>
      <c r="J700" s="16" t="s">
        <v>199</v>
      </c>
      <c r="K700" s="16">
        <v>2.0653570000000001</v>
      </c>
      <c r="L700" s="36">
        <v>1654</v>
      </c>
      <c r="M700" s="16">
        <v>407</v>
      </c>
      <c r="N700" s="16">
        <v>279</v>
      </c>
      <c r="O700" s="16">
        <v>435</v>
      </c>
      <c r="P700" s="16">
        <v>380</v>
      </c>
      <c r="Q700" s="16">
        <v>153</v>
      </c>
      <c r="R700" s="16">
        <v>2</v>
      </c>
      <c r="S700" s="16">
        <v>22.172799999999999</v>
      </c>
      <c r="T700" s="16">
        <v>0</v>
      </c>
      <c r="U700" s="16">
        <v>1.4446592149999999</v>
      </c>
      <c r="V700" s="16">
        <v>2</v>
      </c>
      <c r="W700" s="16">
        <v>0.841059</v>
      </c>
      <c r="X700" s="16">
        <v>0.121669</v>
      </c>
      <c r="Y700" s="16">
        <v>0.7</v>
      </c>
      <c r="Z700" s="16">
        <v>0.40304499999999999</v>
      </c>
      <c r="AA700" s="37"/>
    </row>
    <row r="701" spans="1:27">
      <c r="A701" s="16" t="s">
        <v>77</v>
      </c>
      <c r="B701" s="16" t="s">
        <v>2508</v>
      </c>
      <c r="C701" s="16" t="s">
        <v>2509</v>
      </c>
      <c r="D701" s="16" t="s">
        <v>2510</v>
      </c>
      <c r="E701" s="16" t="s">
        <v>2291</v>
      </c>
      <c r="F701" s="16" t="s">
        <v>2292</v>
      </c>
      <c r="G701" s="16" t="s">
        <v>2077</v>
      </c>
      <c r="H701" s="16" t="s">
        <v>2078</v>
      </c>
      <c r="I701" s="16" t="s">
        <v>198</v>
      </c>
      <c r="J701" s="16" t="s">
        <v>199</v>
      </c>
      <c r="K701" s="16">
        <v>2.3326920000000002</v>
      </c>
      <c r="L701" s="36">
        <v>1623</v>
      </c>
      <c r="M701" s="16">
        <v>395</v>
      </c>
      <c r="N701" s="16">
        <v>268</v>
      </c>
      <c r="O701" s="16">
        <v>357</v>
      </c>
      <c r="P701" s="16">
        <v>408</v>
      </c>
      <c r="Q701" s="16">
        <v>195</v>
      </c>
      <c r="R701" s="16" t="s">
        <v>225</v>
      </c>
      <c r="S701" s="16">
        <v>8.8075200000000002</v>
      </c>
      <c r="T701" s="16">
        <v>1.86511</v>
      </c>
      <c r="U701" s="16">
        <v>1.0997825969999999</v>
      </c>
      <c r="V701" s="16">
        <v>2</v>
      </c>
      <c r="W701" s="16">
        <v>0.90854699999999999</v>
      </c>
      <c r="X701" s="16">
        <v>0.29755599999999999</v>
      </c>
      <c r="Y701" s="16">
        <v>0.651864</v>
      </c>
      <c r="Z701" s="16">
        <v>0.47726800000000003</v>
      </c>
      <c r="AA701" s="37"/>
    </row>
    <row r="702" spans="1:27">
      <c r="A702" s="16" t="s">
        <v>77</v>
      </c>
      <c r="B702" s="16" t="s">
        <v>2557</v>
      </c>
      <c r="C702" s="16" t="s">
        <v>2558</v>
      </c>
      <c r="D702" s="16" t="s">
        <v>2559</v>
      </c>
      <c r="E702" s="16" t="s">
        <v>2560</v>
      </c>
      <c r="F702" s="16" t="s">
        <v>2561</v>
      </c>
      <c r="G702" s="16" t="s">
        <v>2077</v>
      </c>
      <c r="H702" s="16" t="s">
        <v>2078</v>
      </c>
      <c r="I702" s="16" t="s">
        <v>198</v>
      </c>
      <c r="J702" s="16" t="s">
        <v>199</v>
      </c>
      <c r="K702" s="16">
        <v>2.2100219999999999</v>
      </c>
      <c r="L702" s="36">
        <v>1552</v>
      </c>
      <c r="M702" s="16">
        <v>301</v>
      </c>
      <c r="N702" s="16">
        <v>235</v>
      </c>
      <c r="O702" s="16">
        <v>276</v>
      </c>
      <c r="P702" s="16">
        <v>447</v>
      </c>
      <c r="Q702" s="16">
        <v>293</v>
      </c>
      <c r="R702" s="16">
        <v>2</v>
      </c>
      <c r="S702" s="16">
        <v>12.798999999999999</v>
      </c>
      <c r="T702" s="16">
        <v>4.6706700000000003</v>
      </c>
      <c r="U702" s="16">
        <v>0.83841637300000005</v>
      </c>
      <c r="V702" s="16">
        <v>6</v>
      </c>
      <c r="W702" s="16">
        <v>0.86145400000000005</v>
      </c>
      <c r="X702" s="16">
        <v>0.25454500000000002</v>
      </c>
      <c r="Y702" s="16">
        <v>0.7</v>
      </c>
      <c r="Z702" s="16">
        <v>0.39460899999999999</v>
      </c>
      <c r="AA702" s="37"/>
    </row>
    <row r="703" spans="1:27">
      <c r="A703" s="16" t="s">
        <v>77</v>
      </c>
      <c r="B703" s="16" t="s">
        <v>2562</v>
      </c>
      <c r="C703" s="16" t="s">
        <v>2563</v>
      </c>
      <c r="D703" s="16" t="s">
        <v>2564</v>
      </c>
      <c r="E703" s="16" t="s">
        <v>2560</v>
      </c>
      <c r="F703" s="16" t="s">
        <v>2561</v>
      </c>
      <c r="G703" s="16" t="s">
        <v>2077</v>
      </c>
      <c r="H703" s="16" t="s">
        <v>2078</v>
      </c>
      <c r="I703" s="16" t="s">
        <v>198</v>
      </c>
      <c r="J703" s="16" t="s">
        <v>199</v>
      </c>
      <c r="K703" s="16">
        <v>2.0206490000000001</v>
      </c>
      <c r="L703" s="36">
        <v>1549</v>
      </c>
      <c r="M703" s="16">
        <v>286</v>
      </c>
      <c r="N703" s="16">
        <v>251</v>
      </c>
      <c r="O703" s="16">
        <v>292</v>
      </c>
      <c r="P703" s="16">
        <v>410</v>
      </c>
      <c r="Q703" s="16">
        <v>310</v>
      </c>
      <c r="R703" s="16">
        <v>2</v>
      </c>
      <c r="S703" s="16">
        <v>12.0915</v>
      </c>
      <c r="T703" s="16">
        <v>1.7260200000000001</v>
      </c>
      <c r="U703" s="16">
        <v>0.91742578399999997</v>
      </c>
      <c r="V703" s="16">
        <v>7</v>
      </c>
      <c r="W703" s="16">
        <v>0.82547499999999996</v>
      </c>
      <c r="X703" s="16">
        <v>0.14526800000000001</v>
      </c>
      <c r="Y703" s="16">
        <v>0.69739499999999999</v>
      </c>
      <c r="Z703" s="16">
        <v>0.35960500000000001</v>
      </c>
      <c r="AA703" s="37"/>
    </row>
    <row r="704" spans="1:27">
      <c r="A704" s="16" t="s">
        <v>77</v>
      </c>
      <c r="B704" s="16" t="s">
        <v>2565</v>
      </c>
      <c r="C704" s="16" t="s">
        <v>2566</v>
      </c>
      <c r="D704" s="16" t="s">
        <v>2567</v>
      </c>
      <c r="E704" s="16" t="s">
        <v>2568</v>
      </c>
      <c r="F704" s="16" t="s">
        <v>2569</v>
      </c>
      <c r="G704" s="16" t="s">
        <v>2077</v>
      </c>
      <c r="H704" s="16" t="s">
        <v>2078</v>
      </c>
      <c r="I704" s="16" t="s">
        <v>198</v>
      </c>
      <c r="J704" s="16" t="s">
        <v>199</v>
      </c>
      <c r="K704" s="16">
        <v>1.930728</v>
      </c>
      <c r="L704" s="36">
        <v>1765</v>
      </c>
      <c r="M704" s="16">
        <v>401</v>
      </c>
      <c r="N704" s="16">
        <v>276</v>
      </c>
      <c r="O704" s="16">
        <v>395</v>
      </c>
      <c r="P704" s="16">
        <v>420</v>
      </c>
      <c r="Q704" s="16">
        <v>273</v>
      </c>
      <c r="R704" s="16">
        <v>2</v>
      </c>
      <c r="S704" s="16">
        <v>11.0204</v>
      </c>
      <c r="T704" s="16">
        <v>1.86964</v>
      </c>
      <c r="U704" s="16">
        <v>0.99709974000000001</v>
      </c>
      <c r="V704" s="16">
        <v>6</v>
      </c>
      <c r="W704" s="16">
        <v>0.82956700000000005</v>
      </c>
      <c r="X704" s="16">
        <v>6.9409999999999999E-2</v>
      </c>
      <c r="Y704" s="16">
        <v>0.68271599999999999</v>
      </c>
      <c r="Z704" s="16">
        <v>0.35243200000000002</v>
      </c>
      <c r="AA704" s="37"/>
    </row>
    <row r="705" spans="1:27">
      <c r="A705" s="16" t="s">
        <v>77</v>
      </c>
      <c r="B705" s="16" t="s">
        <v>2570</v>
      </c>
      <c r="C705" s="16" t="s">
        <v>2571</v>
      </c>
      <c r="D705" s="16" t="s">
        <v>2572</v>
      </c>
      <c r="E705" s="16" t="s">
        <v>2568</v>
      </c>
      <c r="F705" s="16" t="s">
        <v>2569</v>
      </c>
      <c r="G705" s="16" t="s">
        <v>2077</v>
      </c>
      <c r="H705" s="16" t="s">
        <v>2078</v>
      </c>
      <c r="I705" s="16" t="s">
        <v>198</v>
      </c>
      <c r="J705" s="16" t="s">
        <v>199</v>
      </c>
      <c r="K705" s="16">
        <v>2.0587170000000001</v>
      </c>
      <c r="L705" s="36">
        <v>1572</v>
      </c>
      <c r="M705" s="16">
        <v>298</v>
      </c>
      <c r="N705" s="16">
        <v>286</v>
      </c>
      <c r="O705" s="16">
        <v>350</v>
      </c>
      <c r="P705" s="16">
        <v>385</v>
      </c>
      <c r="Q705" s="16">
        <v>253</v>
      </c>
      <c r="R705" s="16">
        <v>3</v>
      </c>
      <c r="S705" s="16">
        <v>15.992800000000001</v>
      </c>
      <c r="T705" s="16">
        <v>4.9129899999999997</v>
      </c>
      <c r="U705" s="16">
        <v>0.87766321199999997</v>
      </c>
      <c r="V705" s="16">
        <v>7</v>
      </c>
      <c r="W705" s="16">
        <v>0.84527799999999997</v>
      </c>
      <c r="X705" s="16">
        <v>0.154251</v>
      </c>
      <c r="Y705" s="16">
        <v>0.66286100000000003</v>
      </c>
      <c r="Z705" s="16">
        <v>0.4</v>
      </c>
      <c r="AA705" s="37"/>
    </row>
    <row r="706" spans="1:27">
      <c r="A706" s="16" t="s">
        <v>77</v>
      </c>
      <c r="B706" s="16" t="s">
        <v>2573</v>
      </c>
      <c r="C706" s="16" t="s">
        <v>2574</v>
      </c>
      <c r="D706" s="16" t="s">
        <v>2575</v>
      </c>
      <c r="E706" s="16" t="s">
        <v>2568</v>
      </c>
      <c r="F706" s="16" t="s">
        <v>2569</v>
      </c>
      <c r="G706" s="16" t="s">
        <v>2077</v>
      </c>
      <c r="H706" s="16" t="s">
        <v>2078</v>
      </c>
      <c r="I706" s="16" t="s">
        <v>198</v>
      </c>
      <c r="J706" s="16" t="s">
        <v>199</v>
      </c>
      <c r="K706" s="16">
        <v>1.949524</v>
      </c>
      <c r="L706" s="36">
        <v>1558</v>
      </c>
      <c r="M706" s="16">
        <v>277</v>
      </c>
      <c r="N706" s="16">
        <v>233</v>
      </c>
      <c r="O706" s="16">
        <v>295</v>
      </c>
      <c r="P706" s="16">
        <v>399</v>
      </c>
      <c r="Q706" s="16">
        <v>354</v>
      </c>
      <c r="R706" s="16">
        <v>2</v>
      </c>
      <c r="S706" s="16">
        <v>16.9541</v>
      </c>
      <c r="T706" s="16">
        <v>1.57043</v>
      </c>
      <c r="U706" s="16">
        <v>0.93072713100000004</v>
      </c>
      <c r="V706" s="16">
        <v>8</v>
      </c>
      <c r="W706" s="16">
        <v>0.82326500000000002</v>
      </c>
      <c r="X706" s="16">
        <v>0.17306099999999999</v>
      </c>
      <c r="Y706" s="16">
        <v>0.60230700000000004</v>
      </c>
      <c r="Z706" s="16">
        <v>0.34815800000000002</v>
      </c>
      <c r="AA706" s="37"/>
    </row>
    <row r="707" spans="1:27">
      <c r="A707" s="16" t="s">
        <v>77</v>
      </c>
      <c r="B707" s="16" t="s">
        <v>2576</v>
      </c>
      <c r="C707" s="16" t="s">
        <v>2577</v>
      </c>
      <c r="D707" s="16" t="s">
        <v>2578</v>
      </c>
      <c r="E707" s="16" t="s">
        <v>2579</v>
      </c>
      <c r="F707" s="16" t="s">
        <v>2580</v>
      </c>
      <c r="G707" s="16" t="s">
        <v>2516</v>
      </c>
      <c r="H707" s="16" t="s">
        <v>2517</v>
      </c>
      <c r="I707" s="16" t="s">
        <v>198</v>
      </c>
      <c r="J707" s="16" t="s">
        <v>199</v>
      </c>
      <c r="K707" s="16">
        <v>1.837599</v>
      </c>
      <c r="L707" s="36">
        <v>1609</v>
      </c>
      <c r="M707" s="16">
        <v>315</v>
      </c>
      <c r="N707" s="16">
        <v>235</v>
      </c>
      <c r="O707" s="16">
        <v>324</v>
      </c>
      <c r="P707" s="16">
        <v>414</v>
      </c>
      <c r="Q707" s="16">
        <v>321</v>
      </c>
      <c r="R707" s="16" t="s">
        <v>214</v>
      </c>
      <c r="S707" s="16"/>
      <c r="T707" s="16"/>
      <c r="U707" s="16"/>
      <c r="V707" s="16">
        <v>5</v>
      </c>
      <c r="W707" s="16">
        <v>0.80282900000000001</v>
      </c>
      <c r="X707" s="16">
        <v>0.22509499999999999</v>
      </c>
      <c r="Y707" s="16">
        <v>0.599831</v>
      </c>
      <c r="Z707" s="16">
        <v>0.21212</v>
      </c>
      <c r="AA707" s="37"/>
    </row>
    <row r="708" spans="1:27">
      <c r="A708" s="16"/>
      <c r="B708" s="16"/>
      <c r="C708" s="16"/>
      <c r="D708" s="16"/>
      <c r="E708" s="16"/>
      <c r="F708" s="16"/>
      <c r="G708" s="16"/>
      <c r="H708" s="16"/>
      <c r="I708" s="16"/>
      <c r="J708" s="16"/>
      <c r="K708" s="16">
        <f>MEDIAN(K691:K707)</f>
        <v>2.0206490000000001</v>
      </c>
      <c r="L708" s="36">
        <f t="shared" ref="L708:Q708" si="59">SUM(L691:L707)</f>
        <v>27614</v>
      </c>
      <c r="M708" s="36">
        <f t="shared" si="59"/>
        <v>5583</v>
      </c>
      <c r="N708" s="36">
        <f t="shared" si="59"/>
        <v>4546</v>
      </c>
      <c r="O708" s="36">
        <f t="shared" si="59"/>
        <v>5740</v>
      </c>
      <c r="P708" s="36">
        <f t="shared" si="59"/>
        <v>6834</v>
      </c>
      <c r="Q708" s="36">
        <f t="shared" si="59"/>
        <v>4911</v>
      </c>
      <c r="R708" s="16"/>
      <c r="S708" s="16"/>
      <c r="T708" s="16"/>
      <c r="U708" s="16"/>
      <c r="V708" s="16">
        <f>MEDIAN(V691:V707)</f>
        <v>6</v>
      </c>
      <c r="W708" s="16"/>
      <c r="X708" s="16"/>
      <c r="Y708" s="16"/>
      <c r="Z708" s="16"/>
      <c r="AA708" s="37"/>
    </row>
    <row r="709" spans="1:27">
      <c r="A709" s="16" t="s">
        <v>141</v>
      </c>
      <c r="B709" s="16" t="s">
        <v>2581</v>
      </c>
      <c r="C709" s="16" t="s">
        <v>2582</v>
      </c>
      <c r="D709" s="16" t="s">
        <v>2583</v>
      </c>
      <c r="E709" s="16" t="s">
        <v>2584</v>
      </c>
      <c r="F709" s="16" t="s">
        <v>2585</v>
      </c>
      <c r="G709" s="16" t="s">
        <v>2164</v>
      </c>
      <c r="H709" s="16" t="s">
        <v>2165</v>
      </c>
      <c r="I709" s="16" t="s">
        <v>198</v>
      </c>
      <c r="J709" s="16" t="s">
        <v>199</v>
      </c>
      <c r="K709" s="16">
        <v>2.2007249999999998</v>
      </c>
      <c r="L709" s="36">
        <v>1513</v>
      </c>
      <c r="M709" s="16">
        <v>297</v>
      </c>
      <c r="N709" s="16">
        <v>257</v>
      </c>
      <c r="O709" s="16">
        <v>383</v>
      </c>
      <c r="P709" s="16">
        <v>441</v>
      </c>
      <c r="Q709" s="16">
        <v>135</v>
      </c>
      <c r="R709" s="16">
        <v>3</v>
      </c>
      <c r="S709" s="16">
        <v>24.095700000000001</v>
      </c>
      <c r="T709" s="16">
        <v>8.5164500000000007</v>
      </c>
      <c r="U709" s="16">
        <v>0.98770458400000005</v>
      </c>
      <c r="V709" s="16">
        <v>4</v>
      </c>
      <c r="W709" s="16">
        <v>0.900725</v>
      </c>
      <c r="X709" s="16">
        <v>0.179426</v>
      </c>
      <c r="Y709" s="16">
        <v>0.63254200000000005</v>
      </c>
      <c r="Z709" s="16">
        <v>0.49711499999999997</v>
      </c>
      <c r="AA709" s="37"/>
    </row>
    <row r="710" spans="1:27">
      <c r="A710" s="16" t="s">
        <v>141</v>
      </c>
      <c r="B710" s="16" t="s">
        <v>2586</v>
      </c>
      <c r="C710" s="16" t="s">
        <v>2587</v>
      </c>
      <c r="D710" s="16" t="s">
        <v>2588</v>
      </c>
      <c r="E710" s="16" t="s">
        <v>2584</v>
      </c>
      <c r="F710" s="16" t="s">
        <v>2585</v>
      </c>
      <c r="G710" s="16" t="s">
        <v>2164</v>
      </c>
      <c r="H710" s="16" t="s">
        <v>2165</v>
      </c>
      <c r="I710" s="16" t="s">
        <v>198</v>
      </c>
      <c r="J710" s="16" t="s">
        <v>199</v>
      </c>
      <c r="K710" s="16">
        <v>2.2466219999999999</v>
      </c>
      <c r="L710" s="36">
        <v>1812</v>
      </c>
      <c r="M710" s="16">
        <v>439</v>
      </c>
      <c r="N710" s="16">
        <v>272</v>
      </c>
      <c r="O710" s="16">
        <v>544</v>
      </c>
      <c r="P710" s="16">
        <v>435</v>
      </c>
      <c r="Q710" s="16">
        <v>122</v>
      </c>
      <c r="R710" s="16">
        <v>5</v>
      </c>
      <c r="S710" s="16">
        <v>29.8079</v>
      </c>
      <c r="T710" s="16">
        <v>15.761100000000001</v>
      </c>
      <c r="U710" s="16">
        <v>1.172359146</v>
      </c>
      <c r="V710" s="16">
        <v>2</v>
      </c>
      <c r="W710" s="16">
        <v>0.90574299999999996</v>
      </c>
      <c r="X710" s="16">
        <v>0.15524499999999999</v>
      </c>
      <c r="Y710" s="16">
        <v>0.64722199999999996</v>
      </c>
      <c r="Z710" s="16">
        <v>0.532192</v>
      </c>
      <c r="AA710" s="37"/>
    </row>
    <row r="711" spans="1:27">
      <c r="A711" s="16" t="s">
        <v>141</v>
      </c>
      <c r="B711" s="16" t="s">
        <v>2481</v>
      </c>
      <c r="C711" s="16" t="s">
        <v>2482</v>
      </c>
      <c r="D711" s="16" t="s">
        <v>2483</v>
      </c>
      <c r="E711" s="16" t="s">
        <v>2484</v>
      </c>
      <c r="F711" s="16" t="s">
        <v>2485</v>
      </c>
      <c r="G711" s="16" t="s">
        <v>2164</v>
      </c>
      <c r="H711" s="16" t="s">
        <v>2165</v>
      </c>
      <c r="I711" s="16" t="s">
        <v>198</v>
      </c>
      <c r="J711" s="16" t="s">
        <v>199</v>
      </c>
      <c r="K711" s="16">
        <v>2.1531709999999999</v>
      </c>
      <c r="L711" s="36">
        <v>1834</v>
      </c>
      <c r="M711" s="16">
        <v>459</v>
      </c>
      <c r="N711" s="16">
        <v>275</v>
      </c>
      <c r="O711" s="16">
        <v>549</v>
      </c>
      <c r="P711" s="16">
        <v>408</v>
      </c>
      <c r="Q711" s="16">
        <v>143</v>
      </c>
      <c r="R711" s="16">
        <v>4</v>
      </c>
      <c r="S711" s="16">
        <v>30.730899999999998</v>
      </c>
      <c r="T711" s="16">
        <v>11.5442</v>
      </c>
      <c r="U711" s="16">
        <v>1.288119748</v>
      </c>
      <c r="V711" s="16">
        <v>2</v>
      </c>
      <c r="W711" s="16">
        <v>0.906829</v>
      </c>
      <c r="X711" s="16">
        <v>0.13187299999999999</v>
      </c>
      <c r="Y711" s="16">
        <v>0.67125599999999996</v>
      </c>
      <c r="Z711" s="16">
        <v>0.45599000000000001</v>
      </c>
      <c r="AA711" s="37"/>
    </row>
    <row r="712" spans="1:27">
      <c r="A712" s="16" t="s">
        <v>141</v>
      </c>
      <c r="B712" s="16" t="s">
        <v>2589</v>
      </c>
      <c r="C712" s="16" t="s">
        <v>2590</v>
      </c>
      <c r="D712" s="16" t="s">
        <v>2591</v>
      </c>
      <c r="E712" s="16" t="s">
        <v>2584</v>
      </c>
      <c r="F712" s="16" t="s">
        <v>2585</v>
      </c>
      <c r="G712" s="16" t="s">
        <v>2164</v>
      </c>
      <c r="H712" s="16" t="s">
        <v>2165</v>
      </c>
      <c r="I712" s="16" t="s">
        <v>198</v>
      </c>
      <c r="J712" s="16" t="s">
        <v>199</v>
      </c>
      <c r="K712" s="16">
        <v>2.3809819999999999</v>
      </c>
      <c r="L712" s="36">
        <v>1955</v>
      </c>
      <c r="M712" s="16">
        <v>434</v>
      </c>
      <c r="N712" s="16">
        <v>389</v>
      </c>
      <c r="O712" s="16">
        <v>520</v>
      </c>
      <c r="P712" s="16">
        <v>444</v>
      </c>
      <c r="Q712" s="16">
        <v>168</v>
      </c>
      <c r="R712" s="16" t="s">
        <v>302</v>
      </c>
      <c r="S712" s="16">
        <v>35.0901</v>
      </c>
      <c r="T712" s="16">
        <v>1.85707</v>
      </c>
      <c r="U712" s="16">
        <v>1.32290738</v>
      </c>
      <c r="V712" s="16">
        <v>1</v>
      </c>
      <c r="W712" s="16">
        <v>0.91022499999999995</v>
      </c>
      <c r="X712" s="16">
        <v>0.34515800000000002</v>
      </c>
      <c r="Y712" s="16">
        <v>0.62761800000000001</v>
      </c>
      <c r="Z712" s="16">
        <v>0.49959100000000001</v>
      </c>
      <c r="AA712" s="37"/>
    </row>
    <row r="713" spans="1:27">
      <c r="A713" s="16" t="s">
        <v>141</v>
      </c>
      <c r="B713" s="16" t="s">
        <v>2592</v>
      </c>
      <c r="C713" s="16" t="s">
        <v>2593</v>
      </c>
      <c r="D713" s="16" t="s">
        <v>2594</v>
      </c>
      <c r="E713" s="16" t="s">
        <v>2317</v>
      </c>
      <c r="F713" s="16" t="s">
        <v>2318</v>
      </c>
      <c r="G713" s="16" t="s">
        <v>2164</v>
      </c>
      <c r="H713" s="16" t="s">
        <v>2165</v>
      </c>
      <c r="I713" s="16" t="s">
        <v>198</v>
      </c>
      <c r="J713" s="16" t="s">
        <v>199</v>
      </c>
      <c r="K713" s="16">
        <v>2.1040199999999998</v>
      </c>
      <c r="L713" s="36">
        <v>1418</v>
      </c>
      <c r="M713" s="16">
        <v>310</v>
      </c>
      <c r="N713" s="16">
        <v>236</v>
      </c>
      <c r="O713" s="16">
        <v>359</v>
      </c>
      <c r="P713" s="16">
        <v>356</v>
      </c>
      <c r="Q713" s="16">
        <v>157</v>
      </c>
      <c r="R713" s="16">
        <v>4</v>
      </c>
      <c r="S713" s="16">
        <v>26.448499999999999</v>
      </c>
      <c r="T713" s="16">
        <v>9.5865200000000002</v>
      </c>
      <c r="U713" s="16">
        <v>1.5122515299999999</v>
      </c>
      <c r="V713" s="16">
        <v>1</v>
      </c>
      <c r="W713" s="16">
        <v>0.90402000000000005</v>
      </c>
      <c r="X713" s="16">
        <v>0.149114</v>
      </c>
      <c r="Y713" s="16">
        <v>0.60328300000000001</v>
      </c>
      <c r="Z713" s="16">
        <v>0.45919399999999999</v>
      </c>
      <c r="AA713" s="37"/>
    </row>
    <row r="714" spans="1:27">
      <c r="A714" s="16" t="s">
        <v>141</v>
      </c>
      <c r="B714" s="16" t="s">
        <v>2595</v>
      </c>
      <c r="C714" s="16" t="s">
        <v>2596</v>
      </c>
      <c r="D714" s="16" t="s">
        <v>2597</v>
      </c>
      <c r="E714" s="16" t="s">
        <v>2495</v>
      </c>
      <c r="F714" s="16" t="s">
        <v>2496</v>
      </c>
      <c r="G714" s="16" t="s">
        <v>2164</v>
      </c>
      <c r="H714" s="16" t="s">
        <v>2165</v>
      </c>
      <c r="I714" s="16" t="s">
        <v>198</v>
      </c>
      <c r="J714" s="16" t="s">
        <v>199</v>
      </c>
      <c r="K714" s="16">
        <v>1.9860869999999999</v>
      </c>
      <c r="L714" s="36">
        <v>1583</v>
      </c>
      <c r="M714" s="16">
        <v>289</v>
      </c>
      <c r="N714" s="16">
        <v>262</v>
      </c>
      <c r="O714" s="16">
        <v>515</v>
      </c>
      <c r="P714" s="16">
        <v>393</v>
      </c>
      <c r="Q714" s="16">
        <v>124</v>
      </c>
      <c r="R714" s="16">
        <v>3</v>
      </c>
      <c r="S714" s="16">
        <v>19.011600000000001</v>
      </c>
      <c r="T714" s="16">
        <v>10.9551</v>
      </c>
      <c r="U714" s="16">
        <v>1.1727544919999999</v>
      </c>
      <c r="V714" s="16">
        <v>3</v>
      </c>
      <c r="W714" s="16">
        <v>0.90289900000000001</v>
      </c>
      <c r="X714" s="16">
        <v>4.8710999999999997E-2</v>
      </c>
      <c r="Y714" s="16">
        <v>0.6</v>
      </c>
      <c r="Z714" s="16">
        <v>0.43458200000000002</v>
      </c>
      <c r="AA714" s="37"/>
    </row>
    <row r="715" spans="1:27">
      <c r="A715" s="16" t="s">
        <v>141</v>
      </c>
      <c r="B715" s="16" t="s">
        <v>2598</v>
      </c>
      <c r="C715" s="16" t="s">
        <v>2599</v>
      </c>
      <c r="D715" s="16" t="s">
        <v>2600</v>
      </c>
      <c r="E715" s="16" t="s">
        <v>2317</v>
      </c>
      <c r="F715" s="16" t="s">
        <v>2318</v>
      </c>
      <c r="G715" s="16" t="s">
        <v>2164</v>
      </c>
      <c r="H715" s="16" t="s">
        <v>2165</v>
      </c>
      <c r="I715" s="16" t="s">
        <v>198</v>
      </c>
      <c r="J715" s="16" t="s">
        <v>199</v>
      </c>
      <c r="K715" s="16">
        <v>2.8274159999999999</v>
      </c>
      <c r="L715" s="36">
        <v>5959</v>
      </c>
      <c r="M715" s="16">
        <v>924</v>
      </c>
      <c r="N715" s="36">
        <v>1926</v>
      </c>
      <c r="O715" s="36">
        <v>2153</v>
      </c>
      <c r="P715" s="16">
        <v>793</v>
      </c>
      <c r="Q715" s="16">
        <v>163</v>
      </c>
      <c r="R715" s="16" t="s">
        <v>668</v>
      </c>
      <c r="S715" s="16">
        <v>68.727099999999993</v>
      </c>
      <c r="T715" s="16">
        <v>17.3339</v>
      </c>
      <c r="U715" s="16">
        <v>0.741858028</v>
      </c>
      <c r="V715" s="16">
        <v>3</v>
      </c>
      <c r="W715" s="16">
        <v>0.90986199999999995</v>
      </c>
      <c r="X715" s="16">
        <v>0.40316800000000003</v>
      </c>
      <c r="Y715" s="16">
        <v>0.7</v>
      </c>
      <c r="Z715" s="16">
        <v>0.81093599999999999</v>
      </c>
      <c r="AA715" s="37"/>
    </row>
    <row r="716" spans="1:27">
      <c r="A716" s="16" t="s">
        <v>141</v>
      </c>
      <c r="B716" s="16" t="s">
        <v>2601</v>
      </c>
      <c r="C716" s="16" t="s">
        <v>2602</v>
      </c>
      <c r="D716" s="16" t="s">
        <v>2603</v>
      </c>
      <c r="E716" s="16" t="s">
        <v>2317</v>
      </c>
      <c r="F716" s="16" t="s">
        <v>2318</v>
      </c>
      <c r="G716" s="16" t="s">
        <v>2164</v>
      </c>
      <c r="H716" s="16" t="s">
        <v>2165</v>
      </c>
      <c r="I716" s="16" t="s">
        <v>198</v>
      </c>
      <c r="J716" s="16" t="s">
        <v>199</v>
      </c>
      <c r="K716" s="16">
        <v>2.5179510000000001</v>
      </c>
      <c r="L716" s="36">
        <v>2051</v>
      </c>
      <c r="M716" s="16">
        <v>270</v>
      </c>
      <c r="N716" s="16">
        <v>529</v>
      </c>
      <c r="O716" s="16">
        <v>741</v>
      </c>
      <c r="P716" s="16">
        <v>356</v>
      </c>
      <c r="Q716" s="16">
        <v>155</v>
      </c>
      <c r="R716" s="16" t="s">
        <v>302</v>
      </c>
      <c r="S716" s="16">
        <v>61.6068</v>
      </c>
      <c r="T716" s="16">
        <v>21.2621</v>
      </c>
      <c r="U716" s="16">
        <v>0.98508890000000005</v>
      </c>
      <c r="V716" s="16">
        <v>2</v>
      </c>
      <c r="W716" s="16">
        <v>0.90813100000000002</v>
      </c>
      <c r="X716" s="16">
        <v>0.27788400000000002</v>
      </c>
      <c r="Y716" s="16">
        <v>0.68113800000000002</v>
      </c>
      <c r="Z716" s="16">
        <v>0.65650799999999998</v>
      </c>
      <c r="AA716" s="37"/>
    </row>
    <row r="717" spans="1:27">
      <c r="A717" s="16" t="s">
        <v>141</v>
      </c>
      <c r="B717" s="16" t="s">
        <v>2604</v>
      </c>
      <c r="C717" s="16" t="s">
        <v>2605</v>
      </c>
      <c r="D717" s="16" t="s">
        <v>2606</v>
      </c>
      <c r="E717" s="16" t="s">
        <v>2317</v>
      </c>
      <c r="F717" s="16" t="s">
        <v>2318</v>
      </c>
      <c r="G717" s="16" t="s">
        <v>2164</v>
      </c>
      <c r="H717" s="16" t="s">
        <v>2165</v>
      </c>
      <c r="I717" s="16" t="s">
        <v>198</v>
      </c>
      <c r="J717" s="16" t="s">
        <v>199</v>
      </c>
      <c r="K717" s="16">
        <v>2.4075519999999999</v>
      </c>
      <c r="L717" s="36">
        <v>1315</v>
      </c>
      <c r="M717" s="16">
        <v>365</v>
      </c>
      <c r="N717" s="16">
        <v>223</v>
      </c>
      <c r="O717" s="16">
        <v>379</v>
      </c>
      <c r="P717" s="16">
        <v>268</v>
      </c>
      <c r="Q717" s="16">
        <v>80</v>
      </c>
      <c r="R717" s="16" t="s">
        <v>302</v>
      </c>
      <c r="S717" s="16">
        <v>48.346299999999999</v>
      </c>
      <c r="T717" s="16">
        <v>22.6083</v>
      </c>
      <c r="U717" s="16">
        <v>1.029068286</v>
      </c>
      <c r="V717" s="16">
        <v>3</v>
      </c>
      <c r="W717" s="16">
        <v>0.910937</v>
      </c>
      <c r="X717" s="16">
        <v>0.20425499999999999</v>
      </c>
      <c r="Y717" s="16">
        <v>0.67313800000000001</v>
      </c>
      <c r="Z717" s="16">
        <v>0.62838499999999997</v>
      </c>
      <c r="AA717" s="37"/>
    </row>
    <row r="718" spans="1:27">
      <c r="A718" s="16"/>
      <c r="B718" s="16"/>
      <c r="C718" s="16"/>
      <c r="D718" s="16"/>
      <c r="E718" s="16"/>
      <c r="F718" s="16"/>
      <c r="G718" s="16"/>
      <c r="H718" s="16"/>
      <c r="I718" s="16"/>
      <c r="J718" s="16"/>
      <c r="K718" s="16">
        <f>MEDIAN(K709:K717)</f>
        <v>2.2466219999999999</v>
      </c>
      <c r="L718" s="36">
        <f>AVERAGE(L709:L717)</f>
        <v>2160</v>
      </c>
      <c r="M718" s="36">
        <f t="shared" ref="M718:Q718" si="60">SUM(M709:M717)</f>
        <v>3787</v>
      </c>
      <c r="N718" s="36">
        <f t="shared" si="60"/>
        <v>4369</v>
      </c>
      <c r="O718" s="36">
        <f t="shared" si="60"/>
        <v>6143</v>
      </c>
      <c r="P718" s="36">
        <f t="shared" si="60"/>
        <v>3894</v>
      </c>
      <c r="Q718" s="36">
        <f t="shared" si="60"/>
        <v>1247</v>
      </c>
      <c r="R718" s="16"/>
      <c r="S718" s="16"/>
      <c r="T718" s="16"/>
      <c r="U718" s="16"/>
      <c r="V718" s="16">
        <f>MEDIAN(V709:V717)</f>
        <v>2</v>
      </c>
      <c r="W718" s="16"/>
      <c r="X718" s="16"/>
      <c r="Y718" s="16"/>
      <c r="Z718" s="16"/>
      <c r="AA718" s="37"/>
    </row>
    <row r="719" spans="1:27">
      <c r="A719" s="16" t="s">
        <v>79</v>
      </c>
      <c r="B719" s="16" t="s">
        <v>2607</v>
      </c>
      <c r="C719" s="16" t="s">
        <v>2608</v>
      </c>
      <c r="D719" s="16" t="s">
        <v>2609</v>
      </c>
      <c r="E719" s="16" t="s">
        <v>2169</v>
      </c>
      <c r="F719" s="16" t="s">
        <v>2170</v>
      </c>
      <c r="G719" s="16" t="s">
        <v>2164</v>
      </c>
      <c r="H719" s="16" t="s">
        <v>2165</v>
      </c>
      <c r="I719" s="16" t="s">
        <v>198</v>
      </c>
      <c r="J719" s="16" t="s">
        <v>199</v>
      </c>
      <c r="K719" s="16">
        <v>2.4029410000000002</v>
      </c>
      <c r="L719" s="36">
        <v>2047</v>
      </c>
      <c r="M719" s="16">
        <v>327</v>
      </c>
      <c r="N719" s="16">
        <v>739</v>
      </c>
      <c r="O719" s="16">
        <v>433</v>
      </c>
      <c r="P719" s="16">
        <v>418</v>
      </c>
      <c r="Q719" s="16">
        <v>130</v>
      </c>
      <c r="R719" s="16" t="s">
        <v>302</v>
      </c>
      <c r="S719" s="16">
        <v>36.053400000000003</v>
      </c>
      <c r="T719" s="16">
        <v>15.9049</v>
      </c>
      <c r="U719" s="16">
        <v>0.96423051800000004</v>
      </c>
      <c r="V719" s="16">
        <v>4</v>
      </c>
      <c r="W719" s="16">
        <v>0.90989299999999995</v>
      </c>
      <c r="X719" s="16">
        <v>8.2702999999999999E-2</v>
      </c>
      <c r="Y719" s="16">
        <v>0.7</v>
      </c>
      <c r="Z719" s="16">
        <v>0.71128999999999998</v>
      </c>
      <c r="AA719" s="37"/>
    </row>
    <row r="720" spans="1:27">
      <c r="A720" s="16" t="s">
        <v>79</v>
      </c>
      <c r="B720" s="16" t="s">
        <v>2610</v>
      </c>
      <c r="C720" s="16" t="s">
        <v>2611</v>
      </c>
      <c r="D720" s="16" t="s">
        <v>2612</v>
      </c>
      <c r="E720" s="16" t="s">
        <v>2169</v>
      </c>
      <c r="F720" s="16" t="s">
        <v>2170</v>
      </c>
      <c r="G720" s="16" t="s">
        <v>2164</v>
      </c>
      <c r="H720" s="16" t="s">
        <v>2165</v>
      </c>
      <c r="I720" s="16" t="s">
        <v>198</v>
      </c>
      <c r="J720" s="16" t="s">
        <v>199</v>
      </c>
      <c r="K720" s="16">
        <v>2.4317380000000002</v>
      </c>
      <c r="L720" s="36">
        <v>1993</v>
      </c>
      <c r="M720" s="16">
        <v>337</v>
      </c>
      <c r="N720" s="16">
        <v>433</v>
      </c>
      <c r="O720" s="16">
        <v>768</v>
      </c>
      <c r="P720" s="16">
        <v>360</v>
      </c>
      <c r="Q720" s="16">
        <v>95</v>
      </c>
      <c r="R720" s="16" t="s">
        <v>302</v>
      </c>
      <c r="S720" s="16">
        <v>39.123199999999997</v>
      </c>
      <c r="T720" s="16">
        <v>13.954800000000001</v>
      </c>
      <c r="U720" s="16">
        <v>0.85490758200000005</v>
      </c>
      <c r="V720" s="16">
        <v>4</v>
      </c>
      <c r="W720" s="16">
        <v>0.90461000000000003</v>
      </c>
      <c r="X720" s="16">
        <v>0.131802</v>
      </c>
      <c r="Y720" s="16">
        <v>0.7</v>
      </c>
      <c r="Z720" s="16">
        <v>0.69433599999999995</v>
      </c>
      <c r="AA720" s="37"/>
    </row>
    <row r="721" spans="1:27">
      <c r="A721" s="16" t="s">
        <v>79</v>
      </c>
      <c r="B721" s="16" t="s">
        <v>2613</v>
      </c>
      <c r="C721" s="16" t="s">
        <v>2614</v>
      </c>
      <c r="D721" s="16" t="s">
        <v>2615</v>
      </c>
      <c r="E721" s="16" t="s">
        <v>2200</v>
      </c>
      <c r="F721" s="16" t="s">
        <v>2201</v>
      </c>
      <c r="G721" s="16" t="s">
        <v>2164</v>
      </c>
      <c r="H721" s="16" t="s">
        <v>2165</v>
      </c>
      <c r="I721" s="16" t="s">
        <v>198</v>
      </c>
      <c r="J721" s="16" t="s">
        <v>199</v>
      </c>
      <c r="K721" s="16">
        <v>2.3652989999999998</v>
      </c>
      <c r="L721" s="36">
        <v>1555</v>
      </c>
      <c r="M721" s="16">
        <v>256</v>
      </c>
      <c r="N721" s="16">
        <v>326</v>
      </c>
      <c r="O721" s="16">
        <v>562</v>
      </c>
      <c r="P721" s="16">
        <v>307</v>
      </c>
      <c r="Q721" s="16">
        <v>104</v>
      </c>
      <c r="R721" s="16">
        <v>4</v>
      </c>
      <c r="S721" s="16">
        <v>30.970300000000002</v>
      </c>
      <c r="T721" s="16">
        <v>12.5084</v>
      </c>
      <c r="U721" s="16">
        <v>0.88730426500000004</v>
      </c>
      <c r="V721" s="16">
        <v>4</v>
      </c>
      <c r="W721" s="16">
        <v>0.90564100000000003</v>
      </c>
      <c r="X721" s="16">
        <v>0.24143800000000001</v>
      </c>
      <c r="Y721" s="16">
        <v>0.7</v>
      </c>
      <c r="Z721" s="16">
        <v>0.517235</v>
      </c>
      <c r="AA721" s="37"/>
    </row>
    <row r="722" spans="1:27">
      <c r="A722" s="16" t="s">
        <v>79</v>
      </c>
      <c r="B722" s="16" t="s">
        <v>2616</v>
      </c>
      <c r="C722" s="16" t="s">
        <v>2617</v>
      </c>
      <c r="D722" s="16" t="s">
        <v>2618</v>
      </c>
      <c r="E722" s="16" t="s">
        <v>2169</v>
      </c>
      <c r="F722" s="16" t="s">
        <v>2170</v>
      </c>
      <c r="G722" s="16" t="s">
        <v>2164</v>
      </c>
      <c r="H722" s="16" t="s">
        <v>2165</v>
      </c>
      <c r="I722" s="16" t="s">
        <v>198</v>
      </c>
      <c r="J722" s="16" t="s">
        <v>199</v>
      </c>
      <c r="K722" s="16">
        <v>2.7793679999999998</v>
      </c>
      <c r="L722" s="36">
        <v>2038</v>
      </c>
      <c r="M722" s="16">
        <v>295</v>
      </c>
      <c r="N722" s="16">
        <v>889</v>
      </c>
      <c r="O722" s="16">
        <v>519</v>
      </c>
      <c r="P722" s="16">
        <v>244</v>
      </c>
      <c r="Q722" s="16">
        <v>91</v>
      </c>
      <c r="R722" s="16" t="s">
        <v>302</v>
      </c>
      <c r="S722" s="16">
        <v>45.970399999999998</v>
      </c>
      <c r="T722" s="16">
        <v>32.466299999999997</v>
      </c>
      <c r="U722" s="16">
        <v>0.72129545299999998</v>
      </c>
      <c r="V722" s="16">
        <v>4</v>
      </c>
      <c r="W722" s="16">
        <v>0.91996699999999998</v>
      </c>
      <c r="X722" s="16">
        <v>0.32954899999999998</v>
      </c>
      <c r="Y722" s="16">
        <v>0.7</v>
      </c>
      <c r="Z722" s="16">
        <v>0.84875599999999995</v>
      </c>
      <c r="AA722" s="37"/>
    </row>
    <row r="723" spans="1:27">
      <c r="A723" s="16" t="s">
        <v>79</v>
      </c>
      <c r="B723" s="16" t="s">
        <v>2619</v>
      </c>
      <c r="C723" s="16" t="s">
        <v>2620</v>
      </c>
      <c r="D723" s="16" t="s">
        <v>2621</v>
      </c>
      <c r="E723" s="16" t="s">
        <v>2622</v>
      </c>
      <c r="F723" s="16" t="s">
        <v>2623</v>
      </c>
      <c r="G723" s="16" t="s">
        <v>2164</v>
      </c>
      <c r="H723" s="16" t="s">
        <v>2165</v>
      </c>
      <c r="I723" s="16" t="s">
        <v>198</v>
      </c>
      <c r="J723" s="16" t="s">
        <v>199</v>
      </c>
      <c r="K723" s="16">
        <v>2.07891</v>
      </c>
      <c r="L723" s="36">
        <v>1814</v>
      </c>
      <c r="M723" s="16">
        <v>279</v>
      </c>
      <c r="N723" s="16">
        <v>358</v>
      </c>
      <c r="O723" s="16">
        <v>600</v>
      </c>
      <c r="P723" s="16">
        <v>431</v>
      </c>
      <c r="Q723" s="16">
        <v>146</v>
      </c>
      <c r="R723" s="16">
        <v>4</v>
      </c>
      <c r="S723" s="16">
        <v>26.429600000000001</v>
      </c>
      <c r="T723" s="16">
        <v>9.4642999999999997</v>
      </c>
      <c r="U723" s="16">
        <v>1.037030194</v>
      </c>
      <c r="V723" s="16">
        <v>4</v>
      </c>
      <c r="W723" s="16">
        <v>0.90165899999999999</v>
      </c>
      <c r="X723" s="16">
        <v>4.4907000000000002E-2</v>
      </c>
      <c r="Y723" s="16">
        <v>0.7</v>
      </c>
      <c r="Z723" s="16">
        <v>0.438915</v>
      </c>
      <c r="AA723" s="37"/>
    </row>
    <row r="724" spans="1:27">
      <c r="A724" s="16" t="s">
        <v>79</v>
      </c>
      <c r="B724" s="16" t="s">
        <v>2624</v>
      </c>
      <c r="C724" s="16" t="s">
        <v>2625</v>
      </c>
      <c r="D724" s="16" t="s">
        <v>2626</v>
      </c>
      <c r="E724" s="16" t="s">
        <v>2622</v>
      </c>
      <c r="F724" s="16" t="s">
        <v>2623</v>
      </c>
      <c r="G724" s="16" t="s">
        <v>2164</v>
      </c>
      <c r="H724" s="16" t="s">
        <v>2165</v>
      </c>
      <c r="I724" s="16" t="s">
        <v>198</v>
      </c>
      <c r="J724" s="16" t="s">
        <v>199</v>
      </c>
      <c r="K724" s="16">
        <v>2.3746610000000001</v>
      </c>
      <c r="L724" s="36">
        <v>1989</v>
      </c>
      <c r="M724" s="16">
        <v>343</v>
      </c>
      <c r="N724" s="16">
        <v>466</v>
      </c>
      <c r="O724" s="16">
        <v>598</v>
      </c>
      <c r="P724" s="16">
        <v>405</v>
      </c>
      <c r="Q724" s="16">
        <v>177</v>
      </c>
      <c r="R724" s="16" t="s">
        <v>302</v>
      </c>
      <c r="S724" s="16">
        <v>42.516199999999998</v>
      </c>
      <c r="T724" s="16">
        <v>13.5684</v>
      </c>
      <c r="U724" s="16">
        <v>0.86630668399999999</v>
      </c>
      <c r="V724" s="16">
        <v>4</v>
      </c>
      <c r="W724" s="16">
        <v>0.90429899999999996</v>
      </c>
      <c r="X724" s="16">
        <v>0.19678899999999999</v>
      </c>
      <c r="Y724" s="16">
        <v>0.7</v>
      </c>
      <c r="Z724" s="16">
        <v>0.58116599999999996</v>
      </c>
      <c r="AA724" s="37"/>
    </row>
    <row r="725" spans="1:27">
      <c r="A725" s="16" t="s">
        <v>79</v>
      </c>
      <c r="B725" s="16" t="s">
        <v>2627</v>
      </c>
      <c r="C725" s="16" t="s">
        <v>2628</v>
      </c>
      <c r="D725" s="16" t="s">
        <v>2629</v>
      </c>
      <c r="E725" s="16" t="s">
        <v>2200</v>
      </c>
      <c r="F725" s="16" t="s">
        <v>2201</v>
      </c>
      <c r="G725" s="16" t="s">
        <v>2164</v>
      </c>
      <c r="H725" s="16" t="s">
        <v>2165</v>
      </c>
      <c r="I725" s="16" t="s">
        <v>198</v>
      </c>
      <c r="J725" s="16" t="s">
        <v>199</v>
      </c>
      <c r="K725" s="16">
        <v>2.635993</v>
      </c>
      <c r="L725" s="36">
        <v>1593</v>
      </c>
      <c r="M725" s="16">
        <v>282</v>
      </c>
      <c r="N725" s="16">
        <v>360</v>
      </c>
      <c r="O725" s="16">
        <v>387</v>
      </c>
      <c r="P725" s="16">
        <v>367</v>
      </c>
      <c r="Q725" s="16">
        <v>197</v>
      </c>
      <c r="R725" s="16">
        <v>5</v>
      </c>
      <c r="S725" s="16">
        <v>29.566800000000001</v>
      </c>
      <c r="T725" s="16">
        <v>9.0090599999999998</v>
      </c>
      <c r="U725" s="16">
        <v>0.88463470399999999</v>
      </c>
      <c r="V725" s="16">
        <v>3</v>
      </c>
      <c r="W725" s="16">
        <v>0.90482399999999996</v>
      </c>
      <c r="X725" s="16">
        <v>0.28968100000000002</v>
      </c>
      <c r="Y725" s="16">
        <v>0.7</v>
      </c>
      <c r="Z725" s="16">
        <v>0.74357499999999999</v>
      </c>
      <c r="AA725" s="37"/>
    </row>
    <row r="726" spans="1:27">
      <c r="A726" s="16"/>
      <c r="B726" s="16"/>
      <c r="C726" s="16"/>
      <c r="D726" s="16"/>
      <c r="E726" s="16"/>
      <c r="F726" s="16"/>
      <c r="G726" s="16"/>
      <c r="H726" s="16"/>
      <c r="I726" s="16"/>
      <c r="J726" s="16"/>
      <c r="K726" s="16">
        <f t="shared" ref="K726:L726" si="61">AVERAGE(K719:K725)</f>
        <v>2.4384157142857141</v>
      </c>
      <c r="L726" s="36">
        <f t="shared" si="61"/>
        <v>1861.2857142857142</v>
      </c>
      <c r="M726" s="36">
        <f t="shared" ref="M726:Q726" si="62">SUM(M719:M725)</f>
        <v>2119</v>
      </c>
      <c r="N726" s="36">
        <f t="shared" si="62"/>
        <v>3571</v>
      </c>
      <c r="O726" s="36">
        <f t="shared" si="62"/>
        <v>3867</v>
      </c>
      <c r="P726" s="36">
        <f t="shared" si="62"/>
        <v>2532</v>
      </c>
      <c r="Q726" s="36">
        <f t="shared" si="62"/>
        <v>940</v>
      </c>
      <c r="R726" s="16"/>
      <c r="S726" s="16"/>
      <c r="T726" s="16"/>
      <c r="U726" s="16"/>
      <c r="V726" s="16">
        <f>MEDIAN(V719:V725)</f>
        <v>4</v>
      </c>
      <c r="W726" s="16"/>
      <c r="X726" s="16"/>
      <c r="Y726" s="16"/>
      <c r="Z726" s="16"/>
      <c r="AA726" s="37"/>
    </row>
    <row r="727" spans="1:27">
      <c r="A727" s="16" t="s">
        <v>142</v>
      </c>
      <c r="B727" s="16" t="s">
        <v>2630</v>
      </c>
      <c r="C727" s="16" t="s">
        <v>2631</v>
      </c>
      <c r="D727" s="16" t="s">
        <v>2632</v>
      </c>
      <c r="E727" s="16" t="s">
        <v>2633</v>
      </c>
      <c r="F727" s="16" t="s">
        <v>2634</v>
      </c>
      <c r="G727" s="16" t="s">
        <v>2164</v>
      </c>
      <c r="H727" s="16" t="s">
        <v>2165</v>
      </c>
      <c r="I727" s="16" t="s">
        <v>198</v>
      </c>
      <c r="J727" s="16" t="s">
        <v>199</v>
      </c>
      <c r="K727" s="16">
        <v>1.9263870000000001</v>
      </c>
      <c r="L727" s="36">
        <v>1955</v>
      </c>
      <c r="M727" s="16">
        <v>500</v>
      </c>
      <c r="N727" s="16">
        <v>300</v>
      </c>
      <c r="O727" s="16">
        <v>500</v>
      </c>
      <c r="P727" s="16">
        <v>445</v>
      </c>
      <c r="Q727" s="16">
        <v>210</v>
      </c>
      <c r="R727" s="16">
        <v>2</v>
      </c>
      <c r="S727" s="16">
        <v>12.9359</v>
      </c>
      <c r="T727" s="16">
        <v>5.4045300000000003</v>
      </c>
      <c r="U727" s="16">
        <v>1.3653744670000001</v>
      </c>
      <c r="V727" s="16">
        <v>3</v>
      </c>
      <c r="W727" s="16">
        <v>0.88905500000000004</v>
      </c>
      <c r="X727" s="16">
        <v>5.0598999999999998E-2</v>
      </c>
      <c r="Y727" s="16">
        <v>0.7</v>
      </c>
      <c r="Z727" s="16">
        <v>0.289238</v>
      </c>
      <c r="AA727" s="37"/>
    </row>
    <row r="728" spans="1:27">
      <c r="A728" s="16" t="s">
        <v>142</v>
      </c>
      <c r="B728" s="16" t="s">
        <v>2635</v>
      </c>
      <c r="C728" s="16" t="s">
        <v>2636</v>
      </c>
      <c r="D728" s="16" t="s">
        <v>2637</v>
      </c>
      <c r="E728" s="16" t="s">
        <v>2633</v>
      </c>
      <c r="F728" s="16" t="s">
        <v>2634</v>
      </c>
      <c r="G728" s="16" t="s">
        <v>2164</v>
      </c>
      <c r="H728" s="16" t="s">
        <v>2165</v>
      </c>
      <c r="I728" s="16" t="s">
        <v>198</v>
      </c>
      <c r="J728" s="16" t="s">
        <v>199</v>
      </c>
      <c r="K728" s="16">
        <v>2.2002510000000002</v>
      </c>
      <c r="L728" s="36">
        <v>1669</v>
      </c>
      <c r="M728" s="16">
        <v>250</v>
      </c>
      <c r="N728" s="16">
        <v>196</v>
      </c>
      <c r="O728" s="16">
        <v>354</v>
      </c>
      <c r="P728" s="16">
        <v>479</v>
      </c>
      <c r="Q728" s="16">
        <v>390</v>
      </c>
      <c r="R728" s="16">
        <v>3</v>
      </c>
      <c r="S728" s="16">
        <v>14.5472</v>
      </c>
      <c r="T728" s="16">
        <v>4.9638400000000003</v>
      </c>
      <c r="U728" s="16">
        <v>1.1270140609999999</v>
      </c>
      <c r="V728" s="16">
        <v>3</v>
      </c>
      <c r="W728" s="16">
        <v>0.89635699999999996</v>
      </c>
      <c r="X728" s="16">
        <v>0.297481</v>
      </c>
      <c r="Y728" s="16">
        <v>0.7</v>
      </c>
      <c r="Z728" s="16">
        <v>0.32042900000000002</v>
      </c>
      <c r="AA728" s="37"/>
    </row>
    <row r="729" spans="1:27">
      <c r="A729" s="16" t="s">
        <v>142</v>
      </c>
      <c r="B729" s="16" t="s">
        <v>2638</v>
      </c>
      <c r="C729" s="16" t="s">
        <v>2639</v>
      </c>
      <c r="D729" s="16" t="s">
        <v>2640</v>
      </c>
      <c r="E729" s="16" t="s">
        <v>2633</v>
      </c>
      <c r="F729" s="16" t="s">
        <v>2634</v>
      </c>
      <c r="G729" s="16" t="s">
        <v>2164</v>
      </c>
      <c r="H729" s="16" t="s">
        <v>2165</v>
      </c>
      <c r="I729" s="16" t="s">
        <v>198</v>
      </c>
      <c r="J729" s="16" t="s">
        <v>199</v>
      </c>
      <c r="K729" s="16">
        <v>1.980378</v>
      </c>
      <c r="L729" s="36">
        <v>1499</v>
      </c>
      <c r="M729" s="16">
        <v>343</v>
      </c>
      <c r="N729" s="16">
        <v>262</v>
      </c>
      <c r="O729" s="16">
        <v>359</v>
      </c>
      <c r="P729" s="16">
        <v>365</v>
      </c>
      <c r="Q729" s="16">
        <v>170</v>
      </c>
      <c r="R729" s="16">
        <v>2</v>
      </c>
      <c r="S729" s="16">
        <v>10.5886</v>
      </c>
      <c r="T729" s="16">
        <v>0</v>
      </c>
      <c r="U729" s="16">
        <v>1.3705953529999999</v>
      </c>
      <c r="V729" s="16">
        <v>2</v>
      </c>
      <c r="W729" s="16">
        <v>0.86468</v>
      </c>
      <c r="X729" s="16">
        <v>0.148116</v>
      </c>
      <c r="Y729" s="16">
        <v>0.7</v>
      </c>
      <c r="Z729" s="16">
        <v>0.271843</v>
      </c>
      <c r="AA729" s="37"/>
    </row>
    <row r="730" spans="1:27">
      <c r="A730" s="16" t="s">
        <v>142</v>
      </c>
      <c r="B730" s="16" t="s">
        <v>2641</v>
      </c>
      <c r="C730" s="16" t="s">
        <v>2642</v>
      </c>
      <c r="D730" s="16" t="s">
        <v>2643</v>
      </c>
      <c r="E730" s="16" t="s">
        <v>2644</v>
      </c>
      <c r="F730" s="16" t="s">
        <v>2645</v>
      </c>
      <c r="G730" s="16" t="s">
        <v>2164</v>
      </c>
      <c r="H730" s="16" t="s">
        <v>2165</v>
      </c>
      <c r="I730" s="16" t="s">
        <v>198</v>
      </c>
      <c r="J730" s="16" t="s">
        <v>199</v>
      </c>
      <c r="K730" s="16">
        <v>2.1535359999999999</v>
      </c>
      <c r="L730" s="36">
        <v>2148</v>
      </c>
      <c r="M730" s="16">
        <v>481</v>
      </c>
      <c r="N730" s="16">
        <v>358</v>
      </c>
      <c r="O730" s="16">
        <v>531</v>
      </c>
      <c r="P730" s="16">
        <v>520</v>
      </c>
      <c r="Q730" s="16">
        <v>258</v>
      </c>
      <c r="R730" s="16">
        <v>4</v>
      </c>
      <c r="S730" s="16">
        <v>27.989899999999999</v>
      </c>
      <c r="T730" s="16">
        <v>5.0404900000000001</v>
      </c>
      <c r="U730" s="16">
        <v>1.11542177</v>
      </c>
      <c r="V730" s="16">
        <v>3</v>
      </c>
      <c r="W730" s="16">
        <v>0.90500499999999995</v>
      </c>
      <c r="X730" s="16">
        <v>0.18701300000000001</v>
      </c>
      <c r="Y730" s="16">
        <v>0.68176899999999996</v>
      </c>
      <c r="Z730" s="16">
        <v>0.39123400000000003</v>
      </c>
      <c r="AA730" s="37"/>
    </row>
    <row r="731" spans="1:27">
      <c r="A731" s="16" t="s">
        <v>142</v>
      </c>
      <c r="B731" s="16" t="s">
        <v>2646</v>
      </c>
      <c r="C731" s="16" t="s">
        <v>2647</v>
      </c>
      <c r="D731" s="16" t="s">
        <v>2648</v>
      </c>
      <c r="E731" s="16" t="s">
        <v>2644</v>
      </c>
      <c r="F731" s="16" t="s">
        <v>2645</v>
      </c>
      <c r="G731" s="16" t="s">
        <v>2164</v>
      </c>
      <c r="H731" s="16" t="s">
        <v>2165</v>
      </c>
      <c r="I731" s="16" t="s">
        <v>198</v>
      </c>
      <c r="J731" s="16" t="s">
        <v>199</v>
      </c>
      <c r="K731" s="16">
        <v>1.9929429999999999</v>
      </c>
      <c r="L731" s="36">
        <v>1677</v>
      </c>
      <c r="M731" s="16">
        <v>280</v>
      </c>
      <c r="N731" s="16">
        <v>306</v>
      </c>
      <c r="O731" s="16">
        <v>326</v>
      </c>
      <c r="P731" s="16">
        <v>509</v>
      </c>
      <c r="Q731" s="16">
        <v>256</v>
      </c>
      <c r="R731" s="16">
        <v>3</v>
      </c>
      <c r="S731" s="16">
        <v>20.255500000000001</v>
      </c>
      <c r="T731" s="16">
        <v>0</v>
      </c>
      <c r="U731" s="16">
        <v>0.95776873500000004</v>
      </c>
      <c r="V731" s="16">
        <v>6</v>
      </c>
      <c r="W731" s="16">
        <v>0.90107700000000002</v>
      </c>
      <c r="X731" s="16">
        <v>7.4608999999999995E-2</v>
      </c>
      <c r="Y731" s="16">
        <v>0.69987900000000003</v>
      </c>
      <c r="Z731" s="16">
        <v>0.318577</v>
      </c>
      <c r="AA731" s="37"/>
    </row>
    <row r="732" spans="1:27">
      <c r="A732" s="16" t="s">
        <v>142</v>
      </c>
      <c r="B732" s="16" t="s">
        <v>2649</v>
      </c>
      <c r="C732" s="16" t="s">
        <v>2650</v>
      </c>
      <c r="D732" s="16" t="s">
        <v>2651</v>
      </c>
      <c r="E732" s="16" t="s">
        <v>2633</v>
      </c>
      <c r="F732" s="16" t="s">
        <v>2634</v>
      </c>
      <c r="G732" s="16" t="s">
        <v>2164</v>
      </c>
      <c r="H732" s="16" t="s">
        <v>2165</v>
      </c>
      <c r="I732" s="16" t="s">
        <v>198</v>
      </c>
      <c r="J732" s="16" t="s">
        <v>199</v>
      </c>
      <c r="K732" s="16">
        <v>1.8849100000000001</v>
      </c>
      <c r="L732" s="36">
        <v>1314</v>
      </c>
      <c r="M732" s="16">
        <v>276</v>
      </c>
      <c r="N732" s="16">
        <v>229</v>
      </c>
      <c r="O732" s="16">
        <v>285</v>
      </c>
      <c r="P732" s="16">
        <v>364</v>
      </c>
      <c r="Q732" s="16">
        <v>160</v>
      </c>
      <c r="R732" s="16" t="s">
        <v>225</v>
      </c>
      <c r="S732" s="16">
        <v>7.2717799999999997</v>
      </c>
      <c r="T732" s="16">
        <v>0</v>
      </c>
      <c r="U732" s="16">
        <v>1.2313350030000001</v>
      </c>
      <c r="V732" s="16">
        <v>3</v>
      </c>
      <c r="W732" s="16">
        <v>0.81681700000000002</v>
      </c>
      <c r="X732" s="16">
        <v>0.14744699999999999</v>
      </c>
      <c r="Y732" s="16">
        <v>0.7</v>
      </c>
      <c r="Z732" s="16">
        <v>0.22783200000000001</v>
      </c>
      <c r="AA732" s="37"/>
    </row>
    <row r="733" spans="1:27">
      <c r="A733" s="16" t="s">
        <v>142</v>
      </c>
      <c r="B733" s="16" t="s">
        <v>2652</v>
      </c>
      <c r="C733" s="16" t="s">
        <v>2653</v>
      </c>
      <c r="D733" s="16" t="s">
        <v>2654</v>
      </c>
      <c r="E733" s="16" t="s">
        <v>2655</v>
      </c>
      <c r="F733" s="16" t="s">
        <v>2656</v>
      </c>
      <c r="G733" s="16" t="s">
        <v>2164</v>
      </c>
      <c r="H733" s="16" t="s">
        <v>2165</v>
      </c>
      <c r="I733" s="16" t="s">
        <v>198</v>
      </c>
      <c r="J733" s="16" t="s">
        <v>199</v>
      </c>
      <c r="K733" s="16">
        <v>1.945365</v>
      </c>
      <c r="L733" s="36">
        <v>1664</v>
      </c>
      <c r="M733" s="16">
        <v>383</v>
      </c>
      <c r="N733" s="16">
        <v>266</v>
      </c>
      <c r="O733" s="16">
        <v>376</v>
      </c>
      <c r="P733" s="16">
        <v>433</v>
      </c>
      <c r="Q733" s="16">
        <v>206</v>
      </c>
      <c r="R733" s="16">
        <v>2</v>
      </c>
      <c r="S733" s="16">
        <v>17.1386</v>
      </c>
      <c r="T733" s="16">
        <v>1.5026299999999999</v>
      </c>
      <c r="U733" s="16">
        <v>1.180135927</v>
      </c>
      <c r="V733" s="16">
        <v>4</v>
      </c>
      <c r="W733" s="16">
        <v>0.90196299999999996</v>
      </c>
      <c r="X733" s="16">
        <v>4.9287999999999998E-2</v>
      </c>
      <c r="Y733" s="16">
        <v>0.7</v>
      </c>
      <c r="Z733" s="16">
        <v>0.29627199999999998</v>
      </c>
      <c r="AA733" s="37"/>
    </row>
    <row r="734" spans="1:27">
      <c r="A734" s="16" t="s">
        <v>142</v>
      </c>
      <c r="B734" s="16" t="s">
        <v>2657</v>
      </c>
      <c r="C734" s="16" t="s">
        <v>2658</v>
      </c>
      <c r="D734" s="16" t="s">
        <v>2659</v>
      </c>
      <c r="E734" s="16" t="s">
        <v>2655</v>
      </c>
      <c r="F734" s="16" t="s">
        <v>2656</v>
      </c>
      <c r="G734" s="16" t="s">
        <v>2164</v>
      </c>
      <c r="H734" s="16" t="s">
        <v>2165</v>
      </c>
      <c r="I734" s="16" t="s">
        <v>198</v>
      </c>
      <c r="J734" s="16" t="s">
        <v>199</v>
      </c>
      <c r="K734" s="16">
        <v>2.27217</v>
      </c>
      <c r="L734" s="36">
        <v>2440</v>
      </c>
      <c r="M734" s="16">
        <v>594</v>
      </c>
      <c r="N734" s="16">
        <v>405</v>
      </c>
      <c r="O734" s="16">
        <v>535</v>
      </c>
      <c r="P734" s="16">
        <v>607</v>
      </c>
      <c r="Q734" s="16">
        <v>299</v>
      </c>
      <c r="R734" s="16">
        <v>3</v>
      </c>
      <c r="S734" s="16">
        <v>18.121700000000001</v>
      </c>
      <c r="T734" s="16">
        <v>8.9756499999999999</v>
      </c>
      <c r="U734" s="16">
        <v>1.067435245</v>
      </c>
      <c r="V734" s="16">
        <v>3</v>
      </c>
      <c r="W734" s="16">
        <v>0.90487399999999996</v>
      </c>
      <c r="X734" s="16">
        <v>0.28742099999999998</v>
      </c>
      <c r="Y734" s="16">
        <v>0.7</v>
      </c>
      <c r="Z734" s="16">
        <v>0.38390600000000003</v>
      </c>
      <c r="AA734" s="37"/>
    </row>
    <row r="735" spans="1:27">
      <c r="A735" s="16" t="s">
        <v>142</v>
      </c>
      <c r="B735" s="16" t="s">
        <v>2660</v>
      </c>
      <c r="C735" s="16" t="s">
        <v>2661</v>
      </c>
      <c r="D735" s="16" t="s">
        <v>2662</v>
      </c>
      <c r="E735" s="16" t="s">
        <v>2655</v>
      </c>
      <c r="F735" s="16" t="s">
        <v>2656</v>
      </c>
      <c r="G735" s="16" t="s">
        <v>2164</v>
      </c>
      <c r="H735" s="16" t="s">
        <v>2165</v>
      </c>
      <c r="I735" s="16" t="s">
        <v>198</v>
      </c>
      <c r="J735" s="16" t="s">
        <v>199</v>
      </c>
      <c r="K735" s="16">
        <v>1.979079</v>
      </c>
      <c r="L735" s="36">
        <v>1844</v>
      </c>
      <c r="M735" s="16">
        <v>395</v>
      </c>
      <c r="N735" s="16">
        <v>310</v>
      </c>
      <c r="O735" s="16">
        <v>426</v>
      </c>
      <c r="P735" s="16">
        <v>474</v>
      </c>
      <c r="Q735" s="16">
        <v>239</v>
      </c>
      <c r="R735" s="16">
        <v>2</v>
      </c>
      <c r="S735" s="16">
        <v>14.440799999999999</v>
      </c>
      <c r="T735" s="16">
        <v>3.1660200000000001</v>
      </c>
      <c r="U735" s="16">
        <v>1.0476531019999999</v>
      </c>
      <c r="V735" s="16">
        <v>4</v>
      </c>
      <c r="W735" s="16">
        <v>0.90181299999999998</v>
      </c>
      <c r="X735" s="16">
        <v>7.2576000000000002E-2</v>
      </c>
      <c r="Y735" s="16">
        <v>0.7</v>
      </c>
      <c r="Z735" s="16">
        <v>0.30097099999999999</v>
      </c>
      <c r="AA735" s="37"/>
    </row>
    <row r="736" spans="1:27">
      <c r="A736" s="16" t="s">
        <v>142</v>
      </c>
      <c r="B736" s="16" t="s">
        <v>2589</v>
      </c>
      <c r="C736" s="16" t="s">
        <v>2590</v>
      </c>
      <c r="D736" s="16" t="s">
        <v>2591</v>
      </c>
      <c r="E736" s="16" t="s">
        <v>2584</v>
      </c>
      <c r="F736" s="16" t="s">
        <v>2585</v>
      </c>
      <c r="G736" s="16" t="s">
        <v>2164</v>
      </c>
      <c r="H736" s="16" t="s">
        <v>2165</v>
      </c>
      <c r="I736" s="16" t="s">
        <v>198</v>
      </c>
      <c r="J736" s="16" t="s">
        <v>199</v>
      </c>
      <c r="K736" s="16">
        <v>2.3809819999999999</v>
      </c>
      <c r="L736" s="36">
        <v>1955</v>
      </c>
      <c r="M736" s="16">
        <v>434</v>
      </c>
      <c r="N736" s="16">
        <v>389</v>
      </c>
      <c r="O736" s="16">
        <v>520</v>
      </c>
      <c r="P736" s="16">
        <v>444</v>
      </c>
      <c r="Q736" s="16">
        <v>168</v>
      </c>
      <c r="R736" s="16" t="s">
        <v>302</v>
      </c>
      <c r="S736" s="16">
        <v>35.0901</v>
      </c>
      <c r="T736" s="16">
        <v>1.85707</v>
      </c>
      <c r="U736" s="16">
        <v>1.32290738</v>
      </c>
      <c r="V736" s="16">
        <v>1</v>
      </c>
      <c r="W736" s="16">
        <v>0.91022499999999995</v>
      </c>
      <c r="X736" s="16">
        <v>0.34515800000000002</v>
      </c>
      <c r="Y736" s="16">
        <v>0.62761800000000001</v>
      </c>
      <c r="Z736" s="16">
        <v>0.49959100000000001</v>
      </c>
      <c r="AA736" s="37"/>
    </row>
    <row r="737" spans="1:27">
      <c r="A737" s="16" t="s">
        <v>142</v>
      </c>
      <c r="B737" s="16" t="s">
        <v>2663</v>
      </c>
      <c r="C737" s="16" t="s">
        <v>2664</v>
      </c>
      <c r="D737" s="16" t="s">
        <v>2665</v>
      </c>
      <c r="E737" s="16" t="s">
        <v>2666</v>
      </c>
      <c r="F737" s="16" t="s">
        <v>2667</v>
      </c>
      <c r="G737" s="16" t="s">
        <v>2516</v>
      </c>
      <c r="H737" s="16" t="s">
        <v>2517</v>
      </c>
      <c r="I737" s="16" t="s">
        <v>198</v>
      </c>
      <c r="J737" s="16" t="s">
        <v>199</v>
      </c>
      <c r="K737" s="16">
        <v>1.7562500000000001</v>
      </c>
      <c r="L737" s="36">
        <v>1507</v>
      </c>
      <c r="M737" s="16">
        <v>273</v>
      </c>
      <c r="N737" s="16">
        <v>183</v>
      </c>
      <c r="O737" s="16">
        <v>243</v>
      </c>
      <c r="P737" s="16">
        <v>358</v>
      </c>
      <c r="Q737" s="16">
        <v>450</v>
      </c>
      <c r="R737" s="16">
        <v>2</v>
      </c>
      <c r="S737" s="16">
        <v>10.0822</v>
      </c>
      <c r="T737" s="16">
        <v>0</v>
      </c>
      <c r="U737" s="16">
        <v>0.94579265599999995</v>
      </c>
      <c r="V737" s="16">
        <v>8</v>
      </c>
      <c r="W737" s="16">
        <v>0.82679899999999995</v>
      </c>
      <c r="X737" s="16">
        <v>3.2571000000000003E-2</v>
      </c>
      <c r="Y737" s="16">
        <v>0.63595100000000004</v>
      </c>
      <c r="Z737" s="16">
        <v>0.25606800000000002</v>
      </c>
      <c r="AA737" s="37"/>
    </row>
    <row r="738" spans="1:27">
      <c r="A738" s="16" t="s">
        <v>142</v>
      </c>
      <c r="B738" s="16" t="s">
        <v>2668</v>
      </c>
      <c r="C738" s="16" t="s">
        <v>2669</v>
      </c>
      <c r="D738" s="16" t="s">
        <v>2670</v>
      </c>
      <c r="E738" s="16" t="s">
        <v>2633</v>
      </c>
      <c r="F738" s="16" t="s">
        <v>2634</v>
      </c>
      <c r="G738" s="16" t="s">
        <v>2164</v>
      </c>
      <c r="H738" s="16" t="s">
        <v>2165</v>
      </c>
      <c r="I738" s="16" t="s">
        <v>198</v>
      </c>
      <c r="J738" s="16" t="s">
        <v>199</v>
      </c>
      <c r="K738" s="16">
        <v>1.8995150000000001</v>
      </c>
      <c r="L738" s="36">
        <v>1647</v>
      </c>
      <c r="M738" s="16">
        <v>403</v>
      </c>
      <c r="N738" s="16">
        <v>237</v>
      </c>
      <c r="O738" s="16">
        <v>378</v>
      </c>
      <c r="P738" s="16">
        <v>405</v>
      </c>
      <c r="Q738" s="16">
        <v>224</v>
      </c>
      <c r="R738" s="16" t="s">
        <v>225</v>
      </c>
      <c r="S738" s="16">
        <v>6.6839500000000003</v>
      </c>
      <c r="T738" s="16">
        <v>1.75603</v>
      </c>
      <c r="U738" s="16">
        <v>1.3997455379999999</v>
      </c>
      <c r="V738" s="16">
        <v>2</v>
      </c>
      <c r="W738" s="16">
        <v>0.83203899999999997</v>
      </c>
      <c r="X738" s="16">
        <v>7.3955000000000007E-2</v>
      </c>
      <c r="Y738" s="16">
        <v>0.7</v>
      </c>
      <c r="Z738" s="16">
        <v>0.29180099999999998</v>
      </c>
      <c r="AA738" s="37"/>
    </row>
    <row r="739" spans="1:27">
      <c r="A739" s="16" t="s">
        <v>142</v>
      </c>
      <c r="B739" s="16" t="s">
        <v>2671</v>
      </c>
      <c r="C739" s="16" t="s">
        <v>2672</v>
      </c>
      <c r="D739" s="16" t="s">
        <v>2673</v>
      </c>
      <c r="E739" s="16" t="s">
        <v>2674</v>
      </c>
      <c r="F739" s="16" t="s">
        <v>2675</v>
      </c>
      <c r="G739" s="16" t="s">
        <v>2516</v>
      </c>
      <c r="H739" s="16" t="s">
        <v>2517</v>
      </c>
      <c r="I739" s="16" t="s">
        <v>198</v>
      </c>
      <c r="J739" s="16" t="s">
        <v>199</v>
      </c>
      <c r="K739" s="16">
        <v>1.8212250000000001</v>
      </c>
      <c r="L739" s="36">
        <v>1741</v>
      </c>
      <c r="M739" s="16">
        <v>324</v>
      </c>
      <c r="N739" s="16">
        <v>222</v>
      </c>
      <c r="O739" s="16">
        <v>415</v>
      </c>
      <c r="P739" s="16">
        <v>427</v>
      </c>
      <c r="Q739" s="16">
        <v>353</v>
      </c>
      <c r="R739" s="16" t="s">
        <v>225</v>
      </c>
      <c r="S739" s="16">
        <v>7.0405899999999999</v>
      </c>
      <c r="T739" s="16">
        <v>1.5945</v>
      </c>
      <c r="U739" s="16">
        <v>0.91784014999999997</v>
      </c>
      <c r="V739" s="16">
        <v>9</v>
      </c>
      <c r="W739" s="16">
        <v>0.81170699999999996</v>
      </c>
      <c r="X739" s="16">
        <v>5.5747999999999999E-2</v>
      </c>
      <c r="Y739" s="16">
        <v>0.7</v>
      </c>
      <c r="Z739" s="16">
        <v>0.25311499999999998</v>
      </c>
      <c r="AA739" s="37"/>
    </row>
    <row r="740" spans="1:27">
      <c r="A740" s="16" t="s">
        <v>142</v>
      </c>
      <c r="B740" s="16" t="s">
        <v>2676</v>
      </c>
      <c r="C740" s="16" t="s">
        <v>2677</v>
      </c>
      <c r="D740" s="16" t="s">
        <v>2678</v>
      </c>
      <c r="E740" s="16" t="s">
        <v>2679</v>
      </c>
      <c r="F740" s="16" t="s">
        <v>2680</v>
      </c>
      <c r="G740" s="16" t="s">
        <v>2516</v>
      </c>
      <c r="H740" s="16" t="s">
        <v>2517</v>
      </c>
      <c r="I740" s="16" t="s">
        <v>198</v>
      </c>
      <c r="J740" s="16" t="s">
        <v>199</v>
      </c>
      <c r="K740" s="16">
        <v>1.982504</v>
      </c>
      <c r="L740" s="36">
        <v>1810</v>
      </c>
      <c r="M740" s="16">
        <v>347</v>
      </c>
      <c r="N740" s="16">
        <v>298</v>
      </c>
      <c r="O740" s="16">
        <v>508</v>
      </c>
      <c r="P740" s="16">
        <v>395</v>
      </c>
      <c r="Q740" s="16">
        <v>262</v>
      </c>
      <c r="R740" s="16">
        <v>3</v>
      </c>
      <c r="S740" s="16">
        <v>27.414400000000001</v>
      </c>
      <c r="T740" s="16">
        <v>3.0707300000000002</v>
      </c>
      <c r="U740" s="16">
        <v>0.91483773599999996</v>
      </c>
      <c r="V740" s="16">
        <v>7</v>
      </c>
      <c r="W740" s="16">
        <v>0.87049699999999997</v>
      </c>
      <c r="X740" s="16">
        <v>0.114286</v>
      </c>
      <c r="Y740" s="16">
        <v>0.68157000000000001</v>
      </c>
      <c r="Z740" s="16">
        <v>0.30618600000000001</v>
      </c>
      <c r="AA740" s="37"/>
    </row>
    <row r="741" spans="1:27">
      <c r="A741" s="16" t="s">
        <v>142</v>
      </c>
      <c r="B741" s="16" t="s">
        <v>2681</v>
      </c>
      <c r="C741" s="16" t="s">
        <v>2682</v>
      </c>
      <c r="D741" s="16" t="s">
        <v>2683</v>
      </c>
      <c r="E741" s="16" t="s">
        <v>2679</v>
      </c>
      <c r="F741" s="16" t="s">
        <v>2680</v>
      </c>
      <c r="G741" s="16" t="s">
        <v>2516</v>
      </c>
      <c r="H741" s="16" t="s">
        <v>2517</v>
      </c>
      <c r="I741" s="16" t="s">
        <v>198</v>
      </c>
      <c r="J741" s="16" t="s">
        <v>199</v>
      </c>
      <c r="K741" s="16">
        <v>1.9497629999999999</v>
      </c>
      <c r="L741" s="36">
        <v>1737</v>
      </c>
      <c r="M741" s="16">
        <v>394</v>
      </c>
      <c r="N741" s="16">
        <v>238</v>
      </c>
      <c r="O741" s="16">
        <v>478</v>
      </c>
      <c r="P741" s="16">
        <v>403</v>
      </c>
      <c r="Q741" s="16">
        <v>224</v>
      </c>
      <c r="R741" s="16">
        <v>2</v>
      </c>
      <c r="S741" s="16">
        <v>12.658300000000001</v>
      </c>
      <c r="T741" s="16">
        <v>3.7019500000000001</v>
      </c>
      <c r="U741" s="16">
        <v>0.93042644600000002</v>
      </c>
      <c r="V741" s="16">
        <v>7</v>
      </c>
      <c r="W741" s="16">
        <v>0.89036300000000002</v>
      </c>
      <c r="X741" s="16">
        <v>0.11065800000000001</v>
      </c>
      <c r="Y741" s="16">
        <v>0.62162200000000001</v>
      </c>
      <c r="Z741" s="16">
        <v>0.32800600000000002</v>
      </c>
      <c r="AA741" s="37"/>
    </row>
    <row r="742" spans="1:27">
      <c r="A742" s="16" t="s">
        <v>142</v>
      </c>
      <c r="B742" s="16" t="s">
        <v>2684</v>
      </c>
      <c r="C742" s="16" t="s">
        <v>2685</v>
      </c>
      <c r="D742" s="16" t="s">
        <v>2686</v>
      </c>
      <c r="E742" s="16" t="s">
        <v>2679</v>
      </c>
      <c r="F742" s="16" t="s">
        <v>2680</v>
      </c>
      <c r="G742" s="16" t="s">
        <v>2516</v>
      </c>
      <c r="H742" s="16" t="s">
        <v>2517</v>
      </c>
      <c r="I742" s="16" t="s">
        <v>198</v>
      </c>
      <c r="J742" s="16" t="s">
        <v>199</v>
      </c>
      <c r="K742" s="16">
        <v>2.0832679999999999</v>
      </c>
      <c r="L742" s="36">
        <v>1343</v>
      </c>
      <c r="M742" s="16">
        <v>271</v>
      </c>
      <c r="N742" s="16">
        <v>203</v>
      </c>
      <c r="O742" s="16">
        <v>367</v>
      </c>
      <c r="P742" s="16">
        <v>387</v>
      </c>
      <c r="Q742" s="16">
        <v>115</v>
      </c>
      <c r="R742" s="16">
        <v>4</v>
      </c>
      <c r="S742" s="16">
        <v>21.3688</v>
      </c>
      <c r="T742" s="16">
        <v>3.9053200000000001</v>
      </c>
      <c r="U742" s="16">
        <v>0.92477156400000005</v>
      </c>
      <c r="V742" s="16">
        <v>6</v>
      </c>
      <c r="W742" s="16">
        <v>0.90315000000000001</v>
      </c>
      <c r="X742" s="16">
        <v>0.14046700000000001</v>
      </c>
      <c r="Y742" s="16">
        <v>0.60039100000000001</v>
      </c>
      <c r="Z742" s="16">
        <v>0.44398399999999999</v>
      </c>
      <c r="AA742" s="37"/>
    </row>
    <row r="743" spans="1:27">
      <c r="A743" s="16"/>
      <c r="B743" s="16"/>
      <c r="C743" s="16"/>
      <c r="D743" s="16"/>
      <c r="E743" s="16"/>
      <c r="F743" s="16"/>
      <c r="G743" s="16"/>
      <c r="H743" s="16"/>
      <c r="I743" s="16"/>
      <c r="J743" s="16"/>
      <c r="K743" s="16">
        <f t="shared" ref="K743:L743" si="63">AVERAGE(K727:K742)</f>
        <v>2.0130328749999999</v>
      </c>
      <c r="L743" s="36">
        <f t="shared" si="63"/>
        <v>1746.875</v>
      </c>
      <c r="M743" s="36">
        <f t="shared" ref="M743:Q743" si="64">SUM(M727:M742)</f>
        <v>5948</v>
      </c>
      <c r="N743" s="36">
        <f t="shared" si="64"/>
        <v>4402</v>
      </c>
      <c r="O743" s="36">
        <f t="shared" si="64"/>
        <v>6601</v>
      </c>
      <c r="P743" s="36">
        <f t="shared" si="64"/>
        <v>7015</v>
      </c>
      <c r="Q743" s="36">
        <f t="shared" si="64"/>
        <v>3984</v>
      </c>
      <c r="R743" s="16"/>
      <c r="S743" s="16"/>
      <c r="T743" s="16"/>
      <c r="U743" s="16"/>
      <c r="V743" s="16">
        <f>MEDIAN(V727:V742)</f>
        <v>3.5</v>
      </c>
      <c r="W743" s="16"/>
      <c r="X743" s="16"/>
      <c r="Y743" s="16"/>
      <c r="Z743" s="16"/>
      <c r="AA743" s="37"/>
    </row>
    <row r="744" spans="1:27">
      <c r="A744" s="16" t="s">
        <v>81</v>
      </c>
      <c r="B744" s="16" t="s">
        <v>2687</v>
      </c>
      <c r="C744" s="16" t="s">
        <v>2688</v>
      </c>
      <c r="D744" s="16" t="s">
        <v>2689</v>
      </c>
      <c r="E744" s="16" t="s">
        <v>2690</v>
      </c>
      <c r="F744" s="16" t="s">
        <v>2691</v>
      </c>
      <c r="G744" s="16" t="s">
        <v>2516</v>
      </c>
      <c r="H744" s="16" t="s">
        <v>2517</v>
      </c>
      <c r="I744" s="16" t="s">
        <v>198</v>
      </c>
      <c r="J744" s="16" t="s">
        <v>199</v>
      </c>
      <c r="K744" s="16">
        <v>1.774081</v>
      </c>
      <c r="L744" s="36">
        <v>1629</v>
      </c>
      <c r="M744" s="16">
        <v>313</v>
      </c>
      <c r="N744" s="16">
        <v>216</v>
      </c>
      <c r="O744" s="16">
        <v>227</v>
      </c>
      <c r="P744" s="16">
        <v>478</v>
      </c>
      <c r="Q744" s="16">
        <v>395</v>
      </c>
      <c r="R744" s="16" t="s">
        <v>225</v>
      </c>
      <c r="S744" s="16">
        <v>11.8788</v>
      </c>
      <c r="T744" s="16">
        <v>0</v>
      </c>
      <c r="U744" s="16">
        <v>0.88184367600000002</v>
      </c>
      <c r="V744" s="16">
        <v>10</v>
      </c>
      <c r="W744" s="16">
        <v>0.80523599999999995</v>
      </c>
      <c r="X744" s="16">
        <v>8.2352999999999996E-2</v>
      </c>
      <c r="Y744" s="16">
        <v>0.60875199999999996</v>
      </c>
      <c r="Z744" s="16">
        <v>0.27635799999999999</v>
      </c>
      <c r="AA744" s="37"/>
    </row>
    <row r="745" spans="1:27">
      <c r="A745" s="16" t="s">
        <v>81</v>
      </c>
      <c r="B745" s="16" t="s">
        <v>2692</v>
      </c>
      <c r="C745" s="16" t="s">
        <v>2693</v>
      </c>
      <c r="D745" s="16" t="s">
        <v>2694</v>
      </c>
      <c r="E745" s="16" t="s">
        <v>2695</v>
      </c>
      <c r="F745" s="16" t="s">
        <v>2696</v>
      </c>
      <c r="G745" s="16" t="s">
        <v>2516</v>
      </c>
      <c r="H745" s="16" t="s">
        <v>2517</v>
      </c>
      <c r="I745" s="16" t="s">
        <v>198</v>
      </c>
      <c r="J745" s="16" t="s">
        <v>199</v>
      </c>
      <c r="K745" s="16">
        <v>1.8570150000000001</v>
      </c>
      <c r="L745" s="36">
        <v>2385</v>
      </c>
      <c r="M745" s="16">
        <v>477</v>
      </c>
      <c r="N745" s="16">
        <v>372</v>
      </c>
      <c r="O745" s="16">
        <v>678</v>
      </c>
      <c r="P745" s="16">
        <v>515</v>
      </c>
      <c r="Q745" s="16">
        <v>343</v>
      </c>
      <c r="R745" s="16">
        <v>3</v>
      </c>
      <c r="S745" s="16">
        <v>24.886299999999999</v>
      </c>
      <c r="T745" s="16">
        <v>1.66998</v>
      </c>
      <c r="U745" s="16">
        <v>0.93834718299999997</v>
      </c>
      <c r="V745" s="16">
        <v>8</v>
      </c>
      <c r="W745" s="16">
        <v>0.827264</v>
      </c>
      <c r="X745" s="16">
        <v>0.110108</v>
      </c>
      <c r="Y745" s="16">
        <v>0.6</v>
      </c>
      <c r="Z745" s="16">
        <v>0.330762</v>
      </c>
      <c r="AA745" s="37"/>
    </row>
    <row r="746" spans="1:27">
      <c r="A746" s="16" t="s">
        <v>81</v>
      </c>
      <c r="B746" s="16" t="s">
        <v>2697</v>
      </c>
      <c r="C746" s="16" t="s">
        <v>2698</v>
      </c>
      <c r="D746" s="16" t="s">
        <v>2699</v>
      </c>
      <c r="E746" s="16" t="s">
        <v>2700</v>
      </c>
      <c r="F746" s="16" t="s">
        <v>2701</v>
      </c>
      <c r="G746" s="16" t="s">
        <v>2516</v>
      </c>
      <c r="H746" s="16" t="s">
        <v>2517</v>
      </c>
      <c r="I746" s="16" t="s">
        <v>198</v>
      </c>
      <c r="J746" s="16" t="s">
        <v>199</v>
      </c>
      <c r="K746" s="16">
        <v>2.274499</v>
      </c>
      <c r="L746" s="36">
        <v>2332</v>
      </c>
      <c r="M746" s="16">
        <v>384</v>
      </c>
      <c r="N746" s="16">
        <v>484</v>
      </c>
      <c r="O746" s="16">
        <v>671</v>
      </c>
      <c r="P746" s="16">
        <v>499</v>
      </c>
      <c r="Q746" s="16">
        <v>294</v>
      </c>
      <c r="R746" s="16">
        <v>5</v>
      </c>
      <c r="S746" s="16">
        <v>41.052399999999999</v>
      </c>
      <c r="T746" s="16">
        <v>0</v>
      </c>
      <c r="U746" s="16">
        <v>0.75554678399999997</v>
      </c>
      <c r="V746" s="16">
        <v>8</v>
      </c>
      <c r="W746" s="16">
        <v>0.89198</v>
      </c>
      <c r="X746" s="16">
        <v>0.18774199999999999</v>
      </c>
      <c r="Y746" s="16">
        <v>0.6</v>
      </c>
      <c r="Z746" s="16">
        <v>0.59600699999999995</v>
      </c>
      <c r="AA746" s="37"/>
    </row>
    <row r="747" spans="1:27">
      <c r="A747" s="16" t="s">
        <v>81</v>
      </c>
      <c r="B747" s="16" t="s">
        <v>2702</v>
      </c>
      <c r="C747" s="16" t="s">
        <v>2703</v>
      </c>
      <c r="D747" s="16" t="s">
        <v>2704</v>
      </c>
      <c r="E747" s="16" t="s">
        <v>2679</v>
      </c>
      <c r="F747" s="16" t="s">
        <v>2680</v>
      </c>
      <c r="G747" s="16" t="s">
        <v>2516</v>
      </c>
      <c r="H747" s="16" t="s">
        <v>2517</v>
      </c>
      <c r="I747" s="16" t="s">
        <v>198</v>
      </c>
      <c r="J747" s="16" t="s">
        <v>199</v>
      </c>
      <c r="K747" s="16">
        <v>2.2819129999999999</v>
      </c>
      <c r="L747" s="36">
        <v>2135</v>
      </c>
      <c r="M747" s="16">
        <v>418</v>
      </c>
      <c r="N747" s="16">
        <v>399</v>
      </c>
      <c r="O747" s="16">
        <v>697</v>
      </c>
      <c r="P747" s="16">
        <v>414</v>
      </c>
      <c r="Q747" s="16">
        <v>207</v>
      </c>
      <c r="R747" s="16" t="s">
        <v>302</v>
      </c>
      <c r="S747" s="16">
        <v>40.974600000000002</v>
      </c>
      <c r="T747" s="16">
        <v>14.5519</v>
      </c>
      <c r="U747" s="16">
        <v>0.96102530900000005</v>
      </c>
      <c r="V747" s="16">
        <v>5</v>
      </c>
      <c r="W747" s="16">
        <v>0.90592499999999998</v>
      </c>
      <c r="X747" s="16">
        <v>0.19833700000000001</v>
      </c>
      <c r="Y747" s="16">
        <v>0.60303300000000004</v>
      </c>
      <c r="Z747" s="16">
        <v>0.57526100000000002</v>
      </c>
      <c r="AA747" s="37"/>
    </row>
    <row r="748" spans="1:27">
      <c r="A748" s="16" t="s">
        <v>81</v>
      </c>
      <c r="B748" s="16" t="s">
        <v>2705</v>
      </c>
      <c r="C748" s="16" t="s">
        <v>2706</v>
      </c>
      <c r="D748" s="16" t="s">
        <v>2707</v>
      </c>
      <c r="E748" s="16" t="s">
        <v>2708</v>
      </c>
      <c r="F748" s="16" t="s">
        <v>2709</v>
      </c>
      <c r="G748" s="16" t="s">
        <v>2516</v>
      </c>
      <c r="H748" s="16" t="s">
        <v>2517</v>
      </c>
      <c r="I748" s="16" t="s">
        <v>198</v>
      </c>
      <c r="J748" s="16" t="s">
        <v>199</v>
      </c>
      <c r="K748" s="16">
        <v>2.053855</v>
      </c>
      <c r="L748" s="36">
        <v>1916</v>
      </c>
      <c r="M748" s="16">
        <v>431</v>
      </c>
      <c r="N748" s="16">
        <v>285</v>
      </c>
      <c r="O748" s="16">
        <v>466</v>
      </c>
      <c r="P748" s="16">
        <v>477</v>
      </c>
      <c r="Q748" s="16">
        <v>257</v>
      </c>
      <c r="R748" s="16">
        <v>3</v>
      </c>
      <c r="S748" s="16">
        <v>32.021099999999997</v>
      </c>
      <c r="T748" s="16">
        <v>0</v>
      </c>
      <c r="U748" s="16">
        <v>0.81850924800000002</v>
      </c>
      <c r="V748" s="16">
        <v>8</v>
      </c>
      <c r="W748" s="16">
        <v>0.84544399999999997</v>
      </c>
      <c r="X748" s="16">
        <v>0.17172699999999999</v>
      </c>
      <c r="Y748" s="16">
        <v>0.6</v>
      </c>
      <c r="Z748" s="16">
        <v>0.42579499999999998</v>
      </c>
      <c r="AA748" s="37"/>
    </row>
    <row r="749" spans="1:27">
      <c r="A749" s="16" t="s">
        <v>81</v>
      </c>
      <c r="B749" s="16" t="s">
        <v>2710</v>
      </c>
      <c r="C749" s="16" t="s">
        <v>2711</v>
      </c>
      <c r="D749" s="16" t="s">
        <v>2712</v>
      </c>
      <c r="E749" s="16" t="s">
        <v>2713</v>
      </c>
      <c r="F749" s="16" t="s">
        <v>2714</v>
      </c>
      <c r="G749" s="16" t="s">
        <v>2516</v>
      </c>
      <c r="H749" s="16" t="s">
        <v>2517</v>
      </c>
      <c r="I749" s="16" t="s">
        <v>198</v>
      </c>
      <c r="J749" s="16" t="s">
        <v>199</v>
      </c>
      <c r="K749" s="16">
        <v>1.788554</v>
      </c>
      <c r="L749" s="36">
        <v>2720</v>
      </c>
      <c r="M749" s="16">
        <v>800</v>
      </c>
      <c r="N749" s="16">
        <v>414</v>
      </c>
      <c r="O749" s="16">
        <v>689</v>
      </c>
      <c r="P749" s="16">
        <v>571</v>
      </c>
      <c r="Q749" s="16">
        <v>246</v>
      </c>
      <c r="R749" s="16">
        <v>2</v>
      </c>
      <c r="S749" s="16">
        <v>10.2699</v>
      </c>
      <c r="T749" s="16">
        <v>0</v>
      </c>
      <c r="U749" s="16">
        <v>1.6028434620000001</v>
      </c>
      <c r="V749" s="16">
        <v>2</v>
      </c>
      <c r="W749" s="16">
        <v>0.80483199999999999</v>
      </c>
      <c r="X749" s="16">
        <v>0.14621500000000001</v>
      </c>
      <c r="Y749" s="16">
        <v>0.63965899999999998</v>
      </c>
      <c r="Z749" s="16">
        <v>0.19599</v>
      </c>
      <c r="AA749" s="37"/>
    </row>
    <row r="750" spans="1:27">
      <c r="A750" s="16" t="s">
        <v>81</v>
      </c>
      <c r="B750" s="16" t="s">
        <v>2715</v>
      </c>
      <c r="C750" s="16" t="s">
        <v>2716</v>
      </c>
      <c r="D750" s="16" t="s">
        <v>2717</v>
      </c>
      <c r="E750" s="16" t="s">
        <v>2713</v>
      </c>
      <c r="F750" s="16" t="s">
        <v>2714</v>
      </c>
      <c r="G750" s="16" t="s">
        <v>2516</v>
      </c>
      <c r="H750" s="16" t="s">
        <v>2517</v>
      </c>
      <c r="I750" s="16" t="s">
        <v>198</v>
      </c>
      <c r="J750" s="16" t="s">
        <v>199</v>
      </c>
      <c r="K750" s="16">
        <v>1.6176889999999999</v>
      </c>
      <c r="L750" s="36">
        <v>1693</v>
      </c>
      <c r="M750" s="16">
        <v>380</v>
      </c>
      <c r="N750" s="16">
        <v>251</v>
      </c>
      <c r="O750" s="16">
        <v>321</v>
      </c>
      <c r="P750" s="16">
        <v>448</v>
      </c>
      <c r="Q750" s="16">
        <v>293</v>
      </c>
      <c r="R750" s="16" t="s">
        <v>214</v>
      </c>
      <c r="S750" s="16">
        <v>8.0992300000000004</v>
      </c>
      <c r="T750" s="16">
        <v>0</v>
      </c>
      <c r="U750" s="16">
        <v>1.1823771569999999</v>
      </c>
      <c r="V750" s="16">
        <v>5</v>
      </c>
      <c r="W750" s="16">
        <v>0.80017899999999997</v>
      </c>
      <c r="X750" s="16">
        <v>3.6640000000000002E-3</v>
      </c>
      <c r="Y750" s="16">
        <v>0.67923800000000001</v>
      </c>
      <c r="Z750" s="16">
        <v>0.13470699999999999</v>
      </c>
      <c r="AA750" s="37"/>
    </row>
    <row r="751" spans="1:27">
      <c r="A751" s="16" t="s">
        <v>81</v>
      </c>
      <c r="B751" s="16" t="s">
        <v>2718</v>
      </c>
      <c r="C751" s="16" t="s">
        <v>2719</v>
      </c>
      <c r="D751" s="16" t="s">
        <v>2720</v>
      </c>
      <c r="E751" s="16" t="s">
        <v>2690</v>
      </c>
      <c r="F751" s="16" t="s">
        <v>2691</v>
      </c>
      <c r="G751" s="16" t="s">
        <v>2516</v>
      </c>
      <c r="H751" s="16" t="s">
        <v>2517</v>
      </c>
      <c r="I751" s="16" t="s">
        <v>198</v>
      </c>
      <c r="J751" s="16" t="s">
        <v>199</v>
      </c>
      <c r="K751" s="16">
        <v>1.842684</v>
      </c>
      <c r="L751" s="36">
        <v>1834</v>
      </c>
      <c r="M751" s="16">
        <v>365</v>
      </c>
      <c r="N751" s="16">
        <v>289</v>
      </c>
      <c r="O751" s="16">
        <v>359</v>
      </c>
      <c r="P751" s="16">
        <v>501</v>
      </c>
      <c r="Q751" s="16">
        <v>320</v>
      </c>
      <c r="R751" s="16">
        <v>2</v>
      </c>
      <c r="S751" s="16">
        <v>10.0802</v>
      </c>
      <c r="T751" s="16">
        <v>0</v>
      </c>
      <c r="U751" s="16">
        <v>0.96652921400000003</v>
      </c>
      <c r="V751" s="16">
        <v>8</v>
      </c>
      <c r="W751" s="16">
        <v>0.80493499999999996</v>
      </c>
      <c r="X751" s="16">
        <v>0.157476</v>
      </c>
      <c r="Y751" s="16">
        <v>0.68453600000000003</v>
      </c>
      <c r="Z751" s="16">
        <v>0.20064899999999999</v>
      </c>
      <c r="AA751" s="37"/>
    </row>
    <row r="752" spans="1:27">
      <c r="A752" s="16" t="s">
        <v>81</v>
      </c>
      <c r="B752" s="16" t="s">
        <v>2721</v>
      </c>
      <c r="C752" s="16" t="s">
        <v>2722</v>
      </c>
      <c r="D752" s="16" t="s">
        <v>2723</v>
      </c>
      <c r="E752" s="16" t="s">
        <v>2695</v>
      </c>
      <c r="F752" s="16" t="s">
        <v>2696</v>
      </c>
      <c r="G752" s="16" t="s">
        <v>2516</v>
      </c>
      <c r="H752" s="16" t="s">
        <v>2517</v>
      </c>
      <c r="I752" s="16" t="s">
        <v>198</v>
      </c>
      <c r="J752" s="16" t="s">
        <v>199</v>
      </c>
      <c r="K752" s="16">
        <v>1.7349300000000001</v>
      </c>
      <c r="L752" s="36">
        <v>2109</v>
      </c>
      <c r="M752" s="16">
        <v>424</v>
      </c>
      <c r="N752" s="16">
        <v>280</v>
      </c>
      <c r="O752" s="16">
        <v>621</v>
      </c>
      <c r="P752" s="16">
        <v>500</v>
      </c>
      <c r="Q752" s="16">
        <v>284</v>
      </c>
      <c r="R752" s="16">
        <v>2</v>
      </c>
      <c r="S752" s="16">
        <v>10.453900000000001</v>
      </c>
      <c r="T752" s="16">
        <v>0</v>
      </c>
      <c r="U752" s="16">
        <v>1.020954922</v>
      </c>
      <c r="V752" s="16">
        <v>7</v>
      </c>
      <c r="W752" s="16">
        <v>0.80958300000000005</v>
      </c>
      <c r="X752" s="16">
        <v>8.1781000000000006E-2</v>
      </c>
      <c r="Y752" s="16">
        <v>0.6</v>
      </c>
      <c r="Z752" s="16">
        <v>0.24664900000000001</v>
      </c>
      <c r="AA752" s="37"/>
    </row>
    <row r="753" spans="1:27">
      <c r="A753" s="16" t="s">
        <v>81</v>
      </c>
      <c r="B753" s="16" t="s">
        <v>2724</v>
      </c>
      <c r="C753" s="16" t="s">
        <v>2725</v>
      </c>
      <c r="D753" s="16" t="s">
        <v>2726</v>
      </c>
      <c r="E753" s="16" t="s">
        <v>2695</v>
      </c>
      <c r="F753" s="16" t="s">
        <v>2696</v>
      </c>
      <c r="G753" s="16" t="s">
        <v>2516</v>
      </c>
      <c r="H753" s="16" t="s">
        <v>2517</v>
      </c>
      <c r="I753" s="16" t="s">
        <v>198</v>
      </c>
      <c r="J753" s="16" t="s">
        <v>199</v>
      </c>
      <c r="K753" s="16">
        <v>1.689157</v>
      </c>
      <c r="L753" s="36">
        <v>1672</v>
      </c>
      <c r="M753" s="16">
        <v>340</v>
      </c>
      <c r="N753" s="16">
        <v>211</v>
      </c>
      <c r="O753" s="16">
        <v>438</v>
      </c>
      <c r="P753" s="16">
        <v>476</v>
      </c>
      <c r="Q753" s="16">
        <v>207</v>
      </c>
      <c r="R753" s="16">
        <v>2</v>
      </c>
      <c r="S753" s="16">
        <v>9.2039000000000009</v>
      </c>
      <c r="T753" s="16">
        <v>6.1390700000000002</v>
      </c>
      <c r="U753" s="16">
        <v>0.99355685599999999</v>
      </c>
      <c r="V753" s="16">
        <v>8</v>
      </c>
      <c r="W753" s="16">
        <v>0.80220899999999995</v>
      </c>
      <c r="X753" s="16">
        <v>1.8036E-2</v>
      </c>
      <c r="Y753" s="16">
        <v>0.6</v>
      </c>
      <c r="Z753" s="16">
        <v>0.266733</v>
      </c>
      <c r="AA753" s="37"/>
    </row>
    <row r="754" spans="1:27">
      <c r="A754" s="16" t="s">
        <v>81</v>
      </c>
      <c r="B754" s="16" t="s">
        <v>2727</v>
      </c>
      <c r="C754" s="16" t="s">
        <v>2728</v>
      </c>
      <c r="D754" s="16" t="s">
        <v>2729</v>
      </c>
      <c r="E754" s="16" t="s">
        <v>2700</v>
      </c>
      <c r="F754" s="16" t="s">
        <v>2701</v>
      </c>
      <c r="G754" s="16" t="s">
        <v>2516</v>
      </c>
      <c r="H754" s="16" t="s">
        <v>2517</v>
      </c>
      <c r="I754" s="16" t="s">
        <v>198</v>
      </c>
      <c r="J754" s="16" t="s">
        <v>199</v>
      </c>
      <c r="K754" s="16">
        <v>1.8633660000000001</v>
      </c>
      <c r="L754" s="36">
        <v>2135</v>
      </c>
      <c r="M754" s="16">
        <v>368</v>
      </c>
      <c r="N754" s="16">
        <v>336</v>
      </c>
      <c r="O754" s="16">
        <v>566</v>
      </c>
      <c r="P754" s="16">
        <v>522</v>
      </c>
      <c r="Q754" s="16">
        <v>343</v>
      </c>
      <c r="R754" s="16">
        <v>5</v>
      </c>
      <c r="S754" s="16">
        <v>34.415599999999998</v>
      </c>
      <c r="T754" s="16">
        <v>2.1455799999999998</v>
      </c>
      <c r="U754" s="16">
        <v>0.87609721799999996</v>
      </c>
      <c r="V754" s="16">
        <v>10</v>
      </c>
      <c r="W754" s="16">
        <v>0.82241299999999995</v>
      </c>
      <c r="X754" s="16">
        <v>4.6051000000000002E-2</v>
      </c>
      <c r="Y754" s="16">
        <v>0.60560099999999994</v>
      </c>
      <c r="Z754" s="16">
        <v>0.39015699999999998</v>
      </c>
      <c r="AA754" s="37"/>
    </row>
    <row r="755" spans="1:27">
      <c r="A755" s="16"/>
      <c r="B755" s="16"/>
      <c r="C755" s="16"/>
      <c r="D755" s="16"/>
      <c r="E755" s="16"/>
      <c r="F755" s="16"/>
      <c r="G755" s="16"/>
      <c r="H755" s="16"/>
      <c r="I755" s="16"/>
      <c r="J755" s="16"/>
      <c r="K755" s="16">
        <f>MEDIAN(K744:K754)</f>
        <v>1.842684</v>
      </c>
      <c r="L755" s="36">
        <f>AVERAGE(L744:L754)</f>
        <v>2050.909090909091</v>
      </c>
      <c r="M755" s="16">
        <f t="shared" ref="M755:Q755" si="65">SUM(M744:M754)</f>
        <v>4700</v>
      </c>
      <c r="N755" s="16">
        <f t="shared" si="65"/>
        <v>3537</v>
      </c>
      <c r="O755" s="16">
        <f t="shared" si="65"/>
        <v>5733</v>
      </c>
      <c r="P755" s="16">
        <f t="shared" si="65"/>
        <v>5401</v>
      </c>
      <c r="Q755" s="16">
        <f t="shared" si="65"/>
        <v>3189</v>
      </c>
      <c r="R755" s="16"/>
      <c r="S755" s="16"/>
      <c r="T755" s="16"/>
      <c r="U755" s="16"/>
      <c r="V755" s="16">
        <f>MEDIAN(V744:V754)</f>
        <v>8</v>
      </c>
      <c r="W755" s="16"/>
      <c r="X755" s="16"/>
      <c r="Y755" s="16"/>
      <c r="Z755" s="16"/>
      <c r="AA755" s="37"/>
    </row>
    <row r="756" spans="1:27">
      <c r="A756" s="16" t="s">
        <v>82</v>
      </c>
      <c r="B756" s="16" t="s">
        <v>2730</v>
      </c>
      <c r="C756" s="16" t="s">
        <v>2731</v>
      </c>
      <c r="D756" s="16" t="s">
        <v>2732</v>
      </c>
      <c r="E756" s="16" t="s">
        <v>2733</v>
      </c>
      <c r="F756" s="16" t="s">
        <v>2734</v>
      </c>
      <c r="G756" s="16" t="s">
        <v>2516</v>
      </c>
      <c r="H756" s="16" t="s">
        <v>2517</v>
      </c>
      <c r="I756" s="16" t="s">
        <v>198</v>
      </c>
      <c r="J756" s="16" t="s">
        <v>199</v>
      </c>
      <c r="K756" s="16">
        <v>1.6403000000000001</v>
      </c>
      <c r="L756" s="36">
        <v>2084</v>
      </c>
      <c r="M756" s="16">
        <v>461</v>
      </c>
      <c r="N756" s="16">
        <v>288</v>
      </c>
      <c r="O756" s="16">
        <v>406</v>
      </c>
      <c r="P756" s="16">
        <v>546</v>
      </c>
      <c r="Q756" s="16">
        <v>383</v>
      </c>
      <c r="R756" s="16" t="s">
        <v>214</v>
      </c>
      <c r="S756" s="16">
        <v>11.0701</v>
      </c>
      <c r="T756" s="16">
        <v>0</v>
      </c>
      <c r="U756" s="16">
        <v>0.99258730299999998</v>
      </c>
      <c r="V756" s="16">
        <v>9</v>
      </c>
      <c r="W756" s="16">
        <v>0.80148200000000003</v>
      </c>
      <c r="X756" s="16">
        <v>3.6048999999999998E-2</v>
      </c>
      <c r="Y756" s="16">
        <v>0.6</v>
      </c>
      <c r="Z756" s="16">
        <v>0.200964</v>
      </c>
      <c r="AA756" s="37"/>
    </row>
    <row r="757" spans="1:27">
      <c r="A757" s="16" t="s">
        <v>82</v>
      </c>
      <c r="B757" s="16" t="s">
        <v>2735</v>
      </c>
      <c r="C757" s="16" t="s">
        <v>2736</v>
      </c>
      <c r="D757" s="16" t="s">
        <v>2737</v>
      </c>
      <c r="E757" s="16" t="s">
        <v>2733</v>
      </c>
      <c r="F757" s="16" t="s">
        <v>2734</v>
      </c>
      <c r="G757" s="16" t="s">
        <v>2516</v>
      </c>
      <c r="H757" s="16" t="s">
        <v>2517</v>
      </c>
      <c r="I757" s="16" t="s">
        <v>198</v>
      </c>
      <c r="J757" s="16" t="s">
        <v>199</v>
      </c>
      <c r="K757" s="16">
        <v>1.623648</v>
      </c>
      <c r="L757" s="36">
        <v>1722</v>
      </c>
      <c r="M757" s="16">
        <v>312</v>
      </c>
      <c r="N757" s="16">
        <v>181</v>
      </c>
      <c r="O757" s="16">
        <v>264</v>
      </c>
      <c r="P757" s="16">
        <v>446</v>
      </c>
      <c r="Q757" s="16">
        <v>519</v>
      </c>
      <c r="R757" s="16" t="s">
        <v>214</v>
      </c>
      <c r="S757" s="16">
        <v>6.2851800000000004</v>
      </c>
      <c r="T757" s="16">
        <v>0</v>
      </c>
      <c r="U757" s="16">
        <v>1.0189394279999999</v>
      </c>
      <c r="V757" s="16">
        <v>9</v>
      </c>
      <c r="W757" s="16">
        <v>0.80212700000000003</v>
      </c>
      <c r="X757" s="16">
        <v>6.2169000000000002E-2</v>
      </c>
      <c r="Y757" s="16">
        <v>0.6</v>
      </c>
      <c r="Z757" s="16">
        <v>0.16073499999999999</v>
      </c>
      <c r="AA757" s="37"/>
    </row>
    <row r="758" spans="1:27">
      <c r="A758" s="16" t="s">
        <v>82</v>
      </c>
      <c r="B758" s="16" t="s">
        <v>2687</v>
      </c>
      <c r="C758" s="16" t="s">
        <v>2688</v>
      </c>
      <c r="D758" s="16" t="s">
        <v>2689</v>
      </c>
      <c r="E758" s="16" t="s">
        <v>2690</v>
      </c>
      <c r="F758" s="16" t="s">
        <v>2691</v>
      </c>
      <c r="G758" s="16" t="s">
        <v>2516</v>
      </c>
      <c r="H758" s="16" t="s">
        <v>2517</v>
      </c>
      <c r="I758" s="16" t="s">
        <v>198</v>
      </c>
      <c r="J758" s="16" t="s">
        <v>199</v>
      </c>
      <c r="K758" s="16">
        <v>1.774081</v>
      </c>
      <c r="L758" s="36">
        <v>1629</v>
      </c>
      <c r="M758" s="16">
        <v>313</v>
      </c>
      <c r="N758" s="16">
        <v>216</v>
      </c>
      <c r="O758" s="16">
        <v>227</v>
      </c>
      <c r="P758" s="16">
        <v>478</v>
      </c>
      <c r="Q758" s="16">
        <v>395</v>
      </c>
      <c r="R758" s="16" t="s">
        <v>225</v>
      </c>
      <c r="S758" s="16">
        <v>11.8788</v>
      </c>
      <c r="T758" s="16">
        <v>0</v>
      </c>
      <c r="U758" s="16">
        <v>0.88184367600000002</v>
      </c>
      <c r="V758" s="16">
        <v>10</v>
      </c>
      <c r="W758" s="16">
        <v>0.80523599999999995</v>
      </c>
      <c r="X758" s="16">
        <v>8.2352999999999996E-2</v>
      </c>
      <c r="Y758" s="16">
        <v>0.60875199999999996</v>
      </c>
      <c r="Z758" s="16">
        <v>0.27635799999999999</v>
      </c>
      <c r="AA758" s="37"/>
    </row>
    <row r="759" spans="1:27">
      <c r="A759" s="16" t="s">
        <v>82</v>
      </c>
      <c r="B759" s="16" t="s">
        <v>2738</v>
      </c>
      <c r="C759" s="16" t="s">
        <v>2739</v>
      </c>
      <c r="D759" s="16" t="s">
        <v>2740</v>
      </c>
      <c r="E759" s="16" t="s">
        <v>2741</v>
      </c>
      <c r="F759" s="16" t="s">
        <v>2742</v>
      </c>
      <c r="G759" s="16" t="s">
        <v>2516</v>
      </c>
      <c r="H759" s="16" t="s">
        <v>2517</v>
      </c>
      <c r="I759" s="16" t="s">
        <v>198</v>
      </c>
      <c r="J759" s="16" t="s">
        <v>199</v>
      </c>
      <c r="K759" s="16">
        <v>1.7527600000000001</v>
      </c>
      <c r="L759" s="36">
        <v>1622</v>
      </c>
      <c r="M759" s="16">
        <v>283</v>
      </c>
      <c r="N759" s="16">
        <v>202</v>
      </c>
      <c r="O759" s="16">
        <v>288</v>
      </c>
      <c r="P759" s="16">
        <v>449</v>
      </c>
      <c r="Q759" s="16">
        <v>400</v>
      </c>
      <c r="R759" s="16" t="s">
        <v>225</v>
      </c>
      <c r="S759" s="16">
        <v>5.9241900000000003</v>
      </c>
      <c r="T759" s="16">
        <v>0</v>
      </c>
      <c r="U759" s="16">
        <v>0.90984691799999995</v>
      </c>
      <c r="V759" s="16">
        <v>9</v>
      </c>
      <c r="W759" s="16">
        <v>0.805006</v>
      </c>
      <c r="X759" s="16">
        <v>0.18151500000000001</v>
      </c>
      <c r="Y759" s="16">
        <v>0.6</v>
      </c>
      <c r="Z759" s="16">
        <v>0.170796</v>
      </c>
      <c r="AA759" s="37"/>
    </row>
    <row r="760" spans="1:27">
      <c r="A760" s="16" t="s">
        <v>82</v>
      </c>
      <c r="B760" s="16" t="s">
        <v>2743</v>
      </c>
      <c r="C760" s="16" t="s">
        <v>2744</v>
      </c>
      <c r="D760" s="16" t="s">
        <v>2745</v>
      </c>
      <c r="E760" s="16" t="s">
        <v>2741</v>
      </c>
      <c r="F760" s="16" t="s">
        <v>2742</v>
      </c>
      <c r="G760" s="16" t="s">
        <v>2516</v>
      </c>
      <c r="H760" s="16" t="s">
        <v>2517</v>
      </c>
      <c r="I760" s="16" t="s">
        <v>198</v>
      </c>
      <c r="J760" s="16" t="s">
        <v>199</v>
      </c>
      <c r="K760" s="16">
        <v>1.5775490000000001</v>
      </c>
      <c r="L760" s="36">
        <v>1367</v>
      </c>
      <c r="M760" s="16">
        <v>262</v>
      </c>
      <c r="N760" s="16">
        <v>160</v>
      </c>
      <c r="O760" s="16">
        <v>232</v>
      </c>
      <c r="P760" s="16">
        <v>423</v>
      </c>
      <c r="Q760" s="16">
        <v>290</v>
      </c>
      <c r="R760" s="16" t="s">
        <v>214</v>
      </c>
      <c r="S760" s="16">
        <v>6.8452099999999998</v>
      </c>
      <c r="T760" s="16">
        <v>0</v>
      </c>
      <c r="U760" s="16">
        <v>0.94728828799999998</v>
      </c>
      <c r="V760" s="16">
        <v>10</v>
      </c>
      <c r="W760" s="16">
        <v>0.80003999999999997</v>
      </c>
      <c r="X760" s="16">
        <v>7.2463E-2</v>
      </c>
      <c r="Y760" s="16">
        <v>0.6</v>
      </c>
      <c r="Z760" s="16">
        <v>0.10270600000000001</v>
      </c>
      <c r="AA760" s="37"/>
    </row>
    <row r="761" spans="1:27">
      <c r="A761" s="16" t="s">
        <v>82</v>
      </c>
      <c r="B761" s="16" t="s">
        <v>2692</v>
      </c>
      <c r="C761" s="16" t="s">
        <v>2693</v>
      </c>
      <c r="D761" s="16" t="s">
        <v>2694</v>
      </c>
      <c r="E761" s="16" t="s">
        <v>2695</v>
      </c>
      <c r="F761" s="16" t="s">
        <v>2696</v>
      </c>
      <c r="G761" s="16" t="s">
        <v>2516</v>
      </c>
      <c r="H761" s="16" t="s">
        <v>2517</v>
      </c>
      <c r="I761" s="16" t="s">
        <v>198</v>
      </c>
      <c r="J761" s="16" t="s">
        <v>199</v>
      </c>
      <c r="K761" s="16">
        <v>1.8570150000000001</v>
      </c>
      <c r="L761" s="36">
        <v>2385</v>
      </c>
      <c r="M761" s="16">
        <v>477</v>
      </c>
      <c r="N761" s="16">
        <v>372</v>
      </c>
      <c r="O761" s="16">
        <v>678</v>
      </c>
      <c r="P761" s="16">
        <v>515</v>
      </c>
      <c r="Q761" s="16">
        <v>343</v>
      </c>
      <c r="R761" s="16">
        <v>3</v>
      </c>
      <c r="S761" s="16">
        <v>24.886299999999999</v>
      </c>
      <c r="T761" s="16">
        <v>1.66998</v>
      </c>
      <c r="U761" s="16">
        <v>0.93834718299999997</v>
      </c>
      <c r="V761" s="16">
        <v>8</v>
      </c>
      <c r="W761" s="16">
        <v>0.827264</v>
      </c>
      <c r="X761" s="16">
        <v>0.110108</v>
      </c>
      <c r="Y761" s="16">
        <v>0.6</v>
      </c>
      <c r="Z761" s="16">
        <v>0.330762</v>
      </c>
      <c r="AA761" s="37"/>
    </row>
    <row r="762" spans="1:27">
      <c r="A762" s="16" t="s">
        <v>82</v>
      </c>
      <c r="B762" s="16" t="s">
        <v>2697</v>
      </c>
      <c r="C762" s="16" t="s">
        <v>2698</v>
      </c>
      <c r="D762" s="16" t="s">
        <v>2699</v>
      </c>
      <c r="E762" s="16" t="s">
        <v>2700</v>
      </c>
      <c r="F762" s="16" t="s">
        <v>2701</v>
      </c>
      <c r="G762" s="16" t="s">
        <v>2516</v>
      </c>
      <c r="H762" s="16" t="s">
        <v>2517</v>
      </c>
      <c r="I762" s="16" t="s">
        <v>198</v>
      </c>
      <c r="J762" s="16" t="s">
        <v>199</v>
      </c>
      <c r="K762" s="16">
        <v>2.274499</v>
      </c>
      <c r="L762" s="36">
        <v>2332</v>
      </c>
      <c r="M762" s="16">
        <v>384</v>
      </c>
      <c r="N762" s="16">
        <v>484</v>
      </c>
      <c r="O762" s="16">
        <v>671</v>
      </c>
      <c r="P762" s="16">
        <v>499</v>
      </c>
      <c r="Q762" s="16">
        <v>294</v>
      </c>
      <c r="R762" s="16">
        <v>5</v>
      </c>
      <c r="S762" s="16">
        <v>41.052399999999999</v>
      </c>
      <c r="T762" s="16">
        <v>0</v>
      </c>
      <c r="U762" s="16">
        <v>0.75554678399999997</v>
      </c>
      <c r="V762" s="16">
        <v>8</v>
      </c>
      <c r="W762" s="16">
        <v>0.89198</v>
      </c>
      <c r="X762" s="16">
        <v>0.18774199999999999</v>
      </c>
      <c r="Y762" s="16">
        <v>0.6</v>
      </c>
      <c r="Z762" s="16">
        <v>0.59600699999999995</v>
      </c>
      <c r="AA762" s="37"/>
    </row>
    <row r="763" spans="1:27">
      <c r="A763" s="16" t="s">
        <v>82</v>
      </c>
      <c r="B763" s="16" t="s">
        <v>2702</v>
      </c>
      <c r="C763" s="16" t="s">
        <v>2703</v>
      </c>
      <c r="D763" s="16" t="s">
        <v>2704</v>
      </c>
      <c r="E763" s="16" t="s">
        <v>2679</v>
      </c>
      <c r="F763" s="16" t="s">
        <v>2680</v>
      </c>
      <c r="G763" s="16" t="s">
        <v>2516</v>
      </c>
      <c r="H763" s="16" t="s">
        <v>2517</v>
      </c>
      <c r="I763" s="16" t="s">
        <v>198</v>
      </c>
      <c r="J763" s="16" t="s">
        <v>199</v>
      </c>
      <c r="K763" s="16">
        <v>2.2819129999999999</v>
      </c>
      <c r="L763" s="36">
        <v>2135</v>
      </c>
      <c r="M763" s="16">
        <v>418</v>
      </c>
      <c r="N763" s="16">
        <v>399</v>
      </c>
      <c r="O763" s="16">
        <v>697</v>
      </c>
      <c r="P763" s="16">
        <v>414</v>
      </c>
      <c r="Q763" s="16">
        <v>207</v>
      </c>
      <c r="R763" s="16" t="s">
        <v>302</v>
      </c>
      <c r="S763" s="16">
        <v>40.974600000000002</v>
      </c>
      <c r="T763" s="16">
        <v>14.5519</v>
      </c>
      <c r="U763" s="16">
        <v>0.96102530900000005</v>
      </c>
      <c r="V763" s="16">
        <v>5</v>
      </c>
      <c r="W763" s="16">
        <v>0.90592499999999998</v>
      </c>
      <c r="X763" s="16">
        <v>0.19833700000000001</v>
      </c>
      <c r="Y763" s="16">
        <v>0.60303300000000004</v>
      </c>
      <c r="Z763" s="16">
        <v>0.57526100000000002</v>
      </c>
      <c r="AA763" s="37"/>
    </row>
    <row r="764" spans="1:27">
      <c r="A764" s="16" t="s">
        <v>82</v>
      </c>
      <c r="B764" s="16" t="s">
        <v>2705</v>
      </c>
      <c r="C764" s="16" t="s">
        <v>2706</v>
      </c>
      <c r="D764" s="16" t="s">
        <v>2707</v>
      </c>
      <c r="E764" s="16" t="s">
        <v>2708</v>
      </c>
      <c r="F764" s="16" t="s">
        <v>2709</v>
      </c>
      <c r="G764" s="16" t="s">
        <v>2516</v>
      </c>
      <c r="H764" s="16" t="s">
        <v>2517</v>
      </c>
      <c r="I764" s="16" t="s">
        <v>198</v>
      </c>
      <c r="J764" s="16" t="s">
        <v>199</v>
      </c>
      <c r="K764" s="16">
        <v>2.053855</v>
      </c>
      <c r="L764" s="36">
        <v>1916</v>
      </c>
      <c r="M764" s="16">
        <v>431</v>
      </c>
      <c r="N764" s="16">
        <v>285</v>
      </c>
      <c r="O764" s="16">
        <v>466</v>
      </c>
      <c r="P764" s="16">
        <v>477</v>
      </c>
      <c r="Q764" s="16">
        <v>257</v>
      </c>
      <c r="R764" s="16">
        <v>3</v>
      </c>
      <c r="S764" s="16">
        <v>32.021099999999997</v>
      </c>
      <c r="T764" s="16">
        <v>0</v>
      </c>
      <c r="U764" s="16">
        <v>0.81850924800000002</v>
      </c>
      <c r="V764" s="16">
        <v>8</v>
      </c>
      <c r="W764" s="16">
        <v>0.84544399999999997</v>
      </c>
      <c r="X764" s="16">
        <v>0.17172699999999999</v>
      </c>
      <c r="Y764" s="16">
        <v>0.6</v>
      </c>
      <c r="Z764" s="16">
        <v>0.42579499999999998</v>
      </c>
      <c r="AA764" s="37"/>
    </row>
    <row r="765" spans="1:27">
      <c r="A765" s="16" t="s">
        <v>82</v>
      </c>
      <c r="B765" s="16" t="s">
        <v>2746</v>
      </c>
      <c r="C765" s="16" t="s">
        <v>2747</v>
      </c>
      <c r="D765" s="16" t="s">
        <v>2748</v>
      </c>
      <c r="E765" s="16" t="s">
        <v>2749</v>
      </c>
      <c r="F765" s="16" t="s">
        <v>2750</v>
      </c>
      <c r="G765" s="16" t="s">
        <v>2516</v>
      </c>
      <c r="H765" s="16" t="s">
        <v>2517</v>
      </c>
      <c r="I765" s="16" t="s">
        <v>198</v>
      </c>
      <c r="J765" s="16" t="s">
        <v>199</v>
      </c>
      <c r="K765" s="16">
        <v>1.7426090000000001</v>
      </c>
      <c r="L765" s="36">
        <v>1589</v>
      </c>
      <c r="M765" s="16">
        <v>337</v>
      </c>
      <c r="N765" s="16">
        <v>155</v>
      </c>
      <c r="O765" s="16">
        <v>309</v>
      </c>
      <c r="P765" s="16">
        <v>418</v>
      </c>
      <c r="Q765" s="16">
        <v>370</v>
      </c>
      <c r="R765" s="16" t="s">
        <v>225</v>
      </c>
      <c r="S765" s="16">
        <v>6.1220600000000003</v>
      </c>
      <c r="T765" s="16">
        <v>2.0179299999999998</v>
      </c>
      <c r="U765" s="16">
        <v>0.87145445399999999</v>
      </c>
      <c r="V765" s="16">
        <v>10</v>
      </c>
      <c r="W765" s="16">
        <v>0.80447199999999996</v>
      </c>
      <c r="X765" s="16">
        <v>0.13012299999999999</v>
      </c>
      <c r="Y765" s="16">
        <v>0.6</v>
      </c>
      <c r="Z765" s="16">
        <v>0.2</v>
      </c>
      <c r="AA765" s="37"/>
    </row>
    <row r="766" spans="1:27">
      <c r="A766" s="16" t="s">
        <v>82</v>
      </c>
      <c r="B766" s="16" t="s">
        <v>2751</v>
      </c>
      <c r="C766" s="16" t="s">
        <v>2752</v>
      </c>
      <c r="D766" s="16" t="s">
        <v>2753</v>
      </c>
      <c r="E766" s="16" t="s">
        <v>2741</v>
      </c>
      <c r="F766" s="16" t="s">
        <v>2742</v>
      </c>
      <c r="G766" s="16" t="s">
        <v>2516</v>
      </c>
      <c r="H766" s="16" t="s">
        <v>2517</v>
      </c>
      <c r="I766" s="16" t="s">
        <v>198</v>
      </c>
      <c r="J766" s="16" t="s">
        <v>199</v>
      </c>
      <c r="K766" s="16">
        <v>1.7912170000000001</v>
      </c>
      <c r="L766" s="36">
        <v>1524</v>
      </c>
      <c r="M766" s="16">
        <v>289</v>
      </c>
      <c r="N766" s="16">
        <v>181</v>
      </c>
      <c r="O766" s="16">
        <v>248</v>
      </c>
      <c r="P766" s="16">
        <v>401</v>
      </c>
      <c r="Q766" s="16">
        <v>405</v>
      </c>
      <c r="R766" s="16">
        <v>2</v>
      </c>
      <c r="S766" s="16">
        <v>7.6194899999999999</v>
      </c>
      <c r="T766" s="16">
        <v>2.1099299999999999</v>
      </c>
      <c r="U766" s="16">
        <v>0.90798354800000003</v>
      </c>
      <c r="V766" s="16">
        <v>9</v>
      </c>
      <c r="W766" s="16">
        <v>0.80733299999999997</v>
      </c>
      <c r="X766" s="16">
        <v>0.189355</v>
      </c>
      <c r="Y766" s="16">
        <v>0.6</v>
      </c>
      <c r="Z766" s="16">
        <v>0.20752999999999999</v>
      </c>
      <c r="AA766" s="37"/>
    </row>
    <row r="767" spans="1:27">
      <c r="A767" s="16" t="s">
        <v>82</v>
      </c>
      <c r="B767" s="16" t="s">
        <v>2710</v>
      </c>
      <c r="C767" s="16" t="s">
        <v>2711</v>
      </c>
      <c r="D767" s="16" t="s">
        <v>2712</v>
      </c>
      <c r="E767" s="16" t="s">
        <v>2713</v>
      </c>
      <c r="F767" s="16" t="s">
        <v>2714</v>
      </c>
      <c r="G767" s="16" t="s">
        <v>2516</v>
      </c>
      <c r="H767" s="16" t="s">
        <v>2517</v>
      </c>
      <c r="I767" s="16" t="s">
        <v>198</v>
      </c>
      <c r="J767" s="16" t="s">
        <v>199</v>
      </c>
      <c r="K767" s="16">
        <v>1.788554</v>
      </c>
      <c r="L767" s="36">
        <v>2720</v>
      </c>
      <c r="M767" s="16">
        <v>800</v>
      </c>
      <c r="N767" s="16">
        <v>414</v>
      </c>
      <c r="O767" s="16">
        <v>689</v>
      </c>
      <c r="P767" s="16">
        <v>571</v>
      </c>
      <c r="Q767" s="16">
        <v>246</v>
      </c>
      <c r="R767" s="16">
        <v>2</v>
      </c>
      <c r="S767" s="16">
        <v>10.2699</v>
      </c>
      <c r="T767" s="16">
        <v>0</v>
      </c>
      <c r="U767" s="16">
        <v>1.6028434620000001</v>
      </c>
      <c r="V767" s="16">
        <v>2</v>
      </c>
      <c r="W767" s="16">
        <v>0.80483199999999999</v>
      </c>
      <c r="X767" s="16">
        <v>0.14621500000000001</v>
      </c>
      <c r="Y767" s="16">
        <v>0.63965899999999998</v>
      </c>
      <c r="Z767" s="16">
        <v>0.19599</v>
      </c>
      <c r="AA767" s="37"/>
    </row>
    <row r="768" spans="1:27">
      <c r="A768" s="16" t="s">
        <v>82</v>
      </c>
      <c r="B768" s="16" t="s">
        <v>2715</v>
      </c>
      <c r="C768" s="16" t="s">
        <v>2716</v>
      </c>
      <c r="D768" s="16" t="s">
        <v>2717</v>
      </c>
      <c r="E768" s="16" t="s">
        <v>2713</v>
      </c>
      <c r="F768" s="16" t="s">
        <v>2714</v>
      </c>
      <c r="G768" s="16" t="s">
        <v>2516</v>
      </c>
      <c r="H768" s="16" t="s">
        <v>2517</v>
      </c>
      <c r="I768" s="16" t="s">
        <v>198</v>
      </c>
      <c r="J768" s="16" t="s">
        <v>199</v>
      </c>
      <c r="K768" s="16">
        <v>1.6176889999999999</v>
      </c>
      <c r="L768" s="36">
        <v>1693</v>
      </c>
      <c r="M768" s="16">
        <v>380</v>
      </c>
      <c r="N768" s="16">
        <v>251</v>
      </c>
      <c r="O768" s="16">
        <v>321</v>
      </c>
      <c r="P768" s="16">
        <v>448</v>
      </c>
      <c r="Q768" s="16">
        <v>293</v>
      </c>
      <c r="R768" s="16" t="s">
        <v>214</v>
      </c>
      <c r="S768" s="16">
        <v>8.0992300000000004</v>
      </c>
      <c r="T768" s="16">
        <v>0</v>
      </c>
      <c r="U768" s="16">
        <v>1.1823771569999999</v>
      </c>
      <c r="V768" s="16">
        <v>5</v>
      </c>
      <c r="W768" s="16">
        <v>0.80017899999999997</v>
      </c>
      <c r="X768" s="16">
        <v>3.6640000000000002E-3</v>
      </c>
      <c r="Y768" s="16">
        <v>0.67923800000000001</v>
      </c>
      <c r="Z768" s="16">
        <v>0.13470699999999999</v>
      </c>
      <c r="AA768" s="37"/>
    </row>
    <row r="769" spans="1:27">
      <c r="A769" s="16" t="s">
        <v>82</v>
      </c>
      <c r="B769" s="16" t="s">
        <v>2718</v>
      </c>
      <c r="C769" s="16" t="s">
        <v>2719</v>
      </c>
      <c r="D769" s="16" t="s">
        <v>2720</v>
      </c>
      <c r="E769" s="16" t="s">
        <v>2690</v>
      </c>
      <c r="F769" s="16" t="s">
        <v>2691</v>
      </c>
      <c r="G769" s="16" t="s">
        <v>2516</v>
      </c>
      <c r="H769" s="16" t="s">
        <v>2517</v>
      </c>
      <c r="I769" s="16" t="s">
        <v>198</v>
      </c>
      <c r="J769" s="16" t="s">
        <v>199</v>
      </c>
      <c r="K769" s="16">
        <v>1.842684</v>
      </c>
      <c r="L769" s="36">
        <v>1834</v>
      </c>
      <c r="M769" s="16">
        <v>365</v>
      </c>
      <c r="N769" s="16">
        <v>289</v>
      </c>
      <c r="O769" s="16">
        <v>359</v>
      </c>
      <c r="P769" s="16">
        <v>501</v>
      </c>
      <c r="Q769" s="16">
        <v>320</v>
      </c>
      <c r="R769" s="16">
        <v>2</v>
      </c>
      <c r="S769" s="16">
        <v>10.0802</v>
      </c>
      <c r="T769" s="16">
        <v>0</v>
      </c>
      <c r="U769" s="16">
        <v>0.96652921400000003</v>
      </c>
      <c r="V769" s="16">
        <v>8</v>
      </c>
      <c r="W769" s="16">
        <v>0.80493499999999996</v>
      </c>
      <c r="X769" s="16">
        <v>0.157476</v>
      </c>
      <c r="Y769" s="16">
        <v>0.68453600000000003</v>
      </c>
      <c r="Z769" s="16">
        <v>0.20064899999999999</v>
      </c>
      <c r="AA769" s="37"/>
    </row>
    <row r="770" spans="1:27">
      <c r="A770" s="16" t="s">
        <v>82</v>
      </c>
      <c r="B770" s="16" t="s">
        <v>2721</v>
      </c>
      <c r="C770" s="16" t="s">
        <v>2722</v>
      </c>
      <c r="D770" s="16" t="s">
        <v>2723</v>
      </c>
      <c r="E770" s="16" t="s">
        <v>2695</v>
      </c>
      <c r="F770" s="16" t="s">
        <v>2696</v>
      </c>
      <c r="G770" s="16" t="s">
        <v>2516</v>
      </c>
      <c r="H770" s="16" t="s">
        <v>2517</v>
      </c>
      <c r="I770" s="16" t="s">
        <v>198</v>
      </c>
      <c r="J770" s="16" t="s">
        <v>199</v>
      </c>
      <c r="K770" s="16">
        <v>1.7349300000000001</v>
      </c>
      <c r="L770" s="36">
        <v>2109</v>
      </c>
      <c r="M770" s="16">
        <v>424</v>
      </c>
      <c r="N770" s="16">
        <v>280</v>
      </c>
      <c r="O770" s="16">
        <v>621</v>
      </c>
      <c r="P770" s="16">
        <v>500</v>
      </c>
      <c r="Q770" s="16">
        <v>284</v>
      </c>
      <c r="R770" s="16">
        <v>2</v>
      </c>
      <c r="S770" s="16">
        <v>10.453900000000001</v>
      </c>
      <c r="T770" s="16">
        <v>0</v>
      </c>
      <c r="U770" s="16">
        <v>1.020954922</v>
      </c>
      <c r="V770" s="16">
        <v>7</v>
      </c>
      <c r="W770" s="16">
        <v>0.80958300000000005</v>
      </c>
      <c r="X770" s="16">
        <v>8.1781000000000006E-2</v>
      </c>
      <c r="Y770" s="16">
        <v>0.6</v>
      </c>
      <c r="Z770" s="16">
        <v>0.24664900000000001</v>
      </c>
      <c r="AA770" s="37"/>
    </row>
    <row r="771" spans="1:27">
      <c r="A771" s="16" t="s">
        <v>82</v>
      </c>
      <c r="B771" s="16" t="s">
        <v>2724</v>
      </c>
      <c r="C771" s="16" t="s">
        <v>2725</v>
      </c>
      <c r="D771" s="16" t="s">
        <v>2726</v>
      </c>
      <c r="E771" s="16" t="s">
        <v>2695</v>
      </c>
      <c r="F771" s="16" t="s">
        <v>2696</v>
      </c>
      <c r="G771" s="16" t="s">
        <v>2516</v>
      </c>
      <c r="H771" s="16" t="s">
        <v>2517</v>
      </c>
      <c r="I771" s="16" t="s">
        <v>198</v>
      </c>
      <c r="J771" s="16" t="s">
        <v>199</v>
      </c>
      <c r="K771" s="16">
        <v>1.689157</v>
      </c>
      <c r="L771" s="36">
        <v>1672</v>
      </c>
      <c r="M771" s="16">
        <v>340</v>
      </c>
      <c r="N771" s="16">
        <v>211</v>
      </c>
      <c r="O771" s="16">
        <v>438</v>
      </c>
      <c r="P771" s="16">
        <v>476</v>
      </c>
      <c r="Q771" s="16">
        <v>207</v>
      </c>
      <c r="R771" s="16">
        <v>2</v>
      </c>
      <c r="S771" s="16">
        <v>9.2039000000000009</v>
      </c>
      <c r="T771" s="16">
        <v>6.1390700000000002</v>
      </c>
      <c r="U771" s="16">
        <v>0.99355685599999999</v>
      </c>
      <c r="V771" s="16">
        <v>8</v>
      </c>
      <c r="W771" s="16">
        <v>0.80220899999999995</v>
      </c>
      <c r="X771" s="16">
        <v>1.8036E-2</v>
      </c>
      <c r="Y771" s="16">
        <v>0.6</v>
      </c>
      <c r="Z771" s="16">
        <v>0.266733</v>
      </c>
      <c r="AA771" s="37"/>
    </row>
    <row r="772" spans="1:27">
      <c r="A772" s="16" t="s">
        <v>82</v>
      </c>
      <c r="B772" s="16" t="s">
        <v>2727</v>
      </c>
      <c r="C772" s="16" t="s">
        <v>2728</v>
      </c>
      <c r="D772" s="16" t="s">
        <v>2729</v>
      </c>
      <c r="E772" s="16" t="s">
        <v>2700</v>
      </c>
      <c r="F772" s="16" t="s">
        <v>2701</v>
      </c>
      <c r="G772" s="16" t="s">
        <v>2516</v>
      </c>
      <c r="H772" s="16" t="s">
        <v>2517</v>
      </c>
      <c r="I772" s="16" t="s">
        <v>198</v>
      </c>
      <c r="J772" s="16" t="s">
        <v>199</v>
      </c>
      <c r="K772" s="16">
        <v>1.8633660000000001</v>
      </c>
      <c r="L772" s="36">
        <v>2135</v>
      </c>
      <c r="M772" s="16">
        <v>368</v>
      </c>
      <c r="N772" s="16">
        <v>336</v>
      </c>
      <c r="O772" s="16">
        <v>566</v>
      </c>
      <c r="P772" s="16">
        <v>522</v>
      </c>
      <c r="Q772" s="16">
        <v>343</v>
      </c>
      <c r="R772" s="16">
        <v>5</v>
      </c>
      <c r="S772" s="16">
        <v>34.415599999999998</v>
      </c>
      <c r="T772" s="16">
        <v>2.1455799999999998</v>
      </c>
      <c r="U772" s="16">
        <v>0.87609721799999996</v>
      </c>
      <c r="V772" s="16">
        <v>10</v>
      </c>
      <c r="W772" s="16">
        <v>0.82241299999999995</v>
      </c>
      <c r="X772" s="16">
        <v>4.6051000000000002E-2</v>
      </c>
      <c r="Y772" s="16">
        <v>0.60560099999999994</v>
      </c>
      <c r="Z772" s="16">
        <v>0.39015699999999998</v>
      </c>
      <c r="AA772" s="37"/>
    </row>
    <row r="773" spans="1:27">
      <c r="A773" s="16"/>
      <c r="B773" s="16"/>
      <c r="C773" s="16"/>
      <c r="D773" s="16"/>
      <c r="E773" s="16"/>
      <c r="F773" s="16"/>
      <c r="G773" s="16"/>
      <c r="H773" s="16"/>
      <c r="I773" s="16"/>
      <c r="J773" s="16"/>
      <c r="K773" s="16">
        <f>MEDIAN(K756:K772)</f>
        <v>1.774081</v>
      </c>
      <c r="L773" s="36">
        <f>AVERAGE(L756:L772)</f>
        <v>1909.8823529411766</v>
      </c>
      <c r="M773" s="36">
        <f t="shared" ref="M773:Q773" si="66">SUM(M756:M772)</f>
        <v>6644</v>
      </c>
      <c r="N773" s="36">
        <f t="shared" si="66"/>
        <v>4704</v>
      </c>
      <c r="O773" s="36">
        <f t="shared" si="66"/>
        <v>7480</v>
      </c>
      <c r="P773" s="36">
        <f t="shared" si="66"/>
        <v>8084</v>
      </c>
      <c r="Q773" s="36">
        <f t="shared" si="66"/>
        <v>5556</v>
      </c>
      <c r="R773" s="16"/>
      <c r="S773" s="16"/>
      <c r="T773" s="16"/>
      <c r="U773" s="16"/>
      <c r="V773" s="16">
        <f>MEDIAN(V756:V772)</f>
        <v>8</v>
      </c>
      <c r="W773" s="16"/>
      <c r="X773" s="16"/>
      <c r="Y773" s="16"/>
      <c r="Z773" s="16"/>
      <c r="AA773" s="37"/>
    </row>
    <row r="774" spans="1:27">
      <c r="A774" s="16" t="s">
        <v>83</v>
      </c>
      <c r="B774" s="16" t="s">
        <v>2754</v>
      </c>
      <c r="C774" s="16" t="s">
        <v>2755</v>
      </c>
      <c r="D774" s="16" t="s">
        <v>2756</v>
      </c>
      <c r="E774" s="16" t="s">
        <v>2757</v>
      </c>
      <c r="F774" s="16" t="s">
        <v>2758</v>
      </c>
      <c r="G774" s="16" t="s">
        <v>2759</v>
      </c>
      <c r="H774" s="16" t="s">
        <v>2760</v>
      </c>
      <c r="I774" s="16" t="s">
        <v>198</v>
      </c>
      <c r="J774" s="16" t="s">
        <v>199</v>
      </c>
      <c r="K774" s="16">
        <v>2.7719170000000002</v>
      </c>
      <c r="L774" s="36">
        <v>2045</v>
      </c>
      <c r="M774" s="16">
        <v>527</v>
      </c>
      <c r="N774" s="16">
        <v>361</v>
      </c>
      <c r="O774" s="16">
        <v>520</v>
      </c>
      <c r="P774" s="16">
        <v>464</v>
      </c>
      <c r="Q774" s="16">
        <v>173</v>
      </c>
      <c r="R774" s="16">
        <v>5</v>
      </c>
      <c r="S774" s="16">
        <v>28.885400000000001</v>
      </c>
      <c r="T774" s="16">
        <v>8.8616700000000002</v>
      </c>
      <c r="U774" s="16">
        <v>0.78379910100000005</v>
      </c>
      <c r="V774" s="16">
        <v>3</v>
      </c>
      <c r="W774" s="16">
        <v>0.90721099999999999</v>
      </c>
      <c r="X774" s="16">
        <v>0.34444399999999997</v>
      </c>
      <c r="Y774" s="16">
        <v>0.7</v>
      </c>
      <c r="Z774" s="16">
        <v>0.82157999999999998</v>
      </c>
      <c r="AA774" s="37"/>
    </row>
    <row r="775" spans="1:27">
      <c r="A775" s="16" t="s">
        <v>83</v>
      </c>
      <c r="B775" s="16" t="s">
        <v>2761</v>
      </c>
      <c r="C775" s="16" t="s">
        <v>2762</v>
      </c>
      <c r="D775" s="16" t="s">
        <v>2763</v>
      </c>
      <c r="E775" s="16" t="s">
        <v>2757</v>
      </c>
      <c r="F775" s="16" t="s">
        <v>2758</v>
      </c>
      <c r="G775" s="16" t="s">
        <v>2759</v>
      </c>
      <c r="H775" s="16" t="s">
        <v>2760</v>
      </c>
      <c r="I775" s="16" t="s">
        <v>198</v>
      </c>
      <c r="J775" s="16" t="s">
        <v>199</v>
      </c>
      <c r="K775" s="16">
        <v>2.5142419999999999</v>
      </c>
      <c r="L775" s="36">
        <v>1800</v>
      </c>
      <c r="M775" s="16">
        <v>380</v>
      </c>
      <c r="N775" s="16">
        <v>308</v>
      </c>
      <c r="O775" s="16">
        <v>434</v>
      </c>
      <c r="P775" s="16">
        <v>476</v>
      </c>
      <c r="Q775" s="16">
        <v>202</v>
      </c>
      <c r="R775" s="16">
        <v>3</v>
      </c>
      <c r="S775" s="16">
        <v>19.968900000000001</v>
      </c>
      <c r="T775" s="16">
        <v>8.4764300000000006</v>
      </c>
      <c r="U775" s="16">
        <v>0.73669537600000001</v>
      </c>
      <c r="V775" s="16">
        <v>5</v>
      </c>
      <c r="W775" s="16">
        <v>0.90107199999999998</v>
      </c>
      <c r="X775" s="16">
        <v>0.211621</v>
      </c>
      <c r="Y775" s="16">
        <v>0.7</v>
      </c>
      <c r="Z775" s="16">
        <v>0.69004600000000005</v>
      </c>
      <c r="AA775" s="37"/>
    </row>
    <row r="776" spans="1:27">
      <c r="A776" s="16" t="s">
        <v>83</v>
      </c>
      <c r="B776" s="16" t="s">
        <v>2764</v>
      </c>
      <c r="C776" s="16" t="s">
        <v>2765</v>
      </c>
      <c r="D776" s="16" t="s">
        <v>2766</v>
      </c>
      <c r="E776" s="16" t="s">
        <v>2767</v>
      </c>
      <c r="F776" s="16" t="s">
        <v>2768</v>
      </c>
      <c r="G776" s="16" t="s">
        <v>2759</v>
      </c>
      <c r="H776" s="16" t="s">
        <v>2760</v>
      </c>
      <c r="I776" s="16" t="s">
        <v>198</v>
      </c>
      <c r="J776" s="16" t="s">
        <v>199</v>
      </c>
      <c r="K776" s="16">
        <v>1.856854</v>
      </c>
      <c r="L776" s="36">
        <v>1509</v>
      </c>
      <c r="M776" s="16">
        <v>176</v>
      </c>
      <c r="N776" s="16">
        <v>183</v>
      </c>
      <c r="O776" s="16">
        <v>218</v>
      </c>
      <c r="P776" s="16">
        <v>439</v>
      </c>
      <c r="Q776" s="16">
        <v>493</v>
      </c>
      <c r="R776" s="16">
        <v>2</v>
      </c>
      <c r="S776" s="16">
        <v>8.1983800000000002</v>
      </c>
      <c r="T776" s="16">
        <v>1.6029</v>
      </c>
      <c r="U776" s="16">
        <v>0.92719735999999997</v>
      </c>
      <c r="V776" s="16">
        <v>7</v>
      </c>
      <c r="W776" s="16">
        <v>0.80818800000000002</v>
      </c>
      <c r="X776" s="16">
        <v>8.3225999999999994E-2</v>
      </c>
      <c r="Y776" s="16">
        <v>0.68144400000000005</v>
      </c>
      <c r="Z776" s="16">
        <v>0.28116999999999998</v>
      </c>
      <c r="AA776" s="37"/>
    </row>
    <row r="777" spans="1:27">
      <c r="A777" s="16" t="s">
        <v>83</v>
      </c>
      <c r="B777" s="16" t="s">
        <v>2769</v>
      </c>
      <c r="C777" s="16" t="s">
        <v>2770</v>
      </c>
      <c r="D777" s="16" t="s">
        <v>2771</v>
      </c>
      <c r="E777" s="16" t="s">
        <v>2772</v>
      </c>
      <c r="F777" s="16" t="s">
        <v>2773</v>
      </c>
      <c r="G777" s="16" t="s">
        <v>2759</v>
      </c>
      <c r="H777" s="16" t="s">
        <v>2760</v>
      </c>
      <c r="I777" s="16" t="s">
        <v>198</v>
      </c>
      <c r="J777" s="16" t="s">
        <v>199</v>
      </c>
      <c r="K777" s="16">
        <v>1.8230040000000001</v>
      </c>
      <c r="L777" s="36">
        <v>1677</v>
      </c>
      <c r="M777" s="16">
        <v>270</v>
      </c>
      <c r="N777" s="16">
        <v>265</v>
      </c>
      <c r="O777" s="16">
        <v>316</v>
      </c>
      <c r="P777" s="16">
        <v>506</v>
      </c>
      <c r="Q777" s="16">
        <v>320</v>
      </c>
      <c r="R777" s="16" t="s">
        <v>225</v>
      </c>
      <c r="S777" s="16">
        <v>10.4518</v>
      </c>
      <c r="T777" s="16">
        <v>1.6713199999999999</v>
      </c>
      <c r="U777" s="16">
        <v>0.98567526699999997</v>
      </c>
      <c r="V777" s="16">
        <v>8</v>
      </c>
      <c r="W777" s="16">
        <v>0.80228100000000002</v>
      </c>
      <c r="X777" s="16">
        <v>3.4225999999999999E-2</v>
      </c>
      <c r="Y777" s="16">
        <v>0.68449800000000005</v>
      </c>
      <c r="Z777" s="16">
        <v>0.29637400000000003</v>
      </c>
      <c r="AA777" s="37"/>
    </row>
    <row r="778" spans="1:27">
      <c r="A778" s="16" t="s">
        <v>83</v>
      </c>
      <c r="B778" s="16" t="s">
        <v>2774</v>
      </c>
      <c r="C778" s="16" t="s">
        <v>2775</v>
      </c>
      <c r="D778" s="16" t="s">
        <v>2776</v>
      </c>
      <c r="E778" s="16" t="s">
        <v>2777</v>
      </c>
      <c r="F778" s="16" t="s">
        <v>2778</v>
      </c>
      <c r="G778" s="16" t="s">
        <v>2759</v>
      </c>
      <c r="H778" s="16" t="s">
        <v>2760</v>
      </c>
      <c r="I778" s="16" t="s">
        <v>198</v>
      </c>
      <c r="J778" s="16" t="s">
        <v>199</v>
      </c>
      <c r="K778" s="16">
        <v>1.7560530000000001</v>
      </c>
      <c r="L778" s="36">
        <v>1656</v>
      </c>
      <c r="M778" s="16">
        <v>272</v>
      </c>
      <c r="N778" s="16">
        <v>262</v>
      </c>
      <c r="O778" s="16">
        <v>245</v>
      </c>
      <c r="P778" s="16">
        <v>484</v>
      </c>
      <c r="Q778" s="16">
        <v>393</v>
      </c>
      <c r="R778" s="16">
        <v>2</v>
      </c>
      <c r="S778" s="16">
        <v>7.6145300000000002</v>
      </c>
      <c r="T778" s="16">
        <v>0</v>
      </c>
      <c r="U778" s="16">
        <v>0.94843981399999999</v>
      </c>
      <c r="V778" s="16">
        <v>9</v>
      </c>
      <c r="W778" s="16">
        <v>0.81006299999999998</v>
      </c>
      <c r="X778" s="16">
        <v>7.9242000000000007E-2</v>
      </c>
      <c r="Y778" s="16">
        <v>0.60663500000000004</v>
      </c>
      <c r="Z778" s="16">
        <v>0.26611499999999999</v>
      </c>
      <c r="AA778" s="37"/>
    </row>
    <row r="779" spans="1:27">
      <c r="A779" s="16" t="s">
        <v>83</v>
      </c>
      <c r="B779" s="16" t="s">
        <v>2779</v>
      </c>
      <c r="C779" s="16" t="s">
        <v>2780</v>
      </c>
      <c r="D779" s="16" t="s">
        <v>2781</v>
      </c>
      <c r="E779" s="16" t="s">
        <v>2767</v>
      </c>
      <c r="F779" s="16" t="s">
        <v>2768</v>
      </c>
      <c r="G779" s="16" t="s">
        <v>2759</v>
      </c>
      <c r="H779" s="16" t="s">
        <v>2760</v>
      </c>
      <c r="I779" s="16" t="s">
        <v>198</v>
      </c>
      <c r="J779" s="16" t="s">
        <v>199</v>
      </c>
      <c r="K779" s="16">
        <v>1.7870379999999999</v>
      </c>
      <c r="L779" s="36">
        <v>1463</v>
      </c>
      <c r="M779" s="16">
        <v>183</v>
      </c>
      <c r="N779" s="16">
        <v>193</v>
      </c>
      <c r="O779" s="16">
        <v>185</v>
      </c>
      <c r="P779" s="16">
        <v>399</v>
      </c>
      <c r="Q779" s="16">
        <v>503</v>
      </c>
      <c r="R779" s="16" t="s">
        <v>225</v>
      </c>
      <c r="S779" s="16">
        <v>10.8545</v>
      </c>
      <c r="T779" s="16">
        <v>0</v>
      </c>
      <c r="U779" s="16">
        <v>0.94184828700000001</v>
      </c>
      <c r="V779" s="16">
        <v>8</v>
      </c>
      <c r="W779" s="16">
        <v>0.80651099999999998</v>
      </c>
      <c r="X779" s="16">
        <v>3.9794000000000003E-2</v>
      </c>
      <c r="Y779" s="16">
        <v>0.70391499999999996</v>
      </c>
      <c r="Z779" s="16">
        <v>0.23841999999999999</v>
      </c>
      <c r="AA779" s="37"/>
    </row>
    <row r="780" spans="1:27">
      <c r="A780" s="16" t="s">
        <v>83</v>
      </c>
      <c r="B780" s="16" t="s">
        <v>2782</v>
      </c>
      <c r="C780" s="16" t="s">
        <v>2783</v>
      </c>
      <c r="D780" s="16" t="s">
        <v>2784</v>
      </c>
      <c r="E780" s="16" t="s">
        <v>2767</v>
      </c>
      <c r="F780" s="16" t="s">
        <v>2768</v>
      </c>
      <c r="G780" s="16" t="s">
        <v>2759</v>
      </c>
      <c r="H780" s="16" t="s">
        <v>2760</v>
      </c>
      <c r="I780" s="16" t="s">
        <v>198</v>
      </c>
      <c r="J780" s="16" t="s">
        <v>199</v>
      </c>
      <c r="K780" s="16">
        <v>1.7967139999999999</v>
      </c>
      <c r="L780" s="36">
        <v>1558</v>
      </c>
      <c r="M780" s="16">
        <v>276</v>
      </c>
      <c r="N780" s="16">
        <v>231</v>
      </c>
      <c r="O780" s="16">
        <v>237</v>
      </c>
      <c r="P780" s="16">
        <v>516</v>
      </c>
      <c r="Q780" s="16">
        <v>298</v>
      </c>
      <c r="R780" s="16">
        <v>2</v>
      </c>
      <c r="S780" s="16">
        <v>11.7065</v>
      </c>
      <c r="T780" s="16">
        <v>2.1141800000000002</v>
      </c>
      <c r="U780" s="16">
        <v>0.914573953</v>
      </c>
      <c r="V780" s="16">
        <v>9</v>
      </c>
      <c r="W780" s="16">
        <v>0.81434799999999996</v>
      </c>
      <c r="X780" s="16">
        <v>5.6009000000000003E-2</v>
      </c>
      <c r="Y780" s="16">
        <v>0.7</v>
      </c>
      <c r="Z780" s="16">
        <v>0.241786</v>
      </c>
      <c r="AA780" s="37"/>
    </row>
    <row r="781" spans="1:27">
      <c r="A781" s="16" t="s">
        <v>83</v>
      </c>
      <c r="B781" s="16" t="s">
        <v>2785</v>
      </c>
      <c r="C781" s="16" t="s">
        <v>2786</v>
      </c>
      <c r="D781" s="16" t="s">
        <v>2787</v>
      </c>
      <c r="E781" s="16" t="s">
        <v>2788</v>
      </c>
      <c r="F781" s="16" t="s">
        <v>2789</v>
      </c>
      <c r="G781" s="16" t="s">
        <v>2759</v>
      </c>
      <c r="H781" s="16" t="s">
        <v>2760</v>
      </c>
      <c r="I781" s="16" t="s">
        <v>198</v>
      </c>
      <c r="J781" s="16" t="s">
        <v>199</v>
      </c>
      <c r="K781" s="16">
        <v>2.7370969999999999</v>
      </c>
      <c r="L781" s="36">
        <v>3780</v>
      </c>
      <c r="M781" s="16">
        <v>825</v>
      </c>
      <c r="N781" s="16">
        <v>860</v>
      </c>
      <c r="O781" s="36">
        <v>1353</v>
      </c>
      <c r="P781" s="16">
        <v>597</v>
      </c>
      <c r="Q781" s="16">
        <v>145</v>
      </c>
      <c r="R781" s="16" t="s">
        <v>668</v>
      </c>
      <c r="S781" s="16">
        <v>92.984300000000005</v>
      </c>
      <c r="T781" s="16">
        <v>23.3521</v>
      </c>
      <c r="U781" s="16">
        <v>0.82702041699999995</v>
      </c>
      <c r="V781" s="16">
        <v>3</v>
      </c>
      <c r="W781" s="16">
        <v>0.90705599999999997</v>
      </c>
      <c r="X781" s="16">
        <v>0.19720299999999999</v>
      </c>
      <c r="Y781" s="16">
        <v>0.7</v>
      </c>
      <c r="Z781" s="16">
        <v>0.93093300000000001</v>
      </c>
      <c r="AA781" s="37"/>
    </row>
    <row r="782" spans="1:27">
      <c r="A782" s="16" t="s">
        <v>83</v>
      </c>
      <c r="B782" s="16" t="s">
        <v>2790</v>
      </c>
      <c r="C782" s="16" t="s">
        <v>2791</v>
      </c>
      <c r="D782" s="16" t="s">
        <v>2792</v>
      </c>
      <c r="E782" s="16" t="s">
        <v>2788</v>
      </c>
      <c r="F782" s="16" t="s">
        <v>2789</v>
      </c>
      <c r="G782" s="16" t="s">
        <v>2759</v>
      </c>
      <c r="H782" s="16" t="s">
        <v>2760</v>
      </c>
      <c r="I782" s="16" t="s">
        <v>198</v>
      </c>
      <c r="J782" s="16" t="s">
        <v>199</v>
      </c>
      <c r="K782" s="16">
        <v>2.8668849999999999</v>
      </c>
      <c r="L782" s="36">
        <v>3637</v>
      </c>
      <c r="M782" s="16">
        <v>561</v>
      </c>
      <c r="N782" s="16">
        <v>906</v>
      </c>
      <c r="O782" s="36">
        <v>1342</v>
      </c>
      <c r="P782" s="16">
        <v>574</v>
      </c>
      <c r="Q782" s="16">
        <v>254</v>
      </c>
      <c r="R782" s="16" t="s">
        <v>668</v>
      </c>
      <c r="S782" s="16">
        <v>92.987099999999998</v>
      </c>
      <c r="T782" s="16">
        <v>3.0088200000000001</v>
      </c>
      <c r="U782" s="16">
        <v>0.71183039999999997</v>
      </c>
      <c r="V782" s="16">
        <v>2</v>
      </c>
      <c r="W782" s="16">
        <v>0.90751300000000001</v>
      </c>
      <c r="X782" s="16">
        <v>0.28419499999999998</v>
      </c>
      <c r="Y782" s="16">
        <v>0.71430700000000003</v>
      </c>
      <c r="Z782" s="16">
        <v>0.96253699999999998</v>
      </c>
      <c r="AA782" s="37"/>
    </row>
    <row r="783" spans="1:27">
      <c r="A783" s="16" t="s">
        <v>83</v>
      </c>
      <c r="B783" s="16" t="s">
        <v>2793</v>
      </c>
      <c r="C783" s="16" t="s">
        <v>2794</v>
      </c>
      <c r="D783" s="16" t="s">
        <v>2795</v>
      </c>
      <c r="E783" s="16" t="s">
        <v>2796</v>
      </c>
      <c r="F783" s="16" t="s">
        <v>2797</v>
      </c>
      <c r="G783" s="16" t="s">
        <v>2759</v>
      </c>
      <c r="H783" s="16" t="s">
        <v>2760</v>
      </c>
      <c r="I783" s="16" t="s">
        <v>198</v>
      </c>
      <c r="J783" s="16" t="s">
        <v>199</v>
      </c>
      <c r="K783" s="16">
        <v>2.1377619999999999</v>
      </c>
      <c r="L783" s="36">
        <v>1782</v>
      </c>
      <c r="M783" s="16">
        <v>420</v>
      </c>
      <c r="N783" s="16">
        <v>229</v>
      </c>
      <c r="O783" s="16">
        <v>558</v>
      </c>
      <c r="P783" s="16">
        <v>338</v>
      </c>
      <c r="Q783" s="16">
        <v>237</v>
      </c>
      <c r="R783" s="16">
        <v>5</v>
      </c>
      <c r="S783" s="16">
        <v>40.454500000000003</v>
      </c>
      <c r="T783" s="16">
        <v>4.9135799999999996</v>
      </c>
      <c r="U783" s="16">
        <v>0.78943564899999996</v>
      </c>
      <c r="V783" s="16">
        <v>8</v>
      </c>
      <c r="W783" s="16">
        <v>0.84860100000000005</v>
      </c>
      <c r="X783" s="16">
        <v>8.7762000000000007E-2</v>
      </c>
      <c r="Y783" s="16">
        <v>0.72021100000000005</v>
      </c>
      <c r="Z783" s="16">
        <v>0.483099</v>
      </c>
      <c r="AA783" s="37"/>
    </row>
    <row r="784" spans="1:27">
      <c r="A784" s="16" t="s">
        <v>83</v>
      </c>
      <c r="B784" s="16" t="s">
        <v>2798</v>
      </c>
      <c r="C784" s="16" t="s">
        <v>2799</v>
      </c>
      <c r="D784" s="16" t="s">
        <v>2800</v>
      </c>
      <c r="E784" s="16" t="s">
        <v>2796</v>
      </c>
      <c r="F784" s="16" t="s">
        <v>2797</v>
      </c>
      <c r="G784" s="16" t="s">
        <v>2759</v>
      </c>
      <c r="H784" s="16" t="s">
        <v>2760</v>
      </c>
      <c r="I784" s="16" t="s">
        <v>198</v>
      </c>
      <c r="J784" s="16" t="s">
        <v>199</v>
      </c>
      <c r="K784" s="16">
        <v>1.9354009999999999</v>
      </c>
      <c r="L784" s="36">
        <v>1553</v>
      </c>
      <c r="M784" s="16">
        <v>254</v>
      </c>
      <c r="N784" s="16">
        <v>233</v>
      </c>
      <c r="O784" s="16">
        <v>296</v>
      </c>
      <c r="P784" s="16">
        <v>392</v>
      </c>
      <c r="Q784" s="16">
        <v>378</v>
      </c>
      <c r="R784" s="16" t="s">
        <v>225</v>
      </c>
      <c r="S784" s="16">
        <v>23.2133</v>
      </c>
      <c r="T784" s="16">
        <v>0</v>
      </c>
      <c r="U784" s="16">
        <v>0.90839260899999996</v>
      </c>
      <c r="V784" s="16">
        <v>7</v>
      </c>
      <c r="W784" s="16">
        <v>0.80617499999999997</v>
      </c>
      <c r="X784" s="16">
        <v>6.5020999999999995E-2</v>
      </c>
      <c r="Y784" s="16">
        <v>0.791987</v>
      </c>
      <c r="Z784" s="16">
        <v>0.27493800000000002</v>
      </c>
      <c r="AA784" s="37"/>
    </row>
    <row r="785" spans="1:27">
      <c r="A785" s="16" t="s">
        <v>83</v>
      </c>
      <c r="B785" s="16" t="s">
        <v>2801</v>
      </c>
      <c r="C785" s="16" t="s">
        <v>2802</v>
      </c>
      <c r="D785" s="16" t="s">
        <v>2803</v>
      </c>
      <c r="E785" s="16" t="s">
        <v>2796</v>
      </c>
      <c r="F785" s="16" t="s">
        <v>2797</v>
      </c>
      <c r="G785" s="16" t="s">
        <v>2759</v>
      </c>
      <c r="H785" s="16" t="s">
        <v>2760</v>
      </c>
      <c r="I785" s="16" t="s">
        <v>198</v>
      </c>
      <c r="J785" s="16" t="s">
        <v>199</v>
      </c>
      <c r="K785" s="16">
        <v>2.4123169999999998</v>
      </c>
      <c r="L785" s="36">
        <v>1758</v>
      </c>
      <c r="M785" s="16">
        <v>364</v>
      </c>
      <c r="N785" s="16">
        <v>225</v>
      </c>
      <c r="O785" s="16">
        <v>477</v>
      </c>
      <c r="P785" s="16">
        <v>304</v>
      </c>
      <c r="Q785" s="16">
        <v>388</v>
      </c>
      <c r="R785" s="16" t="s">
        <v>302</v>
      </c>
      <c r="S785" s="16">
        <v>54.497700000000002</v>
      </c>
      <c r="T785" s="16">
        <v>16.977399999999999</v>
      </c>
      <c r="U785" s="16">
        <v>0.82741510600000001</v>
      </c>
      <c r="V785" s="16">
        <v>4</v>
      </c>
      <c r="W785" s="16">
        <v>0.89352799999999999</v>
      </c>
      <c r="X785" s="16">
        <v>0.20083200000000001</v>
      </c>
      <c r="Y785" s="16">
        <v>0.71446299999999996</v>
      </c>
      <c r="Z785" s="16">
        <v>0.62240700000000004</v>
      </c>
      <c r="AA785" s="37"/>
    </row>
    <row r="786" spans="1:27">
      <c r="A786" s="16" t="s">
        <v>83</v>
      </c>
      <c r="B786" s="16" t="s">
        <v>2804</v>
      </c>
      <c r="C786" s="16" t="s">
        <v>2805</v>
      </c>
      <c r="D786" s="16" t="s">
        <v>2806</v>
      </c>
      <c r="E786" s="16" t="s">
        <v>2807</v>
      </c>
      <c r="F786" s="16" t="s">
        <v>2808</v>
      </c>
      <c r="G786" s="16" t="s">
        <v>2759</v>
      </c>
      <c r="H786" s="16" t="s">
        <v>2760</v>
      </c>
      <c r="I786" s="16" t="s">
        <v>198</v>
      </c>
      <c r="J786" s="16" t="s">
        <v>199</v>
      </c>
      <c r="K786" s="16">
        <v>2.122738</v>
      </c>
      <c r="L786" s="36">
        <v>1841</v>
      </c>
      <c r="M786" s="16">
        <v>396</v>
      </c>
      <c r="N786" s="16">
        <v>341</v>
      </c>
      <c r="O786" s="16">
        <v>381</v>
      </c>
      <c r="P786" s="16">
        <v>394</v>
      </c>
      <c r="Q786" s="16">
        <v>329</v>
      </c>
      <c r="R786" s="16">
        <v>3</v>
      </c>
      <c r="S786" s="16">
        <v>20.727699999999999</v>
      </c>
      <c r="T786" s="16">
        <v>2.0354000000000001</v>
      </c>
      <c r="U786" s="16">
        <v>1.054849033</v>
      </c>
      <c r="V786" s="16">
        <v>4</v>
      </c>
      <c r="W786" s="16">
        <v>0.82331799999999999</v>
      </c>
      <c r="X786" s="16">
        <v>4.5413000000000002E-2</v>
      </c>
      <c r="Y786" s="16">
        <v>0.7</v>
      </c>
      <c r="Z786" s="16">
        <v>0.55642199999999997</v>
      </c>
      <c r="AA786" s="37"/>
    </row>
    <row r="787" spans="1:27">
      <c r="A787" s="16" t="s">
        <v>83</v>
      </c>
      <c r="B787" s="16" t="s">
        <v>2809</v>
      </c>
      <c r="C787" s="16" t="s">
        <v>2810</v>
      </c>
      <c r="D787" s="16" t="s">
        <v>2811</v>
      </c>
      <c r="E787" s="16" t="s">
        <v>2812</v>
      </c>
      <c r="F787" s="16" t="s">
        <v>2813</v>
      </c>
      <c r="G787" s="16" t="s">
        <v>2516</v>
      </c>
      <c r="H787" s="16" t="s">
        <v>2517</v>
      </c>
      <c r="I787" s="16" t="s">
        <v>198</v>
      </c>
      <c r="J787" s="16" t="s">
        <v>199</v>
      </c>
      <c r="K787" s="16">
        <v>1.78061</v>
      </c>
      <c r="L787" s="36">
        <v>1496</v>
      </c>
      <c r="M787" s="16">
        <v>261</v>
      </c>
      <c r="N787" s="16">
        <v>202</v>
      </c>
      <c r="O787" s="16">
        <v>221</v>
      </c>
      <c r="P787" s="16">
        <v>465</v>
      </c>
      <c r="Q787" s="16">
        <v>347</v>
      </c>
      <c r="R787" s="16">
        <v>2</v>
      </c>
      <c r="S787" s="16">
        <v>12.3986</v>
      </c>
      <c r="T787" s="16">
        <v>1.2543800000000001</v>
      </c>
      <c r="U787" s="16">
        <v>0.90994734200000005</v>
      </c>
      <c r="V787" s="16">
        <v>8</v>
      </c>
      <c r="W787" s="16">
        <v>0.80312700000000004</v>
      </c>
      <c r="X787" s="16">
        <v>7.4843999999999994E-2</v>
      </c>
      <c r="Y787" s="16">
        <v>0.69859499999999997</v>
      </c>
      <c r="Z787" s="16">
        <v>0.200546</v>
      </c>
      <c r="AA787" s="37"/>
    </row>
    <row r="788" spans="1:27">
      <c r="A788" s="16" t="s">
        <v>83</v>
      </c>
      <c r="B788" s="16" t="s">
        <v>2814</v>
      </c>
      <c r="C788" s="16" t="s">
        <v>2815</v>
      </c>
      <c r="D788" s="16" t="s">
        <v>2816</v>
      </c>
      <c r="E788" s="16" t="s">
        <v>2812</v>
      </c>
      <c r="F788" s="16" t="s">
        <v>2813</v>
      </c>
      <c r="G788" s="16" t="s">
        <v>2516</v>
      </c>
      <c r="H788" s="16" t="s">
        <v>2517</v>
      </c>
      <c r="I788" s="16" t="s">
        <v>198</v>
      </c>
      <c r="J788" s="16" t="s">
        <v>199</v>
      </c>
      <c r="K788" s="16">
        <v>1.704054</v>
      </c>
      <c r="L788" s="36">
        <v>1523</v>
      </c>
      <c r="M788" s="16">
        <v>270</v>
      </c>
      <c r="N788" s="16">
        <v>208</v>
      </c>
      <c r="O788" s="16">
        <v>235</v>
      </c>
      <c r="P788" s="16">
        <v>447</v>
      </c>
      <c r="Q788" s="16">
        <v>363</v>
      </c>
      <c r="R788" s="16" t="s">
        <v>225</v>
      </c>
      <c r="S788" s="16">
        <v>11.148999999999999</v>
      </c>
      <c r="T788" s="16">
        <v>1.5848599999999999</v>
      </c>
      <c r="U788" s="16">
        <v>1.0082225149999999</v>
      </c>
      <c r="V788" s="16">
        <v>8</v>
      </c>
      <c r="W788" s="16">
        <v>0.80910400000000005</v>
      </c>
      <c r="X788" s="16">
        <v>8.3309999999999995E-2</v>
      </c>
      <c r="Y788" s="16">
        <v>0.62244999999999995</v>
      </c>
      <c r="Z788" s="16">
        <v>0.19950100000000001</v>
      </c>
      <c r="AA788" s="37"/>
    </row>
    <row r="789" spans="1:27">
      <c r="A789" s="16" t="s">
        <v>83</v>
      </c>
      <c r="B789" s="16" t="s">
        <v>2817</v>
      </c>
      <c r="C789" s="16" t="s">
        <v>2818</v>
      </c>
      <c r="D789" s="16" t="s">
        <v>2819</v>
      </c>
      <c r="E789" s="16" t="s">
        <v>2812</v>
      </c>
      <c r="F789" s="16" t="s">
        <v>2813</v>
      </c>
      <c r="G789" s="16" t="s">
        <v>2516</v>
      </c>
      <c r="H789" s="16" t="s">
        <v>2517</v>
      </c>
      <c r="I789" s="16" t="s">
        <v>198</v>
      </c>
      <c r="J789" s="16" t="s">
        <v>199</v>
      </c>
      <c r="K789" s="16">
        <v>1.6719139999999999</v>
      </c>
      <c r="L789" s="36">
        <v>1586</v>
      </c>
      <c r="M789" s="16">
        <v>304</v>
      </c>
      <c r="N789" s="16">
        <v>222</v>
      </c>
      <c r="O789" s="16">
        <v>236</v>
      </c>
      <c r="P789" s="16">
        <v>514</v>
      </c>
      <c r="Q789" s="16">
        <v>310</v>
      </c>
      <c r="R789" s="16" t="s">
        <v>214</v>
      </c>
      <c r="S789" s="16">
        <v>6.5485699999999998</v>
      </c>
      <c r="T789" s="16">
        <v>0</v>
      </c>
      <c r="U789" s="16">
        <v>0.98433949200000004</v>
      </c>
      <c r="V789" s="16">
        <v>9</v>
      </c>
      <c r="W789" s="16">
        <v>0.80440100000000003</v>
      </c>
      <c r="X789" s="16">
        <v>9.7382999999999997E-2</v>
      </c>
      <c r="Y789" s="16">
        <v>0.60690299999999997</v>
      </c>
      <c r="Z789" s="16">
        <v>0.152726</v>
      </c>
      <c r="AA789" s="37"/>
    </row>
    <row r="790" spans="1:27">
      <c r="A790" s="16" t="s">
        <v>83</v>
      </c>
      <c r="B790" s="16" t="s">
        <v>2820</v>
      </c>
      <c r="C790" s="16" t="s">
        <v>2821</v>
      </c>
      <c r="D790" s="16" t="s">
        <v>2822</v>
      </c>
      <c r="E790" s="16" t="s">
        <v>2690</v>
      </c>
      <c r="F790" s="16" t="s">
        <v>2691</v>
      </c>
      <c r="G790" s="16" t="s">
        <v>2516</v>
      </c>
      <c r="H790" s="16" t="s">
        <v>2517</v>
      </c>
      <c r="I790" s="16" t="s">
        <v>198</v>
      </c>
      <c r="J790" s="16" t="s">
        <v>199</v>
      </c>
      <c r="K790" s="16">
        <v>1.5746070000000001</v>
      </c>
      <c r="L790" s="36">
        <v>1856</v>
      </c>
      <c r="M790" s="16">
        <v>274</v>
      </c>
      <c r="N790" s="16">
        <v>236</v>
      </c>
      <c r="O790" s="16">
        <v>257</v>
      </c>
      <c r="P790" s="16">
        <v>550</v>
      </c>
      <c r="Q790" s="16">
        <v>539</v>
      </c>
      <c r="R790" s="16" t="s">
        <v>214</v>
      </c>
      <c r="S790" s="16">
        <v>5.7532199999999998</v>
      </c>
      <c r="T790" s="16">
        <v>0</v>
      </c>
      <c r="U790" s="16">
        <v>0.98561265300000001</v>
      </c>
      <c r="V790" s="16">
        <v>10</v>
      </c>
      <c r="W790" s="16">
        <v>0.80217899999999998</v>
      </c>
      <c r="X790" s="16">
        <v>8.7068000000000006E-2</v>
      </c>
      <c r="Y790" s="16">
        <v>0.55604699999999996</v>
      </c>
      <c r="Z790" s="16">
        <v>0.124888</v>
      </c>
      <c r="AA790" s="37"/>
    </row>
    <row r="791" spans="1:27">
      <c r="A791" s="16" t="s">
        <v>83</v>
      </c>
      <c r="B791" s="16" t="s">
        <v>2823</v>
      </c>
      <c r="C791" s="16" t="s">
        <v>2824</v>
      </c>
      <c r="D791" s="16" t="s">
        <v>2825</v>
      </c>
      <c r="E791" s="16" t="s">
        <v>2690</v>
      </c>
      <c r="F791" s="16" t="s">
        <v>2691</v>
      </c>
      <c r="G791" s="16" t="s">
        <v>2516</v>
      </c>
      <c r="H791" s="16" t="s">
        <v>2517</v>
      </c>
      <c r="I791" s="16" t="s">
        <v>198</v>
      </c>
      <c r="J791" s="16" t="s">
        <v>199</v>
      </c>
      <c r="K791" s="16">
        <v>1.8212250000000001</v>
      </c>
      <c r="L791" s="36">
        <v>1641</v>
      </c>
      <c r="M791" s="16">
        <v>291</v>
      </c>
      <c r="N791" s="16">
        <v>244</v>
      </c>
      <c r="O791" s="16">
        <v>192</v>
      </c>
      <c r="P791" s="16">
        <v>513</v>
      </c>
      <c r="Q791" s="16">
        <v>401</v>
      </c>
      <c r="R791" s="16">
        <v>2</v>
      </c>
      <c r="S791" s="16">
        <v>12.0703</v>
      </c>
      <c r="T791" s="16">
        <v>0</v>
      </c>
      <c r="U791" s="16">
        <v>0.877865754</v>
      </c>
      <c r="V791" s="16">
        <v>9</v>
      </c>
      <c r="W791" s="16">
        <v>0.80806100000000003</v>
      </c>
      <c r="X791" s="16">
        <v>0.12812899999999999</v>
      </c>
      <c r="Y791" s="16">
        <v>0.618946</v>
      </c>
      <c r="Z791" s="16">
        <v>0.26835399999999998</v>
      </c>
      <c r="AA791" s="37"/>
    </row>
    <row r="792" spans="1:27">
      <c r="A792" s="16" t="s">
        <v>83</v>
      </c>
      <c r="B792" s="16" t="s">
        <v>2826</v>
      </c>
      <c r="C792" s="16" t="s">
        <v>2827</v>
      </c>
      <c r="D792" s="16" t="s">
        <v>2828</v>
      </c>
      <c r="E792" s="16" t="s">
        <v>2829</v>
      </c>
      <c r="F792" s="16" t="s">
        <v>2830</v>
      </c>
      <c r="G792" s="16" t="s">
        <v>2516</v>
      </c>
      <c r="H792" s="16" t="s">
        <v>2517</v>
      </c>
      <c r="I792" s="16" t="s">
        <v>198</v>
      </c>
      <c r="J792" s="16" t="s">
        <v>199</v>
      </c>
      <c r="K792" s="16">
        <v>1.7935080000000001</v>
      </c>
      <c r="L792" s="36">
        <v>1734</v>
      </c>
      <c r="M792" s="16">
        <v>406</v>
      </c>
      <c r="N792" s="16">
        <v>277</v>
      </c>
      <c r="O792" s="16">
        <v>300</v>
      </c>
      <c r="P792" s="16">
        <v>477</v>
      </c>
      <c r="Q792" s="16">
        <v>274</v>
      </c>
      <c r="R792" s="16">
        <v>2</v>
      </c>
      <c r="S792" s="16">
        <v>9.5419199999999993</v>
      </c>
      <c r="T792" s="16">
        <v>4.1635200000000001</v>
      </c>
      <c r="U792" s="16">
        <v>0.93111250700000003</v>
      </c>
      <c r="V792" s="16">
        <v>9</v>
      </c>
      <c r="W792" s="16">
        <v>0.82303700000000002</v>
      </c>
      <c r="X792" s="16">
        <v>0.168101</v>
      </c>
      <c r="Y792" s="16">
        <v>0.60062800000000005</v>
      </c>
      <c r="Z792" s="16">
        <v>0.2</v>
      </c>
      <c r="AA792" s="37"/>
    </row>
    <row r="793" spans="1:27">
      <c r="A793" s="16" t="s">
        <v>83</v>
      </c>
      <c r="B793" s="16" t="s">
        <v>2831</v>
      </c>
      <c r="C793" s="16" t="s">
        <v>2832</v>
      </c>
      <c r="D793" s="16" t="s">
        <v>2833</v>
      </c>
      <c r="E793" s="16" t="s">
        <v>2829</v>
      </c>
      <c r="F793" s="16" t="s">
        <v>2830</v>
      </c>
      <c r="G793" s="16" t="s">
        <v>2516</v>
      </c>
      <c r="H793" s="16" t="s">
        <v>2517</v>
      </c>
      <c r="I793" s="16" t="s">
        <v>198</v>
      </c>
      <c r="J793" s="16" t="s">
        <v>199</v>
      </c>
      <c r="K793" s="16">
        <v>1.772877</v>
      </c>
      <c r="L793" s="36">
        <v>1465</v>
      </c>
      <c r="M793" s="16">
        <v>269</v>
      </c>
      <c r="N793" s="16">
        <v>199</v>
      </c>
      <c r="O793" s="16">
        <v>241</v>
      </c>
      <c r="P793" s="16">
        <v>403</v>
      </c>
      <c r="Q793" s="16">
        <v>353</v>
      </c>
      <c r="R793" s="16" t="s">
        <v>225</v>
      </c>
      <c r="S793" s="16">
        <v>11.4899</v>
      </c>
      <c r="T793" s="16">
        <v>0</v>
      </c>
      <c r="U793" s="16">
        <v>0.88850461999999997</v>
      </c>
      <c r="V793" s="16">
        <v>10</v>
      </c>
      <c r="W793" s="16">
        <v>0.80441099999999999</v>
      </c>
      <c r="X793" s="16">
        <v>9.4896999999999995E-2</v>
      </c>
      <c r="Y793" s="16">
        <v>0.66453499999999999</v>
      </c>
      <c r="Z793" s="16">
        <v>0.21155399999999999</v>
      </c>
      <c r="AA793" s="37"/>
    </row>
    <row r="794" spans="1:27">
      <c r="A794" s="16" t="s">
        <v>83</v>
      </c>
      <c r="B794" s="16" t="s">
        <v>2834</v>
      </c>
      <c r="C794" s="16" t="s">
        <v>2835</v>
      </c>
      <c r="D794" s="16" t="s">
        <v>2836</v>
      </c>
      <c r="E794" s="16" t="s">
        <v>2829</v>
      </c>
      <c r="F794" s="16" t="s">
        <v>2830</v>
      </c>
      <c r="G794" s="16" t="s">
        <v>2516</v>
      </c>
      <c r="H794" s="16" t="s">
        <v>2517</v>
      </c>
      <c r="I794" s="16" t="s">
        <v>198</v>
      </c>
      <c r="J794" s="16" t="s">
        <v>199</v>
      </c>
      <c r="K794" s="16">
        <v>1.690299</v>
      </c>
      <c r="L794" s="36">
        <v>1655</v>
      </c>
      <c r="M794" s="16">
        <v>323</v>
      </c>
      <c r="N794" s="16">
        <v>216</v>
      </c>
      <c r="O794" s="16">
        <v>265</v>
      </c>
      <c r="P794" s="16">
        <v>465</v>
      </c>
      <c r="Q794" s="16">
        <v>386</v>
      </c>
      <c r="R794" s="16" t="s">
        <v>225</v>
      </c>
      <c r="S794" s="16">
        <v>9.0773499999999991</v>
      </c>
      <c r="T794" s="16">
        <v>0</v>
      </c>
      <c r="U794" s="16">
        <v>0.92066164699999997</v>
      </c>
      <c r="V794" s="16">
        <v>10</v>
      </c>
      <c r="W794" s="16">
        <v>0.81207399999999996</v>
      </c>
      <c r="X794" s="16">
        <v>8.3523E-2</v>
      </c>
      <c r="Y794" s="16">
        <v>0.6</v>
      </c>
      <c r="Z794" s="16">
        <v>0.19730600000000001</v>
      </c>
      <c r="AA794" s="37"/>
    </row>
    <row r="795" spans="1:27">
      <c r="A795" s="16" t="s">
        <v>83</v>
      </c>
      <c r="B795" s="16" t="s">
        <v>2837</v>
      </c>
      <c r="C795" s="16" t="s">
        <v>2838</v>
      </c>
      <c r="D795" s="16" t="s">
        <v>2839</v>
      </c>
      <c r="E795" s="16" t="s">
        <v>2757</v>
      </c>
      <c r="F795" s="16" t="s">
        <v>2758</v>
      </c>
      <c r="G795" s="16" t="s">
        <v>2759</v>
      </c>
      <c r="H795" s="16" t="s">
        <v>2760</v>
      </c>
      <c r="I795" s="16" t="s">
        <v>198</v>
      </c>
      <c r="J795" s="16" t="s">
        <v>199</v>
      </c>
      <c r="K795" s="16">
        <v>2.8363779999999998</v>
      </c>
      <c r="L795" s="36">
        <v>2288</v>
      </c>
      <c r="M795" s="16">
        <v>516</v>
      </c>
      <c r="N795" s="16">
        <v>447</v>
      </c>
      <c r="O795" s="16">
        <v>707</v>
      </c>
      <c r="P795" s="16">
        <v>481</v>
      </c>
      <c r="Q795" s="16">
        <v>137</v>
      </c>
      <c r="R795" s="16" t="s">
        <v>302</v>
      </c>
      <c r="S795" s="16">
        <v>74.361999999999995</v>
      </c>
      <c r="T795" s="16">
        <v>23.111799999999999</v>
      </c>
      <c r="U795" s="16">
        <v>0.88901594900000003</v>
      </c>
      <c r="V795" s="16">
        <v>2</v>
      </c>
      <c r="W795" s="16">
        <v>0.914192</v>
      </c>
      <c r="X795" s="16">
        <v>0.27110400000000001</v>
      </c>
      <c r="Y795" s="16">
        <v>0.7</v>
      </c>
      <c r="Z795" s="16">
        <v>0.96781600000000001</v>
      </c>
      <c r="AA795" s="37"/>
    </row>
    <row r="796" spans="1:27">
      <c r="A796" s="16" t="s">
        <v>83</v>
      </c>
      <c r="B796" s="16" t="s">
        <v>2840</v>
      </c>
      <c r="C796" s="16" t="s">
        <v>2841</v>
      </c>
      <c r="D796" s="16" t="s">
        <v>2842</v>
      </c>
      <c r="E796" s="16" t="s">
        <v>2843</v>
      </c>
      <c r="F796" s="16" t="s">
        <v>2844</v>
      </c>
      <c r="G796" s="16" t="s">
        <v>2759</v>
      </c>
      <c r="H796" s="16" t="s">
        <v>2760</v>
      </c>
      <c r="I796" s="16" t="s">
        <v>198</v>
      </c>
      <c r="J796" s="16" t="s">
        <v>199</v>
      </c>
      <c r="K796" s="16">
        <v>2.20919</v>
      </c>
      <c r="L796" s="36">
        <v>1799</v>
      </c>
      <c r="M796" s="16">
        <v>309</v>
      </c>
      <c r="N796" s="16">
        <v>373</v>
      </c>
      <c r="O796" s="16">
        <v>523</v>
      </c>
      <c r="P796" s="16">
        <v>386</v>
      </c>
      <c r="Q796" s="16">
        <v>208</v>
      </c>
      <c r="R796" s="16">
        <v>4</v>
      </c>
      <c r="S796" s="16">
        <v>21.689900000000002</v>
      </c>
      <c r="T796" s="16">
        <v>16.275400000000001</v>
      </c>
      <c r="U796" s="16">
        <v>0.953236627</v>
      </c>
      <c r="V796" s="16">
        <v>5</v>
      </c>
      <c r="W796" s="16">
        <v>0.87439800000000001</v>
      </c>
      <c r="X796" s="16">
        <v>7.9736000000000001E-2</v>
      </c>
      <c r="Y796" s="16">
        <v>0.74377800000000005</v>
      </c>
      <c r="Z796" s="16">
        <v>0.51053800000000005</v>
      </c>
      <c r="AA796" s="37"/>
    </row>
    <row r="797" spans="1:27">
      <c r="A797" s="16" t="s">
        <v>83</v>
      </c>
      <c r="B797" s="16" t="s">
        <v>2845</v>
      </c>
      <c r="C797" s="16" t="s">
        <v>2846</v>
      </c>
      <c r="D797" s="16" t="s">
        <v>2847</v>
      </c>
      <c r="E797" s="16" t="s">
        <v>2848</v>
      </c>
      <c r="F797" s="16" t="s">
        <v>2849</v>
      </c>
      <c r="G797" s="16" t="s">
        <v>2759</v>
      </c>
      <c r="H797" s="16" t="s">
        <v>2760</v>
      </c>
      <c r="I797" s="16" t="s">
        <v>198</v>
      </c>
      <c r="J797" s="16" t="s">
        <v>199</v>
      </c>
      <c r="K797" s="16">
        <v>2.0618780000000001</v>
      </c>
      <c r="L797" s="36">
        <v>1719</v>
      </c>
      <c r="M797" s="16">
        <v>309</v>
      </c>
      <c r="N797" s="16">
        <v>271</v>
      </c>
      <c r="O797" s="16">
        <v>317</v>
      </c>
      <c r="P797" s="16">
        <v>500</v>
      </c>
      <c r="Q797" s="16">
        <v>322</v>
      </c>
      <c r="R797" s="16">
        <v>3</v>
      </c>
      <c r="S797" s="16">
        <v>15.7135</v>
      </c>
      <c r="T797" s="16">
        <v>7.09727</v>
      </c>
      <c r="U797" s="16">
        <v>0.84738592700000004</v>
      </c>
      <c r="V797" s="16">
        <v>7</v>
      </c>
      <c r="W797" s="16">
        <v>0.82154700000000003</v>
      </c>
      <c r="X797" s="16">
        <v>9.7124000000000002E-2</v>
      </c>
      <c r="Y797" s="16">
        <v>0.73966900000000002</v>
      </c>
      <c r="Z797" s="16">
        <v>0.39933800000000003</v>
      </c>
      <c r="AA797" s="37"/>
    </row>
    <row r="798" spans="1:27">
      <c r="A798" s="16" t="s">
        <v>83</v>
      </c>
      <c r="B798" s="16" t="s">
        <v>2850</v>
      </c>
      <c r="C798" s="16" t="s">
        <v>2851</v>
      </c>
      <c r="D798" s="16" t="s">
        <v>2852</v>
      </c>
      <c r="E798" s="16" t="s">
        <v>2807</v>
      </c>
      <c r="F798" s="16" t="s">
        <v>2808</v>
      </c>
      <c r="G798" s="16" t="s">
        <v>2759</v>
      </c>
      <c r="H798" s="16" t="s">
        <v>2760</v>
      </c>
      <c r="I798" s="16" t="s">
        <v>198</v>
      </c>
      <c r="J798" s="16" t="s">
        <v>199</v>
      </c>
      <c r="K798" s="16">
        <v>2.0360179999999999</v>
      </c>
      <c r="L798" s="36">
        <v>1720</v>
      </c>
      <c r="M798" s="36">
        <v>454</v>
      </c>
      <c r="N798" s="36">
        <v>269</v>
      </c>
      <c r="O798" s="36">
        <v>347</v>
      </c>
      <c r="P798" s="36">
        <v>442</v>
      </c>
      <c r="Q798" s="36">
        <v>208</v>
      </c>
      <c r="R798" s="16">
        <v>2</v>
      </c>
      <c r="S798" s="16"/>
      <c r="T798" s="16"/>
      <c r="U798" s="16"/>
      <c r="V798" s="16">
        <v>3</v>
      </c>
      <c r="W798" s="16">
        <v>0.81552000000000002</v>
      </c>
      <c r="X798" s="16">
        <v>8.5419999999999992E-3</v>
      </c>
      <c r="Y798" s="16">
        <v>0.7</v>
      </c>
      <c r="Z798" s="16">
        <v>0.51249999999999996</v>
      </c>
      <c r="AA798" s="37"/>
    </row>
    <row r="799" spans="1:27">
      <c r="A799" s="16" t="s">
        <v>83</v>
      </c>
      <c r="B799" s="16" t="s">
        <v>2853</v>
      </c>
      <c r="C799" s="16" t="s">
        <v>2854</v>
      </c>
      <c r="D799" s="16" t="s">
        <v>2855</v>
      </c>
      <c r="E799" s="16" t="s">
        <v>2796</v>
      </c>
      <c r="F799" s="16" t="s">
        <v>2797</v>
      </c>
      <c r="G799" s="16" t="s">
        <v>2759</v>
      </c>
      <c r="H799" s="16" t="s">
        <v>2760</v>
      </c>
      <c r="I799" s="16" t="s">
        <v>198</v>
      </c>
      <c r="J799" s="16" t="s">
        <v>199</v>
      </c>
      <c r="K799" s="16">
        <v>2.2251829999999999</v>
      </c>
      <c r="L799" s="36">
        <v>2003</v>
      </c>
      <c r="M799" s="36">
        <v>425</v>
      </c>
      <c r="N799" s="36">
        <v>214</v>
      </c>
      <c r="O799" s="36">
        <v>519</v>
      </c>
      <c r="P799" s="36">
        <v>451</v>
      </c>
      <c r="Q799" s="36">
        <v>394</v>
      </c>
      <c r="R799" s="16">
        <v>2</v>
      </c>
      <c r="S799" s="16"/>
      <c r="T799" s="16"/>
      <c r="U799" s="16"/>
      <c r="V799" s="16">
        <v>8</v>
      </c>
      <c r="W799" s="16">
        <v>0.82550900000000005</v>
      </c>
      <c r="X799" s="16">
        <v>8.8033E-2</v>
      </c>
      <c r="Y799" s="16">
        <v>0.77694200000000002</v>
      </c>
      <c r="Z799" s="16">
        <v>0.532443</v>
      </c>
      <c r="AA799" s="37"/>
    </row>
    <row r="800" spans="1:27">
      <c r="A800" s="16" t="s">
        <v>83</v>
      </c>
      <c r="B800" s="16" t="s">
        <v>2856</v>
      </c>
      <c r="C800" s="16" t="s">
        <v>2857</v>
      </c>
      <c r="D800" s="16" t="s">
        <v>2858</v>
      </c>
      <c r="E800" s="16" t="s">
        <v>2829</v>
      </c>
      <c r="F800" s="16" t="s">
        <v>2830</v>
      </c>
      <c r="G800" s="16" t="s">
        <v>2516</v>
      </c>
      <c r="H800" s="16" t="s">
        <v>2517</v>
      </c>
      <c r="I800" s="16" t="s">
        <v>198</v>
      </c>
      <c r="J800" s="16" t="s">
        <v>199</v>
      </c>
      <c r="K800" s="16">
        <v>1.7543599999999999</v>
      </c>
      <c r="L800" s="36">
        <v>1540</v>
      </c>
      <c r="M800" s="36">
        <v>331</v>
      </c>
      <c r="N800" s="36">
        <v>201</v>
      </c>
      <c r="O800" s="36">
        <v>246</v>
      </c>
      <c r="P800" s="36">
        <v>436</v>
      </c>
      <c r="Q800" s="36">
        <v>326</v>
      </c>
      <c r="R800" s="16">
        <v>2</v>
      </c>
      <c r="S800" s="16"/>
      <c r="T800" s="16"/>
      <c r="U800" s="16"/>
      <c r="V800" s="16">
        <v>8</v>
      </c>
      <c r="W800" s="16">
        <v>0.80879400000000001</v>
      </c>
      <c r="X800" s="16">
        <v>9.5327999999999996E-2</v>
      </c>
      <c r="Y800" s="16">
        <v>0.65159699999999998</v>
      </c>
      <c r="Z800" s="16">
        <v>0.2</v>
      </c>
      <c r="AA800" s="37"/>
    </row>
    <row r="801" spans="1:27">
      <c r="A801" s="16"/>
      <c r="B801" s="16"/>
      <c r="C801" s="16"/>
      <c r="D801" s="16"/>
      <c r="E801" s="16"/>
      <c r="F801" s="16"/>
      <c r="G801" s="16"/>
      <c r="H801" s="16"/>
      <c r="I801" s="16"/>
      <c r="J801" s="16"/>
      <c r="K801" s="16">
        <f>MEDIAN(K774:K800)</f>
        <v>1.856854</v>
      </c>
      <c r="L801" s="36">
        <f t="shared" ref="L801:Q801" si="67">SUM(L774:L800)</f>
        <v>50084</v>
      </c>
      <c r="M801" s="36">
        <f t="shared" si="67"/>
        <v>9646</v>
      </c>
      <c r="N801" s="36">
        <f t="shared" si="67"/>
        <v>8176</v>
      </c>
      <c r="O801" s="36">
        <f t="shared" si="67"/>
        <v>11168</v>
      </c>
      <c r="P801" s="36">
        <f t="shared" si="67"/>
        <v>12413</v>
      </c>
      <c r="Q801" s="36">
        <f t="shared" si="67"/>
        <v>8681</v>
      </c>
      <c r="R801" s="16"/>
      <c r="S801" s="16"/>
      <c r="T801" s="16"/>
      <c r="U801" s="16"/>
      <c r="V801" s="16">
        <f>MEDIAN(V774:V800)</f>
        <v>8</v>
      </c>
      <c r="W801" s="16"/>
      <c r="X801" s="16"/>
      <c r="Y801" s="16"/>
      <c r="Z801" s="16"/>
      <c r="AA801" s="37"/>
    </row>
    <row r="802" spans="1:27">
      <c r="A802" s="16" t="s">
        <v>84</v>
      </c>
      <c r="B802" s="16" t="s">
        <v>2859</v>
      </c>
      <c r="C802" s="16" t="s">
        <v>2860</v>
      </c>
      <c r="D802" s="16" t="s">
        <v>2861</v>
      </c>
      <c r="E802" s="16" t="s">
        <v>2862</v>
      </c>
      <c r="F802" s="16" t="s">
        <v>2863</v>
      </c>
      <c r="G802" s="16" t="s">
        <v>2759</v>
      </c>
      <c r="H802" s="16" t="s">
        <v>2760</v>
      </c>
      <c r="I802" s="16" t="s">
        <v>198</v>
      </c>
      <c r="J802" s="16" t="s">
        <v>199</v>
      </c>
      <c r="K802" s="16">
        <v>2.4062299999999999</v>
      </c>
      <c r="L802" s="36">
        <v>2569</v>
      </c>
      <c r="M802" s="16">
        <v>540</v>
      </c>
      <c r="N802" s="16">
        <v>401</v>
      </c>
      <c r="O802" s="16">
        <v>760</v>
      </c>
      <c r="P802" s="16">
        <v>512</v>
      </c>
      <c r="Q802" s="16">
        <v>356</v>
      </c>
      <c r="R802" s="16">
        <v>4</v>
      </c>
      <c r="S802" s="16">
        <v>24.593800000000002</v>
      </c>
      <c r="T802" s="16">
        <v>0</v>
      </c>
      <c r="U802" s="16">
        <v>0.85305753900000003</v>
      </c>
      <c r="V802" s="16">
        <v>4</v>
      </c>
      <c r="W802" s="16">
        <v>0.83343800000000001</v>
      </c>
      <c r="X802" s="16">
        <v>0.367585</v>
      </c>
      <c r="Y802" s="16">
        <v>0.7</v>
      </c>
      <c r="Z802" s="16">
        <v>0.50660899999999998</v>
      </c>
      <c r="AA802" s="37"/>
    </row>
    <row r="803" spans="1:27">
      <c r="A803" s="16" t="s">
        <v>84</v>
      </c>
      <c r="B803" s="16" t="s">
        <v>2864</v>
      </c>
      <c r="C803" s="16" t="s">
        <v>2865</v>
      </c>
      <c r="D803" s="16" t="s">
        <v>2866</v>
      </c>
      <c r="E803" s="16" t="s">
        <v>2867</v>
      </c>
      <c r="F803" s="16" t="s">
        <v>2868</v>
      </c>
      <c r="G803" s="16" t="s">
        <v>2759</v>
      </c>
      <c r="H803" s="16" t="s">
        <v>2760</v>
      </c>
      <c r="I803" s="16" t="s">
        <v>198</v>
      </c>
      <c r="J803" s="16" t="s">
        <v>199</v>
      </c>
      <c r="K803" s="16">
        <v>1.947141</v>
      </c>
      <c r="L803" s="36">
        <v>1503</v>
      </c>
      <c r="M803" s="16">
        <v>358</v>
      </c>
      <c r="N803" s="16">
        <v>229</v>
      </c>
      <c r="O803" s="16">
        <v>365</v>
      </c>
      <c r="P803" s="16">
        <v>362</v>
      </c>
      <c r="Q803" s="16">
        <v>189</v>
      </c>
      <c r="R803" s="16">
        <v>2</v>
      </c>
      <c r="S803" s="16">
        <v>12.609</v>
      </c>
      <c r="T803" s="16">
        <v>1.9169799999999999</v>
      </c>
      <c r="U803" s="16">
        <v>1.0413795539999999</v>
      </c>
      <c r="V803" s="16">
        <v>5</v>
      </c>
      <c r="W803" s="16">
        <v>0.81035500000000005</v>
      </c>
      <c r="X803" s="16">
        <v>0.194109</v>
      </c>
      <c r="Y803" s="16">
        <v>0.7</v>
      </c>
      <c r="Z803" s="16">
        <v>0.25046200000000002</v>
      </c>
      <c r="AA803" s="37"/>
    </row>
    <row r="804" spans="1:27">
      <c r="A804" s="16" t="s">
        <v>84</v>
      </c>
      <c r="B804" s="16" t="s">
        <v>2869</v>
      </c>
      <c r="C804" s="16" t="s">
        <v>2870</v>
      </c>
      <c r="D804" s="16" t="s">
        <v>2871</v>
      </c>
      <c r="E804" s="16" t="s">
        <v>2867</v>
      </c>
      <c r="F804" s="16" t="s">
        <v>2868</v>
      </c>
      <c r="G804" s="16" t="s">
        <v>2759</v>
      </c>
      <c r="H804" s="16" t="s">
        <v>2760</v>
      </c>
      <c r="I804" s="16" t="s">
        <v>198</v>
      </c>
      <c r="J804" s="16" t="s">
        <v>199</v>
      </c>
      <c r="K804" s="16">
        <v>1.871092</v>
      </c>
      <c r="L804" s="36">
        <v>1672</v>
      </c>
      <c r="M804" s="16">
        <v>392</v>
      </c>
      <c r="N804" s="16">
        <v>241</v>
      </c>
      <c r="O804" s="16">
        <v>444</v>
      </c>
      <c r="P804" s="16">
        <v>351</v>
      </c>
      <c r="Q804" s="16">
        <v>244</v>
      </c>
      <c r="R804" s="16">
        <v>2</v>
      </c>
      <c r="S804" s="16">
        <v>7.9830199999999998</v>
      </c>
      <c r="T804" s="16">
        <v>1.74664</v>
      </c>
      <c r="U804" s="16">
        <v>0.992438775</v>
      </c>
      <c r="V804" s="16">
        <v>7</v>
      </c>
      <c r="W804" s="16">
        <v>0.80565600000000004</v>
      </c>
      <c r="X804" s="16">
        <v>0.165884</v>
      </c>
      <c r="Y804" s="16">
        <v>0.7</v>
      </c>
      <c r="Z804" s="16">
        <v>0.2</v>
      </c>
      <c r="AA804" s="37"/>
    </row>
    <row r="805" spans="1:27">
      <c r="A805" s="16" t="s">
        <v>84</v>
      </c>
      <c r="B805" s="16" t="s">
        <v>2872</v>
      </c>
      <c r="C805" s="16" t="s">
        <v>2873</v>
      </c>
      <c r="D805" s="16" t="s">
        <v>2874</v>
      </c>
      <c r="E805" s="16" t="s">
        <v>2875</v>
      </c>
      <c r="F805" s="16" t="s">
        <v>2876</v>
      </c>
      <c r="G805" s="16" t="s">
        <v>2759</v>
      </c>
      <c r="H805" s="16" t="s">
        <v>2760</v>
      </c>
      <c r="I805" s="16" t="s">
        <v>198</v>
      </c>
      <c r="J805" s="16" t="s">
        <v>199</v>
      </c>
      <c r="K805" s="16">
        <v>1.7833810000000001</v>
      </c>
      <c r="L805" s="36">
        <v>1922</v>
      </c>
      <c r="M805" s="16">
        <v>399</v>
      </c>
      <c r="N805" s="16">
        <v>310</v>
      </c>
      <c r="O805" s="16">
        <v>361</v>
      </c>
      <c r="P805" s="16">
        <v>511</v>
      </c>
      <c r="Q805" s="16">
        <v>341</v>
      </c>
      <c r="R805" s="16" t="s">
        <v>225</v>
      </c>
      <c r="S805" s="16">
        <v>7.6650999999999998</v>
      </c>
      <c r="T805" s="16">
        <v>0</v>
      </c>
      <c r="U805" s="16">
        <v>1.1033332259999999</v>
      </c>
      <c r="V805" s="16">
        <v>6</v>
      </c>
      <c r="W805" s="16">
        <v>0.80223199999999995</v>
      </c>
      <c r="X805" s="16">
        <v>0.107853</v>
      </c>
      <c r="Y805" s="16">
        <v>0.7</v>
      </c>
      <c r="Z805" s="16">
        <v>0.174097</v>
      </c>
      <c r="AA805" s="37"/>
    </row>
    <row r="806" spans="1:27">
      <c r="A806" s="16" t="s">
        <v>84</v>
      </c>
      <c r="B806" s="16" t="s">
        <v>2877</v>
      </c>
      <c r="C806" s="16" t="s">
        <v>2878</v>
      </c>
      <c r="D806" s="16" t="s">
        <v>2879</v>
      </c>
      <c r="E806" s="16" t="s">
        <v>2875</v>
      </c>
      <c r="F806" s="16" t="s">
        <v>2876</v>
      </c>
      <c r="G806" s="16" t="s">
        <v>2759</v>
      </c>
      <c r="H806" s="16" t="s">
        <v>2760</v>
      </c>
      <c r="I806" s="16" t="s">
        <v>198</v>
      </c>
      <c r="J806" s="16" t="s">
        <v>199</v>
      </c>
      <c r="K806" s="16">
        <v>1.782146</v>
      </c>
      <c r="L806" s="36">
        <v>1933</v>
      </c>
      <c r="M806" s="16">
        <v>406</v>
      </c>
      <c r="N806" s="16">
        <v>291</v>
      </c>
      <c r="O806" s="16">
        <v>418</v>
      </c>
      <c r="P806" s="16">
        <v>561</v>
      </c>
      <c r="Q806" s="16">
        <v>257</v>
      </c>
      <c r="R806" s="16" t="s">
        <v>225</v>
      </c>
      <c r="S806" s="16">
        <v>8.9295899999999993</v>
      </c>
      <c r="T806" s="16">
        <v>0</v>
      </c>
      <c r="U806" s="16">
        <v>1.0042174109999999</v>
      </c>
      <c r="V806" s="16">
        <v>7</v>
      </c>
      <c r="W806" s="16">
        <v>0.80230999999999997</v>
      </c>
      <c r="X806" s="16">
        <v>0.106099</v>
      </c>
      <c r="Y806" s="16">
        <v>0.7</v>
      </c>
      <c r="Z806" s="16">
        <v>0.173842</v>
      </c>
      <c r="AA806" s="37"/>
    </row>
    <row r="807" spans="1:27">
      <c r="A807" s="16"/>
      <c r="B807" s="16"/>
      <c r="C807" s="16"/>
      <c r="D807" s="16"/>
      <c r="E807" s="16"/>
      <c r="F807" s="16"/>
      <c r="G807" s="16"/>
      <c r="H807" s="16"/>
      <c r="I807" s="16"/>
      <c r="J807" s="16"/>
      <c r="K807" s="16">
        <f>MEDIAN(K802:K806)</f>
        <v>1.871092</v>
      </c>
      <c r="L807" s="36">
        <f>AVERAGE(L802:L806)</f>
        <v>1919.8</v>
      </c>
      <c r="M807" s="36">
        <f t="shared" ref="M807:Q807" si="68">SUM(M802:M806)</f>
        <v>2095</v>
      </c>
      <c r="N807" s="36">
        <f t="shared" si="68"/>
        <v>1472</v>
      </c>
      <c r="O807" s="36">
        <f t="shared" si="68"/>
        <v>2348</v>
      </c>
      <c r="P807" s="36">
        <f t="shared" si="68"/>
        <v>2297</v>
      </c>
      <c r="Q807" s="36">
        <f t="shared" si="68"/>
        <v>1387</v>
      </c>
      <c r="R807" s="16"/>
      <c r="S807" s="16"/>
      <c r="T807" s="16"/>
      <c r="U807" s="16"/>
      <c r="V807" s="16">
        <f>MEDIAN(V802:V806)</f>
        <v>6</v>
      </c>
      <c r="W807" s="16"/>
      <c r="X807" s="16"/>
      <c r="Y807" s="16"/>
      <c r="Z807" s="16"/>
      <c r="AA807" s="37"/>
    </row>
    <row r="808" spans="1:27">
      <c r="A808" s="16" t="s">
        <v>85</v>
      </c>
      <c r="B808" s="16" t="s">
        <v>2880</v>
      </c>
      <c r="C808" s="16" t="s">
        <v>2881</v>
      </c>
      <c r="D808" s="16" t="s">
        <v>2882</v>
      </c>
      <c r="E808" s="16" t="s">
        <v>2862</v>
      </c>
      <c r="F808" s="16" t="s">
        <v>2863</v>
      </c>
      <c r="G808" s="16" t="s">
        <v>2759</v>
      </c>
      <c r="H808" s="16" t="s">
        <v>2760</v>
      </c>
      <c r="I808" s="16" t="s">
        <v>198</v>
      </c>
      <c r="J808" s="16" t="s">
        <v>199</v>
      </c>
      <c r="K808" s="16">
        <v>2.065909</v>
      </c>
      <c r="L808" s="36">
        <v>1499</v>
      </c>
      <c r="M808" s="16">
        <v>301</v>
      </c>
      <c r="N808" s="16">
        <v>228</v>
      </c>
      <c r="O808" s="16">
        <v>376</v>
      </c>
      <c r="P808" s="16">
        <v>390</v>
      </c>
      <c r="Q808" s="16">
        <v>204</v>
      </c>
      <c r="R808" s="16">
        <v>2</v>
      </c>
      <c r="S808" s="16">
        <v>22.026</v>
      </c>
      <c r="T808" s="16">
        <v>0</v>
      </c>
      <c r="U808" s="16">
        <v>0.91129401200000004</v>
      </c>
      <c r="V808" s="16">
        <v>6</v>
      </c>
      <c r="W808" s="16">
        <v>0.80465900000000001</v>
      </c>
      <c r="X808" s="16">
        <v>0.21241499999999999</v>
      </c>
      <c r="Y808" s="16">
        <v>0.7</v>
      </c>
      <c r="Z808" s="16">
        <v>0.35972700000000002</v>
      </c>
      <c r="AA808" s="37"/>
    </row>
    <row r="809" spans="1:27">
      <c r="A809" s="16" t="s">
        <v>85</v>
      </c>
      <c r="B809" s="16" t="s">
        <v>2883</v>
      </c>
      <c r="C809" s="16" t="s">
        <v>2884</v>
      </c>
      <c r="D809" s="16" t="s">
        <v>2885</v>
      </c>
      <c r="E809" s="16" t="s">
        <v>2886</v>
      </c>
      <c r="F809" s="16" t="s">
        <v>2887</v>
      </c>
      <c r="G809" s="16" t="s">
        <v>2759</v>
      </c>
      <c r="H809" s="16" t="s">
        <v>2760</v>
      </c>
      <c r="I809" s="16" t="s">
        <v>198</v>
      </c>
      <c r="J809" s="16" t="s">
        <v>199</v>
      </c>
      <c r="K809" s="16">
        <v>2.1369129999999998</v>
      </c>
      <c r="L809" s="36">
        <v>2103</v>
      </c>
      <c r="M809" s="16">
        <v>458</v>
      </c>
      <c r="N809" s="16">
        <v>348</v>
      </c>
      <c r="O809" s="16">
        <v>516</v>
      </c>
      <c r="P809" s="16">
        <v>512</v>
      </c>
      <c r="Q809" s="16">
        <v>269</v>
      </c>
      <c r="R809" s="16">
        <v>2</v>
      </c>
      <c r="S809" s="16">
        <v>17.2133</v>
      </c>
      <c r="T809" s="16">
        <v>2.9615</v>
      </c>
      <c r="U809" s="16">
        <v>0.93510170400000003</v>
      </c>
      <c r="V809" s="16">
        <v>5</v>
      </c>
      <c r="W809" s="16">
        <v>0.81325499999999995</v>
      </c>
      <c r="X809" s="16">
        <v>0.37229699999999999</v>
      </c>
      <c r="Y809" s="16">
        <v>0.7</v>
      </c>
      <c r="Z809" s="16">
        <v>0.26733800000000002</v>
      </c>
      <c r="AA809" s="37"/>
    </row>
    <row r="810" spans="1:27">
      <c r="A810" s="16" t="s">
        <v>85</v>
      </c>
      <c r="B810" s="16" t="s">
        <v>2888</v>
      </c>
      <c r="C810" s="16" t="s">
        <v>2889</v>
      </c>
      <c r="D810" s="16" t="s">
        <v>2890</v>
      </c>
      <c r="E810" s="16" t="s">
        <v>2891</v>
      </c>
      <c r="F810" s="16" t="s">
        <v>2892</v>
      </c>
      <c r="G810" s="16" t="s">
        <v>2759</v>
      </c>
      <c r="H810" s="16" t="s">
        <v>2760</v>
      </c>
      <c r="I810" s="16" t="s">
        <v>198</v>
      </c>
      <c r="J810" s="16" t="s">
        <v>199</v>
      </c>
      <c r="K810" s="16">
        <v>1.7920480000000001</v>
      </c>
      <c r="L810" s="36">
        <v>2060</v>
      </c>
      <c r="M810" s="16">
        <v>547</v>
      </c>
      <c r="N810" s="16">
        <v>237</v>
      </c>
      <c r="O810" s="16">
        <v>518</v>
      </c>
      <c r="P810" s="16">
        <v>495</v>
      </c>
      <c r="Q810" s="16">
        <v>263</v>
      </c>
      <c r="R810" s="16" t="s">
        <v>214</v>
      </c>
      <c r="S810" s="16">
        <v>12.0093</v>
      </c>
      <c r="T810" s="16">
        <v>0</v>
      </c>
      <c r="U810" s="16">
        <v>0.97431279900000001</v>
      </c>
      <c r="V810" s="16">
        <v>8</v>
      </c>
      <c r="W810" s="16">
        <v>0.80587299999999995</v>
      </c>
      <c r="X810" s="16">
        <v>0.12766</v>
      </c>
      <c r="Y810" s="16">
        <v>0.7</v>
      </c>
      <c r="Z810" s="16">
        <v>0.15367400000000001</v>
      </c>
      <c r="AA810" s="37"/>
    </row>
    <row r="811" spans="1:27">
      <c r="A811" s="16" t="s">
        <v>85</v>
      </c>
      <c r="B811" s="16" t="s">
        <v>2893</v>
      </c>
      <c r="C811" s="16" t="s">
        <v>2894</v>
      </c>
      <c r="D811" s="16" t="s">
        <v>2895</v>
      </c>
      <c r="E811" s="16" t="s">
        <v>2886</v>
      </c>
      <c r="F811" s="16" t="s">
        <v>2887</v>
      </c>
      <c r="G811" s="16" t="s">
        <v>2759</v>
      </c>
      <c r="H811" s="16" t="s">
        <v>2760</v>
      </c>
      <c r="I811" s="16" t="s">
        <v>198</v>
      </c>
      <c r="J811" s="16" t="s">
        <v>199</v>
      </c>
      <c r="K811" s="16">
        <v>1.923289</v>
      </c>
      <c r="L811" s="36">
        <v>1487</v>
      </c>
      <c r="M811" s="16">
        <v>344</v>
      </c>
      <c r="N811" s="16">
        <v>205</v>
      </c>
      <c r="O811" s="16">
        <v>283</v>
      </c>
      <c r="P811" s="16">
        <v>431</v>
      </c>
      <c r="Q811" s="16">
        <v>224</v>
      </c>
      <c r="R811" s="16">
        <v>2</v>
      </c>
      <c r="S811" s="16">
        <v>13.8415</v>
      </c>
      <c r="T811" s="16">
        <v>0.90279200000000004</v>
      </c>
      <c r="U811" s="16">
        <v>1.1298323669999999</v>
      </c>
      <c r="V811" s="16">
        <v>4</v>
      </c>
      <c r="W811" s="16">
        <v>0.80258799999999997</v>
      </c>
      <c r="X811" s="16">
        <v>8.4532999999999997E-2</v>
      </c>
      <c r="Y811" s="16">
        <v>0.7</v>
      </c>
      <c r="Z811" s="16">
        <v>0.34376000000000001</v>
      </c>
      <c r="AA811" s="37"/>
    </row>
    <row r="812" spans="1:27">
      <c r="A812" s="16" t="s">
        <v>85</v>
      </c>
      <c r="B812" s="16" t="s">
        <v>2896</v>
      </c>
      <c r="C812" s="16" t="s">
        <v>2897</v>
      </c>
      <c r="D812" s="16" t="s">
        <v>2898</v>
      </c>
      <c r="E812" s="16" t="s">
        <v>2886</v>
      </c>
      <c r="F812" s="16" t="s">
        <v>2887</v>
      </c>
      <c r="G812" s="16" t="s">
        <v>2759</v>
      </c>
      <c r="H812" s="16" t="s">
        <v>2760</v>
      </c>
      <c r="I812" s="16" t="s">
        <v>198</v>
      </c>
      <c r="J812" s="16" t="s">
        <v>199</v>
      </c>
      <c r="K812" s="16">
        <v>1.806243</v>
      </c>
      <c r="L812" s="36">
        <v>1780</v>
      </c>
      <c r="M812" s="16">
        <v>369</v>
      </c>
      <c r="N812" s="16">
        <v>224</v>
      </c>
      <c r="O812" s="16">
        <v>312</v>
      </c>
      <c r="P812" s="16">
        <v>486</v>
      </c>
      <c r="Q812" s="16">
        <v>389</v>
      </c>
      <c r="R812" s="16" t="s">
        <v>225</v>
      </c>
      <c r="S812" s="16">
        <v>11.0665</v>
      </c>
      <c r="T812" s="16">
        <v>0</v>
      </c>
      <c r="U812" s="16">
        <v>1.025766433</v>
      </c>
      <c r="V812" s="16">
        <v>6</v>
      </c>
      <c r="W812" s="16">
        <v>0.80007099999999998</v>
      </c>
      <c r="X812" s="16">
        <v>4.9804000000000001E-2</v>
      </c>
      <c r="Y812" s="16">
        <v>0.7</v>
      </c>
      <c r="Z812" s="16">
        <v>0.261355</v>
      </c>
      <c r="AA812" s="37"/>
    </row>
    <row r="813" spans="1:27">
      <c r="A813" s="16" t="s">
        <v>85</v>
      </c>
      <c r="B813" s="16" t="s">
        <v>2899</v>
      </c>
      <c r="C813" s="16" t="s">
        <v>2900</v>
      </c>
      <c r="D813" s="16" t="s">
        <v>2901</v>
      </c>
      <c r="E813" s="16" t="s">
        <v>2891</v>
      </c>
      <c r="F813" s="16" t="s">
        <v>2892</v>
      </c>
      <c r="G813" s="16" t="s">
        <v>2759</v>
      </c>
      <c r="H813" s="16" t="s">
        <v>2760</v>
      </c>
      <c r="I813" s="16" t="s">
        <v>198</v>
      </c>
      <c r="J813" s="16" t="s">
        <v>199</v>
      </c>
      <c r="K813" s="16">
        <v>1.692215</v>
      </c>
      <c r="L813" s="36">
        <v>1612</v>
      </c>
      <c r="M813" s="16">
        <v>323</v>
      </c>
      <c r="N813" s="16">
        <v>185</v>
      </c>
      <c r="O813" s="16">
        <v>323</v>
      </c>
      <c r="P813" s="16">
        <v>454</v>
      </c>
      <c r="Q813" s="16">
        <v>327</v>
      </c>
      <c r="R813" s="16" t="s">
        <v>214</v>
      </c>
      <c r="S813" s="16">
        <v>9.6621799999999993</v>
      </c>
      <c r="T813" s="16">
        <v>0</v>
      </c>
      <c r="U813" s="16">
        <v>0.97707949199999999</v>
      </c>
      <c r="V813" s="16">
        <v>9</v>
      </c>
      <c r="W813" s="16">
        <v>0.8</v>
      </c>
      <c r="X813" s="16">
        <v>5.0644000000000002E-2</v>
      </c>
      <c r="Y813" s="16">
        <v>0.7</v>
      </c>
      <c r="Z813" s="16">
        <v>0.14444799999999999</v>
      </c>
      <c r="AA813" s="37"/>
    </row>
    <row r="814" spans="1:27">
      <c r="A814" s="16" t="s">
        <v>85</v>
      </c>
      <c r="B814" s="16" t="s">
        <v>2902</v>
      </c>
      <c r="C814" s="16" t="s">
        <v>2903</v>
      </c>
      <c r="D814" s="16" t="s">
        <v>2904</v>
      </c>
      <c r="E814" s="16" t="s">
        <v>2886</v>
      </c>
      <c r="F814" s="16" t="s">
        <v>2887</v>
      </c>
      <c r="G814" s="16" t="s">
        <v>2759</v>
      </c>
      <c r="H814" s="16" t="s">
        <v>2760</v>
      </c>
      <c r="I814" s="16" t="s">
        <v>198</v>
      </c>
      <c r="J814" s="16" t="s">
        <v>199</v>
      </c>
      <c r="K814" s="16">
        <v>2.2360920000000002</v>
      </c>
      <c r="L814" s="36">
        <v>1903</v>
      </c>
      <c r="M814" s="16">
        <v>441</v>
      </c>
      <c r="N814" s="16">
        <v>276</v>
      </c>
      <c r="O814" s="16">
        <v>527</v>
      </c>
      <c r="P814" s="16">
        <v>415</v>
      </c>
      <c r="Q814" s="16">
        <v>244</v>
      </c>
      <c r="R814" s="16">
        <v>3</v>
      </c>
      <c r="S814" s="16">
        <v>16.3019</v>
      </c>
      <c r="T814" s="16">
        <v>0</v>
      </c>
      <c r="U814" s="16">
        <v>0.93421236699999999</v>
      </c>
      <c r="V814" s="16">
        <v>4</v>
      </c>
      <c r="W814" s="16">
        <v>0.81374899999999994</v>
      </c>
      <c r="X814" s="16">
        <v>0.30696499999999999</v>
      </c>
      <c r="Y814" s="16">
        <v>0.7</v>
      </c>
      <c r="Z814" s="16">
        <v>0.40255299999999999</v>
      </c>
      <c r="AA814" s="37"/>
    </row>
    <row r="815" spans="1:27">
      <c r="A815" s="16"/>
      <c r="B815" s="16"/>
      <c r="C815" s="16"/>
      <c r="D815" s="16"/>
      <c r="E815" s="16"/>
      <c r="F815" s="16"/>
      <c r="G815" s="16"/>
      <c r="H815" s="16"/>
      <c r="I815" s="16"/>
      <c r="J815" s="16"/>
      <c r="K815" s="16">
        <f>MEDIAN(K808:K814)</f>
        <v>1.923289</v>
      </c>
      <c r="L815" s="36">
        <f>AVERAGE(L808:L814)</f>
        <v>1777.7142857142858</v>
      </c>
      <c r="M815" s="36">
        <f t="shared" ref="M815:Q815" si="69">SUM(M808:M814)</f>
        <v>2783</v>
      </c>
      <c r="N815" s="36">
        <f t="shared" si="69"/>
        <v>1703</v>
      </c>
      <c r="O815" s="36">
        <f t="shared" si="69"/>
        <v>2855</v>
      </c>
      <c r="P815" s="36">
        <f t="shared" si="69"/>
        <v>3183</v>
      </c>
      <c r="Q815" s="36">
        <f t="shared" si="69"/>
        <v>1920</v>
      </c>
      <c r="R815" s="16"/>
      <c r="S815" s="16"/>
      <c r="T815" s="16"/>
      <c r="U815" s="16"/>
      <c r="V815" s="16">
        <f>MEDIAN(V808:V814)</f>
        <v>6</v>
      </c>
      <c r="W815" s="16"/>
      <c r="X815" s="16"/>
      <c r="Y815" s="16"/>
      <c r="Z815" s="16"/>
      <c r="AA815" s="37"/>
    </row>
    <row r="816" spans="1:27">
      <c r="A816" s="16" t="s">
        <v>67</v>
      </c>
      <c r="B816" s="16" t="s">
        <v>2905</v>
      </c>
      <c r="C816" s="16" t="s">
        <v>2906</v>
      </c>
      <c r="D816" s="16" t="s">
        <v>2907</v>
      </c>
      <c r="E816" s="16" t="s">
        <v>2908</v>
      </c>
      <c r="F816" s="16" t="s">
        <v>2909</v>
      </c>
      <c r="G816" s="16" t="s">
        <v>655</v>
      </c>
      <c r="H816" s="16" t="s">
        <v>656</v>
      </c>
      <c r="I816" s="16" t="s">
        <v>198</v>
      </c>
      <c r="J816" s="16" t="s">
        <v>199</v>
      </c>
      <c r="K816" s="16">
        <v>2.6668769999999999</v>
      </c>
      <c r="L816" s="36">
        <v>2452</v>
      </c>
      <c r="M816" s="16">
        <v>727</v>
      </c>
      <c r="N816" s="16">
        <v>359</v>
      </c>
      <c r="O816" s="16">
        <v>649</v>
      </c>
      <c r="P816" s="16">
        <v>504</v>
      </c>
      <c r="Q816" s="16">
        <v>213</v>
      </c>
      <c r="R816" s="16">
        <v>4</v>
      </c>
      <c r="S816" s="16">
        <v>21.461200000000002</v>
      </c>
      <c r="T816" s="16">
        <v>10.2408</v>
      </c>
      <c r="U816" s="16">
        <v>0.91221331400000005</v>
      </c>
      <c r="V816" s="16">
        <v>3</v>
      </c>
      <c r="W816" s="16">
        <v>0.90725599999999995</v>
      </c>
      <c r="X816" s="16">
        <v>6.25E-2</v>
      </c>
      <c r="Y816" s="16">
        <v>0.7</v>
      </c>
      <c r="Z816" s="16">
        <v>0.99085199999999996</v>
      </c>
      <c r="AA816" s="37"/>
    </row>
    <row r="817" spans="1:27">
      <c r="A817" s="16" t="s">
        <v>67</v>
      </c>
      <c r="B817" s="16" t="s">
        <v>2910</v>
      </c>
      <c r="C817" s="16" t="s">
        <v>2911</v>
      </c>
      <c r="D817" s="16" t="s">
        <v>2912</v>
      </c>
      <c r="E817" s="16" t="s">
        <v>2342</v>
      </c>
      <c r="F817" s="16" t="s">
        <v>2343</v>
      </c>
      <c r="G817" s="16" t="s">
        <v>655</v>
      </c>
      <c r="H817" s="16" t="s">
        <v>656</v>
      </c>
      <c r="I817" s="16" t="s">
        <v>198</v>
      </c>
      <c r="J817" s="16" t="s">
        <v>199</v>
      </c>
      <c r="K817" s="16">
        <v>2.5944440000000002</v>
      </c>
      <c r="L817" s="36">
        <v>1872</v>
      </c>
      <c r="M817" s="16">
        <v>637</v>
      </c>
      <c r="N817" s="16">
        <v>358</v>
      </c>
      <c r="O817" s="16">
        <v>434</v>
      </c>
      <c r="P817" s="16">
        <v>307</v>
      </c>
      <c r="Q817" s="16">
        <v>136</v>
      </c>
      <c r="R817" s="16">
        <v>3</v>
      </c>
      <c r="S817" s="16">
        <v>19.183599999999998</v>
      </c>
      <c r="T817" s="16">
        <v>6.7252599999999996</v>
      </c>
      <c r="U817" s="16">
        <v>0.73983106399999998</v>
      </c>
      <c r="V817" s="16">
        <v>4</v>
      </c>
      <c r="W817" s="16">
        <v>0.900926</v>
      </c>
      <c r="X817" s="16">
        <v>4.3174999999999998E-2</v>
      </c>
      <c r="Y817" s="16">
        <v>0.7</v>
      </c>
      <c r="Z817" s="16">
        <v>0.94720499999999996</v>
      </c>
      <c r="AA817" s="37"/>
    </row>
    <row r="818" spans="1:27">
      <c r="A818" s="16" t="s">
        <v>67</v>
      </c>
      <c r="B818" s="16" t="s">
        <v>2913</v>
      </c>
      <c r="C818" s="16" t="s">
        <v>2914</v>
      </c>
      <c r="D818" s="16" t="s">
        <v>2915</v>
      </c>
      <c r="E818" s="16" t="s">
        <v>2908</v>
      </c>
      <c r="F818" s="16" t="s">
        <v>2909</v>
      </c>
      <c r="G818" s="16" t="s">
        <v>655</v>
      </c>
      <c r="H818" s="16" t="s">
        <v>656</v>
      </c>
      <c r="I818" s="16" t="s">
        <v>198</v>
      </c>
      <c r="J818" s="16" t="s">
        <v>199</v>
      </c>
      <c r="K818" s="16">
        <v>2.6872340000000001</v>
      </c>
      <c r="L818" s="36">
        <v>2157</v>
      </c>
      <c r="M818" s="16">
        <v>940</v>
      </c>
      <c r="N818" s="16">
        <v>429</v>
      </c>
      <c r="O818" s="16">
        <v>379</v>
      </c>
      <c r="P818" s="16">
        <v>271</v>
      </c>
      <c r="Q818" s="16">
        <v>138</v>
      </c>
      <c r="R818" s="16">
        <v>3</v>
      </c>
      <c r="S818" s="16">
        <v>16.669799999999999</v>
      </c>
      <c r="T818" s="16">
        <v>11.5823</v>
      </c>
      <c r="U818" s="16">
        <v>0.84025775899999999</v>
      </c>
      <c r="V818" s="16">
        <v>3</v>
      </c>
      <c r="W818" s="16">
        <v>0.90461000000000003</v>
      </c>
      <c r="X818" s="16">
        <v>0.159859</v>
      </c>
      <c r="Y818" s="16">
        <v>0.7</v>
      </c>
      <c r="Z818" s="16">
        <v>0.91180600000000001</v>
      </c>
      <c r="AA818" s="37"/>
    </row>
    <row r="819" spans="1:27">
      <c r="A819" s="16" t="s">
        <v>67</v>
      </c>
      <c r="B819" s="16" t="s">
        <v>2916</v>
      </c>
      <c r="C819" s="16" t="s">
        <v>2917</v>
      </c>
      <c r="D819" s="16" t="s">
        <v>2918</v>
      </c>
      <c r="E819" s="16" t="s">
        <v>2919</v>
      </c>
      <c r="F819" s="16" t="s">
        <v>2920</v>
      </c>
      <c r="G819" s="16" t="s">
        <v>655</v>
      </c>
      <c r="H819" s="16" t="s">
        <v>656</v>
      </c>
      <c r="I819" s="16" t="s">
        <v>198</v>
      </c>
      <c r="J819" s="16" t="s">
        <v>199</v>
      </c>
      <c r="K819" s="16">
        <v>2.791099</v>
      </c>
      <c r="L819" s="36">
        <v>2222</v>
      </c>
      <c r="M819" s="16">
        <v>512</v>
      </c>
      <c r="N819" s="16">
        <v>433</v>
      </c>
      <c r="O819" s="16">
        <v>670</v>
      </c>
      <c r="P819" s="16">
        <v>462</v>
      </c>
      <c r="Q819" s="16">
        <v>145</v>
      </c>
      <c r="R819" s="16">
        <v>4</v>
      </c>
      <c r="S819" s="16">
        <v>29.824999999999999</v>
      </c>
      <c r="T819" s="16">
        <v>13.050599999999999</v>
      </c>
      <c r="U819" s="16">
        <v>1.0376924380000001</v>
      </c>
      <c r="V819" s="16">
        <v>2</v>
      </c>
      <c r="W819" s="16">
        <v>0.90994799999999998</v>
      </c>
      <c r="X819" s="16">
        <v>0.18571399999999999</v>
      </c>
      <c r="Y819" s="16">
        <v>0.7</v>
      </c>
      <c r="Z819" s="16">
        <v>1</v>
      </c>
      <c r="AA819" s="37"/>
    </row>
    <row r="820" spans="1:27">
      <c r="A820" s="16" t="s">
        <v>67</v>
      </c>
      <c r="B820" s="16" t="s">
        <v>2921</v>
      </c>
      <c r="C820" s="16" t="s">
        <v>2922</v>
      </c>
      <c r="D820" s="16" t="s">
        <v>2923</v>
      </c>
      <c r="E820" s="16" t="s">
        <v>2919</v>
      </c>
      <c r="F820" s="16" t="s">
        <v>2920</v>
      </c>
      <c r="G820" s="16" t="s">
        <v>655</v>
      </c>
      <c r="H820" s="16" t="s">
        <v>656</v>
      </c>
      <c r="I820" s="16" t="s">
        <v>198</v>
      </c>
      <c r="J820" s="16" t="s">
        <v>199</v>
      </c>
      <c r="K820" s="16">
        <v>2.7738809999999998</v>
      </c>
      <c r="L820" s="36">
        <v>2362</v>
      </c>
      <c r="M820" s="16">
        <v>656</v>
      </c>
      <c r="N820" s="16">
        <v>387</v>
      </c>
      <c r="O820" s="16">
        <v>636</v>
      </c>
      <c r="P820" s="16">
        <v>516</v>
      </c>
      <c r="Q820" s="16">
        <v>167</v>
      </c>
      <c r="R820" s="16">
        <v>4</v>
      </c>
      <c r="S820" s="16">
        <v>29.129200000000001</v>
      </c>
      <c r="T820" s="16">
        <v>11.6021</v>
      </c>
      <c r="U820" s="16">
        <v>1.160835214</v>
      </c>
      <c r="V820" s="16">
        <v>1</v>
      </c>
      <c r="W820" s="16">
        <v>0.91218900000000003</v>
      </c>
      <c r="X820" s="16">
        <v>0.155443</v>
      </c>
      <c r="Y820" s="16">
        <v>0.7</v>
      </c>
      <c r="Z820" s="16">
        <v>1</v>
      </c>
      <c r="AA820" s="37"/>
    </row>
    <row r="821" spans="1:27">
      <c r="A821" s="16" t="s">
        <v>67</v>
      </c>
      <c r="B821" s="16" t="s">
        <v>2924</v>
      </c>
      <c r="C821" s="16" t="s">
        <v>2925</v>
      </c>
      <c r="D821" s="16" t="s">
        <v>2926</v>
      </c>
      <c r="E821" s="16" t="s">
        <v>2927</v>
      </c>
      <c r="F821" s="16" t="s">
        <v>2928</v>
      </c>
      <c r="G821" s="16" t="s">
        <v>655</v>
      </c>
      <c r="H821" s="16" t="s">
        <v>656</v>
      </c>
      <c r="I821" s="16" t="s">
        <v>198</v>
      </c>
      <c r="J821" s="16" t="s">
        <v>199</v>
      </c>
      <c r="K821" s="16">
        <v>2.6423890000000001</v>
      </c>
      <c r="L821" s="36">
        <v>1870</v>
      </c>
      <c r="M821" s="16">
        <v>348</v>
      </c>
      <c r="N821" s="16">
        <v>348</v>
      </c>
      <c r="O821" s="16">
        <v>715</v>
      </c>
      <c r="P821" s="16">
        <v>324</v>
      </c>
      <c r="Q821" s="16">
        <v>135</v>
      </c>
      <c r="R821" s="16">
        <v>4</v>
      </c>
      <c r="S821" s="16">
        <v>22.081700000000001</v>
      </c>
      <c r="T821" s="16">
        <v>10.165900000000001</v>
      </c>
      <c r="U821" s="16">
        <v>0.89264451300000003</v>
      </c>
      <c r="V821" s="16">
        <v>3</v>
      </c>
      <c r="W821" s="16">
        <v>0.90725999999999996</v>
      </c>
      <c r="X821" s="16">
        <v>6.7749000000000004E-2</v>
      </c>
      <c r="Y821" s="16">
        <v>0.7</v>
      </c>
      <c r="Z821" s="16">
        <v>0.95678200000000002</v>
      </c>
      <c r="AA821" s="37"/>
    </row>
    <row r="822" spans="1:27">
      <c r="A822" s="16" t="s">
        <v>67</v>
      </c>
      <c r="B822" s="16" t="s">
        <v>2929</v>
      </c>
      <c r="C822" s="16" t="s">
        <v>2930</v>
      </c>
      <c r="D822" s="16" t="s">
        <v>2931</v>
      </c>
      <c r="E822" s="16" t="s">
        <v>2932</v>
      </c>
      <c r="F822" s="16" t="s">
        <v>2933</v>
      </c>
      <c r="G822" s="16" t="s">
        <v>655</v>
      </c>
      <c r="H822" s="16" t="s">
        <v>656</v>
      </c>
      <c r="I822" s="16" t="s">
        <v>198</v>
      </c>
      <c r="J822" s="16" t="s">
        <v>199</v>
      </c>
      <c r="K822" s="16">
        <v>2.7985540000000002</v>
      </c>
      <c r="L822" s="36">
        <v>1995</v>
      </c>
      <c r="M822" s="16">
        <v>325</v>
      </c>
      <c r="N822" s="16">
        <v>413</v>
      </c>
      <c r="O822" s="16">
        <v>688</v>
      </c>
      <c r="P822" s="16">
        <v>408</v>
      </c>
      <c r="Q822" s="16">
        <v>161</v>
      </c>
      <c r="R822" s="16" t="s">
        <v>302</v>
      </c>
      <c r="S822" s="16">
        <v>41.747700000000002</v>
      </c>
      <c r="T822" s="16">
        <v>22.361000000000001</v>
      </c>
      <c r="U822" s="16">
        <v>0.89643810300000004</v>
      </c>
      <c r="V822" s="16">
        <v>2</v>
      </c>
      <c r="W822" s="16">
        <v>0.91204799999999997</v>
      </c>
      <c r="X822" s="16">
        <v>0.18427499999999999</v>
      </c>
      <c r="Y822" s="16">
        <v>0.7</v>
      </c>
      <c r="Z822" s="16">
        <v>1</v>
      </c>
      <c r="AA822" s="37"/>
    </row>
    <row r="823" spans="1:27">
      <c r="A823" s="16" t="s">
        <v>67</v>
      </c>
      <c r="B823" s="16" t="s">
        <v>2934</v>
      </c>
      <c r="C823" s="16" t="s">
        <v>2935</v>
      </c>
      <c r="D823" s="16" t="s">
        <v>2936</v>
      </c>
      <c r="E823" s="16" t="s">
        <v>2919</v>
      </c>
      <c r="F823" s="16" t="s">
        <v>2920</v>
      </c>
      <c r="G823" s="16" t="s">
        <v>655</v>
      </c>
      <c r="H823" s="16" t="s">
        <v>656</v>
      </c>
      <c r="I823" s="16" t="s">
        <v>198</v>
      </c>
      <c r="J823" s="16" t="s">
        <v>199</v>
      </c>
      <c r="K823" s="16">
        <v>2.8070349999999999</v>
      </c>
      <c r="L823" s="36">
        <v>1619</v>
      </c>
      <c r="M823" s="16">
        <v>290</v>
      </c>
      <c r="N823" s="16">
        <v>304</v>
      </c>
      <c r="O823" s="16">
        <v>475</v>
      </c>
      <c r="P823" s="16">
        <v>332</v>
      </c>
      <c r="Q823" s="16">
        <v>218</v>
      </c>
      <c r="R823" s="16" t="s">
        <v>302</v>
      </c>
      <c r="S823" s="16">
        <v>33.815399999999997</v>
      </c>
      <c r="T823" s="16">
        <v>16.281500000000001</v>
      </c>
      <c r="U823" s="16">
        <v>0.87754829599999995</v>
      </c>
      <c r="V823" s="16">
        <v>2</v>
      </c>
      <c r="W823" s="16">
        <v>0.90854299999999999</v>
      </c>
      <c r="X823" s="16">
        <v>0.20200000000000001</v>
      </c>
      <c r="Y823" s="16">
        <v>0.7</v>
      </c>
      <c r="Z823" s="16">
        <v>1</v>
      </c>
      <c r="AA823" s="37"/>
    </row>
    <row r="824" spans="1:27">
      <c r="A824" s="16" t="s">
        <v>67</v>
      </c>
      <c r="B824" s="16" t="s">
        <v>2937</v>
      </c>
      <c r="C824" s="16" t="s">
        <v>2938</v>
      </c>
      <c r="D824" s="16" t="s">
        <v>2939</v>
      </c>
      <c r="E824" s="16" t="s">
        <v>2940</v>
      </c>
      <c r="F824" s="16" t="s">
        <v>2941</v>
      </c>
      <c r="G824" s="16" t="s">
        <v>655</v>
      </c>
      <c r="H824" s="16" t="s">
        <v>656</v>
      </c>
      <c r="I824" s="16" t="s">
        <v>198</v>
      </c>
      <c r="J824" s="16" t="s">
        <v>199</v>
      </c>
      <c r="K824" s="16">
        <v>2.7618299999999998</v>
      </c>
      <c r="L824" s="36">
        <v>1764</v>
      </c>
      <c r="M824" s="16">
        <v>365</v>
      </c>
      <c r="N824" s="16">
        <v>310</v>
      </c>
      <c r="O824" s="16">
        <v>594</v>
      </c>
      <c r="P824" s="16">
        <v>359</v>
      </c>
      <c r="Q824" s="16">
        <v>136</v>
      </c>
      <c r="R824" s="16">
        <v>5</v>
      </c>
      <c r="S824" s="16">
        <v>29.244</v>
      </c>
      <c r="T824" s="16">
        <v>10.801399999999999</v>
      </c>
      <c r="U824" s="16">
        <v>0.857599212</v>
      </c>
      <c r="V824" s="16">
        <v>2</v>
      </c>
      <c r="W824" s="16">
        <v>0.90410100000000004</v>
      </c>
      <c r="X824" s="16">
        <v>0.14624999999999999</v>
      </c>
      <c r="Y824" s="16">
        <v>0.7</v>
      </c>
      <c r="Z824" s="16">
        <v>1</v>
      </c>
      <c r="AA824" s="37"/>
    </row>
    <row r="825" spans="1:27">
      <c r="A825" s="16" t="s">
        <v>67</v>
      </c>
      <c r="B825" s="16" t="s">
        <v>2942</v>
      </c>
      <c r="C825" s="16" t="s">
        <v>2943</v>
      </c>
      <c r="D825" s="16" t="s">
        <v>2944</v>
      </c>
      <c r="E825" s="16" t="s">
        <v>2940</v>
      </c>
      <c r="F825" s="16" t="s">
        <v>2941</v>
      </c>
      <c r="G825" s="16" t="s">
        <v>655</v>
      </c>
      <c r="H825" s="16" t="s">
        <v>656</v>
      </c>
      <c r="I825" s="16" t="s">
        <v>198</v>
      </c>
      <c r="J825" s="16" t="s">
        <v>199</v>
      </c>
      <c r="K825" s="16">
        <v>2.8106770000000001</v>
      </c>
      <c r="L825" s="36">
        <v>1924</v>
      </c>
      <c r="M825" s="16">
        <v>392</v>
      </c>
      <c r="N825" s="16">
        <v>337</v>
      </c>
      <c r="O825" s="16">
        <v>594</v>
      </c>
      <c r="P825" s="16">
        <v>429</v>
      </c>
      <c r="Q825" s="16">
        <v>172</v>
      </c>
      <c r="R825" s="16">
        <v>5</v>
      </c>
      <c r="S825" s="16">
        <v>32.136600000000001</v>
      </c>
      <c r="T825" s="16">
        <v>20.810400000000001</v>
      </c>
      <c r="U825" s="16">
        <v>0.89109118300000001</v>
      </c>
      <c r="V825" s="16">
        <v>2</v>
      </c>
      <c r="W825" s="16">
        <v>0.90859400000000001</v>
      </c>
      <c r="X825" s="16">
        <v>0.1875</v>
      </c>
      <c r="Y825" s="16">
        <v>0.7</v>
      </c>
      <c r="Z825" s="16">
        <v>1</v>
      </c>
      <c r="AA825" s="37"/>
    </row>
    <row r="826" spans="1:27">
      <c r="A826" s="16" t="s">
        <v>67</v>
      </c>
      <c r="B826" s="16" t="s">
        <v>2945</v>
      </c>
      <c r="C826" s="16" t="s">
        <v>2946</v>
      </c>
      <c r="D826" s="16" t="s">
        <v>2947</v>
      </c>
      <c r="E826" s="16" t="s">
        <v>2927</v>
      </c>
      <c r="F826" s="16" t="s">
        <v>2928</v>
      </c>
      <c r="G826" s="16" t="s">
        <v>655</v>
      </c>
      <c r="H826" s="16" t="s">
        <v>656</v>
      </c>
      <c r="I826" s="16" t="s">
        <v>198</v>
      </c>
      <c r="J826" s="16" t="s">
        <v>199</v>
      </c>
      <c r="K826" s="16">
        <v>2.4956990000000001</v>
      </c>
      <c r="L826" s="36">
        <v>1573</v>
      </c>
      <c r="M826" s="16">
        <v>291</v>
      </c>
      <c r="N826" s="16">
        <v>284</v>
      </c>
      <c r="O826" s="16">
        <v>499</v>
      </c>
      <c r="P826" s="16">
        <v>331</v>
      </c>
      <c r="Q826" s="16">
        <v>168</v>
      </c>
      <c r="R826" s="16">
        <v>3</v>
      </c>
      <c r="S826" s="16">
        <v>15.944100000000001</v>
      </c>
      <c r="T826" s="16">
        <v>10.698600000000001</v>
      </c>
      <c r="U826" s="16">
        <v>0.98742954599999999</v>
      </c>
      <c r="V826" s="16">
        <v>3</v>
      </c>
      <c r="W826" s="16">
        <v>0.90286699999999998</v>
      </c>
      <c r="X826" s="16">
        <v>6.3081999999999999E-2</v>
      </c>
      <c r="Y826" s="16">
        <v>0.7</v>
      </c>
      <c r="Z826" s="16">
        <v>0.82580600000000004</v>
      </c>
      <c r="AA826" s="37"/>
    </row>
    <row r="827" spans="1:27">
      <c r="A827" s="16" t="s">
        <v>67</v>
      </c>
      <c r="B827" s="16" t="s">
        <v>2948</v>
      </c>
      <c r="C827" s="16" t="s">
        <v>2949</v>
      </c>
      <c r="D827" s="16" t="s">
        <v>2950</v>
      </c>
      <c r="E827" s="16" t="s">
        <v>2951</v>
      </c>
      <c r="F827" s="16" t="s">
        <v>2952</v>
      </c>
      <c r="G827" s="16" t="s">
        <v>655</v>
      </c>
      <c r="H827" s="16" t="s">
        <v>656</v>
      </c>
      <c r="I827" s="16" t="s">
        <v>198</v>
      </c>
      <c r="J827" s="16" t="s">
        <v>199</v>
      </c>
      <c r="K827" s="16">
        <v>2.7880240000000001</v>
      </c>
      <c r="L827" s="36">
        <v>2027</v>
      </c>
      <c r="M827" s="16">
        <v>401</v>
      </c>
      <c r="N827" s="16">
        <v>323</v>
      </c>
      <c r="O827" s="16">
        <v>663</v>
      </c>
      <c r="P827" s="16">
        <v>452</v>
      </c>
      <c r="Q827" s="16">
        <v>188</v>
      </c>
      <c r="R827" s="16">
        <v>5</v>
      </c>
      <c r="S827" s="16">
        <v>25.841799999999999</v>
      </c>
      <c r="T827" s="16">
        <v>15.7836</v>
      </c>
      <c r="U827" s="16">
        <v>0.84400103900000001</v>
      </c>
      <c r="V827" s="16">
        <v>3</v>
      </c>
      <c r="W827" s="16">
        <v>0.91077799999999998</v>
      </c>
      <c r="X827" s="16">
        <v>0.26586300000000002</v>
      </c>
      <c r="Y827" s="16">
        <v>0.7</v>
      </c>
      <c r="Z827" s="16">
        <v>0.91783599999999999</v>
      </c>
      <c r="AA827" s="37"/>
    </row>
    <row r="828" spans="1:27">
      <c r="A828" s="16" t="s">
        <v>67</v>
      </c>
      <c r="B828" s="16" t="s">
        <v>2953</v>
      </c>
      <c r="C828" s="16" t="s">
        <v>2954</v>
      </c>
      <c r="D828" s="16" t="s">
        <v>2955</v>
      </c>
      <c r="E828" s="16" t="s">
        <v>2951</v>
      </c>
      <c r="F828" s="16" t="s">
        <v>2952</v>
      </c>
      <c r="G828" s="16" t="s">
        <v>655</v>
      </c>
      <c r="H828" s="16" t="s">
        <v>656</v>
      </c>
      <c r="I828" s="16" t="s">
        <v>198</v>
      </c>
      <c r="J828" s="16" t="s">
        <v>199</v>
      </c>
      <c r="K828" s="16">
        <v>2.6569150000000001</v>
      </c>
      <c r="L828" s="36">
        <v>2067</v>
      </c>
      <c r="M828" s="16">
        <v>309</v>
      </c>
      <c r="N828" s="16">
        <v>383</v>
      </c>
      <c r="O828" s="16">
        <v>664</v>
      </c>
      <c r="P828" s="16">
        <v>412</v>
      </c>
      <c r="Q828" s="16">
        <v>299</v>
      </c>
      <c r="R828" s="16">
        <v>5</v>
      </c>
      <c r="S828" s="16">
        <v>27.838000000000001</v>
      </c>
      <c r="T828" s="16">
        <v>16.217300000000002</v>
      </c>
      <c r="U828" s="16">
        <v>0.846933987</v>
      </c>
      <c r="V828" s="16">
        <v>4</v>
      </c>
      <c r="W828" s="16">
        <v>0.90611699999999995</v>
      </c>
      <c r="X828" s="16">
        <v>8.3157999999999996E-2</v>
      </c>
      <c r="Y828" s="16">
        <v>0.7</v>
      </c>
      <c r="Z828" s="16">
        <v>0.978016</v>
      </c>
      <c r="AA828" s="37"/>
    </row>
    <row r="829" spans="1:27">
      <c r="A829" s="16" t="s">
        <v>67</v>
      </c>
      <c r="B829" s="16" t="s">
        <v>2956</v>
      </c>
      <c r="C829" s="16" t="s">
        <v>2957</v>
      </c>
      <c r="D829" s="16" t="s">
        <v>2958</v>
      </c>
      <c r="E829" s="16" t="s">
        <v>2951</v>
      </c>
      <c r="F829" s="16" t="s">
        <v>2952</v>
      </c>
      <c r="G829" s="16" t="s">
        <v>655</v>
      </c>
      <c r="H829" s="16" t="s">
        <v>656</v>
      </c>
      <c r="I829" s="16" t="s">
        <v>198</v>
      </c>
      <c r="J829" s="16" t="s">
        <v>199</v>
      </c>
      <c r="K829" s="16">
        <v>2.6807569999999998</v>
      </c>
      <c r="L829" s="36">
        <v>1455</v>
      </c>
      <c r="M829" s="16">
        <v>259</v>
      </c>
      <c r="N829" s="16">
        <v>259</v>
      </c>
      <c r="O829" s="16">
        <v>537</v>
      </c>
      <c r="P829" s="16">
        <v>292</v>
      </c>
      <c r="Q829" s="16">
        <v>108</v>
      </c>
      <c r="R829" s="16">
        <v>4</v>
      </c>
      <c r="S829" s="16">
        <v>31.331700000000001</v>
      </c>
      <c r="T829" s="16">
        <v>11.851100000000001</v>
      </c>
      <c r="U829" s="16">
        <v>0.88338637399999997</v>
      </c>
      <c r="V829" s="16">
        <v>3</v>
      </c>
      <c r="W829" s="16">
        <v>0.90820199999999995</v>
      </c>
      <c r="X829" s="16">
        <v>8.4735000000000005E-2</v>
      </c>
      <c r="Y829" s="16">
        <v>0.7</v>
      </c>
      <c r="Z829" s="16">
        <v>0.98781200000000002</v>
      </c>
      <c r="AA829" s="37"/>
    </row>
    <row r="830" spans="1:27">
      <c r="A830" s="16" t="s">
        <v>67</v>
      </c>
      <c r="B830" s="16" t="s">
        <v>2959</v>
      </c>
      <c r="C830" s="16" t="s">
        <v>2960</v>
      </c>
      <c r="D830" s="16" t="s">
        <v>2961</v>
      </c>
      <c r="E830" s="16" t="s">
        <v>2962</v>
      </c>
      <c r="F830" s="16" t="s">
        <v>2963</v>
      </c>
      <c r="G830" s="16" t="s">
        <v>655</v>
      </c>
      <c r="H830" s="16" t="s">
        <v>656</v>
      </c>
      <c r="I830" s="16" t="s">
        <v>198</v>
      </c>
      <c r="J830" s="16" t="s">
        <v>199</v>
      </c>
      <c r="K830" s="16">
        <v>2.735849</v>
      </c>
      <c r="L830" s="36">
        <v>1838</v>
      </c>
      <c r="M830" s="16">
        <v>462</v>
      </c>
      <c r="N830" s="16">
        <v>326</v>
      </c>
      <c r="O830" s="16">
        <v>483</v>
      </c>
      <c r="P830" s="16">
        <v>388</v>
      </c>
      <c r="Q830" s="16">
        <v>179</v>
      </c>
      <c r="R830" s="16">
        <v>4</v>
      </c>
      <c r="S830" s="16">
        <v>29.959299999999999</v>
      </c>
      <c r="T830" s="16">
        <v>4.8856200000000003</v>
      </c>
      <c r="U830" s="16">
        <v>1.0528593749999999</v>
      </c>
      <c r="V830" s="16">
        <v>1</v>
      </c>
      <c r="W830" s="16">
        <v>0.90754699999999999</v>
      </c>
      <c r="X830" s="16">
        <v>0.20123099999999999</v>
      </c>
      <c r="Y830" s="16">
        <v>0.7</v>
      </c>
      <c r="Z830" s="16">
        <v>0.94246200000000002</v>
      </c>
      <c r="AA830" s="37"/>
    </row>
    <row r="831" spans="1:27">
      <c r="A831" s="16" t="s">
        <v>67</v>
      </c>
      <c r="B831" s="16" t="s">
        <v>2410</v>
      </c>
      <c r="C831" s="16" t="s">
        <v>2411</v>
      </c>
      <c r="D831" s="16" t="s">
        <v>2412</v>
      </c>
      <c r="E831" s="16" t="s">
        <v>1833</v>
      </c>
      <c r="F831" s="16" t="s">
        <v>1834</v>
      </c>
      <c r="G831" s="16" t="s">
        <v>655</v>
      </c>
      <c r="H831" s="16" t="s">
        <v>656</v>
      </c>
      <c r="I831" s="16" t="s">
        <v>198</v>
      </c>
      <c r="J831" s="16" t="s">
        <v>199</v>
      </c>
      <c r="K831" s="16">
        <v>2.9440719999999998</v>
      </c>
      <c r="L831" s="36">
        <v>2172</v>
      </c>
      <c r="M831" s="16">
        <v>892</v>
      </c>
      <c r="N831" s="16">
        <v>433</v>
      </c>
      <c r="O831" s="16">
        <v>443</v>
      </c>
      <c r="P831" s="16">
        <v>269</v>
      </c>
      <c r="Q831" s="16">
        <v>135</v>
      </c>
      <c r="R831" s="16">
        <v>5</v>
      </c>
      <c r="S831" s="16">
        <v>25.956</v>
      </c>
      <c r="T831" s="16">
        <v>19.8005</v>
      </c>
      <c r="U831" s="16">
        <v>0.68720594999999995</v>
      </c>
      <c r="V831" s="16">
        <v>3</v>
      </c>
      <c r="W831" s="16">
        <v>0.91340200000000005</v>
      </c>
      <c r="X831" s="16">
        <v>0.26412200000000002</v>
      </c>
      <c r="Y831" s="16">
        <v>0.8</v>
      </c>
      <c r="Z831" s="16">
        <v>0.97289000000000003</v>
      </c>
      <c r="AA831" s="37"/>
    </row>
    <row r="832" spans="1:27">
      <c r="A832" s="16" t="s">
        <v>67</v>
      </c>
      <c r="B832" s="16" t="s">
        <v>1830</v>
      </c>
      <c r="C832" s="16" t="s">
        <v>1831</v>
      </c>
      <c r="D832" s="16" t="s">
        <v>1832</v>
      </c>
      <c r="E832" s="16" t="s">
        <v>1833</v>
      </c>
      <c r="F832" s="16" t="s">
        <v>1834</v>
      </c>
      <c r="G832" s="16" t="s">
        <v>655</v>
      </c>
      <c r="H832" s="16" t="s">
        <v>656</v>
      </c>
      <c r="I832" s="16" t="s">
        <v>198</v>
      </c>
      <c r="J832" s="16" t="s">
        <v>199</v>
      </c>
      <c r="K832" s="16">
        <v>2.7576809999999998</v>
      </c>
      <c r="L832" s="36">
        <v>1631</v>
      </c>
      <c r="M832" s="16">
        <v>554</v>
      </c>
      <c r="N832" s="16">
        <v>300</v>
      </c>
      <c r="O832" s="16">
        <v>393</v>
      </c>
      <c r="P832" s="16">
        <v>284</v>
      </c>
      <c r="Q832" s="16">
        <v>100</v>
      </c>
      <c r="R832" s="16">
        <v>5</v>
      </c>
      <c r="S832" s="16">
        <v>29.105599999999999</v>
      </c>
      <c r="T832" s="16">
        <v>14.0473</v>
      </c>
      <c r="U832" s="16">
        <v>0.73267090099999999</v>
      </c>
      <c r="V832" s="16">
        <v>3</v>
      </c>
      <c r="W832" s="16">
        <v>0.90840600000000005</v>
      </c>
      <c r="X832" s="16">
        <v>0.17674400000000001</v>
      </c>
      <c r="Y832" s="16">
        <v>0.8</v>
      </c>
      <c r="Z832" s="16">
        <v>0.86502900000000005</v>
      </c>
      <c r="AA832" s="37"/>
    </row>
    <row r="833" spans="1:27">
      <c r="A833" s="16" t="s">
        <v>67</v>
      </c>
      <c r="B833" s="16" t="s">
        <v>2964</v>
      </c>
      <c r="C833" s="16" t="s">
        <v>2965</v>
      </c>
      <c r="D833" s="16" t="s">
        <v>2966</v>
      </c>
      <c r="E833" s="16" t="s">
        <v>2908</v>
      </c>
      <c r="F833" s="16" t="s">
        <v>2909</v>
      </c>
      <c r="G833" s="16" t="s">
        <v>655</v>
      </c>
      <c r="H833" s="16" t="s">
        <v>656</v>
      </c>
      <c r="I833" s="16" t="s">
        <v>198</v>
      </c>
      <c r="J833" s="16" t="s">
        <v>199</v>
      </c>
      <c r="K833" s="16">
        <v>2.5264229999999999</v>
      </c>
      <c r="L833" s="36">
        <v>1782</v>
      </c>
      <c r="M833" s="16">
        <v>524</v>
      </c>
      <c r="N833" s="16">
        <v>314</v>
      </c>
      <c r="O833" s="16">
        <v>404</v>
      </c>
      <c r="P833" s="16">
        <v>386</v>
      </c>
      <c r="Q833" s="16">
        <v>154</v>
      </c>
      <c r="R833" s="16">
        <v>3</v>
      </c>
      <c r="S833" s="16">
        <v>12.8123</v>
      </c>
      <c r="T833" s="16">
        <v>9.9514300000000002</v>
      </c>
      <c r="U833" s="16">
        <v>1.1933921359999999</v>
      </c>
      <c r="V833" s="16">
        <v>1</v>
      </c>
      <c r="W833" s="16">
        <v>0.90691100000000002</v>
      </c>
      <c r="X833" s="16">
        <v>0.13089400000000001</v>
      </c>
      <c r="Y833" s="16">
        <v>0.7</v>
      </c>
      <c r="Z833" s="16">
        <v>0.79917400000000005</v>
      </c>
      <c r="AA833" s="37"/>
    </row>
    <row r="834" spans="1:27">
      <c r="A834" s="16" t="s">
        <v>67</v>
      </c>
      <c r="B834" s="16" t="s">
        <v>2967</v>
      </c>
      <c r="C834" s="16" t="s">
        <v>2968</v>
      </c>
      <c r="D834" s="16" t="s">
        <v>2969</v>
      </c>
      <c r="E834" s="16" t="s">
        <v>2347</v>
      </c>
      <c r="F834" s="16" t="s">
        <v>2348</v>
      </c>
      <c r="G834" s="16" t="s">
        <v>655</v>
      </c>
      <c r="H834" s="16" t="s">
        <v>656</v>
      </c>
      <c r="I834" s="16" t="s">
        <v>198</v>
      </c>
      <c r="J834" s="16" t="s">
        <v>199</v>
      </c>
      <c r="K834" s="16">
        <v>2.49227</v>
      </c>
      <c r="L834" s="36">
        <v>1998</v>
      </c>
      <c r="M834" s="16">
        <v>792</v>
      </c>
      <c r="N834" s="16">
        <v>284</v>
      </c>
      <c r="O834" s="16">
        <v>425</v>
      </c>
      <c r="P834" s="16">
        <v>308</v>
      </c>
      <c r="Q834" s="16">
        <v>189</v>
      </c>
      <c r="R834" s="16">
        <v>2</v>
      </c>
      <c r="S834" s="16">
        <v>12.5128</v>
      </c>
      <c r="T834" s="16">
        <v>0</v>
      </c>
      <c r="U834" s="16">
        <v>1.026423986</v>
      </c>
      <c r="V834" s="16">
        <v>2</v>
      </c>
      <c r="W834" s="16">
        <v>0.90434800000000004</v>
      </c>
      <c r="X834" s="16">
        <v>0.19197400000000001</v>
      </c>
      <c r="Y834" s="16">
        <v>0.70618099999999995</v>
      </c>
      <c r="Z834" s="16">
        <v>0.68642199999999998</v>
      </c>
      <c r="AA834" s="37"/>
    </row>
    <row r="835" spans="1:27">
      <c r="A835" s="16" t="s">
        <v>67</v>
      </c>
      <c r="B835" s="16" t="s">
        <v>2970</v>
      </c>
      <c r="C835" s="16" t="s">
        <v>2971</v>
      </c>
      <c r="D835" s="16" t="s">
        <v>2972</v>
      </c>
      <c r="E835" s="16" t="s">
        <v>2347</v>
      </c>
      <c r="F835" s="16" t="s">
        <v>2348</v>
      </c>
      <c r="G835" s="16" t="s">
        <v>655</v>
      </c>
      <c r="H835" s="16" t="s">
        <v>656</v>
      </c>
      <c r="I835" s="16" t="s">
        <v>198</v>
      </c>
      <c r="J835" s="16" t="s">
        <v>199</v>
      </c>
      <c r="K835" s="16">
        <v>2.7631429999999999</v>
      </c>
      <c r="L835" s="36">
        <v>1833</v>
      </c>
      <c r="M835" s="16">
        <v>751</v>
      </c>
      <c r="N835" s="16">
        <v>343</v>
      </c>
      <c r="O835" s="16">
        <v>350</v>
      </c>
      <c r="P835" s="16">
        <v>290</v>
      </c>
      <c r="Q835" s="16">
        <v>99</v>
      </c>
      <c r="R835" s="16">
        <v>4</v>
      </c>
      <c r="S835" s="16">
        <v>20.992000000000001</v>
      </c>
      <c r="T835" s="16">
        <v>6.9839500000000001</v>
      </c>
      <c r="U835" s="16">
        <v>0.85241766299999999</v>
      </c>
      <c r="V835" s="16">
        <v>2</v>
      </c>
      <c r="W835" s="16">
        <v>0.90342900000000004</v>
      </c>
      <c r="X835" s="16">
        <v>0.169679</v>
      </c>
      <c r="Y835" s="16">
        <v>0.77758099999999997</v>
      </c>
      <c r="Z835" s="16">
        <v>0.90967699999999996</v>
      </c>
      <c r="AA835" s="37"/>
    </row>
    <row r="836" spans="1:27">
      <c r="A836" s="16" t="s">
        <v>67</v>
      </c>
      <c r="B836" s="16" t="s">
        <v>2973</v>
      </c>
      <c r="C836" s="16" t="s">
        <v>2974</v>
      </c>
      <c r="D836" s="16" t="s">
        <v>2975</v>
      </c>
      <c r="E836" s="16" t="s">
        <v>2908</v>
      </c>
      <c r="F836" s="16" t="s">
        <v>2909</v>
      </c>
      <c r="G836" s="16" t="s">
        <v>655</v>
      </c>
      <c r="H836" s="16" t="s">
        <v>656</v>
      </c>
      <c r="I836" s="16" t="s">
        <v>198</v>
      </c>
      <c r="J836" s="16" t="s">
        <v>199</v>
      </c>
      <c r="K836" s="16">
        <v>2.2810480000000002</v>
      </c>
      <c r="L836" s="36">
        <v>2275</v>
      </c>
      <c r="M836" s="16">
        <v>762</v>
      </c>
      <c r="N836" s="16">
        <v>373</v>
      </c>
      <c r="O836" s="16">
        <v>528</v>
      </c>
      <c r="P836" s="16">
        <v>430</v>
      </c>
      <c r="Q836" s="16">
        <v>182</v>
      </c>
      <c r="R836" s="16">
        <v>2</v>
      </c>
      <c r="S836" s="16">
        <v>15.2531</v>
      </c>
      <c r="T836" s="16">
        <v>0</v>
      </c>
      <c r="U836" s="16">
        <v>1.2211180159999999</v>
      </c>
      <c r="V836" s="16">
        <v>2</v>
      </c>
      <c r="W836" s="16">
        <v>0.90221799999999996</v>
      </c>
      <c r="X836" s="16">
        <v>5.6112000000000002E-2</v>
      </c>
      <c r="Y836" s="16">
        <v>0.7</v>
      </c>
      <c r="Z836" s="16">
        <v>0.62104199999999998</v>
      </c>
      <c r="AA836" s="37"/>
    </row>
    <row r="837" spans="1:27">
      <c r="A837" s="16" t="s">
        <v>67</v>
      </c>
      <c r="B837" s="16" t="s">
        <v>2976</v>
      </c>
      <c r="C837" s="16" t="s">
        <v>2977</v>
      </c>
      <c r="D837" s="16" t="s">
        <v>2978</v>
      </c>
      <c r="E837" s="16" t="s">
        <v>1380</v>
      </c>
      <c r="F837" s="16" t="s">
        <v>1381</v>
      </c>
      <c r="G837" s="16" t="s">
        <v>655</v>
      </c>
      <c r="H837" s="16" t="s">
        <v>656</v>
      </c>
      <c r="I837" s="16" t="s">
        <v>198</v>
      </c>
      <c r="J837" s="16" t="s">
        <v>199</v>
      </c>
      <c r="K837" s="16">
        <v>2.7445089999999999</v>
      </c>
      <c r="L837" s="36">
        <v>1493</v>
      </c>
      <c r="M837" s="16">
        <v>310</v>
      </c>
      <c r="N837" s="16">
        <v>308</v>
      </c>
      <c r="O837" s="16">
        <v>450</v>
      </c>
      <c r="P837" s="16">
        <v>327</v>
      </c>
      <c r="Q837" s="16">
        <v>98</v>
      </c>
      <c r="R837" s="16">
        <v>3</v>
      </c>
      <c r="S837" s="16">
        <v>17.433800000000002</v>
      </c>
      <c r="T837" s="16">
        <v>9.6801999999999992</v>
      </c>
      <c r="U837" s="16">
        <v>1.3285313489999999</v>
      </c>
      <c r="V837" s="16">
        <v>1</v>
      </c>
      <c r="W837" s="16">
        <v>0.91531799999999996</v>
      </c>
      <c r="X837" s="16">
        <v>0.27411799999999997</v>
      </c>
      <c r="Y837" s="16">
        <v>0.7</v>
      </c>
      <c r="Z837" s="16">
        <v>0.83479499999999995</v>
      </c>
      <c r="AA837" s="37"/>
    </row>
    <row r="838" spans="1:27">
      <c r="A838" s="16" t="s">
        <v>67</v>
      </c>
      <c r="B838" s="16" t="s">
        <v>2979</v>
      </c>
      <c r="C838" s="16" t="s">
        <v>2980</v>
      </c>
      <c r="D838" s="16" t="s">
        <v>2981</v>
      </c>
      <c r="E838" s="16" t="s">
        <v>1380</v>
      </c>
      <c r="F838" s="16" t="s">
        <v>1381</v>
      </c>
      <c r="G838" s="16" t="s">
        <v>655</v>
      </c>
      <c r="H838" s="16" t="s">
        <v>656</v>
      </c>
      <c r="I838" s="16" t="s">
        <v>198</v>
      </c>
      <c r="J838" s="16" t="s">
        <v>199</v>
      </c>
      <c r="K838" s="16">
        <v>2.8798729999999999</v>
      </c>
      <c r="L838" s="36">
        <v>1836</v>
      </c>
      <c r="M838" s="16">
        <v>412</v>
      </c>
      <c r="N838" s="16">
        <v>343</v>
      </c>
      <c r="O838" s="16">
        <v>510</v>
      </c>
      <c r="P838" s="16">
        <v>379</v>
      </c>
      <c r="Q838" s="16">
        <v>192</v>
      </c>
      <c r="R838" s="16">
        <v>3</v>
      </c>
      <c r="S838" s="16">
        <v>19.729700000000001</v>
      </c>
      <c r="T838" s="16">
        <v>10.0565</v>
      </c>
      <c r="U838" s="16">
        <v>0.93691725800000003</v>
      </c>
      <c r="V838" s="16">
        <v>2</v>
      </c>
      <c r="W838" s="16">
        <v>0.92203400000000002</v>
      </c>
      <c r="X838" s="16">
        <v>0.34117599999999998</v>
      </c>
      <c r="Y838" s="16">
        <v>0.7</v>
      </c>
      <c r="Z838" s="16">
        <v>0.91627899999999995</v>
      </c>
      <c r="AA838" s="37"/>
    </row>
    <row r="839" spans="1:27">
      <c r="A839" s="16" t="s">
        <v>67</v>
      </c>
      <c r="B839" s="16" t="s">
        <v>2982</v>
      </c>
      <c r="C839" s="16" t="s">
        <v>2983</v>
      </c>
      <c r="D839" s="16" t="s">
        <v>2984</v>
      </c>
      <c r="E839" s="16" t="s">
        <v>2940</v>
      </c>
      <c r="F839" s="16" t="s">
        <v>2941</v>
      </c>
      <c r="G839" s="16" t="s">
        <v>655</v>
      </c>
      <c r="H839" s="16" t="s">
        <v>656</v>
      </c>
      <c r="I839" s="16" t="s">
        <v>198</v>
      </c>
      <c r="J839" s="16" t="s">
        <v>199</v>
      </c>
      <c r="K839" s="16">
        <v>2.7697440000000002</v>
      </c>
      <c r="L839" s="36">
        <v>1560</v>
      </c>
      <c r="M839" s="16">
        <v>228</v>
      </c>
      <c r="N839" s="16">
        <v>350</v>
      </c>
      <c r="O839" s="16">
        <v>569</v>
      </c>
      <c r="P839" s="16">
        <v>294</v>
      </c>
      <c r="Q839" s="16">
        <v>119</v>
      </c>
      <c r="R839" s="16" t="s">
        <v>302</v>
      </c>
      <c r="S839" s="16">
        <v>33.169499999999999</v>
      </c>
      <c r="T839" s="16">
        <v>17.770299999999999</v>
      </c>
      <c r="U839" s="16">
        <v>0.939869277</v>
      </c>
      <c r="V839" s="16">
        <v>2</v>
      </c>
      <c r="W839" s="16">
        <v>0.91179500000000002</v>
      </c>
      <c r="X839" s="16">
        <v>0.15126899999999999</v>
      </c>
      <c r="Y839" s="16">
        <v>0.7</v>
      </c>
      <c r="Z839" s="16">
        <v>1</v>
      </c>
      <c r="AA839" s="37"/>
    </row>
    <row r="840" spans="1:27">
      <c r="A840" s="16" t="s">
        <v>67</v>
      </c>
      <c r="B840" s="16" t="s">
        <v>2985</v>
      </c>
      <c r="C840" s="16" t="s">
        <v>2986</v>
      </c>
      <c r="D840" s="16" t="s">
        <v>2987</v>
      </c>
      <c r="E840" s="16" t="s">
        <v>2940</v>
      </c>
      <c r="F840" s="16" t="s">
        <v>2941</v>
      </c>
      <c r="G840" s="16" t="s">
        <v>655</v>
      </c>
      <c r="H840" s="16" t="s">
        <v>656</v>
      </c>
      <c r="I840" s="16" t="s">
        <v>198</v>
      </c>
      <c r="J840" s="16" t="s">
        <v>199</v>
      </c>
      <c r="K840" s="16">
        <v>2.7528920000000001</v>
      </c>
      <c r="L840" s="36">
        <v>1486</v>
      </c>
      <c r="M840" s="16">
        <v>242</v>
      </c>
      <c r="N840" s="16">
        <v>304</v>
      </c>
      <c r="O840" s="16">
        <v>576</v>
      </c>
      <c r="P840" s="16">
        <v>298</v>
      </c>
      <c r="Q840" s="16">
        <v>66</v>
      </c>
      <c r="R840" s="16">
        <v>3</v>
      </c>
      <c r="S840" s="16">
        <v>29.267299999999999</v>
      </c>
      <c r="T840" s="16">
        <v>2.2230500000000002</v>
      </c>
      <c r="U840" s="16">
        <v>0.94897894100000002</v>
      </c>
      <c r="V840" s="16">
        <v>2</v>
      </c>
      <c r="W840" s="16">
        <v>0.90413200000000005</v>
      </c>
      <c r="X840" s="16">
        <v>0.151366</v>
      </c>
      <c r="Y840" s="16">
        <v>0.7</v>
      </c>
      <c r="Z840" s="16">
        <v>1</v>
      </c>
      <c r="AA840" s="37"/>
    </row>
    <row r="841" spans="1:27">
      <c r="A841" s="16"/>
      <c r="B841" s="16"/>
      <c r="C841" s="16"/>
      <c r="D841" s="16"/>
      <c r="E841" s="16"/>
      <c r="F841" s="16"/>
      <c r="G841" s="16"/>
      <c r="H841" s="16"/>
      <c r="I841" s="16"/>
      <c r="J841" s="16"/>
      <c r="K841" s="16">
        <f>MEDIAN(K816:K840)</f>
        <v>2.7528920000000001</v>
      </c>
      <c r="L841" s="36">
        <f>AVERAGE(L816:L840)</f>
        <v>1890.52</v>
      </c>
      <c r="M841" s="16">
        <f>SUM(M816:M840)</f>
        <v>12381</v>
      </c>
      <c r="N841" s="16"/>
      <c r="O841" s="16"/>
      <c r="P841" s="16"/>
      <c r="Q841" s="16">
        <f>SUM(Q816:Q840)</f>
        <v>3897</v>
      </c>
      <c r="R841" s="16"/>
      <c r="S841" s="16"/>
      <c r="T841" s="16"/>
      <c r="U841" s="16"/>
      <c r="V841" s="16">
        <f>MIN(V816:V840)</f>
        <v>1</v>
      </c>
      <c r="W841" s="16"/>
      <c r="X841" s="16"/>
      <c r="Y841" s="16"/>
      <c r="Z841" s="16"/>
      <c r="AA841" s="37"/>
    </row>
    <row r="842" spans="1:27">
      <c r="A842" s="16" t="s">
        <v>87</v>
      </c>
      <c r="B842" s="16" t="s">
        <v>2988</v>
      </c>
      <c r="C842" s="16" t="s">
        <v>2989</v>
      </c>
      <c r="D842" s="16" t="s">
        <v>2990</v>
      </c>
      <c r="E842" s="16" t="s">
        <v>2807</v>
      </c>
      <c r="F842" s="16" t="s">
        <v>2808</v>
      </c>
      <c r="G842" s="16" t="s">
        <v>2759</v>
      </c>
      <c r="H842" s="16" t="s">
        <v>2760</v>
      </c>
      <c r="I842" s="16" t="s">
        <v>198</v>
      </c>
      <c r="J842" s="16" t="s">
        <v>199</v>
      </c>
      <c r="K842" s="16">
        <v>2.3784670000000001</v>
      </c>
      <c r="L842" s="36">
        <v>2184</v>
      </c>
      <c r="M842" s="16">
        <v>485</v>
      </c>
      <c r="N842" s="16">
        <v>359</v>
      </c>
      <c r="O842" s="16">
        <v>520</v>
      </c>
      <c r="P842" s="16">
        <v>576</v>
      </c>
      <c r="Q842" s="16">
        <v>244</v>
      </c>
      <c r="R842" s="16">
        <v>3</v>
      </c>
      <c r="S842" s="16">
        <v>17.1327</v>
      </c>
      <c r="T842" s="16">
        <v>0</v>
      </c>
      <c r="U842" s="16">
        <v>0.83863745300000003</v>
      </c>
      <c r="V842" s="16">
        <v>4</v>
      </c>
      <c r="W842" s="16">
        <v>0.85395799999999999</v>
      </c>
      <c r="X842" s="16">
        <v>0.232847</v>
      </c>
      <c r="Y842" s="16">
        <v>0.7</v>
      </c>
      <c r="Z842" s="16">
        <v>0.59393200000000002</v>
      </c>
      <c r="AA842" s="37"/>
    </row>
    <row r="843" spans="1:27">
      <c r="A843" s="16" t="s">
        <v>87</v>
      </c>
      <c r="B843" s="16" t="s">
        <v>2991</v>
      </c>
      <c r="C843" s="16" t="s">
        <v>2992</v>
      </c>
      <c r="D843" s="16" t="s">
        <v>2993</v>
      </c>
      <c r="E843" s="16" t="s">
        <v>2862</v>
      </c>
      <c r="F843" s="16" t="s">
        <v>2863</v>
      </c>
      <c r="G843" s="16" t="s">
        <v>2759</v>
      </c>
      <c r="H843" s="16" t="s">
        <v>2760</v>
      </c>
      <c r="I843" s="16" t="s">
        <v>198</v>
      </c>
      <c r="J843" s="16" t="s">
        <v>199</v>
      </c>
      <c r="K843" s="16">
        <v>1.976205</v>
      </c>
      <c r="L843" s="36">
        <v>1853</v>
      </c>
      <c r="M843" s="16">
        <v>318</v>
      </c>
      <c r="N843" s="16">
        <v>255</v>
      </c>
      <c r="O843" s="16">
        <v>313</v>
      </c>
      <c r="P843" s="16">
        <v>515</v>
      </c>
      <c r="Q843" s="16">
        <v>452</v>
      </c>
      <c r="R843" s="16">
        <v>2</v>
      </c>
      <c r="S843" s="16">
        <v>22.042300000000001</v>
      </c>
      <c r="T843" s="16">
        <v>0</v>
      </c>
      <c r="U843" s="16">
        <v>1.045583543</v>
      </c>
      <c r="V843" s="16">
        <v>5</v>
      </c>
      <c r="W843" s="16">
        <v>0.81192799999999998</v>
      </c>
      <c r="X843" s="16">
        <v>0.140517</v>
      </c>
      <c r="Y843" s="16">
        <v>0.715812</v>
      </c>
      <c r="Z843" s="16">
        <v>0.30853399999999997</v>
      </c>
      <c r="AA843" s="37"/>
    </row>
    <row r="844" spans="1:27">
      <c r="A844" s="16" t="s">
        <v>87</v>
      </c>
      <c r="B844" s="16" t="s">
        <v>2859</v>
      </c>
      <c r="C844" s="16" t="s">
        <v>2860</v>
      </c>
      <c r="D844" s="16" t="s">
        <v>2861</v>
      </c>
      <c r="E844" s="16" t="s">
        <v>2862</v>
      </c>
      <c r="F844" s="16" t="s">
        <v>2863</v>
      </c>
      <c r="G844" s="16" t="s">
        <v>2759</v>
      </c>
      <c r="H844" s="16" t="s">
        <v>2760</v>
      </c>
      <c r="I844" s="16" t="s">
        <v>198</v>
      </c>
      <c r="J844" s="16" t="s">
        <v>199</v>
      </c>
      <c r="K844" s="16">
        <v>2.4062299999999999</v>
      </c>
      <c r="L844" s="36">
        <v>2569</v>
      </c>
      <c r="M844" s="16">
        <v>540</v>
      </c>
      <c r="N844" s="16">
        <v>401</v>
      </c>
      <c r="O844" s="16">
        <v>760</v>
      </c>
      <c r="P844" s="16">
        <v>512</v>
      </c>
      <c r="Q844" s="16">
        <v>356</v>
      </c>
      <c r="R844" s="16">
        <v>4</v>
      </c>
      <c r="S844" s="16">
        <v>24.593800000000002</v>
      </c>
      <c r="T844" s="16">
        <v>0</v>
      </c>
      <c r="U844" s="16">
        <v>0.85305753900000003</v>
      </c>
      <c r="V844" s="16">
        <v>4</v>
      </c>
      <c r="W844" s="16">
        <v>0.83343800000000001</v>
      </c>
      <c r="X844" s="16">
        <v>0.367585</v>
      </c>
      <c r="Y844" s="16">
        <v>0.7</v>
      </c>
      <c r="Z844" s="16">
        <v>0.50660899999999998</v>
      </c>
      <c r="AA844" s="37"/>
    </row>
    <row r="845" spans="1:27">
      <c r="A845" s="16" t="s">
        <v>87</v>
      </c>
      <c r="B845" s="16" t="s">
        <v>2994</v>
      </c>
      <c r="C845" s="16" t="s">
        <v>2995</v>
      </c>
      <c r="D845" s="16" t="s">
        <v>2996</v>
      </c>
      <c r="E845" s="16" t="s">
        <v>2807</v>
      </c>
      <c r="F845" s="16" t="s">
        <v>2808</v>
      </c>
      <c r="G845" s="16" t="s">
        <v>2759</v>
      </c>
      <c r="H845" s="16" t="s">
        <v>2760</v>
      </c>
      <c r="I845" s="16" t="s">
        <v>198</v>
      </c>
      <c r="J845" s="16" t="s">
        <v>199</v>
      </c>
      <c r="K845" s="16">
        <v>2.3194849999999998</v>
      </c>
      <c r="L845" s="36">
        <v>2098</v>
      </c>
      <c r="M845" s="16">
        <v>604</v>
      </c>
      <c r="N845" s="16">
        <v>397</v>
      </c>
      <c r="O845" s="16">
        <v>405</v>
      </c>
      <c r="P845" s="16">
        <v>540</v>
      </c>
      <c r="Q845" s="16">
        <v>152</v>
      </c>
      <c r="R845" s="16">
        <v>2</v>
      </c>
      <c r="S845" s="16">
        <v>14.6435</v>
      </c>
      <c r="T845" s="16">
        <v>0</v>
      </c>
      <c r="U845" s="16">
        <v>1.2079672699999999</v>
      </c>
      <c r="V845" s="16">
        <v>2</v>
      </c>
      <c r="W845" s="16">
        <v>0.81996800000000003</v>
      </c>
      <c r="X845" s="16">
        <v>0.15307999999999999</v>
      </c>
      <c r="Y845" s="16">
        <v>0.7</v>
      </c>
      <c r="Z845" s="16">
        <v>0.64693500000000004</v>
      </c>
      <c r="AA845" s="37"/>
    </row>
    <row r="846" spans="1:27">
      <c r="A846" s="16" t="s">
        <v>87</v>
      </c>
      <c r="B846" s="16" t="s">
        <v>2997</v>
      </c>
      <c r="C846" s="16" t="s">
        <v>2998</v>
      </c>
      <c r="D846" s="16" t="s">
        <v>2999</v>
      </c>
      <c r="E846" s="16" t="s">
        <v>2807</v>
      </c>
      <c r="F846" s="16" t="s">
        <v>2808</v>
      </c>
      <c r="G846" s="16" t="s">
        <v>2759</v>
      </c>
      <c r="H846" s="16" t="s">
        <v>2760</v>
      </c>
      <c r="I846" s="16" t="s">
        <v>198</v>
      </c>
      <c r="J846" s="16" t="s">
        <v>199</v>
      </c>
      <c r="K846" s="16">
        <v>2.0113300000000001</v>
      </c>
      <c r="L846" s="36">
        <v>2937</v>
      </c>
      <c r="M846" s="16">
        <v>716</v>
      </c>
      <c r="N846" s="16">
        <v>539</v>
      </c>
      <c r="O846" s="16">
        <v>668</v>
      </c>
      <c r="P846" s="16">
        <v>694</v>
      </c>
      <c r="Q846" s="16">
        <v>320</v>
      </c>
      <c r="R846" s="16" t="s">
        <v>225</v>
      </c>
      <c r="S846" s="16">
        <v>11.851900000000001</v>
      </c>
      <c r="T846" s="16">
        <v>0</v>
      </c>
      <c r="U846" s="16">
        <v>1.041361411</v>
      </c>
      <c r="V846" s="16">
        <v>5</v>
      </c>
      <c r="W846" s="16">
        <v>0.81045299999999998</v>
      </c>
      <c r="X846" s="16">
        <v>0.10457</v>
      </c>
      <c r="Y846" s="16">
        <v>0.7</v>
      </c>
      <c r="Z846" s="16">
        <v>0.39559</v>
      </c>
      <c r="AA846" s="37"/>
    </row>
    <row r="847" spans="1:27">
      <c r="A847" s="16"/>
      <c r="B847" s="16"/>
      <c r="C847" s="16"/>
      <c r="D847" s="16"/>
      <c r="E847" s="16"/>
      <c r="F847" s="16"/>
      <c r="G847" s="16"/>
      <c r="H847" s="16"/>
      <c r="I847" s="16"/>
      <c r="J847" s="16"/>
      <c r="K847" s="16">
        <f>MEDIAN(K842:K846)</f>
        <v>2.3194849999999998</v>
      </c>
      <c r="L847" s="36">
        <f>AVERAGE(L842:L846)</f>
        <v>2328.1999999999998</v>
      </c>
      <c r="M847" s="36">
        <f t="shared" ref="M847:Q847" si="70">SUM(M842:M846)</f>
        <v>2663</v>
      </c>
      <c r="N847" s="36">
        <f t="shared" si="70"/>
        <v>1951</v>
      </c>
      <c r="O847" s="36">
        <f t="shared" si="70"/>
        <v>2666</v>
      </c>
      <c r="P847" s="36">
        <f t="shared" si="70"/>
        <v>2837</v>
      </c>
      <c r="Q847" s="36">
        <f t="shared" si="70"/>
        <v>1524</v>
      </c>
      <c r="R847" s="16"/>
      <c r="S847" s="16"/>
      <c r="T847" s="16"/>
      <c r="U847" s="16"/>
      <c r="V847" s="16">
        <f>MEDIAN(V842:V846)</f>
        <v>4</v>
      </c>
      <c r="W847" s="16"/>
      <c r="X847" s="16"/>
      <c r="Y847" s="16"/>
      <c r="Z847" s="16"/>
      <c r="AA847" s="37"/>
    </row>
    <row r="848" spans="1:27">
      <c r="A848" s="16" t="s">
        <v>94</v>
      </c>
      <c r="B848" s="16" t="s">
        <v>3000</v>
      </c>
      <c r="C848" s="16" t="s">
        <v>3001</v>
      </c>
      <c r="D848" s="16" t="s">
        <v>3002</v>
      </c>
      <c r="E848" s="16" t="s">
        <v>2757</v>
      </c>
      <c r="F848" s="16" t="s">
        <v>2758</v>
      </c>
      <c r="G848" s="16" t="s">
        <v>2759</v>
      </c>
      <c r="H848" s="16" t="s">
        <v>2760</v>
      </c>
      <c r="I848" s="16" t="s">
        <v>198</v>
      </c>
      <c r="J848" s="16" t="s">
        <v>199</v>
      </c>
      <c r="K848" s="16">
        <v>2.5140259999999999</v>
      </c>
      <c r="L848" s="36">
        <v>1764</v>
      </c>
      <c r="M848" s="16">
        <v>372</v>
      </c>
      <c r="N848" s="16">
        <v>296</v>
      </c>
      <c r="O848" s="16">
        <v>484</v>
      </c>
      <c r="P848" s="16">
        <v>456</v>
      </c>
      <c r="Q848" s="16">
        <v>156</v>
      </c>
      <c r="R848" s="16">
        <v>4</v>
      </c>
      <c r="S848" s="16">
        <v>20.436699999999998</v>
      </c>
      <c r="T848" s="16">
        <v>13.520099999999999</v>
      </c>
      <c r="U848" s="16">
        <v>0.76910120400000004</v>
      </c>
      <c r="V848" s="16">
        <v>4</v>
      </c>
      <c r="W848" s="16">
        <v>0.89617500000000005</v>
      </c>
      <c r="X848" s="16">
        <v>0.14818799999999999</v>
      </c>
      <c r="Y848" s="16">
        <v>0.7</v>
      </c>
      <c r="Z848" s="16">
        <v>0.77500000000000002</v>
      </c>
      <c r="AA848" s="37"/>
    </row>
    <row r="849" spans="1:27">
      <c r="A849" s="16" t="s">
        <v>94</v>
      </c>
      <c r="B849" s="16" t="s">
        <v>2761</v>
      </c>
      <c r="C849" s="16" t="s">
        <v>2762</v>
      </c>
      <c r="D849" s="16" t="s">
        <v>2763</v>
      </c>
      <c r="E849" s="16" t="s">
        <v>2757</v>
      </c>
      <c r="F849" s="16" t="s">
        <v>2758</v>
      </c>
      <c r="G849" s="16" t="s">
        <v>2759</v>
      </c>
      <c r="H849" s="16" t="s">
        <v>2760</v>
      </c>
      <c r="I849" s="16" t="s">
        <v>198</v>
      </c>
      <c r="J849" s="16" t="s">
        <v>199</v>
      </c>
      <c r="K849" s="16">
        <v>2.5142419999999999</v>
      </c>
      <c r="L849" s="36">
        <v>1800</v>
      </c>
      <c r="M849" s="16">
        <v>380</v>
      </c>
      <c r="N849" s="16">
        <v>308</v>
      </c>
      <c r="O849" s="16">
        <v>434</v>
      </c>
      <c r="P849" s="16">
        <v>476</v>
      </c>
      <c r="Q849" s="16">
        <v>202</v>
      </c>
      <c r="R849" s="16">
        <v>3</v>
      </c>
      <c r="S849" s="16">
        <v>19.968900000000001</v>
      </c>
      <c r="T849" s="16">
        <v>8.4764300000000006</v>
      </c>
      <c r="U849" s="16">
        <v>0.73669537600000001</v>
      </c>
      <c r="V849" s="16">
        <v>5</v>
      </c>
      <c r="W849" s="16">
        <v>0.90107199999999998</v>
      </c>
      <c r="X849" s="16">
        <v>0.211621</v>
      </c>
      <c r="Y849" s="16">
        <v>0.7</v>
      </c>
      <c r="Z849" s="16">
        <v>0.69004600000000005</v>
      </c>
      <c r="AA849" s="37"/>
    </row>
    <row r="850" spans="1:27">
      <c r="A850" s="16" t="s">
        <v>94</v>
      </c>
      <c r="B850" s="16" t="s">
        <v>3003</v>
      </c>
      <c r="C850" s="16" t="s">
        <v>3004</v>
      </c>
      <c r="D850" s="16" t="s">
        <v>3005</v>
      </c>
      <c r="E850" s="16" t="s">
        <v>3006</v>
      </c>
      <c r="F850" s="16" t="s">
        <v>3007</v>
      </c>
      <c r="G850" s="16" t="s">
        <v>2759</v>
      </c>
      <c r="H850" s="16" t="s">
        <v>2760</v>
      </c>
      <c r="I850" s="16" t="s">
        <v>198</v>
      </c>
      <c r="J850" s="16" t="s">
        <v>199</v>
      </c>
      <c r="K850" s="16">
        <v>2.4022139999999998</v>
      </c>
      <c r="L850" s="36">
        <v>1941</v>
      </c>
      <c r="M850" s="16">
        <v>505</v>
      </c>
      <c r="N850" s="16">
        <v>308</v>
      </c>
      <c r="O850" s="16">
        <v>502</v>
      </c>
      <c r="P850" s="16">
        <v>427</v>
      </c>
      <c r="Q850" s="16">
        <v>199</v>
      </c>
      <c r="R850" s="16">
        <v>2</v>
      </c>
      <c r="S850" s="16">
        <v>12.913399999999999</v>
      </c>
      <c r="T850" s="16">
        <v>1.71465</v>
      </c>
      <c r="U850" s="16">
        <v>0.88854953599999997</v>
      </c>
      <c r="V850" s="16">
        <v>4</v>
      </c>
      <c r="W850" s="16">
        <v>0.88020799999999999</v>
      </c>
      <c r="X850" s="16">
        <v>0.122266</v>
      </c>
      <c r="Y850" s="16">
        <v>0.88468599999999997</v>
      </c>
      <c r="Z850" s="16">
        <v>0.50902000000000003</v>
      </c>
      <c r="AA850" s="37"/>
    </row>
    <row r="851" spans="1:27">
      <c r="A851" s="16" t="s">
        <v>94</v>
      </c>
      <c r="B851" s="16" t="s">
        <v>3008</v>
      </c>
      <c r="C851" s="16" t="s">
        <v>3009</v>
      </c>
      <c r="D851" s="16" t="s">
        <v>3010</v>
      </c>
      <c r="E851" s="16" t="s">
        <v>3011</v>
      </c>
      <c r="F851" s="16" t="s">
        <v>3012</v>
      </c>
      <c r="G851" s="16" t="s">
        <v>2759</v>
      </c>
      <c r="H851" s="16" t="s">
        <v>2760</v>
      </c>
      <c r="I851" s="16" t="s">
        <v>198</v>
      </c>
      <c r="J851" s="16" t="s">
        <v>199</v>
      </c>
      <c r="K851" s="16">
        <v>2.4792169999999998</v>
      </c>
      <c r="L851" s="36">
        <v>1673</v>
      </c>
      <c r="M851" s="16">
        <v>380</v>
      </c>
      <c r="N851" s="16">
        <v>260</v>
      </c>
      <c r="O851" s="16">
        <v>377</v>
      </c>
      <c r="P851" s="16">
        <v>449</v>
      </c>
      <c r="Q851" s="16">
        <v>207</v>
      </c>
      <c r="R851" s="16">
        <v>2</v>
      </c>
      <c r="S851" s="16">
        <v>10.9377</v>
      </c>
      <c r="T851" s="16">
        <v>2.1732399999999998</v>
      </c>
      <c r="U851" s="16">
        <v>0.79661826999999996</v>
      </c>
      <c r="V851" s="16">
        <v>5</v>
      </c>
      <c r="W851" s="16">
        <v>0.90361400000000003</v>
      </c>
      <c r="X851" s="16">
        <v>6.4285999999999996E-2</v>
      </c>
      <c r="Y851" s="16">
        <v>0.9</v>
      </c>
      <c r="Z851" s="16">
        <v>0.63630799999999998</v>
      </c>
      <c r="AA851" s="37"/>
    </row>
    <row r="852" spans="1:27">
      <c r="A852" s="16" t="s">
        <v>94</v>
      </c>
      <c r="B852" s="16" t="s">
        <v>3013</v>
      </c>
      <c r="C852" s="16" t="s">
        <v>3014</v>
      </c>
      <c r="D852" s="16" t="s">
        <v>3015</v>
      </c>
      <c r="E852" s="16" t="s">
        <v>3011</v>
      </c>
      <c r="F852" s="16" t="s">
        <v>3012</v>
      </c>
      <c r="G852" s="16" t="s">
        <v>2759</v>
      </c>
      <c r="H852" s="16" t="s">
        <v>2760</v>
      </c>
      <c r="I852" s="16" t="s">
        <v>198</v>
      </c>
      <c r="J852" s="16" t="s">
        <v>199</v>
      </c>
      <c r="K852" s="16">
        <v>2.5623429999999998</v>
      </c>
      <c r="L852" s="36">
        <v>1884</v>
      </c>
      <c r="M852" s="16">
        <v>488</v>
      </c>
      <c r="N852" s="16">
        <v>286</v>
      </c>
      <c r="O852" s="16">
        <v>449</v>
      </c>
      <c r="P852" s="16">
        <v>476</v>
      </c>
      <c r="Q852" s="16">
        <v>185</v>
      </c>
      <c r="R852" s="16">
        <v>2</v>
      </c>
      <c r="S852" s="16">
        <v>12.635400000000001</v>
      </c>
      <c r="T852" s="16">
        <v>3.3923999999999999</v>
      </c>
      <c r="U852" s="16">
        <v>0.82237673099999997</v>
      </c>
      <c r="V852" s="16">
        <v>3</v>
      </c>
      <c r="W852" s="16">
        <v>0.90669500000000003</v>
      </c>
      <c r="X852" s="16">
        <v>0.190833</v>
      </c>
      <c r="Y852" s="16">
        <v>0.84268299999999996</v>
      </c>
      <c r="Z852" s="16">
        <v>0.61504099999999995</v>
      </c>
      <c r="AA852" s="37"/>
    </row>
    <row r="853" spans="1:27">
      <c r="A853" s="16" t="s">
        <v>94</v>
      </c>
      <c r="B853" s="16" t="s">
        <v>3016</v>
      </c>
      <c r="C853" s="16" t="s">
        <v>3017</v>
      </c>
      <c r="D853" s="16" t="s">
        <v>3018</v>
      </c>
      <c r="E853" s="16" t="s">
        <v>3011</v>
      </c>
      <c r="F853" s="16" t="s">
        <v>3012</v>
      </c>
      <c r="G853" s="16" t="s">
        <v>2759</v>
      </c>
      <c r="H853" s="16" t="s">
        <v>2760</v>
      </c>
      <c r="I853" s="16" t="s">
        <v>198</v>
      </c>
      <c r="J853" s="16" t="s">
        <v>199</v>
      </c>
      <c r="K853" s="16">
        <v>2.5519949999999998</v>
      </c>
      <c r="L853" s="36">
        <v>1598</v>
      </c>
      <c r="M853" s="16">
        <v>484</v>
      </c>
      <c r="N853" s="16">
        <v>252</v>
      </c>
      <c r="O853" s="16">
        <v>409</v>
      </c>
      <c r="P853" s="16">
        <v>365</v>
      </c>
      <c r="Q853" s="16">
        <v>88</v>
      </c>
      <c r="R853" s="16">
        <v>2</v>
      </c>
      <c r="S853" s="16">
        <v>11.655900000000001</v>
      </c>
      <c r="T853" s="16">
        <v>2.7159499999999999</v>
      </c>
      <c r="U853" s="16">
        <v>0.971925072</v>
      </c>
      <c r="V853" s="16">
        <v>3</v>
      </c>
      <c r="W853" s="16">
        <v>0.82599800000000001</v>
      </c>
      <c r="X853" s="16">
        <v>6.4225000000000004E-2</v>
      </c>
      <c r="Y853" s="16">
        <v>0.8</v>
      </c>
      <c r="Z853" s="16">
        <v>0.85169899999999998</v>
      </c>
      <c r="AA853" s="37"/>
    </row>
    <row r="854" spans="1:27">
      <c r="A854" s="16" t="s">
        <v>94</v>
      </c>
      <c r="B854" s="16" t="s">
        <v>3019</v>
      </c>
      <c r="C854" s="16" t="s">
        <v>3020</v>
      </c>
      <c r="D854" s="16" t="s">
        <v>3021</v>
      </c>
      <c r="E854" s="16" t="s">
        <v>3022</v>
      </c>
      <c r="F854" s="16" t="s">
        <v>3023</v>
      </c>
      <c r="G854" s="16" t="s">
        <v>2759</v>
      </c>
      <c r="H854" s="16" t="s">
        <v>2760</v>
      </c>
      <c r="I854" s="16" t="s">
        <v>198</v>
      </c>
      <c r="J854" s="16" t="s">
        <v>199</v>
      </c>
      <c r="K854" s="16">
        <v>2.5831870000000001</v>
      </c>
      <c r="L854" s="36">
        <v>1721</v>
      </c>
      <c r="M854" s="16">
        <v>477</v>
      </c>
      <c r="N854" s="16">
        <v>251</v>
      </c>
      <c r="O854" s="16">
        <v>389</v>
      </c>
      <c r="P854" s="16">
        <v>469</v>
      </c>
      <c r="Q854" s="16">
        <v>135</v>
      </c>
      <c r="R854" s="16">
        <v>2</v>
      </c>
      <c r="S854" s="16">
        <v>12.673299999999999</v>
      </c>
      <c r="T854" s="16">
        <v>6.1327600000000002</v>
      </c>
      <c r="U854" s="16">
        <v>0.93354050899999996</v>
      </c>
      <c r="V854" s="16">
        <v>3</v>
      </c>
      <c r="W854" s="16">
        <v>0.90840600000000005</v>
      </c>
      <c r="X854" s="16">
        <v>0.18513299999999999</v>
      </c>
      <c r="Y854" s="16">
        <v>0.8</v>
      </c>
      <c r="Z854" s="16">
        <v>0.70052499999999995</v>
      </c>
      <c r="AA854" s="37"/>
    </row>
    <row r="855" spans="1:27">
      <c r="A855" s="16" t="s">
        <v>94</v>
      </c>
      <c r="B855" s="16" t="s">
        <v>3024</v>
      </c>
      <c r="C855" s="16" t="s">
        <v>3025</v>
      </c>
      <c r="D855" s="16" t="s">
        <v>3026</v>
      </c>
      <c r="E855" s="16" t="s">
        <v>3022</v>
      </c>
      <c r="F855" s="16" t="s">
        <v>3023</v>
      </c>
      <c r="G855" s="16" t="s">
        <v>2759</v>
      </c>
      <c r="H855" s="16" t="s">
        <v>2760</v>
      </c>
      <c r="I855" s="16" t="s">
        <v>198</v>
      </c>
      <c r="J855" s="16" t="s">
        <v>199</v>
      </c>
      <c r="K855" s="16">
        <v>2.600746</v>
      </c>
      <c r="L855" s="36">
        <v>1634</v>
      </c>
      <c r="M855" s="16">
        <v>451</v>
      </c>
      <c r="N855" s="16">
        <v>290</v>
      </c>
      <c r="O855" s="16">
        <v>330</v>
      </c>
      <c r="P855" s="16">
        <v>406</v>
      </c>
      <c r="Q855" s="16">
        <v>157</v>
      </c>
      <c r="R855" s="16">
        <v>2</v>
      </c>
      <c r="S855" s="16">
        <v>30.773399999999999</v>
      </c>
      <c r="T855" s="16">
        <v>2.5371899999999998</v>
      </c>
      <c r="U855" s="16">
        <v>1.0632843649999999</v>
      </c>
      <c r="V855" s="16">
        <v>2</v>
      </c>
      <c r="W855" s="16">
        <v>0.86373100000000003</v>
      </c>
      <c r="X855" s="16">
        <v>0.121131</v>
      </c>
      <c r="Y855" s="16">
        <v>0.74458299999999999</v>
      </c>
      <c r="Z855" s="16">
        <v>0.86853899999999995</v>
      </c>
      <c r="AA855" s="37"/>
    </row>
    <row r="856" spans="1:27">
      <c r="A856" s="16" t="s">
        <v>94</v>
      </c>
      <c r="B856" s="16" t="s">
        <v>3027</v>
      </c>
      <c r="C856" s="16" t="s">
        <v>3028</v>
      </c>
      <c r="D856" s="16" t="s">
        <v>3029</v>
      </c>
      <c r="E856" s="16" t="s">
        <v>2757</v>
      </c>
      <c r="F856" s="16" t="s">
        <v>2758</v>
      </c>
      <c r="G856" s="16" t="s">
        <v>2759</v>
      </c>
      <c r="H856" s="16" t="s">
        <v>2760</v>
      </c>
      <c r="I856" s="16" t="s">
        <v>198</v>
      </c>
      <c r="J856" s="16" t="s">
        <v>199</v>
      </c>
      <c r="K856" s="16">
        <v>2.6266630000000002</v>
      </c>
      <c r="L856" s="36">
        <v>4494</v>
      </c>
      <c r="M856" s="36">
        <v>1201</v>
      </c>
      <c r="N856" s="36">
        <v>891</v>
      </c>
      <c r="O856" s="36">
        <v>1496</v>
      </c>
      <c r="P856" s="36">
        <v>728</v>
      </c>
      <c r="Q856" s="36">
        <v>178</v>
      </c>
      <c r="R856" s="16">
        <v>5</v>
      </c>
      <c r="S856" s="16"/>
      <c r="T856" s="16"/>
      <c r="U856" s="16"/>
      <c r="V856" s="16">
        <v>3</v>
      </c>
      <c r="W856" s="16">
        <v>0.88647100000000001</v>
      </c>
      <c r="X856" s="16">
        <v>0.110193</v>
      </c>
      <c r="Y856" s="16">
        <v>0.700847</v>
      </c>
      <c r="Z856" s="16">
        <v>0.93113699999999999</v>
      </c>
      <c r="AA856" s="37"/>
    </row>
    <row r="857" spans="1:27">
      <c r="A857" s="16"/>
      <c r="B857" s="16"/>
      <c r="C857" s="16"/>
      <c r="D857" s="16"/>
      <c r="E857" s="16"/>
      <c r="F857" s="16"/>
      <c r="G857" s="16"/>
      <c r="H857" s="16"/>
      <c r="I857" s="16"/>
      <c r="J857" s="16"/>
      <c r="K857" s="16">
        <f>MEDIAN(K848:K856)</f>
        <v>2.5519949999999998</v>
      </c>
      <c r="L857" s="36">
        <f>AVERAGE(L848:L856)</f>
        <v>2056.5555555555557</v>
      </c>
      <c r="M857" s="36">
        <f t="shared" ref="M857:Q857" si="71">SUM(M848:M856)</f>
        <v>4738</v>
      </c>
      <c r="N857" s="36">
        <f t="shared" si="71"/>
        <v>3142</v>
      </c>
      <c r="O857" s="36">
        <f t="shared" si="71"/>
        <v>4870</v>
      </c>
      <c r="P857" s="36">
        <f t="shared" si="71"/>
        <v>4252</v>
      </c>
      <c r="Q857" s="36">
        <f t="shared" si="71"/>
        <v>1507</v>
      </c>
      <c r="R857" s="16"/>
      <c r="S857" s="16"/>
      <c r="T857" s="16"/>
      <c r="U857" s="16"/>
      <c r="V857" s="16">
        <f>MEDIAN(V848:V856)</f>
        <v>3</v>
      </c>
      <c r="W857" s="16"/>
      <c r="X857" s="16"/>
      <c r="Y857" s="16"/>
      <c r="Z857" s="16"/>
      <c r="AA857" s="37"/>
    </row>
    <row r="858" spans="1:27">
      <c r="A858" s="16" t="s">
        <v>93</v>
      </c>
      <c r="B858" s="16" t="s">
        <v>3030</v>
      </c>
      <c r="C858" s="16" t="s">
        <v>3031</v>
      </c>
      <c r="D858" s="16" t="s">
        <v>3032</v>
      </c>
      <c r="E858" s="16" t="s">
        <v>3033</v>
      </c>
      <c r="F858" s="16" t="s">
        <v>3034</v>
      </c>
      <c r="G858" s="16" t="s">
        <v>1261</v>
      </c>
      <c r="H858" s="16" t="s">
        <v>1262</v>
      </c>
      <c r="I858" s="16" t="s">
        <v>198</v>
      </c>
      <c r="J858" s="16" t="s">
        <v>199</v>
      </c>
      <c r="K858" s="16">
        <v>2.613661</v>
      </c>
      <c r="L858" s="36">
        <v>2021</v>
      </c>
      <c r="M858" s="16">
        <v>441</v>
      </c>
      <c r="N858" s="16">
        <v>366</v>
      </c>
      <c r="O858" s="16">
        <v>506</v>
      </c>
      <c r="P858" s="16">
        <v>529</v>
      </c>
      <c r="Q858" s="16">
        <v>179</v>
      </c>
      <c r="R858" s="16">
        <v>4</v>
      </c>
      <c r="S858" s="16">
        <v>22.612300000000001</v>
      </c>
      <c r="T858" s="16">
        <v>8.1785099999999993</v>
      </c>
      <c r="U858" s="16">
        <v>1.0257592740000001</v>
      </c>
      <c r="V858" s="16">
        <v>2</v>
      </c>
      <c r="W858" s="16">
        <v>0.90573800000000004</v>
      </c>
      <c r="X858" s="16">
        <v>0.117808</v>
      </c>
      <c r="Y858" s="16">
        <v>0.7</v>
      </c>
      <c r="Z858" s="16">
        <v>0.88342500000000002</v>
      </c>
      <c r="AA858" s="37"/>
    </row>
    <row r="859" spans="1:27">
      <c r="A859" s="16" t="s">
        <v>93</v>
      </c>
      <c r="B859" s="16" t="s">
        <v>3035</v>
      </c>
      <c r="C859" s="16" t="s">
        <v>3036</v>
      </c>
      <c r="D859" s="16" t="s">
        <v>3037</v>
      </c>
      <c r="E859" s="16" t="s">
        <v>3033</v>
      </c>
      <c r="F859" s="16" t="s">
        <v>3034</v>
      </c>
      <c r="G859" s="16" t="s">
        <v>1261</v>
      </c>
      <c r="H859" s="16" t="s">
        <v>1262</v>
      </c>
      <c r="I859" s="16" t="s">
        <v>198</v>
      </c>
      <c r="J859" s="16" t="s">
        <v>199</v>
      </c>
      <c r="K859" s="16">
        <v>2.4539520000000001</v>
      </c>
      <c r="L859" s="36">
        <v>2777</v>
      </c>
      <c r="M859" s="16">
        <v>437</v>
      </c>
      <c r="N859" s="16">
        <v>664</v>
      </c>
      <c r="O859" s="16">
        <v>889</v>
      </c>
      <c r="P859" s="16">
        <v>617</v>
      </c>
      <c r="Q859" s="16">
        <v>170</v>
      </c>
      <c r="R859" s="16">
        <v>5</v>
      </c>
      <c r="S859" s="16">
        <v>38.933599999999998</v>
      </c>
      <c r="T859" s="16">
        <v>18.5258</v>
      </c>
      <c r="U859" s="16">
        <v>1.0443294350000001</v>
      </c>
      <c r="V859" s="16">
        <v>3</v>
      </c>
      <c r="W859" s="16">
        <v>0.90429599999999999</v>
      </c>
      <c r="X859" s="16">
        <v>0.115318</v>
      </c>
      <c r="Y859" s="16">
        <v>0.7</v>
      </c>
      <c r="Z859" s="16">
        <v>0.72621500000000005</v>
      </c>
      <c r="AA859" s="37"/>
    </row>
    <row r="860" spans="1:27">
      <c r="A860" s="16" t="s">
        <v>93</v>
      </c>
      <c r="B860" s="16" t="s">
        <v>2616</v>
      </c>
      <c r="C860" s="16" t="s">
        <v>2617</v>
      </c>
      <c r="D860" s="16" t="s">
        <v>2618</v>
      </c>
      <c r="E860" s="16" t="s">
        <v>2169</v>
      </c>
      <c r="F860" s="16" t="s">
        <v>2170</v>
      </c>
      <c r="G860" s="16" t="s">
        <v>2164</v>
      </c>
      <c r="H860" s="16" t="s">
        <v>2165</v>
      </c>
      <c r="I860" s="16" t="s">
        <v>198</v>
      </c>
      <c r="J860" s="16" t="s">
        <v>199</v>
      </c>
      <c r="K860" s="16">
        <v>2.7793679999999998</v>
      </c>
      <c r="L860" s="36">
        <v>2038</v>
      </c>
      <c r="M860" s="16">
        <v>295</v>
      </c>
      <c r="N860" s="16">
        <v>889</v>
      </c>
      <c r="O860" s="16">
        <v>519</v>
      </c>
      <c r="P860" s="16">
        <v>244</v>
      </c>
      <c r="Q860" s="16">
        <v>91</v>
      </c>
      <c r="R860" s="16" t="s">
        <v>302</v>
      </c>
      <c r="S860" s="16">
        <v>45.970399999999998</v>
      </c>
      <c r="T860" s="16">
        <v>32.466299999999997</v>
      </c>
      <c r="U860" s="16">
        <v>0.72129545299999998</v>
      </c>
      <c r="V860" s="16">
        <v>4</v>
      </c>
      <c r="W860" s="16">
        <v>0.91996699999999998</v>
      </c>
      <c r="X860" s="16">
        <v>0.32954899999999998</v>
      </c>
      <c r="Y860" s="16">
        <v>0.7</v>
      </c>
      <c r="Z860" s="16">
        <v>0.84875599999999995</v>
      </c>
      <c r="AA860" s="37"/>
    </row>
    <row r="861" spans="1:27">
      <c r="A861" s="16" t="s">
        <v>93</v>
      </c>
      <c r="B861" s="16" t="s">
        <v>3038</v>
      </c>
      <c r="C861" s="16" t="s">
        <v>3039</v>
      </c>
      <c r="D861" s="16" t="s">
        <v>3040</v>
      </c>
      <c r="E861" s="16" t="s">
        <v>3041</v>
      </c>
      <c r="F861" s="16" t="s">
        <v>3042</v>
      </c>
      <c r="G861" s="16" t="s">
        <v>2164</v>
      </c>
      <c r="H861" s="16" t="s">
        <v>2165</v>
      </c>
      <c r="I861" s="16" t="s">
        <v>198</v>
      </c>
      <c r="J861" s="16" t="s">
        <v>199</v>
      </c>
      <c r="K861" s="16">
        <v>2.7918319999999999</v>
      </c>
      <c r="L861" s="36">
        <v>2084</v>
      </c>
      <c r="M861" s="16">
        <v>397</v>
      </c>
      <c r="N861" s="16">
        <v>465</v>
      </c>
      <c r="O861" s="16">
        <v>538</v>
      </c>
      <c r="P861" s="16">
        <v>496</v>
      </c>
      <c r="Q861" s="16">
        <v>188</v>
      </c>
      <c r="R861" s="16" t="s">
        <v>302</v>
      </c>
      <c r="S861" s="16">
        <v>38.808500000000002</v>
      </c>
      <c r="T861" s="16">
        <v>22.160900000000002</v>
      </c>
      <c r="U861" s="16">
        <v>0.92492414000000001</v>
      </c>
      <c r="V861" s="16">
        <v>2</v>
      </c>
      <c r="W861" s="16">
        <v>0.91782200000000003</v>
      </c>
      <c r="X861" s="16">
        <v>0.44292900000000002</v>
      </c>
      <c r="Y861" s="16">
        <v>0.7</v>
      </c>
      <c r="Z861" s="16">
        <v>0.72903200000000001</v>
      </c>
      <c r="AA861" s="37"/>
    </row>
    <row r="862" spans="1:27">
      <c r="A862" s="16" t="s">
        <v>93</v>
      </c>
      <c r="B862" s="16" t="s">
        <v>3043</v>
      </c>
      <c r="C862" s="16" t="s">
        <v>3044</v>
      </c>
      <c r="D862" s="16" t="s">
        <v>3045</v>
      </c>
      <c r="E862" s="16" t="s">
        <v>3041</v>
      </c>
      <c r="F862" s="16" t="s">
        <v>3042</v>
      </c>
      <c r="G862" s="16" t="s">
        <v>2164</v>
      </c>
      <c r="H862" s="16" t="s">
        <v>2165</v>
      </c>
      <c r="I862" s="16" t="s">
        <v>198</v>
      </c>
      <c r="J862" s="16" t="s">
        <v>199</v>
      </c>
      <c r="K862" s="16">
        <v>2.3875289999999998</v>
      </c>
      <c r="L862" s="36">
        <v>1778</v>
      </c>
      <c r="M862" s="16">
        <v>284</v>
      </c>
      <c r="N862" s="16">
        <v>471</v>
      </c>
      <c r="O862" s="16">
        <v>413</v>
      </c>
      <c r="P862" s="16">
        <v>428</v>
      </c>
      <c r="Q862" s="16">
        <v>182</v>
      </c>
      <c r="R862" s="16">
        <v>5</v>
      </c>
      <c r="S862" s="16">
        <v>36.314500000000002</v>
      </c>
      <c r="T862" s="16">
        <v>2.1583000000000001</v>
      </c>
      <c r="U862" s="16">
        <v>0.95673057500000003</v>
      </c>
      <c r="V862" s="16">
        <v>4</v>
      </c>
      <c r="W862" s="16">
        <v>0.915242</v>
      </c>
      <c r="X862" s="16">
        <v>0.17563200000000001</v>
      </c>
      <c r="Y862" s="16">
        <v>0.7</v>
      </c>
      <c r="Z862" s="16">
        <v>0.62283100000000002</v>
      </c>
      <c r="AA862" s="37"/>
    </row>
    <row r="863" spans="1:27">
      <c r="A863" s="16" t="s">
        <v>93</v>
      </c>
      <c r="B863" s="16" t="s">
        <v>3046</v>
      </c>
      <c r="C863" s="16" t="s">
        <v>3047</v>
      </c>
      <c r="D863" s="16" t="s">
        <v>3048</v>
      </c>
      <c r="E863" s="16" t="s">
        <v>3041</v>
      </c>
      <c r="F863" s="16" t="s">
        <v>3042</v>
      </c>
      <c r="G863" s="16" t="s">
        <v>2164</v>
      </c>
      <c r="H863" s="16" t="s">
        <v>2165</v>
      </c>
      <c r="I863" s="16" t="s">
        <v>198</v>
      </c>
      <c r="J863" s="16" t="s">
        <v>199</v>
      </c>
      <c r="K863" s="16">
        <v>2.454348</v>
      </c>
      <c r="L863" s="36">
        <v>1948</v>
      </c>
      <c r="M863" s="16">
        <v>226</v>
      </c>
      <c r="N863" s="16">
        <v>674</v>
      </c>
      <c r="O863" s="16">
        <v>580</v>
      </c>
      <c r="P863" s="16">
        <v>337</v>
      </c>
      <c r="Q863" s="16">
        <v>131</v>
      </c>
      <c r="R863" s="16" t="s">
        <v>302</v>
      </c>
      <c r="S863" s="16">
        <v>47.888300000000001</v>
      </c>
      <c r="T863" s="16">
        <v>25.7837</v>
      </c>
      <c r="U863" s="16">
        <v>0.74874763</v>
      </c>
      <c r="V863" s="16">
        <v>5</v>
      </c>
      <c r="W863" s="16">
        <v>0.91304300000000005</v>
      </c>
      <c r="X863" s="16">
        <v>0.18531700000000001</v>
      </c>
      <c r="Y863" s="16">
        <v>0.7</v>
      </c>
      <c r="Z863" s="16">
        <v>0.66043700000000005</v>
      </c>
      <c r="AA863" s="37"/>
    </row>
    <row r="864" spans="1:27">
      <c r="A864" s="16" t="s">
        <v>93</v>
      </c>
      <c r="B864" s="16" t="s">
        <v>3049</v>
      </c>
      <c r="C864" s="16" t="s">
        <v>3050</v>
      </c>
      <c r="D864" s="16" t="s">
        <v>3051</v>
      </c>
      <c r="E864" s="16" t="s">
        <v>3052</v>
      </c>
      <c r="F864" s="16" t="s">
        <v>3053</v>
      </c>
      <c r="G864" s="16" t="s">
        <v>2164</v>
      </c>
      <c r="H864" s="16" t="s">
        <v>2165</v>
      </c>
      <c r="I864" s="16" t="s">
        <v>198</v>
      </c>
      <c r="J864" s="16" t="s">
        <v>199</v>
      </c>
      <c r="K864" s="16">
        <v>2.578049</v>
      </c>
      <c r="L864" s="36">
        <v>1945</v>
      </c>
      <c r="M864" s="16">
        <v>408</v>
      </c>
      <c r="N864" s="16">
        <v>434</v>
      </c>
      <c r="O864" s="16">
        <v>506</v>
      </c>
      <c r="P864" s="16">
        <v>398</v>
      </c>
      <c r="Q864" s="16">
        <v>199</v>
      </c>
      <c r="R864" s="16">
        <v>2</v>
      </c>
      <c r="S864" s="16">
        <v>18.078299999999999</v>
      </c>
      <c r="T864" s="16">
        <v>1.80765</v>
      </c>
      <c r="U864" s="16">
        <v>1.0134807320000001</v>
      </c>
      <c r="V864" s="16">
        <v>2</v>
      </c>
      <c r="W864" s="16">
        <v>0.90365899999999999</v>
      </c>
      <c r="X864" s="16">
        <v>8.6144999999999999E-2</v>
      </c>
      <c r="Y864" s="16">
        <v>0.7</v>
      </c>
      <c r="Z864" s="16">
        <v>0.88658499999999996</v>
      </c>
      <c r="AA864" s="37"/>
    </row>
    <row r="865" spans="1:27">
      <c r="A865" s="16" t="s">
        <v>93</v>
      </c>
      <c r="B865" s="16" t="s">
        <v>3054</v>
      </c>
      <c r="C865" s="16" t="s">
        <v>3055</v>
      </c>
      <c r="D865" s="16" t="s">
        <v>3056</v>
      </c>
      <c r="E865" s="16" t="s">
        <v>3052</v>
      </c>
      <c r="F865" s="16" t="s">
        <v>3053</v>
      </c>
      <c r="G865" s="16" t="s">
        <v>2164</v>
      </c>
      <c r="H865" s="16" t="s">
        <v>2165</v>
      </c>
      <c r="I865" s="16" t="s">
        <v>198</v>
      </c>
      <c r="J865" s="16" t="s">
        <v>199</v>
      </c>
      <c r="K865" s="16">
        <v>2.5656819999999998</v>
      </c>
      <c r="L865" s="36">
        <v>1695</v>
      </c>
      <c r="M865" s="16">
        <v>296</v>
      </c>
      <c r="N865" s="16">
        <v>462</v>
      </c>
      <c r="O865" s="16">
        <v>466</v>
      </c>
      <c r="P865" s="16">
        <v>359</v>
      </c>
      <c r="Q865" s="16">
        <v>112</v>
      </c>
      <c r="R865" s="16" t="s">
        <v>302</v>
      </c>
      <c r="S865" s="16">
        <v>48.633400000000002</v>
      </c>
      <c r="T865" s="16">
        <v>25.580400000000001</v>
      </c>
      <c r="U865" s="16">
        <v>0.95004789199999995</v>
      </c>
      <c r="V865" s="16">
        <v>3</v>
      </c>
      <c r="W865" s="16">
        <v>0.91</v>
      </c>
      <c r="X865" s="16">
        <v>0.17963799999999999</v>
      </c>
      <c r="Y865" s="16">
        <v>0.7</v>
      </c>
      <c r="Z865" s="16">
        <v>0.76855200000000001</v>
      </c>
      <c r="AA865" s="37"/>
    </row>
    <row r="866" spans="1:27">
      <c r="A866" s="16" t="s">
        <v>93</v>
      </c>
      <c r="B866" s="16" t="s">
        <v>3057</v>
      </c>
      <c r="C866" s="16" t="s">
        <v>3058</v>
      </c>
      <c r="D866" s="16" t="s">
        <v>3059</v>
      </c>
      <c r="E866" s="16" t="s">
        <v>3052</v>
      </c>
      <c r="F866" s="16" t="s">
        <v>3053</v>
      </c>
      <c r="G866" s="16" t="s">
        <v>2164</v>
      </c>
      <c r="H866" s="16" t="s">
        <v>2165</v>
      </c>
      <c r="I866" s="16" t="s">
        <v>198</v>
      </c>
      <c r="J866" s="16" t="s">
        <v>199</v>
      </c>
      <c r="K866" s="16">
        <v>2.6737009999999999</v>
      </c>
      <c r="L866" s="36">
        <v>2382</v>
      </c>
      <c r="M866" s="16">
        <v>378</v>
      </c>
      <c r="N866" s="16">
        <v>814</v>
      </c>
      <c r="O866" s="16">
        <v>719</v>
      </c>
      <c r="P866" s="16">
        <v>385</v>
      </c>
      <c r="Q866" s="16">
        <v>86</v>
      </c>
      <c r="R866" s="16">
        <v>4</v>
      </c>
      <c r="S866" s="16">
        <v>44.7744</v>
      </c>
      <c r="T866" s="16">
        <v>0</v>
      </c>
      <c r="U866" s="16">
        <v>0.74270752200000001</v>
      </c>
      <c r="V866" s="16">
        <v>4</v>
      </c>
      <c r="W866" s="16">
        <v>0.90204700000000004</v>
      </c>
      <c r="X866" s="16">
        <v>0.18906300000000001</v>
      </c>
      <c r="Y866" s="16">
        <v>0.7</v>
      </c>
      <c r="Z866" s="16">
        <v>0.882965</v>
      </c>
      <c r="AA866" s="37"/>
    </row>
    <row r="867" spans="1:27">
      <c r="A867" s="16" t="s">
        <v>93</v>
      </c>
      <c r="B867" s="16" t="s">
        <v>3060</v>
      </c>
      <c r="C867" s="16" t="s">
        <v>3061</v>
      </c>
      <c r="D867" s="16" t="s">
        <v>3062</v>
      </c>
      <c r="E867" s="16" t="s">
        <v>2179</v>
      </c>
      <c r="F867" s="16" t="s">
        <v>2180</v>
      </c>
      <c r="G867" s="16" t="s">
        <v>2164</v>
      </c>
      <c r="H867" s="16" t="s">
        <v>2165</v>
      </c>
      <c r="I867" s="16" t="s">
        <v>198</v>
      </c>
      <c r="J867" s="16" t="s">
        <v>199</v>
      </c>
      <c r="K867" s="16">
        <v>2.6808380000000001</v>
      </c>
      <c r="L867" s="36">
        <v>1583</v>
      </c>
      <c r="M867" s="16">
        <v>241</v>
      </c>
      <c r="N867" s="16">
        <v>500</v>
      </c>
      <c r="O867" s="16">
        <v>420</v>
      </c>
      <c r="P867" s="16">
        <v>302</v>
      </c>
      <c r="Q867" s="16">
        <v>120</v>
      </c>
      <c r="R867" s="16" t="s">
        <v>302</v>
      </c>
      <c r="S867" s="16">
        <v>52.968400000000003</v>
      </c>
      <c r="T867" s="16">
        <v>18.411999999999999</v>
      </c>
      <c r="U867" s="16">
        <v>1.0378488459999999</v>
      </c>
      <c r="V867" s="16">
        <v>2</v>
      </c>
      <c r="W867" s="16">
        <v>0.91122800000000004</v>
      </c>
      <c r="X867" s="16">
        <v>0.239701</v>
      </c>
      <c r="Y867" s="16">
        <v>0.7</v>
      </c>
      <c r="Z867" s="16">
        <v>0.824627</v>
      </c>
      <c r="AA867" s="37"/>
    </row>
    <row r="868" spans="1:27">
      <c r="A868" s="16"/>
      <c r="B868" s="16"/>
      <c r="C868" s="16"/>
      <c r="D868" s="16"/>
      <c r="E868" s="16"/>
      <c r="F868" s="16"/>
      <c r="G868" s="16"/>
      <c r="H868" s="16"/>
      <c r="I868" s="16"/>
      <c r="J868" s="16"/>
      <c r="K868" s="16">
        <f>MAX(K858:K867)</f>
        <v>2.7918319999999999</v>
      </c>
      <c r="L868" s="36">
        <f>AVERAGE(L858:L867)</f>
        <v>2025.1</v>
      </c>
      <c r="M868" s="36">
        <f t="shared" ref="M868:Q868" si="72">SUM(M858:M867)</f>
        <v>3403</v>
      </c>
      <c r="N868" s="36">
        <f t="shared" si="72"/>
        <v>5739</v>
      </c>
      <c r="O868" s="36">
        <f t="shared" si="72"/>
        <v>5556</v>
      </c>
      <c r="P868" s="36">
        <f t="shared" si="72"/>
        <v>4095</v>
      </c>
      <c r="Q868" s="36">
        <f t="shared" si="72"/>
        <v>1458</v>
      </c>
      <c r="R868" s="16"/>
      <c r="S868" s="16"/>
      <c r="T868" s="16"/>
      <c r="U868" s="16"/>
      <c r="V868" s="16">
        <f>MEDIAN(V858:V867)</f>
        <v>3</v>
      </c>
      <c r="W868" s="16"/>
      <c r="X868" s="16"/>
      <c r="Y868" s="16"/>
      <c r="Z868" s="16"/>
      <c r="AA868" s="37"/>
    </row>
    <row r="869" spans="1:27">
      <c r="A869" s="16" t="s">
        <v>90</v>
      </c>
      <c r="B869" s="16" t="s">
        <v>3063</v>
      </c>
      <c r="C869" s="16" t="s">
        <v>3064</v>
      </c>
      <c r="D869" s="16" t="s">
        <v>3065</v>
      </c>
      <c r="E869" s="16" t="s">
        <v>3066</v>
      </c>
      <c r="F869" s="16" t="s">
        <v>3067</v>
      </c>
      <c r="G869" s="16" t="s">
        <v>2759</v>
      </c>
      <c r="H869" s="16" t="s">
        <v>2760</v>
      </c>
      <c r="I869" s="16" t="s">
        <v>198</v>
      </c>
      <c r="J869" s="16" t="s">
        <v>199</v>
      </c>
      <c r="K869" s="16">
        <v>2.1875</v>
      </c>
      <c r="L869" s="36">
        <v>1660</v>
      </c>
      <c r="M869" s="16">
        <v>313</v>
      </c>
      <c r="N869" s="16">
        <v>239</v>
      </c>
      <c r="O869" s="16">
        <v>364</v>
      </c>
      <c r="P869" s="16">
        <v>448</v>
      </c>
      <c r="Q869" s="16">
        <v>296</v>
      </c>
      <c r="R869" s="16" t="s">
        <v>225</v>
      </c>
      <c r="S869" s="16">
        <v>10.675800000000001</v>
      </c>
      <c r="T869" s="16">
        <v>0</v>
      </c>
      <c r="U869" s="16">
        <v>0.87143073000000004</v>
      </c>
      <c r="V869" s="16">
        <v>6</v>
      </c>
      <c r="W869" s="16">
        <v>0.90143799999999996</v>
      </c>
      <c r="X869" s="16">
        <v>2.8000000000000001E-2</v>
      </c>
      <c r="Y869" s="16">
        <v>0.86070999999999998</v>
      </c>
      <c r="Z869" s="16">
        <v>0.39756900000000001</v>
      </c>
      <c r="AA869" s="37"/>
    </row>
    <row r="870" spans="1:27">
      <c r="A870" s="16" t="s">
        <v>90</v>
      </c>
      <c r="B870" s="16" t="s">
        <v>3068</v>
      </c>
      <c r="C870" s="16" t="s">
        <v>3069</v>
      </c>
      <c r="D870" s="16" t="s">
        <v>3070</v>
      </c>
      <c r="E870" s="16" t="s">
        <v>3066</v>
      </c>
      <c r="F870" s="16" t="s">
        <v>3067</v>
      </c>
      <c r="G870" s="16" t="s">
        <v>2759</v>
      </c>
      <c r="H870" s="16" t="s">
        <v>2760</v>
      </c>
      <c r="I870" s="16" t="s">
        <v>198</v>
      </c>
      <c r="J870" s="16" t="s">
        <v>199</v>
      </c>
      <c r="K870" s="16">
        <v>2.2077200000000001</v>
      </c>
      <c r="L870" s="36">
        <v>1793</v>
      </c>
      <c r="M870" s="16">
        <v>369</v>
      </c>
      <c r="N870" s="16">
        <v>268</v>
      </c>
      <c r="O870" s="16">
        <v>438</v>
      </c>
      <c r="P870" s="16">
        <v>437</v>
      </c>
      <c r="Q870" s="16">
        <v>281</v>
      </c>
      <c r="R870" s="16">
        <v>4</v>
      </c>
      <c r="S870" s="16">
        <v>20.279199999999999</v>
      </c>
      <c r="T870" s="16">
        <v>12.1654</v>
      </c>
      <c r="U870" s="16">
        <v>0.94689820800000002</v>
      </c>
      <c r="V870" s="16">
        <v>5</v>
      </c>
      <c r="W870" s="16">
        <v>0.90700199999999997</v>
      </c>
      <c r="X870" s="16">
        <v>0.11651499999999999</v>
      </c>
      <c r="Y870" s="16">
        <v>0.8</v>
      </c>
      <c r="Z870" s="16">
        <v>0.39187699999999998</v>
      </c>
      <c r="AA870" s="37"/>
    </row>
    <row r="871" spans="1:27">
      <c r="A871" s="16" t="s">
        <v>90</v>
      </c>
      <c r="B871" s="16" t="s">
        <v>3071</v>
      </c>
      <c r="C871" s="16" t="s">
        <v>3072</v>
      </c>
      <c r="D871" s="16" t="s">
        <v>3073</v>
      </c>
      <c r="E871" s="16" t="s">
        <v>3074</v>
      </c>
      <c r="F871" s="16" t="s">
        <v>3075</v>
      </c>
      <c r="G871" s="16" t="s">
        <v>2759</v>
      </c>
      <c r="H871" s="16" t="s">
        <v>2760</v>
      </c>
      <c r="I871" s="16" t="s">
        <v>198</v>
      </c>
      <c r="J871" s="16" t="s">
        <v>199</v>
      </c>
      <c r="K871" s="16">
        <v>2.146401</v>
      </c>
      <c r="L871" s="36">
        <v>1727</v>
      </c>
      <c r="M871" s="16">
        <v>308</v>
      </c>
      <c r="N871" s="16">
        <v>256</v>
      </c>
      <c r="O871" s="16">
        <v>364</v>
      </c>
      <c r="P871" s="16">
        <v>515</v>
      </c>
      <c r="Q871" s="16">
        <v>284</v>
      </c>
      <c r="R871" s="16">
        <v>2</v>
      </c>
      <c r="S871" s="16">
        <v>12.686400000000001</v>
      </c>
      <c r="T871" s="16">
        <v>2.7839999999999998</v>
      </c>
      <c r="U871" s="16">
        <v>0.89333109099999997</v>
      </c>
      <c r="V871" s="16">
        <v>6</v>
      </c>
      <c r="W871" s="16">
        <v>0.9</v>
      </c>
      <c r="X871" s="16">
        <v>3.385E-3</v>
      </c>
      <c r="Y871" s="16">
        <v>0.84055299999999999</v>
      </c>
      <c r="Z871" s="16">
        <v>0.40015299999999998</v>
      </c>
      <c r="AA871" s="37"/>
    </row>
    <row r="872" spans="1:27">
      <c r="A872" s="16" t="s">
        <v>90</v>
      </c>
      <c r="B872" s="16" t="s">
        <v>3076</v>
      </c>
      <c r="C872" s="16" t="s">
        <v>3077</v>
      </c>
      <c r="D872" s="16" t="s">
        <v>3078</v>
      </c>
      <c r="E872" s="16" t="s">
        <v>3074</v>
      </c>
      <c r="F872" s="16" t="s">
        <v>3075</v>
      </c>
      <c r="G872" s="16" t="s">
        <v>2759</v>
      </c>
      <c r="H872" s="16" t="s">
        <v>2760</v>
      </c>
      <c r="I872" s="16" t="s">
        <v>198</v>
      </c>
      <c r="J872" s="16" t="s">
        <v>199</v>
      </c>
      <c r="K872" s="16">
        <v>2.3134190000000001</v>
      </c>
      <c r="L872" s="36">
        <v>2909</v>
      </c>
      <c r="M872" s="16">
        <v>592</v>
      </c>
      <c r="N872" s="16">
        <v>565</v>
      </c>
      <c r="O872" s="16">
        <v>765</v>
      </c>
      <c r="P872" s="16">
        <v>674</v>
      </c>
      <c r="Q872" s="16">
        <v>313</v>
      </c>
      <c r="R872" s="16">
        <v>3</v>
      </c>
      <c r="S872" s="16">
        <v>18.3566</v>
      </c>
      <c r="T872" s="16">
        <v>3.1998700000000002</v>
      </c>
      <c r="U872" s="16">
        <v>0.93491095899999999</v>
      </c>
      <c r="V872" s="16">
        <v>4</v>
      </c>
      <c r="W872" s="16">
        <v>0.90266500000000005</v>
      </c>
      <c r="X872" s="16">
        <v>0.22745099999999999</v>
      </c>
      <c r="Y872" s="16">
        <v>0.8</v>
      </c>
      <c r="Z872" s="16">
        <v>0.378967</v>
      </c>
      <c r="AA872" s="37"/>
    </row>
    <row r="873" spans="1:27">
      <c r="A873" s="16" t="s">
        <v>90</v>
      </c>
      <c r="B873" s="16" t="s">
        <v>3079</v>
      </c>
      <c r="C873" s="16" t="s">
        <v>3080</v>
      </c>
      <c r="D873" s="16" t="s">
        <v>3081</v>
      </c>
      <c r="E873" s="16" t="s">
        <v>3066</v>
      </c>
      <c r="F873" s="16" t="s">
        <v>3067</v>
      </c>
      <c r="G873" s="16" t="s">
        <v>2759</v>
      </c>
      <c r="H873" s="16" t="s">
        <v>2760</v>
      </c>
      <c r="I873" s="16" t="s">
        <v>198</v>
      </c>
      <c r="J873" s="16" t="s">
        <v>199</v>
      </c>
      <c r="K873" s="16">
        <v>2.1952379999999998</v>
      </c>
      <c r="L873" s="36">
        <v>2010</v>
      </c>
      <c r="M873" s="16">
        <v>502</v>
      </c>
      <c r="N873" s="16">
        <v>325</v>
      </c>
      <c r="O873" s="16">
        <v>474</v>
      </c>
      <c r="P873" s="16">
        <v>463</v>
      </c>
      <c r="Q873" s="16">
        <v>246</v>
      </c>
      <c r="R873" s="16">
        <v>3</v>
      </c>
      <c r="S873" s="16">
        <v>16.915199999999999</v>
      </c>
      <c r="T873" s="16">
        <v>9.9628399999999999</v>
      </c>
      <c r="U873" s="16">
        <v>1.088198097</v>
      </c>
      <c r="V873" s="16">
        <v>3</v>
      </c>
      <c r="W873" s="16">
        <v>0.90289900000000001</v>
      </c>
      <c r="X873" s="16">
        <v>8.9570999999999998E-2</v>
      </c>
      <c r="Y873" s="16">
        <v>0.8</v>
      </c>
      <c r="Z873" s="16">
        <v>0.4</v>
      </c>
      <c r="AA873" s="37"/>
    </row>
    <row r="874" spans="1:27">
      <c r="A874" s="16" t="s">
        <v>90</v>
      </c>
      <c r="B874" s="16" t="s">
        <v>3082</v>
      </c>
      <c r="C874" s="16" t="s">
        <v>3083</v>
      </c>
      <c r="D874" s="16" t="s">
        <v>3084</v>
      </c>
      <c r="E874" s="16" t="s">
        <v>3066</v>
      </c>
      <c r="F874" s="16" t="s">
        <v>3067</v>
      </c>
      <c r="G874" s="16" t="s">
        <v>2759</v>
      </c>
      <c r="H874" s="16" t="s">
        <v>2760</v>
      </c>
      <c r="I874" s="16" t="s">
        <v>198</v>
      </c>
      <c r="J874" s="16" t="s">
        <v>199</v>
      </c>
      <c r="K874" s="16">
        <v>2.198315</v>
      </c>
      <c r="L874" s="36">
        <v>2425</v>
      </c>
      <c r="M874" s="16">
        <v>585</v>
      </c>
      <c r="N874" s="16">
        <v>379</v>
      </c>
      <c r="O874" s="16">
        <v>666</v>
      </c>
      <c r="P874" s="16">
        <v>514</v>
      </c>
      <c r="Q874" s="16">
        <v>281</v>
      </c>
      <c r="R874" s="16">
        <v>3</v>
      </c>
      <c r="S874" s="16">
        <v>14.297700000000001</v>
      </c>
      <c r="T874" s="16">
        <v>3.1387299999999998</v>
      </c>
      <c r="U874" s="16">
        <v>0.97844790199999998</v>
      </c>
      <c r="V874" s="16">
        <v>4</v>
      </c>
      <c r="W874" s="16">
        <v>0.90318399999999999</v>
      </c>
      <c r="X874" s="16">
        <v>7.8212000000000004E-2</v>
      </c>
      <c r="Y874" s="16">
        <v>0.81340800000000002</v>
      </c>
      <c r="Z874" s="16">
        <v>0.4</v>
      </c>
      <c r="AA874" s="37"/>
    </row>
    <row r="875" spans="1:27">
      <c r="A875" s="16" t="s">
        <v>90</v>
      </c>
      <c r="B875" s="16" t="s">
        <v>3085</v>
      </c>
      <c r="C875" s="16" t="s">
        <v>3086</v>
      </c>
      <c r="D875" s="16" t="s">
        <v>3087</v>
      </c>
      <c r="E875" s="16" t="s">
        <v>3006</v>
      </c>
      <c r="F875" s="16" t="s">
        <v>3007</v>
      </c>
      <c r="G875" s="16" t="s">
        <v>2759</v>
      </c>
      <c r="H875" s="16" t="s">
        <v>2760</v>
      </c>
      <c r="I875" s="16" t="s">
        <v>198</v>
      </c>
      <c r="J875" s="16" t="s">
        <v>199</v>
      </c>
      <c r="K875" s="16">
        <v>2.316919</v>
      </c>
      <c r="L875" s="36">
        <v>1420</v>
      </c>
      <c r="M875" s="16">
        <v>303</v>
      </c>
      <c r="N875" s="16">
        <v>244</v>
      </c>
      <c r="O875" s="16">
        <v>285</v>
      </c>
      <c r="P875" s="16">
        <v>369</v>
      </c>
      <c r="Q875" s="16">
        <v>219</v>
      </c>
      <c r="R875" s="16">
        <v>2</v>
      </c>
      <c r="S875" s="16">
        <v>8.1755899999999997</v>
      </c>
      <c r="T875" s="16">
        <v>4.5116300000000003</v>
      </c>
      <c r="U875" s="16">
        <v>0.87963688900000003</v>
      </c>
      <c r="V875" s="16">
        <v>4</v>
      </c>
      <c r="W875" s="16">
        <v>0.90479799999999999</v>
      </c>
      <c r="X875" s="16">
        <v>7.9597000000000001E-2</v>
      </c>
      <c r="Y875" s="16">
        <v>0.89822299999999999</v>
      </c>
      <c r="Z875" s="16">
        <v>0.42944199999999999</v>
      </c>
      <c r="AA875" s="37"/>
    </row>
    <row r="876" spans="1:27">
      <c r="A876" s="16" t="s">
        <v>90</v>
      </c>
      <c r="B876" s="16" t="s">
        <v>3088</v>
      </c>
      <c r="C876" s="16" t="s">
        <v>3089</v>
      </c>
      <c r="D876" s="16" t="s">
        <v>3090</v>
      </c>
      <c r="E876" s="16" t="s">
        <v>3006</v>
      </c>
      <c r="F876" s="16" t="s">
        <v>3007</v>
      </c>
      <c r="G876" s="16" t="s">
        <v>2759</v>
      </c>
      <c r="H876" s="16" t="s">
        <v>2760</v>
      </c>
      <c r="I876" s="16" t="s">
        <v>198</v>
      </c>
      <c r="J876" s="16" t="s">
        <v>199</v>
      </c>
      <c r="K876" s="16">
        <v>2.4947870000000001</v>
      </c>
      <c r="L876" s="36">
        <v>1780</v>
      </c>
      <c r="M876" s="16">
        <v>441</v>
      </c>
      <c r="N876" s="16">
        <v>303</v>
      </c>
      <c r="O876" s="16">
        <v>417</v>
      </c>
      <c r="P876" s="16">
        <v>425</v>
      </c>
      <c r="Q876" s="16">
        <v>194</v>
      </c>
      <c r="R876" s="16">
        <v>2</v>
      </c>
      <c r="S876" s="16">
        <v>13.200799999999999</v>
      </c>
      <c r="T876" s="16">
        <v>4.1143299999999998</v>
      </c>
      <c r="U876" s="16">
        <v>0.81646979399999997</v>
      </c>
      <c r="V876" s="16">
        <v>4</v>
      </c>
      <c r="W876" s="16">
        <v>0.90734599999999999</v>
      </c>
      <c r="X876" s="16">
        <v>0.16713</v>
      </c>
      <c r="Y876" s="16">
        <v>0.9</v>
      </c>
      <c r="Z876" s="16">
        <v>0.51412000000000002</v>
      </c>
      <c r="AA876" s="37"/>
    </row>
    <row r="877" spans="1:27">
      <c r="A877" s="16" t="s">
        <v>90</v>
      </c>
      <c r="B877" s="16" t="s">
        <v>3091</v>
      </c>
      <c r="C877" s="16" t="s">
        <v>3092</v>
      </c>
      <c r="D877" s="16" t="s">
        <v>3093</v>
      </c>
      <c r="E877" s="16" t="s">
        <v>3094</v>
      </c>
      <c r="F877" s="16" t="s">
        <v>3095</v>
      </c>
      <c r="G877" s="16" t="s">
        <v>1232</v>
      </c>
      <c r="H877" s="16" t="s">
        <v>1233</v>
      </c>
      <c r="I877" s="16" t="s">
        <v>198</v>
      </c>
      <c r="J877" s="16" t="s">
        <v>199</v>
      </c>
      <c r="K877" s="16">
        <v>2.5060090000000002</v>
      </c>
      <c r="L877" s="36">
        <v>2194</v>
      </c>
      <c r="M877" s="16">
        <v>391</v>
      </c>
      <c r="N877" s="16">
        <v>444</v>
      </c>
      <c r="O877" s="16">
        <v>749</v>
      </c>
      <c r="P877" s="16">
        <v>471</v>
      </c>
      <c r="Q877" s="16">
        <v>139</v>
      </c>
      <c r="R877" s="16">
        <v>5</v>
      </c>
      <c r="S877" s="16">
        <v>32.499200000000002</v>
      </c>
      <c r="T877" s="16">
        <v>15.154</v>
      </c>
      <c r="U877" s="16">
        <v>0.87971571400000004</v>
      </c>
      <c r="V877" s="16">
        <v>4</v>
      </c>
      <c r="W877" s="16">
        <v>0.90536499999999998</v>
      </c>
      <c r="X877" s="16">
        <v>0.27311800000000003</v>
      </c>
      <c r="Y877" s="16">
        <v>0.8</v>
      </c>
      <c r="Z877" s="16">
        <v>0.53440200000000004</v>
      </c>
      <c r="AA877" s="37"/>
    </row>
    <row r="878" spans="1:27">
      <c r="A878" s="16" t="s">
        <v>90</v>
      </c>
      <c r="B878" s="16" t="s">
        <v>3096</v>
      </c>
      <c r="C878" s="16" t="s">
        <v>3097</v>
      </c>
      <c r="D878" s="16" t="s">
        <v>3098</v>
      </c>
      <c r="E878" s="16" t="s">
        <v>3094</v>
      </c>
      <c r="F878" s="16" t="s">
        <v>3095</v>
      </c>
      <c r="G878" s="16" t="s">
        <v>1232</v>
      </c>
      <c r="H878" s="16" t="s">
        <v>1233</v>
      </c>
      <c r="I878" s="16" t="s">
        <v>198</v>
      </c>
      <c r="J878" s="16" t="s">
        <v>199</v>
      </c>
      <c r="K878" s="16">
        <v>2.4849570000000001</v>
      </c>
      <c r="L878" s="36">
        <v>2407</v>
      </c>
      <c r="M878" s="16">
        <v>456</v>
      </c>
      <c r="N878" s="16">
        <v>503</v>
      </c>
      <c r="O878" s="16">
        <v>908</v>
      </c>
      <c r="P878" s="16">
        <v>401</v>
      </c>
      <c r="Q878" s="16">
        <v>139</v>
      </c>
      <c r="R878" s="16">
        <v>5</v>
      </c>
      <c r="S878" s="16">
        <v>40.700600000000001</v>
      </c>
      <c r="T878" s="16">
        <v>13.0443</v>
      </c>
      <c r="U878" s="16">
        <v>0.794264521</v>
      </c>
      <c r="V878" s="16">
        <v>4</v>
      </c>
      <c r="W878" s="16">
        <v>0.90256400000000003</v>
      </c>
      <c r="X878" s="16">
        <v>0.296068</v>
      </c>
      <c r="Y878" s="16">
        <v>0.8</v>
      </c>
      <c r="Z878" s="16">
        <v>0.49795200000000001</v>
      </c>
      <c r="AA878" s="37"/>
    </row>
    <row r="879" spans="1:27">
      <c r="A879" s="16" t="s">
        <v>90</v>
      </c>
      <c r="B879" s="16" t="s">
        <v>3099</v>
      </c>
      <c r="C879" s="16" t="s">
        <v>3100</v>
      </c>
      <c r="D879" s="16" t="s">
        <v>3101</v>
      </c>
      <c r="E879" s="16" t="s">
        <v>3102</v>
      </c>
      <c r="F879" s="16" t="s">
        <v>3103</v>
      </c>
      <c r="G879" s="16" t="s">
        <v>1232</v>
      </c>
      <c r="H879" s="16" t="s">
        <v>1233</v>
      </c>
      <c r="I879" s="16" t="s">
        <v>198</v>
      </c>
      <c r="J879" s="16" t="s">
        <v>199</v>
      </c>
      <c r="K879" s="16">
        <v>2.275617</v>
      </c>
      <c r="L879" s="36">
        <v>1721</v>
      </c>
      <c r="M879" s="16">
        <v>360</v>
      </c>
      <c r="N879" s="16">
        <v>311</v>
      </c>
      <c r="O879" s="16">
        <v>589</v>
      </c>
      <c r="P879" s="16">
        <v>359</v>
      </c>
      <c r="Q879" s="16">
        <v>102</v>
      </c>
      <c r="R879" s="16">
        <v>5</v>
      </c>
      <c r="S879" s="16">
        <v>31.506799999999998</v>
      </c>
      <c r="T879" s="16">
        <v>11.990399999999999</v>
      </c>
      <c r="U879" s="16">
        <v>0.90482763899999996</v>
      </c>
      <c r="V879" s="16">
        <v>5</v>
      </c>
      <c r="W879" s="16">
        <v>0.90463000000000005</v>
      </c>
      <c r="X879" s="16">
        <v>8.1595000000000001E-2</v>
      </c>
      <c r="Y879" s="16">
        <v>0.8</v>
      </c>
      <c r="Z879" s="16">
        <v>0.48868499999999998</v>
      </c>
      <c r="AA879" s="37"/>
    </row>
    <row r="880" spans="1:27">
      <c r="A880" s="16" t="s">
        <v>90</v>
      </c>
      <c r="B880" s="16" t="s">
        <v>3104</v>
      </c>
      <c r="C880" s="16" t="s">
        <v>3105</v>
      </c>
      <c r="D880" s="16" t="s">
        <v>3106</v>
      </c>
      <c r="E880" s="16" t="s">
        <v>3094</v>
      </c>
      <c r="F880" s="16" t="s">
        <v>3095</v>
      </c>
      <c r="G880" s="16" t="s">
        <v>1232</v>
      </c>
      <c r="H880" s="16" t="s">
        <v>1233</v>
      </c>
      <c r="I880" s="16" t="s">
        <v>198</v>
      </c>
      <c r="J880" s="16" t="s">
        <v>199</v>
      </c>
      <c r="K880" s="16">
        <v>2.4911829999999999</v>
      </c>
      <c r="L880" s="36">
        <v>2714</v>
      </c>
      <c r="M880" s="16">
        <v>442</v>
      </c>
      <c r="N880" s="16">
        <v>570</v>
      </c>
      <c r="O880" s="16">
        <v>981</v>
      </c>
      <c r="P880" s="16">
        <v>550</v>
      </c>
      <c r="Q880" s="16">
        <v>171</v>
      </c>
      <c r="R880" s="16" t="s">
        <v>302</v>
      </c>
      <c r="S880" s="16">
        <v>40.337699999999998</v>
      </c>
      <c r="T880" s="16">
        <v>26.525400000000001</v>
      </c>
      <c r="U880" s="16">
        <v>1.0011948129999999</v>
      </c>
      <c r="V880" s="16">
        <v>3</v>
      </c>
      <c r="W880" s="16">
        <v>0.914385</v>
      </c>
      <c r="X880" s="16">
        <v>0.285057</v>
      </c>
      <c r="Y880" s="16">
        <v>0.79745999999999995</v>
      </c>
      <c r="Z880" s="16">
        <v>0.50209800000000004</v>
      </c>
      <c r="AA880" s="37"/>
    </row>
    <row r="881" spans="1:27">
      <c r="A881" s="16" t="s">
        <v>90</v>
      </c>
      <c r="B881" s="16" t="s">
        <v>3107</v>
      </c>
      <c r="C881" s="16" t="s">
        <v>3108</v>
      </c>
      <c r="D881" s="16" t="s">
        <v>3109</v>
      </c>
      <c r="E881" s="16" t="s">
        <v>3102</v>
      </c>
      <c r="F881" s="16" t="s">
        <v>3103</v>
      </c>
      <c r="G881" s="16" t="s">
        <v>1232</v>
      </c>
      <c r="H881" s="16" t="s">
        <v>1233</v>
      </c>
      <c r="I881" s="16" t="s">
        <v>198</v>
      </c>
      <c r="J881" s="16" t="s">
        <v>199</v>
      </c>
      <c r="K881" s="16">
        <v>2.2703700000000002</v>
      </c>
      <c r="L881" s="36">
        <v>1842</v>
      </c>
      <c r="M881" s="16">
        <v>376</v>
      </c>
      <c r="N881" s="16">
        <v>232</v>
      </c>
      <c r="O881" s="16">
        <v>534</v>
      </c>
      <c r="P881" s="16">
        <v>455</v>
      </c>
      <c r="Q881" s="16">
        <v>245</v>
      </c>
      <c r="R881" s="16">
        <v>4</v>
      </c>
      <c r="S881" s="16">
        <v>18.750399999999999</v>
      </c>
      <c r="T881" s="16">
        <v>8.4453700000000005</v>
      </c>
      <c r="U881" s="16">
        <v>0.99476230499999996</v>
      </c>
      <c r="V881" s="16">
        <v>4</v>
      </c>
      <c r="W881" s="16">
        <v>0.90584799999999999</v>
      </c>
      <c r="X881" s="16">
        <v>0.18585499999999999</v>
      </c>
      <c r="Y881" s="16">
        <v>0.8</v>
      </c>
      <c r="Z881" s="16">
        <v>0.37524200000000002</v>
      </c>
      <c r="AA881" s="37"/>
    </row>
    <row r="882" spans="1:27">
      <c r="A882" s="16" t="s">
        <v>90</v>
      </c>
      <c r="B882" s="16" t="s">
        <v>3110</v>
      </c>
      <c r="C882" s="16" t="s">
        <v>3111</v>
      </c>
      <c r="D882" s="16" t="s">
        <v>3112</v>
      </c>
      <c r="E882" s="16" t="s">
        <v>3102</v>
      </c>
      <c r="F882" s="16" t="s">
        <v>3103</v>
      </c>
      <c r="G882" s="16" t="s">
        <v>1232</v>
      </c>
      <c r="H882" s="16" t="s">
        <v>1233</v>
      </c>
      <c r="I882" s="16" t="s">
        <v>198</v>
      </c>
      <c r="J882" s="16" t="s">
        <v>199</v>
      </c>
      <c r="K882" s="16">
        <v>2.2953899999999998</v>
      </c>
      <c r="L882" s="36">
        <v>1537</v>
      </c>
      <c r="M882" s="16">
        <v>286</v>
      </c>
      <c r="N882" s="16">
        <v>217</v>
      </c>
      <c r="O882" s="16">
        <v>317</v>
      </c>
      <c r="P882" s="16">
        <v>460</v>
      </c>
      <c r="Q882" s="16">
        <v>257</v>
      </c>
      <c r="R882" s="16">
        <v>3</v>
      </c>
      <c r="S882" s="16">
        <v>31.039000000000001</v>
      </c>
      <c r="T882" s="16">
        <v>0</v>
      </c>
      <c r="U882" s="16">
        <v>0.86769420900000005</v>
      </c>
      <c r="V882" s="16">
        <v>6</v>
      </c>
      <c r="W882" s="16">
        <v>0.90574500000000002</v>
      </c>
      <c r="X882" s="16">
        <v>0.22808800000000001</v>
      </c>
      <c r="Y882" s="16">
        <v>0.77565499999999998</v>
      </c>
      <c r="Z882" s="16">
        <v>0.39630700000000002</v>
      </c>
      <c r="AA882" s="37"/>
    </row>
    <row r="883" spans="1:27">
      <c r="A883" s="16" t="s">
        <v>90</v>
      </c>
      <c r="B883" s="16" t="s">
        <v>3113</v>
      </c>
      <c r="C883" s="16" t="s">
        <v>3114</v>
      </c>
      <c r="D883" s="16" t="s">
        <v>3115</v>
      </c>
      <c r="E883" s="16" t="s">
        <v>3102</v>
      </c>
      <c r="F883" s="16" t="s">
        <v>3103</v>
      </c>
      <c r="G883" s="16" t="s">
        <v>1232</v>
      </c>
      <c r="H883" s="16" t="s">
        <v>1233</v>
      </c>
      <c r="I883" s="16" t="s">
        <v>198</v>
      </c>
      <c r="J883" s="16" t="s">
        <v>199</v>
      </c>
      <c r="K883" s="16">
        <v>2.3236840000000001</v>
      </c>
      <c r="L883" s="36">
        <v>1944</v>
      </c>
      <c r="M883" s="16">
        <v>304</v>
      </c>
      <c r="N883" s="16">
        <v>375</v>
      </c>
      <c r="O883" s="16">
        <v>681</v>
      </c>
      <c r="P883" s="16">
        <v>383</v>
      </c>
      <c r="Q883" s="16">
        <v>201</v>
      </c>
      <c r="R883" s="16">
        <v>4</v>
      </c>
      <c r="S883" s="16">
        <v>27.523399999999999</v>
      </c>
      <c r="T883" s="16">
        <v>11.7866</v>
      </c>
      <c r="U883" s="16">
        <v>0.958009526</v>
      </c>
      <c r="V883" s="16">
        <v>4</v>
      </c>
      <c r="W883" s="16">
        <v>0.90668000000000004</v>
      </c>
      <c r="X883" s="16">
        <v>0.17188800000000001</v>
      </c>
      <c r="Y883" s="16">
        <v>0.8</v>
      </c>
      <c r="Z883" s="16">
        <v>0.43939400000000001</v>
      </c>
      <c r="AA883" s="37"/>
    </row>
    <row r="884" spans="1:27">
      <c r="A884" s="16" t="s">
        <v>90</v>
      </c>
      <c r="B884" s="16" t="s">
        <v>3116</v>
      </c>
      <c r="C884" s="16" t="s">
        <v>3117</v>
      </c>
      <c r="D884" s="16" t="s">
        <v>3118</v>
      </c>
      <c r="E884" s="16" t="s">
        <v>3102</v>
      </c>
      <c r="F884" s="16" t="s">
        <v>3103</v>
      </c>
      <c r="G884" s="16" t="s">
        <v>1232</v>
      </c>
      <c r="H884" s="16" t="s">
        <v>1233</v>
      </c>
      <c r="I884" s="16" t="s">
        <v>198</v>
      </c>
      <c r="J884" s="16" t="s">
        <v>199</v>
      </c>
      <c r="K884" s="16">
        <v>2.248535</v>
      </c>
      <c r="L884" s="36">
        <v>2112</v>
      </c>
      <c r="M884" s="16">
        <v>408</v>
      </c>
      <c r="N884" s="16">
        <v>377</v>
      </c>
      <c r="O884" s="16">
        <v>635</v>
      </c>
      <c r="P884" s="16">
        <v>508</v>
      </c>
      <c r="Q884" s="16">
        <v>184</v>
      </c>
      <c r="R884" s="16">
        <v>4</v>
      </c>
      <c r="S884" s="16">
        <v>23.5579</v>
      </c>
      <c r="T884" s="16">
        <v>8.5126100000000005</v>
      </c>
      <c r="U884" s="16">
        <v>0.93637977299999997</v>
      </c>
      <c r="V884" s="16">
        <v>5</v>
      </c>
      <c r="W884" s="16">
        <v>0.90421200000000002</v>
      </c>
      <c r="X884" s="16">
        <v>0.143646</v>
      </c>
      <c r="Y884" s="16">
        <v>0.8</v>
      </c>
      <c r="Z884" s="16">
        <v>0.40256900000000001</v>
      </c>
      <c r="AA884" s="37"/>
    </row>
    <row r="885" spans="1:27">
      <c r="A885" s="16" t="s">
        <v>90</v>
      </c>
      <c r="B885" s="16" t="s">
        <v>3119</v>
      </c>
      <c r="C885" s="16" t="s">
        <v>3120</v>
      </c>
      <c r="D885" s="16" t="s">
        <v>3121</v>
      </c>
      <c r="E885" s="16" t="s">
        <v>3094</v>
      </c>
      <c r="F885" s="16" t="s">
        <v>3095</v>
      </c>
      <c r="G885" s="16" t="s">
        <v>1232</v>
      </c>
      <c r="H885" s="16" t="s">
        <v>1233</v>
      </c>
      <c r="I885" s="16" t="s">
        <v>198</v>
      </c>
      <c r="J885" s="16" t="s">
        <v>199</v>
      </c>
      <c r="K885" s="16">
        <v>2.3905059999999998</v>
      </c>
      <c r="L885" s="36">
        <v>1938</v>
      </c>
      <c r="M885" s="16">
        <v>431</v>
      </c>
      <c r="N885" s="16">
        <v>359</v>
      </c>
      <c r="O885" s="16">
        <v>625</v>
      </c>
      <c r="P885" s="16">
        <v>337</v>
      </c>
      <c r="Q885" s="16">
        <v>186</v>
      </c>
      <c r="R885" s="16">
        <v>5</v>
      </c>
      <c r="S885" s="16">
        <v>35.213000000000001</v>
      </c>
      <c r="T885" s="16">
        <v>3.2095899999999999</v>
      </c>
      <c r="U885" s="16">
        <v>1.036854908</v>
      </c>
      <c r="V885" s="16">
        <v>4</v>
      </c>
      <c r="W885" s="16">
        <v>0.907806</v>
      </c>
      <c r="X885" s="16">
        <v>0.223355</v>
      </c>
      <c r="Y885" s="16">
        <v>0.76885599999999998</v>
      </c>
      <c r="Z885" s="16">
        <v>0.49554100000000001</v>
      </c>
      <c r="AA885" s="37"/>
    </row>
    <row r="886" spans="1:27">
      <c r="A886" s="16" t="s">
        <v>90</v>
      </c>
      <c r="B886" s="16" t="s">
        <v>3122</v>
      </c>
      <c r="C886" s="16" t="s">
        <v>3123</v>
      </c>
      <c r="D886" s="16" t="s">
        <v>3124</v>
      </c>
      <c r="E886" s="16" t="s">
        <v>3125</v>
      </c>
      <c r="F886" s="16" t="s">
        <v>3126</v>
      </c>
      <c r="G886" s="16" t="s">
        <v>2759</v>
      </c>
      <c r="H886" s="16" t="s">
        <v>2760</v>
      </c>
      <c r="I886" s="16" t="s">
        <v>198</v>
      </c>
      <c r="J886" s="16" t="s">
        <v>199</v>
      </c>
      <c r="K886" s="16">
        <v>2.3777780000000002</v>
      </c>
      <c r="L886" s="36">
        <v>1646</v>
      </c>
      <c r="M886" s="16">
        <v>359</v>
      </c>
      <c r="N886" s="16">
        <v>269</v>
      </c>
      <c r="O886" s="16">
        <v>378</v>
      </c>
      <c r="P886" s="16">
        <v>417</v>
      </c>
      <c r="Q886" s="16">
        <v>223</v>
      </c>
      <c r="R886" s="16">
        <v>2</v>
      </c>
      <c r="S886" s="16">
        <v>10.157999999999999</v>
      </c>
      <c r="T886" s="16">
        <v>4.3651400000000002</v>
      </c>
      <c r="U886" s="16">
        <v>0.846357998</v>
      </c>
      <c r="V886" s="16">
        <v>5</v>
      </c>
      <c r="W886" s="16">
        <v>0.90810199999999996</v>
      </c>
      <c r="X886" s="16">
        <v>0.114219</v>
      </c>
      <c r="Y886" s="16">
        <v>0.9</v>
      </c>
      <c r="Z886" s="16">
        <v>0.46768199999999999</v>
      </c>
      <c r="AA886" s="37"/>
    </row>
    <row r="887" spans="1:27">
      <c r="A887" s="16"/>
      <c r="B887" s="16"/>
      <c r="C887" s="16"/>
      <c r="D887" s="16"/>
      <c r="E887" s="16"/>
      <c r="F887" s="16"/>
      <c r="G887" s="16"/>
      <c r="H887" s="16"/>
      <c r="I887" s="16"/>
      <c r="J887" s="16"/>
      <c r="K887" s="16">
        <f>MEDIAN(K869:K886)</f>
        <v>2.3044045</v>
      </c>
      <c r="L887" s="36">
        <f>AVERAGE(L869:L886)</f>
        <v>1987.7222222222222</v>
      </c>
      <c r="M887" s="36">
        <f t="shared" ref="M887:Q887" si="73">SUM(M869:M886)</f>
        <v>7226</v>
      </c>
      <c r="N887" s="36">
        <f t="shared" si="73"/>
        <v>6236</v>
      </c>
      <c r="O887" s="36">
        <f t="shared" si="73"/>
        <v>10170</v>
      </c>
      <c r="P887" s="36">
        <f t="shared" si="73"/>
        <v>8186</v>
      </c>
      <c r="Q887" s="36">
        <f t="shared" si="73"/>
        <v>3961</v>
      </c>
      <c r="R887" s="16"/>
      <c r="S887" s="16"/>
      <c r="T887" s="16"/>
      <c r="U887" s="16"/>
      <c r="V887" s="16">
        <f>MEDIAN(V869:V886)</f>
        <v>4</v>
      </c>
      <c r="W887" s="16"/>
      <c r="X887" s="16"/>
      <c r="Y887" s="16"/>
      <c r="Z887" s="16"/>
      <c r="AA887" s="37"/>
    </row>
    <row r="888" spans="1:27">
      <c r="A888" s="16" t="s">
        <v>91</v>
      </c>
      <c r="B888" s="16" t="s">
        <v>3127</v>
      </c>
      <c r="C888" s="16" t="s">
        <v>3128</v>
      </c>
      <c r="D888" s="16" t="s">
        <v>3129</v>
      </c>
      <c r="E888" s="16" t="s">
        <v>3130</v>
      </c>
      <c r="F888" s="16" t="s">
        <v>3131</v>
      </c>
      <c r="G888" s="16" t="s">
        <v>1232</v>
      </c>
      <c r="H888" s="16" t="s">
        <v>1233</v>
      </c>
      <c r="I888" s="16" t="s">
        <v>198</v>
      </c>
      <c r="J888" s="16" t="s">
        <v>199</v>
      </c>
      <c r="K888" s="16">
        <v>2.5395240000000001</v>
      </c>
      <c r="L888" s="36">
        <v>1665</v>
      </c>
      <c r="M888" s="16">
        <v>353</v>
      </c>
      <c r="N888" s="16">
        <v>302</v>
      </c>
      <c r="O888" s="16">
        <v>401</v>
      </c>
      <c r="P888" s="16">
        <v>387</v>
      </c>
      <c r="Q888" s="16">
        <v>222</v>
      </c>
      <c r="R888" s="16">
        <v>2</v>
      </c>
      <c r="S888" s="16">
        <v>24.099</v>
      </c>
      <c r="T888" s="16">
        <v>1.8588100000000001</v>
      </c>
      <c r="U888" s="16">
        <v>1.012291075</v>
      </c>
      <c r="V888" s="16">
        <v>3</v>
      </c>
      <c r="W888" s="16">
        <v>0.90476199999999996</v>
      </c>
      <c r="X888" s="16">
        <v>0.144681</v>
      </c>
      <c r="Y888" s="16">
        <v>0.79976400000000003</v>
      </c>
      <c r="Z888" s="16">
        <v>0.69496400000000003</v>
      </c>
      <c r="AA888" s="37"/>
    </row>
    <row r="889" spans="1:27">
      <c r="A889" s="16" t="s">
        <v>91</v>
      </c>
      <c r="B889" s="16" t="s">
        <v>3132</v>
      </c>
      <c r="C889" s="16" t="s">
        <v>3133</v>
      </c>
      <c r="D889" s="16" t="s">
        <v>3134</v>
      </c>
      <c r="E889" s="16" t="s">
        <v>3135</v>
      </c>
      <c r="F889" s="16" t="s">
        <v>3136</v>
      </c>
      <c r="G889" s="16" t="s">
        <v>1232</v>
      </c>
      <c r="H889" s="16" t="s">
        <v>1233</v>
      </c>
      <c r="I889" s="16" t="s">
        <v>198</v>
      </c>
      <c r="J889" s="16" t="s">
        <v>199</v>
      </c>
      <c r="K889" s="16">
        <v>2.3728739999999999</v>
      </c>
      <c r="L889" s="36">
        <v>1620</v>
      </c>
      <c r="M889" s="16">
        <v>309</v>
      </c>
      <c r="N889" s="16">
        <v>291</v>
      </c>
      <c r="O889" s="16">
        <v>544</v>
      </c>
      <c r="P889" s="16">
        <v>368</v>
      </c>
      <c r="Q889" s="16">
        <v>108</v>
      </c>
      <c r="R889" s="16">
        <v>5</v>
      </c>
      <c r="S889" s="16">
        <v>30.3322</v>
      </c>
      <c r="T889" s="16">
        <v>18.960599999999999</v>
      </c>
      <c r="U889" s="16">
        <v>0.909389487</v>
      </c>
      <c r="V889" s="16">
        <v>4</v>
      </c>
      <c r="W889" s="16">
        <v>0.90809700000000004</v>
      </c>
      <c r="X889" s="16">
        <v>0.17263600000000001</v>
      </c>
      <c r="Y889" s="16">
        <v>0.72499999999999998</v>
      </c>
      <c r="Z889" s="16">
        <v>0.55931200000000003</v>
      </c>
      <c r="AA889" s="37"/>
    </row>
    <row r="890" spans="1:27">
      <c r="A890" s="16" t="s">
        <v>91</v>
      </c>
      <c r="B890" s="16" t="s">
        <v>3137</v>
      </c>
      <c r="C890" s="16" t="s">
        <v>3138</v>
      </c>
      <c r="D890" s="16" t="s">
        <v>3139</v>
      </c>
      <c r="E890" s="16" t="s">
        <v>3140</v>
      </c>
      <c r="F890" s="16" t="s">
        <v>3141</v>
      </c>
      <c r="G890" s="16" t="s">
        <v>1232</v>
      </c>
      <c r="H890" s="16" t="s">
        <v>1233</v>
      </c>
      <c r="I890" s="16" t="s">
        <v>198</v>
      </c>
      <c r="J890" s="16" t="s">
        <v>199</v>
      </c>
      <c r="K890" s="16">
        <v>2.8173910000000002</v>
      </c>
      <c r="L890" s="36">
        <v>1625</v>
      </c>
      <c r="M890" s="16">
        <v>310</v>
      </c>
      <c r="N890" s="16">
        <v>298</v>
      </c>
      <c r="O890" s="16">
        <v>479</v>
      </c>
      <c r="P890" s="16">
        <v>403</v>
      </c>
      <c r="Q890" s="16">
        <v>135</v>
      </c>
      <c r="R890" s="16" t="s">
        <v>302</v>
      </c>
      <c r="S890" s="16">
        <v>40.686500000000002</v>
      </c>
      <c r="T890" s="16">
        <v>15.611700000000001</v>
      </c>
      <c r="U890" s="16">
        <v>0.84491048800000002</v>
      </c>
      <c r="V890" s="16">
        <v>3</v>
      </c>
      <c r="W890" s="16">
        <v>0.91739099999999996</v>
      </c>
      <c r="X890" s="16">
        <v>0.39447500000000002</v>
      </c>
      <c r="Y890" s="16">
        <v>0.76812000000000002</v>
      </c>
      <c r="Z890" s="16">
        <v>0.74316899999999997</v>
      </c>
      <c r="AA890" s="37"/>
    </row>
    <row r="891" spans="1:27">
      <c r="A891" s="16" t="s">
        <v>91</v>
      </c>
      <c r="B891" s="16" t="s">
        <v>3142</v>
      </c>
      <c r="C891" s="16" t="s">
        <v>3143</v>
      </c>
      <c r="D891" s="16" t="s">
        <v>3144</v>
      </c>
      <c r="E891" s="16" t="s">
        <v>3145</v>
      </c>
      <c r="F891" s="16" t="s">
        <v>3146</v>
      </c>
      <c r="G891" s="16" t="s">
        <v>1232</v>
      </c>
      <c r="H891" s="16" t="s">
        <v>1233</v>
      </c>
      <c r="I891" s="16" t="s">
        <v>198</v>
      </c>
      <c r="J891" s="16" t="s">
        <v>199</v>
      </c>
      <c r="K891" s="16">
        <v>2.6468180000000001</v>
      </c>
      <c r="L891" s="36">
        <v>2063</v>
      </c>
      <c r="M891" s="16">
        <v>379</v>
      </c>
      <c r="N891" s="16">
        <v>459</v>
      </c>
      <c r="O891" s="16">
        <v>608</v>
      </c>
      <c r="P891" s="16">
        <v>456</v>
      </c>
      <c r="Q891" s="16">
        <v>161</v>
      </c>
      <c r="R891" s="16">
        <v>3</v>
      </c>
      <c r="S891" s="16">
        <v>30.938199999999998</v>
      </c>
      <c r="T891" s="16">
        <v>0</v>
      </c>
      <c r="U891" s="16">
        <v>0.84394302600000004</v>
      </c>
      <c r="V891" s="16">
        <v>4</v>
      </c>
      <c r="W891" s="16">
        <v>0.908636</v>
      </c>
      <c r="X891" s="16">
        <v>0.17422199999999999</v>
      </c>
      <c r="Y891" s="16">
        <v>0.79325800000000002</v>
      </c>
      <c r="Z891" s="16">
        <v>0.78272699999999995</v>
      </c>
      <c r="AA891" s="37"/>
    </row>
    <row r="892" spans="1:27">
      <c r="A892" s="16" t="s">
        <v>91</v>
      </c>
      <c r="B892" s="16" t="s">
        <v>3147</v>
      </c>
      <c r="C892" s="16" t="s">
        <v>3148</v>
      </c>
      <c r="D892" s="16" t="s">
        <v>3149</v>
      </c>
      <c r="E892" s="16" t="s">
        <v>3150</v>
      </c>
      <c r="F892" s="16" t="s">
        <v>3151</v>
      </c>
      <c r="G892" s="16" t="s">
        <v>1261</v>
      </c>
      <c r="H892" s="16" t="s">
        <v>1262</v>
      </c>
      <c r="I892" s="16" t="s">
        <v>198</v>
      </c>
      <c r="J892" s="16" t="s">
        <v>199</v>
      </c>
      <c r="K892" s="16">
        <v>2.1266259999999999</v>
      </c>
      <c r="L892" s="36">
        <v>2099</v>
      </c>
      <c r="M892" s="16">
        <v>444</v>
      </c>
      <c r="N892" s="16">
        <v>304</v>
      </c>
      <c r="O892" s="16">
        <v>656</v>
      </c>
      <c r="P892" s="16">
        <v>489</v>
      </c>
      <c r="Q892" s="16">
        <v>206</v>
      </c>
      <c r="R892" s="16">
        <v>2</v>
      </c>
      <c r="S892" s="16">
        <v>13.427</v>
      </c>
      <c r="T892" s="16">
        <v>3.7487499999999998</v>
      </c>
      <c r="U892" s="16">
        <v>0.92820920399999995</v>
      </c>
      <c r="V892" s="16">
        <v>6</v>
      </c>
      <c r="W892" s="16">
        <v>0.90347999999999995</v>
      </c>
      <c r="X892" s="16">
        <v>0.11097700000000001</v>
      </c>
      <c r="Y892" s="16">
        <v>0.710314</v>
      </c>
      <c r="Z892" s="16">
        <v>0.4</v>
      </c>
      <c r="AA892" s="37"/>
    </row>
    <row r="893" spans="1:27">
      <c r="A893" s="16" t="s">
        <v>91</v>
      </c>
      <c r="B893" s="16" t="s">
        <v>3152</v>
      </c>
      <c r="C893" s="16" t="s">
        <v>3153</v>
      </c>
      <c r="D893" s="16" t="s">
        <v>3154</v>
      </c>
      <c r="E893" s="16" t="s">
        <v>3150</v>
      </c>
      <c r="F893" s="16" t="s">
        <v>3151</v>
      </c>
      <c r="G893" s="16" t="s">
        <v>1261</v>
      </c>
      <c r="H893" s="16" t="s">
        <v>1262</v>
      </c>
      <c r="I893" s="16" t="s">
        <v>198</v>
      </c>
      <c r="J893" s="16" t="s">
        <v>199</v>
      </c>
      <c r="K893" s="16">
        <v>2.1639659999999998</v>
      </c>
      <c r="L893" s="36">
        <v>1956</v>
      </c>
      <c r="M893" s="16">
        <v>468</v>
      </c>
      <c r="N893" s="16">
        <v>290</v>
      </c>
      <c r="O893" s="16">
        <v>460</v>
      </c>
      <c r="P893" s="16">
        <v>502</v>
      </c>
      <c r="Q893" s="16">
        <v>236</v>
      </c>
      <c r="R893" s="16">
        <v>2</v>
      </c>
      <c r="S893" s="16">
        <v>14.6592</v>
      </c>
      <c r="T893" s="16">
        <v>3.55952</v>
      </c>
      <c r="U893" s="16">
        <v>1.1878661859999999</v>
      </c>
      <c r="V893" s="16">
        <v>3</v>
      </c>
      <c r="W893" s="16">
        <v>0.90684399999999998</v>
      </c>
      <c r="X893" s="16">
        <v>0.187552</v>
      </c>
      <c r="Y893" s="16">
        <v>0.70041600000000004</v>
      </c>
      <c r="Z893" s="16">
        <v>0.38557399999999997</v>
      </c>
      <c r="AA893" s="37"/>
    </row>
    <row r="894" spans="1:27">
      <c r="A894" s="16" t="s">
        <v>91</v>
      </c>
      <c r="B894" s="16" t="s">
        <v>3155</v>
      </c>
      <c r="C894" s="16" t="s">
        <v>3156</v>
      </c>
      <c r="D894" s="16" t="s">
        <v>3157</v>
      </c>
      <c r="E894" s="16" t="s">
        <v>3158</v>
      </c>
      <c r="F894" s="16" t="s">
        <v>3159</v>
      </c>
      <c r="G894" s="16" t="s">
        <v>1261</v>
      </c>
      <c r="H894" s="16" t="s">
        <v>1262</v>
      </c>
      <c r="I894" s="16" t="s">
        <v>198</v>
      </c>
      <c r="J894" s="16" t="s">
        <v>199</v>
      </c>
      <c r="K894" s="16">
        <v>2.0367030000000002</v>
      </c>
      <c r="L894" s="36">
        <v>1566</v>
      </c>
      <c r="M894" s="16">
        <v>311</v>
      </c>
      <c r="N894" s="16">
        <v>298</v>
      </c>
      <c r="O894" s="16">
        <v>302</v>
      </c>
      <c r="P894" s="16">
        <v>417</v>
      </c>
      <c r="Q894" s="16">
        <v>238</v>
      </c>
      <c r="R894" s="16" t="s">
        <v>225</v>
      </c>
      <c r="S894" s="16">
        <v>13.7941</v>
      </c>
      <c r="T894" s="16">
        <v>0</v>
      </c>
      <c r="U894" s="16">
        <v>0.97167040800000004</v>
      </c>
      <c r="V894" s="16">
        <v>6</v>
      </c>
      <c r="W894" s="16">
        <v>0.90306699999999995</v>
      </c>
      <c r="X894" s="16">
        <v>0.12731100000000001</v>
      </c>
      <c r="Y894" s="16">
        <v>0.7</v>
      </c>
      <c r="Z894" s="16">
        <v>0.31683</v>
      </c>
      <c r="AA894" s="37"/>
    </row>
    <row r="895" spans="1:27">
      <c r="A895" s="16" t="s">
        <v>91</v>
      </c>
      <c r="B895" s="16" t="s">
        <v>3160</v>
      </c>
      <c r="C895" s="16" t="s">
        <v>3161</v>
      </c>
      <c r="D895" s="16" t="s">
        <v>3162</v>
      </c>
      <c r="E895" s="16" t="s">
        <v>3163</v>
      </c>
      <c r="F895" s="16" t="s">
        <v>3164</v>
      </c>
      <c r="G895" s="16" t="s">
        <v>1261</v>
      </c>
      <c r="H895" s="16" t="s">
        <v>1262</v>
      </c>
      <c r="I895" s="16" t="s">
        <v>198</v>
      </c>
      <c r="J895" s="16" t="s">
        <v>199</v>
      </c>
      <c r="K895" s="16">
        <v>2.0909089999999999</v>
      </c>
      <c r="L895" s="36">
        <v>1527</v>
      </c>
      <c r="M895" s="16">
        <v>412</v>
      </c>
      <c r="N895" s="16">
        <v>189</v>
      </c>
      <c r="O895" s="16">
        <v>241</v>
      </c>
      <c r="P895" s="16">
        <v>428</v>
      </c>
      <c r="Q895" s="16">
        <v>257</v>
      </c>
      <c r="R895" s="16">
        <v>2</v>
      </c>
      <c r="S895" s="16">
        <v>17.285799999999998</v>
      </c>
      <c r="T895" s="16">
        <v>0</v>
      </c>
      <c r="U895" s="16">
        <v>0.79681436100000003</v>
      </c>
      <c r="V895" s="16">
        <v>8</v>
      </c>
      <c r="W895" s="16">
        <v>0.90289600000000003</v>
      </c>
      <c r="X895" s="16">
        <v>0.144956</v>
      </c>
      <c r="Y895" s="16">
        <v>0.7</v>
      </c>
      <c r="Z895" s="16">
        <v>0.34185100000000002</v>
      </c>
      <c r="AA895" s="37"/>
    </row>
    <row r="896" spans="1:27">
      <c r="A896" s="16" t="s">
        <v>91</v>
      </c>
      <c r="B896" s="16" t="s">
        <v>3165</v>
      </c>
      <c r="C896" s="16" t="s">
        <v>3166</v>
      </c>
      <c r="D896" s="16" t="s">
        <v>3167</v>
      </c>
      <c r="E896" s="16" t="s">
        <v>3163</v>
      </c>
      <c r="F896" s="16" t="s">
        <v>3164</v>
      </c>
      <c r="G896" s="16" t="s">
        <v>1261</v>
      </c>
      <c r="H896" s="16" t="s">
        <v>1262</v>
      </c>
      <c r="I896" s="16" t="s">
        <v>198</v>
      </c>
      <c r="J896" s="16" t="s">
        <v>199</v>
      </c>
      <c r="K896" s="16">
        <v>2.0581469999999999</v>
      </c>
      <c r="L896" s="36">
        <v>1788</v>
      </c>
      <c r="M896" s="16">
        <v>452</v>
      </c>
      <c r="N896" s="16">
        <v>199</v>
      </c>
      <c r="O896" s="16">
        <v>331</v>
      </c>
      <c r="P896" s="16">
        <v>563</v>
      </c>
      <c r="Q896" s="16">
        <v>243</v>
      </c>
      <c r="R896" s="16">
        <v>2</v>
      </c>
      <c r="S896" s="16">
        <v>14.462199999999999</v>
      </c>
      <c r="T896" s="16">
        <v>0</v>
      </c>
      <c r="U896" s="16">
        <v>0.81198195399999995</v>
      </c>
      <c r="V896" s="16">
        <v>8</v>
      </c>
      <c r="W896" s="16">
        <v>0.90348300000000004</v>
      </c>
      <c r="X896" s="16">
        <v>7.3788999999999993E-2</v>
      </c>
      <c r="Y896" s="16">
        <v>0.7</v>
      </c>
      <c r="Z896" s="16">
        <v>0.37431799999999998</v>
      </c>
      <c r="AA896" s="37"/>
    </row>
    <row r="897" spans="1:27">
      <c r="A897" s="16" t="s">
        <v>91</v>
      </c>
      <c r="B897" s="16" t="s">
        <v>3168</v>
      </c>
      <c r="C897" s="16" t="s">
        <v>3169</v>
      </c>
      <c r="D897" s="16" t="s">
        <v>3170</v>
      </c>
      <c r="E897" s="16" t="s">
        <v>3171</v>
      </c>
      <c r="F897" s="16" t="s">
        <v>3172</v>
      </c>
      <c r="G897" s="16" t="s">
        <v>2164</v>
      </c>
      <c r="H897" s="16" t="s">
        <v>2165</v>
      </c>
      <c r="I897" s="16" t="s">
        <v>198</v>
      </c>
      <c r="J897" s="16" t="s">
        <v>199</v>
      </c>
      <c r="K897" s="16">
        <v>2.1751390000000002</v>
      </c>
      <c r="L897" s="36">
        <v>2229</v>
      </c>
      <c r="M897" s="16">
        <v>314</v>
      </c>
      <c r="N897" s="16">
        <v>425</v>
      </c>
      <c r="O897" s="16">
        <v>875</v>
      </c>
      <c r="P897" s="16">
        <v>471</v>
      </c>
      <c r="Q897" s="16">
        <v>144</v>
      </c>
      <c r="R897" s="16">
        <v>4</v>
      </c>
      <c r="S897" s="16">
        <v>23.184200000000001</v>
      </c>
      <c r="T897" s="16">
        <v>12.571400000000001</v>
      </c>
      <c r="U897" s="16">
        <v>0.94638490200000003</v>
      </c>
      <c r="V897" s="16">
        <v>6</v>
      </c>
      <c r="W897" s="16">
        <v>0.906308</v>
      </c>
      <c r="X897" s="16">
        <v>0.230515</v>
      </c>
      <c r="Y897" s="16">
        <v>0.66373599999999999</v>
      </c>
      <c r="Z897" s="16">
        <v>0.37057699999999999</v>
      </c>
      <c r="AA897" s="37"/>
    </row>
    <row r="898" spans="1:27">
      <c r="A898" s="16" t="s">
        <v>91</v>
      </c>
      <c r="B898" s="16" t="s">
        <v>3173</v>
      </c>
      <c r="C898" s="16" t="s">
        <v>3174</v>
      </c>
      <c r="D898" s="16" t="s">
        <v>3175</v>
      </c>
      <c r="E898" s="16" t="s">
        <v>3176</v>
      </c>
      <c r="F898" s="16" t="s">
        <v>3177</v>
      </c>
      <c r="G898" s="16" t="s">
        <v>2164</v>
      </c>
      <c r="H898" s="16" t="s">
        <v>2165</v>
      </c>
      <c r="I898" s="16" t="s">
        <v>198</v>
      </c>
      <c r="J898" s="16" t="s">
        <v>199</v>
      </c>
      <c r="K898" s="16">
        <v>2.0043340000000001</v>
      </c>
      <c r="L898" s="36">
        <v>1706</v>
      </c>
      <c r="M898" s="16">
        <v>366</v>
      </c>
      <c r="N898" s="16">
        <v>239</v>
      </c>
      <c r="O898" s="16">
        <v>434</v>
      </c>
      <c r="P898" s="16">
        <v>416</v>
      </c>
      <c r="Q898" s="16">
        <v>251</v>
      </c>
      <c r="R898" s="16">
        <v>3</v>
      </c>
      <c r="S898" s="16">
        <v>21.266500000000001</v>
      </c>
      <c r="T898" s="16">
        <v>6.7041199999999996</v>
      </c>
      <c r="U898" s="16">
        <v>1.104715916</v>
      </c>
      <c r="V898" s="16">
        <v>4</v>
      </c>
      <c r="W898" s="16">
        <v>0.90481500000000004</v>
      </c>
      <c r="X898" s="16">
        <v>8.7780999999999998E-2</v>
      </c>
      <c r="Y898" s="16">
        <v>0.623139</v>
      </c>
      <c r="Z898" s="16">
        <v>0.39887299999999998</v>
      </c>
      <c r="AA898" s="37"/>
    </row>
    <row r="899" spans="1:27">
      <c r="A899" s="16" t="s">
        <v>91</v>
      </c>
      <c r="B899" s="16" t="s">
        <v>3178</v>
      </c>
      <c r="C899" s="16" t="s">
        <v>3179</v>
      </c>
      <c r="D899" s="16" t="s">
        <v>3180</v>
      </c>
      <c r="E899" s="16" t="s">
        <v>3171</v>
      </c>
      <c r="F899" s="16" t="s">
        <v>3172</v>
      </c>
      <c r="G899" s="16" t="s">
        <v>2164</v>
      </c>
      <c r="H899" s="16" t="s">
        <v>2165</v>
      </c>
      <c r="I899" s="16" t="s">
        <v>198</v>
      </c>
      <c r="J899" s="16" t="s">
        <v>199</v>
      </c>
      <c r="K899" s="16">
        <v>2.052108</v>
      </c>
      <c r="L899" s="36">
        <v>1544</v>
      </c>
      <c r="M899" s="16">
        <v>342</v>
      </c>
      <c r="N899" s="16">
        <v>182</v>
      </c>
      <c r="O899" s="16">
        <v>421</v>
      </c>
      <c r="P899" s="16">
        <v>390</v>
      </c>
      <c r="Q899" s="16">
        <v>209</v>
      </c>
      <c r="R899" s="16">
        <v>3</v>
      </c>
      <c r="S899" s="16">
        <v>20.139299999999999</v>
      </c>
      <c r="T899" s="16">
        <v>1.9934099999999999</v>
      </c>
      <c r="U899" s="16">
        <v>0.89082386700000005</v>
      </c>
      <c r="V899" s="16">
        <v>7</v>
      </c>
      <c r="W899" s="16">
        <v>0.90151300000000001</v>
      </c>
      <c r="X899" s="16">
        <v>8.9082999999999996E-2</v>
      </c>
      <c r="Y899" s="16">
        <v>0.7</v>
      </c>
      <c r="Z899" s="16">
        <v>0.35717399999999999</v>
      </c>
      <c r="AA899" s="37"/>
    </row>
    <row r="900" spans="1:27">
      <c r="A900" s="16" t="s">
        <v>91</v>
      </c>
      <c r="B900" s="16" t="s">
        <v>3181</v>
      </c>
      <c r="C900" s="16" t="s">
        <v>3182</v>
      </c>
      <c r="D900" s="16" t="s">
        <v>3183</v>
      </c>
      <c r="E900" s="16" t="s">
        <v>3184</v>
      </c>
      <c r="F900" s="16" t="s">
        <v>3185</v>
      </c>
      <c r="G900" s="16" t="s">
        <v>2164</v>
      </c>
      <c r="H900" s="16" t="s">
        <v>2165</v>
      </c>
      <c r="I900" s="16" t="s">
        <v>198</v>
      </c>
      <c r="J900" s="16" t="s">
        <v>199</v>
      </c>
      <c r="K900" s="16">
        <v>2.0850330000000001</v>
      </c>
      <c r="L900" s="36">
        <v>1700</v>
      </c>
      <c r="M900" s="16">
        <v>326</v>
      </c>
      <c r="N900" s="16">
        <v>265</v>
      </c>
      <c r="O900" s="16">
        <v>489</v>
      </c>
      <c r="P900" s="16">
        <v>449</v>
      </c>
      <c r="Q900" s="16">
        <v>171</v>
      </c>
      <c r="R900" s="16">
        <v>2</v>
      </c>
      <c r="S900" s="16">
        <v>17.872399999999999</v>
      </c>
      <c r="T900" s="16">
        <v>0</v>
      </c>
      <c r="U900" s="16">
        <v>1.2362209609999999</v>
      </c>
      <c r="V900" s="16">
        <v>3</v>
      </c>
      <c r="W900" s="16">
        <v>0.90411200000000003</v>
      </c>
      <c r="X900" s="16">
        <v>0.175369</v>
      </c>
      <c r="Y900" s="16">
        <v>0.7</v>
      </c>
      <c r="Z900" s="16">
        <v>0.31721300000000002</v>
      </c>
      <c r="AA900" s="37"/>
    </row>
    <row r="901" spans="1:27">
      <c r="A901" s="16" t="s">
        <v>91</v>
      </c>
      <c r="B901" s="16" t="s">
        <v>3186</v>
      </c>
      <c r="C901" s="16" t="s">
        <v>3187</v>
      </c>
      <c r="D901" s="16" t="s">
        <v>3188</v>
      </c>
      <c r="E901" s="16" t="s">
        <v>3184</v>
      </c>
      <c r="F901" s="16" t="s">
        <v>3185</v>
      </c>
      <c r="G901" s="16" t="s">
        <v>2164</v>
      </c>
      <c r="H901" s="16" t="s">
        <v>2165</v>
      </c>
      <c r="I901" s="16" t="s">
        <v>198</v>
      </c>
      <c r="J901" s="16" t="s">
        <v>199</v>
      </c>
      <c r="K901" s="16">
        <v>1.945875</v>
      </c>
      <c r="L901" s="36">
        <v>2035</v>
      </c>
      <c r="M901" s="16">
        <v>448</v>
      </c>
      <c r="N901" s="16">
        <v>332</v>
      </c>
      <c r="O901" s="16">
        <v>658</v>
      </c>
      <c r="P901" s="16">
        <v>438</v>
      </c>
      <c r="Q901" s="16">
        <v>159</v>
      </c>
      <c r="R901" s="16">
        <v>2</v>
      </c>
      <c r="S901" s="16">
        <v>18.6099</v>
      </c>
      <c r="T901" s="16">
        <v>3.7188400000000001</v>
      </c>
      <c r="U901" s="16">
        <v>1.129637886</v>
      </c>
      <c r="V901" s="16">
        <v>4</v>
      </c>
      <c r="W901" s="16">
        <v>0.90264</v>
      </c>
      <c r="X901" s="16">
        <v>7.4876999999999999E-2</v>
      </c>
      <c r="Y901" s="16">
        <v>0.66480300000000003</v>
      </c>
      <c r="Z901" s="16">
        <v>0.3</v>
      </c>
      <c r="AA901" s="37"/>
    </row>
    <row r="902" spans="1:27">
      <c r="A902" s="16" t="s">
        <v>91</v>
      </c>
      <c r="B902" s="16" t="s">
        <v>3189</v>
      </c>
      <c r="C902" s="16" t="s">
        <v>3190</v>
      </c>
      <c r="D902" s="16" t="s">
        <v>3191</v>
      </c>
      <c r="E902" s="16" t="s">
        <v>3130</v>
      </c>
      <c r="F902" s="16" t="s">
        <v>3131</v>
      </c>
      <c r="G902" s="16" t="s">
        <v>1232</v>
      </c>
      <c r="H902" s="16" t="s">
        <v>1233</v>
      </c>
      <c r="I902" s="16" t="s">
        <v>198</v>
      </c>
      <c r="J902" s="16" t="s">
        <v>199</v>
      </c>
      <c r="K902" s="16">
        <v>2.7235019999999999</v>
      </c>
      <c r="L902" s="36">
        <v>1904</v>
      </c>
      <c r="M902" s="16">
        <v>460</v>
      </c>
      <c r="N902" s="16">
        <v>381</v>
      </c>
      <c r="O902" s="16">
        <v>497</v>
      </c>
      <c r="P902" s="16">
        <v>459</v>
      </c>
      <c r="Q902" s="16">
        <v>107</v>
      </c>
      <c r="R902" s="16">
        <v>4</v>
      </c>
      <c r="S902" s="16">
        <v>27.029699999999998</v>
      </c>
      <c r="T902" s="16">
        <v>5.9120200000000001</v>
      </c>
      <c r="U902" s="16">
        <v>0.92590194000000003</v>
      </c>
      <c r="V902" s="16">
        <v>2</v>
      </c>
      <c r="W902" s="16">
        <v>0.910138</v>
      </c>
      <c r="X902" s="16">
        <v>0.34633000000000003</v>
      </c>
      <c r="Y902" s="16">
        <v>0.77976699999999999</v>
      </c>
      <c r="Z902" s="16">
        <v>0.67834099999999997</v>
      </c>
      <c r="AA902" s="37"/>
    </row>
    <row r="903" spans="1:27">
      <c r="A903" s="16" t="s">
        <v>91</v>
      </c>
      <c r="B903" s="16" t="s">
        <v>3192</v>
      </c>
      <c r="C903" s="16" t="s">
        <v>3193</v>
      </c>
      <c r="D903" s="16" t="s">
        <v>3194</v>
      </c>
      <c r="E903" s="16" t="s">
        <v>3130</v>
      </c>
      <c r="F903" s="16" t="s">
        <v>3131</v>
      </c>
      <c r="G903" s="16" t="s">
        <v>1232</v>
      </c>
      <c r="H903" s="16" t="s">
        <v>1233</v>
      </c>
      <c r="I903" s="16" t="s">
        <v>198</v>
      </c>
      <c r="J903" s="16" t="s">
        <v>199</v>
      </c>
      <c r="K903" s="16">
        <v>2.5286909999999998</v>
      </c>
      <c r="L903" s="36">
        <v>1528</v>
      </c>
      <c r="M903" s="16">
        <v>339</v>
      </c>
      <c r="N903" s="16">
        <v>294</v>
      </c>
      <c r="O903" s="16">
        <v>382</v>
      </c>
      <c r="P903" s="16">
        <v>390</v>
      </c>
      <c r="Q903" s="16">
        <v>123</v>
      </c>
      <c r="R903" s="16">
        <v>2</v>
      </c>
      <c r="S903" s="16">
        <v>7.53376</v>
      </c>
      <c r="T903" s="16">
        <v>0</v>
      </c>
      <c r="U903" s="16">
        <v>1.0641247060000001</v>
      </c>
      <c r="V903" s="16">
        <v>2</v>
      </c>
      <c r="W903" s="16">
        <v>0.90362100000000001</v>
      </c>
      <c r="X903" s="16">
        <v>0.123626</v>
      </c>
      <c r="Y903" s="16">
        <v>0.8</v>
      </c>
      <c r="Z903" s="16">
        <v>0.70027700000000004</v>
      </c>
      <c r="AA903" s="37"/>
    </row>
    <row r="904" spans="1:27">
      <c r="A904" s="16" t="s">
        <v>91</v>
      </c>
      <c r="B904" s="16" t="s">
        <v>3195</v>
      </c>
      <c r="C904" s="16" t="s">
        <v>3196</v>
      </c>
      <c r="D904" s="16" t="s">
        <v>3197</v>
      </c>
      <c r="E904" s="16" t="s">
        <v>3198</v>
      </c>
      <c r="F904" s="16" t="s">
        <v>3199</v>
      </c>
      <c r="G904" s="16" t="s">
        <v>1232</v>
      </c>
      <c r="H904" s="16" t="s">
        <v>1233</v>
      </c>
      <c r="I904" s="16" t="s">
        <v>198</v>
      </c>
      <c r="J904" s="16" t="s">
        <v>199</v>
      </c>
      <c r="K904" s="16">
        <v>2.4877739999999999</v>
      </c>
      <c r="L904" s="36">
        <v>2207</v>
      </c>
      <c r="M904" s="16">
        <v>474</v>
      </c>
      <c r="N904" s="16">
        <v>459</v>
      </c>
      <c r="O904" s="16">
        <v>680</v>
      </c>
      <c r="P904" s="16">
        <v>438</v>
      </c>
      <c r="Q904" s="16">
        <v>156</v>
      </c>
      <c r="R904" s="16" t="s">
        <v>302</v>
      </c>
      <c r="S904" s="16">
        <v>32.743299999999998</v>
      </c>
      <c r="T904" s="16">
        <v>7.3726200000000004</v>
      </c>
      <c r="U904" s="16">
        <v>0.90754959999999996</v>
      </c>
      <c r="V904" s="16">
        <v>3</v>
      </c>
      <c r="W904" s="16">
        <v>0.91350399999999998</v>
      </c>
      <c r="X904" s="16">
        <v>0.34542200000000001</v>
      </c>
      <c r="Y904" s="16">
        <v>0.7</v>
      </c>
      <c r="Z904" s="16">
        <v>0.53285199999999999</v>
      </c>
      <c r="AA904" s="37"/>
    </row>
    <row r="905" spans="1:27">
      <c r="A905" s="16" t="s">
        <v>91</v>
      </c>
      <c r="B905" s="16" t="s">
        <v>3200</v>
      </c>
      <c r="C905" s="16" t="s">
        <v>3201</v>
      </c>
      <c r="D905" s="16" t="s">
        <v>3202</v>
      </c>
      <c r="E905" s="16" t="s">
        <v>3198</v>
      </c>
      <c r="F905" s="16" t="s">
        <v>3199</v>
      </c>
      <c r="G905" s="16" t="s">
        <v>1232</v>
      </c>
      <c r="H905" s="16" t="s">
        <v>1233</v>
      </c>
      <c r="I905" s="16" t="s">
        <v>198</v>
      </c>
      <c r="J905" s="16" t="s">
        <v>199</v>
      </c>
      <c r="K905" s="16">
        <v>2.2395040000000002</v>
      </c>
      <c r="L905" s="36">
        <v>1555</v>
      </c>
      <c r="M905" s="16">
        <v>319</v>
      </c>
      <c r="N905" s="16">
        <v>234</v>
      </c>
      <c r="O905" s="16">
        <v>368</v>
      </c>
      <c r="P905" s="16">
        <v>381</v>
      </c>
      <c r="Q905" s="16">
        <v>253</v>
      </c>
      <c r="R905" s="16">
        <v>3</v>
      </c>
      <c r="S905" s="16">
        <v>17.7105</v>
      </c>
      <c r="T905" s="16">
        <v>7.5203199999999999</v>
      </c>
      <c r="U905" s="16">
        <v>0.92428744399999996</v>
      </c>
      <c r="V905" s="16">
        <v>4</v>
      </c>
      <c r="W905" s="16">
        <v>0.90801500000000002</v>
      </c>
      <c r="X905" s="16">
        <v>0.15019199999999999</v>
      </c>
      <c r="Y905" s="16">
        <v>0.7</v>
      </c>
      <c r="Z905" s="16">
        <v>0.47839399999999999</v>
      </c>
      <c r="AA905" s="37"/>
    </row>
    <row r="906" spans="1:27">
      <c r="A906" s="16" t="s">
        <v>91</v>
      </c>
      <c r="B906" s="16" t="s">
        <v>3203</v>
      </c>
      <c r="C906" s="16" t="s">
        <v>3204</v>
      </c>
      <c r="D906" s="16" t="s">
        <v>3205</v>
      </c>
      <c r="E906" s="16" t="s">
        <v>3206</v>
      </c>
      <c r="F906" s="16" t="s">
        <v>3207</v>
      </c>
      <c r="G906" s="16" t="s">
        <v>1232</v>
      </c>
      <c r="H906" s="16" t="s">
        <v>1233</v>
      </c>
      <c r="I906" s="16" t="s">
        <v>198</v>
      </c>
      <c r="J906" s="16" t="s">
        <v>199</v>
      </c>
      <c r="K906" s="16">
        <v>2.3398289999999999</v>
      </c>
      <c r="L906" s="36">
        <v>2656</v>
      </c>
      <c r="M906" s="16">
        <v>574</v>
      </c>
      <c r="N906" s="16">
        <v>472</v>
      </c>
      <c r="O906" s="16">
        <v>902</v>
      </c>
      <c r="P906" s="16">
        <v>533</v>
      </c>
      <c r="Q906" s="16">
        <v>175</v>
      </c>
      <c r="R906" s="16" t="s">
        <v>302</v>
      </c>
      <c r="S906" s="16">
        <v>33.078299999999999</v>
      </c>
      <c r="T906" s="16">
        <v>16.455400000000001</v>
      </c>
      <c r="U906" s="16">
        <v>0.85792600200000002</v>
      </c>
      <c r="V906" s="16">
        <v>5</v>
      </c>
      <c r="W906" s="16">
        <v>0.90910400000000002</v>
      </c>
      <c r="X906" s="16">
        <v>0.207898</v>
      </c>
      <c r="Y906" s="16">
        <v>0.7</v>
      </c>
      <c r="Z906" s="16">
        <v>0.53724899999999998</v>
      </c>
      <c r="AA906" s="37"/>
    </row>
    <row r="907" spans="1:27">
      <c r="A907" s="16" t="s">
        <v>91</v>
      </c>
      <c r="B907" s="16" t="s">
        <v>3208</v>
      </c>
      <c r="C907" s="16" t="s">
        <v>3209</v>
      </c>
      <c r="D907" s="16" t="s">
        <v>3210</v>
      </c>
      <c r="E907" s="16" t="s">
        <v>3211</v>
      </c>
      <c r="F907" s="16" t="s">
        <v>3212</v>
      </c>
      <c r="G907" s="16" t="s">
        <v>2164</v>
      </c>
      <c r="H907" s="16" t="s">
        <v>2165</v>
      </c>
      <c r="I907" s="16" t="s">
        <v>198</v>
      </c>
      <c r="J907" s="16" t="s">
        <v>199</v>
      </c>
      <c r="K907" s="16">
        <v>1.992888</v>
      </c>
      <c r="L907" s="36">
        <v>1990</v>
      </c>
      <c r="M907" s="16">
        <v>436</v>
      </c>
      <c r="N907" s="16">
        <v>290</v>
      </c>
      <c r="O907" s="16">
        <v>500</v>
      </c>
      <c r="P907" s="16">
        <v>558</v>
      </c>
      <c r="Q907" s="16">
        <v>206</v>
      </c>
      <c r="R907" s="16">
        <v>3</v>
      </c>
      <c r="S907" s="16">
        <v>17.678899999999999</v>
      </c>
      <c r="T907" s="16">
        <v>5.5029500000000002</v>
      </c>
      <c r="U907" s="16">
        <v>1.1174389650000001</v>
      </c>
      <c r="V907" s="16">
        <v>4</v>
      </c>
      <c r="W907" s="16">
        <v>0.90474100000000002</v>
      </c>
      <c r="X907" s="16">
        <v>0.13549800000000001</v>
      </c>
      <c r="Y907" s="16">
        <v>0.64454100000000003</v>
      </c>
      <c r="Z907" s="16">
        <v>0.3</v>
      </c>
      <c r="AA907" s="37"/>
    </row>
    <row r="908" spans="1:27">
      <c r="A908" s="16" t="s">
        <v>91</v>
      </c>
      <c r="B908" s="16" t="s">
        <v>3213</v>
      </c>
      <c r="C908" s="16" t="s">
        <v>3214</v>
      </c>
      <c r="D908" s="16" t="s">
        <v>3215</v>
      </c>
      <c r="E908" s="16" t="s">
        <v>3216</v>
      </c>
      <c r="F908" s="16" t="s">
        <v>3217</v>
      </c>
      <c r="G908" s="16" t="s">
        <v>2164</v>
      </c>
      <c r="H908" s="16" t="s">
        <v>2165</v>
      </c>
      <c r="I908" s="16" t="s">
        <v>198</v>
      </c>
      <c r="J908" s="16" t="s">
        <v>199</v>
      </c>
      <c r="K908" s="16">
        <v>2.0759409999999998</v>
      </c>
      <c r="L908" s="36">
        <v>1733</v>
      </c>
      <c r="M908" s="16">
        <v>289</v>
      </c>
      <c r="N908" s="16">
        <v>324</v>
      </c>
      <c r="O908" s="16">
        <v>653</v>
      </c>
      <c r="P908" s="16">
        <v>351</v>
      </c>
      <c r="Q908" s="16">
        <v>116</v>
      </c>
      <c r="R908" s="16">
        <v>4</v>
      </c>
      <c r="S908" s="16">
        <v>21.999099999999999</v>
      </c>
      <c r="T908" s="16">
        <v>10.7395</v>
      </c>
      <c r="U908" s="16">
        <v>1.2403070329999999</v>
      </c>
      <c r="V908" s="16">
        <v>3</v>
      </c>
      <c r="W908" s="16">
        <v>0.90522999999999998</v>
      </c>
      <c r="X908" s="16">
        <v>0.20796600000000001</v>
      </c>
      <c r="Y908" s="16">
        <v>0.66119399999999995</v>
      </c>
      <c r="Z908" s="16">
        <v>0.32262200000000002</v>
      </c>
      <c r="AA908" s="37"/>
    </row>
    <row r="909" spans="1:27">
      <c r="A909" s="16" t="s">
        <v>91</v>
      </c>
      <c r="B909" s="16" t="s">
        <v>3218</v>
      </c>
      <c r="C909" s="16" t="s">
        <v>3219</v>
      </c>
      <c r="D909" s="16" t="s">
        <v>3220</v>
      </c>
      <c r="E909" s="16" t="s">
        <v>3211</v>
      </c>
      <c r="F909" s="16" t="s">
        <v>3212</v>
      </c>
      <c r="G909" s="16" t="s">
        <v>2164</v>
      </c>
      <c r="H909" s="16" t="s">
        <v>2165</v>
      </c>
      <c r="I909" s="16" t="s">
        <v>198</v>
      </c>
      <c r="J909" s="16" t="s">
        <v>199</v>
      </c>
      <c r="K909" s="16">
        <v>1.8968609999999999</v>
      </c>
      <c r="L909" s="36">
        <v>1779</v>
      </c>
      <c r="M909" s="16">
        <v>436</v>
      </c>
      <c r="N909" s="16">
        <v>225</v>
      </c>
      <c r="O909" s="16">
        <v>576</v>
      </c>
      <c r="P909" s="16">
        <v>424</v>
      </c>
      <c r="Q909" s="16">
        <v>118</v>
      </c>
      <c r="R909" s="16">
        <v>2</v>
      </c>
      <c r="S909" s="16">
        <v>9.0585500000000003</v>
      </c>
      <c r="T909" s="16">
        <v>4.7731599999999998</v>
      </c>
      <c r="U909" s="16">
        <v>1.0334389719999999</v>
      </c>
      <c r="V909" s="16">
        <v>6</v>
      </c>
      <c r="W909" s="16">
        <v>0.9</v>
      </c>
      <c r="X909" s="16">
        <v>8.5199999999999998E-3</v>
      </c>
      <c r="Y909" s="16">
        <v>0.68878899999999998</v>
      </c>
      <c r="Z909" s="16">
        <v>0.3</v>
      </c>
      <c r="AA909" s="37"/>
    </row>
    <row r="910" spans="1:27">
      <c r="A910" s="16" t="s">
        <v>91</v>
      </c>
      <c r="B910" s="16" t="s">
        <v>3221</v>
      </c>
      <c r="C910" s="16" t="s">
        <v>3222</v>
      </c>
      <c r="D910" s="16" t="s">
        <v>3223</v>
      </c>
      <c r="E910" s="16" t="s">
        <v>3211</v>
      </c>
      <c r="F910" s="16" t="s">
        <v>3212</v>
      </c>
      <c r="G910" s="16" t="s">
        <v>2164</v>
      </c>
      <c r="H910" s="16" t="s">
        <v>2165</v>
      </c>
      <c r="I910" s="16" t="s">
        <v>198</v>
      </c>
      <c r="J910" s="16" t="s">
        <v>199</v>
      </c>
      <c r="K910" s="16">
        <v>2.1172490000000002</v>
      </c>
      <c r="L910" s="36">
        <v>1397</v>
      </c>
      <c r="M910" s="16">
        <v>263</v>
      </c>
      <c r="N910" s="16">
        <v>244</v>
      </c>
      <c r="O910" s="16">
        <v>488</v>
      </c>
      <c r="P910" s="16">
        <v>297</v>
      </c>
      <c r="Q910" s="16">
        <v>105</v>
      </c>
      <c r="R910" s="16">
        <v>4</v>
      </c>
      <c r="S910" s="16">
        <v>20.378299999999999</v>
      </c>
      <c r="T910" s="16">
        <v>12.7714</v>
      </c>
      <c r="U910" s="16">
        <v>1.0823239060000001</v>
      </c>
      <c r="V910" s="16">
        <v>3</v>
      </c>
      <c r="W910" s="16">
        <v>0.904196</v>
      </c>
      <c r="X910" s="16">
        <v>0.222695</v>
      </c>
      <c r="Y910" s="16">
        <v>0.7</v>
      </c>
      <c r="Z910" s="16">
        <v>0.3</v>
      </c>
      <c r="AA910" s="37"/>
    </row>
    <row r="911" spans="1:27">
      <c r="A911" s="16" t="s">
        <v>91</v>
      </c>
      <c r="B911" s="16" t="s">
        <v>3224</v>
      </c>
      <c r="C911" s="16" t="s">
        <v>3225</v>
      </c>
      <c r="D911" s="16" t="s">
        <v>3226</v>
      </c>
      <c r="E911" s="16" t="s">
        <v>3211</v>
      </c>
      <c r="F911" s="16" t="s">
        <v>3212</v>
      </c>
      <c r="G911" s="16" t="s">
        <v>2164</v>
      </c>
      <c r="H911" s="16" t="s">
        <v>2165</v>
      </c>
      <c r="I911" s="16" t="s">
        <v>198</v>
      </c>
      <c r="J911" s="16" t="s">
        <v>199</v>
      </c>
      <c r="K911" s="16">
        <v>1.992637</v>
      </c>
      <c r="L911" s="36">
        <v>1524</v>
      </c>
      <c r="M911" s="16">
        <v>311</v>
      </c>
      <c r="N911" s="16">
        <v>233</v>
      </c>
      <c r="O911" s="16">
        <v>481</v>
      </c>
      <c r="P911" s="16">
        <v>330</v>
      </c>
      <c r="Q911" s="16">
        <v>169</v>
      </c>
      <c r="R911" s="16">
        <v>2</v>
      </c>
      <c r="S911" s="16">
        <v>15.293900000000001</v>
      </c>
      <c r="T911" s="16">
        <v>4.6635900000000001</v>
      </c>
      <c r="U911" s="16">
        <v>0.98094002000000002</v>
      </c>
      <c r="V911" s="16">
        <v>6</v>
      </c>
      <c r="W911" s="16">
        <v>0.90522599999999998</v>
      </c>
      <c r="X911" s="16">
        <v>8.8038000000000005E-2</v>
      </c>
      <c r="Y911" s="16">
        <v>0.7</v>
      </c>
      <c r="Z911" s="16">
        <v>0.3</v>
      </c>
      <c r="AA911" s="37"/>
    </row>
    <row r="912" spans="1:27">
      <c r="A912" s="16" t="s">
        <v>91</v>
      </c>
      <c r="B912" s="16" t="s">
        <v>3227</v>
      </c>
      <c r="C912" s="16" t="s">
        <v>3228</v>
      </c>
      <c r="D912" s="16" t="s">
        <v>3229</v>
      </c>
      <c r="E912" s="16" t="s">
        <v>2584</v>
      </c>
      <c r="F912" s="16" t="s">
        <v>2585</v>
      </c>
      <c r="G912" s="16" t="s">
        <v>2164</v>
      </c>
      <c r="H912" s="16" t="s">
        <v>2165</v>
      </c>
      <c r="I912" s="16" t="s">
        <v>198</v>
      </c>
      <c r="J912" s="16" t="s">
        <v>199</v>
      </c>
      <c r="K912" s="16">
        <v>2.16343</v>
      </c>
      <c r="L912" s="36">
        <v>2923</v>
      </c>
      <c r="M912" s="16">
        <v>701</v>
      </c>
      <c r="N912" s="16">
        <v>455</v>
      </c>
      <c r="O912" s="16">
        <v>999</v>
      </c>
      <c r="P912" s="16">
        <v>569</v>
      </c>
      <c r="Q912" s="16">
        <v>199</v>
      </c>
      <c r="R912" s="16">
        <v>4</v>
      </c>
      <c r="S912" s="16">
        <v>30.148800000000001</v>
      </c>
      <c r="T912" s="16">
        <v>7.9169499999999999</v>
      </c>
      <c r="U912" s="16">
        <v>1.0002116809999999</v>
      </c>
      <c r="V912" s="16">
        <v>3</v>
      </c>
      <c r="W912" s="16">
        <v>0.90154299999999998</v>
      </c>
      <c r="X912" s="16">
        <v>0.20324600000000001</v>
      </c>
      <c r="Y912" s="16">
        <v>0.62524999999999997</v>
      </c>
      <c r="Z912" s="16">
        <v>0.42957200000000001</v>
      </c>
      <c r="AA912" s="37"/>
    </row>
    <row r="913" spans="1:27">
      <c r="A913" s="16" t="s">
        <v>91</v>
      </c>
      <c r="B913" s="16" t="s">
        <v>2589</v>
      </c>
      <c r="C913" s="16" t="s">
        <v>2590</v>
      </c>
      <c r="D913" s="16" t="s">
        <v>2591</v>
      </c>
      <c r="E913" s="16" t="s">
        <v>2584</v>
      </c>
      <c r="F913" s="16" t="s">
        <v>2585</v>
      </c>
      <c r="G913" s="16" t="s">
        <v>2164</v>
      </c>
      <c r="H913" s="16" t="s">
        <v>2165</v>
      </c>
      <c r="I913" s="16" t="s">
        <v>198</v>
      </c>
      <c r="J913" s="16" t="s">
        <v>199</v>
      </c>
      <c r="K913" s="16">
        <v>2.3809819999999999</v>
      </c>
      <c r="L913" s="36">
        <v>1955</v>
      </c>
      <c r="M913" s="16">
        <v>434</v>
      </c>
      <c r="N913" s="16">
        <v>389</v>
      </c>
      <c r="O913" s="16">
        <v>520</v>
      </c>
      <c r="P913" s="16">
        <v>444</v>
      </c>
      <c r="Q913" s="16">
        <v>168</v>
      </c>
      <c r="R913" s="16" t="s">
        <v>302</v>
      </c>
      <c r="S913" s="16">
        <v>35.0901</v>
      </c>
      <c r="T913" s="16">
        <v>1.85707</v>
      </c>
      <c r="U913" s="16">
        <v>1.32290738</v>
      </c>
      <c r="V913" s="16">
        <v>1</v>
      </c>
      <c r="W913" s="16">
        <v>0.91022499999999995</v>
      </c>
      <c r="X913" s="16">
        <v>0.34515800000000002</v>
      </c>
      <c r="Y913" s="16">
        <v>0.62761800000000001</v>
      </c>
      <c r="Z913" s="16">
        <v>0.49959100000000001</v>
      </c>
      <c r="AA913" s="37"/>
    </row>
    <row r="914" spans="1:27">
      <c r="A914" s="16" t="s">
        <v>91</v>
      </c>
      <c r="B914" s="16" t="s">
        <v>3230</v>
      </c>
      <c r="C914" s="16" t="s">
        <v>3231</v>
      </c>
      <c r="D914" s="16" t="s">
        <v>3232</v>
      </c>
      <c r="E914" s="16" t="s">
        <v>2584</v>
      </c>
      <c r="F914" s="16" t="s">
        <v>2585</v>
      </c>
      <c r="G914" s="16" t="s">
        <v>2164</v>
      </c>
      <c r="H914" s="16" t="s">
        <v>2165</v>
      </c>
      <c r="I914" s="16" t="s">
        <v>198</v>
      </c>
      <c r="J914" s="16" t="s">
        <v>199</v>
      </c>
      <c r="K914" s="16">
        <v>2.1465809999999999</v>
      </c>
      <c r="L914" s="36">
        <v>2074</v>
      </c>
      <c r="M914" s="16">
        <v>478</v>
      </c>
      <c r="N914" s="16">
        <v>437</v>
      </c>
      <c r="O914" s="16">
        <v>449</v>
      </c>
      <c r="P914" s="16">
        <v>537</v>
      </c>
      <c r="Q914" s="16">
        <v>173</v>
      </c>
      <c r="R914" s="16">
        <v>4</v>
      </c>
      <c r="S914" s="16">
        <v>24.417400000000001</v>
      </c>
      <c r="T914" s="16">
        <v>15.7555</v>
      </c>
      <c r="U914" s="16">
        <v>1.1782908160000001</v>
      </c>
      <c r="V914" s="16">
        <v>3</v>
      </c>
      <c r="W914" s="16">
        <v>0.90405999999999997</v>
      </c>
      <c r="X914" s="16">
        <v>0.28712399999999999</v>
      </c>
      <c r="Y914" s="16">
        <v>0.6</v>
      </c>
      <c r="Z914" s="16">
        <v>0.34553200000000001</v>
      </c>
      <c r="AA914" s="37"/>
    </row>
    <row r="915" spans="1:27">
      <c r="A915" s="16"/>
      <c r="B915" s="16"/>
      <c r="C915" s="16"/>
      <c r="D915" s="16"/>
      <c r="E915" s="16"/>
      <c r="F915" s="16"/>
      <c r="G915" s="16"/>
      <c r="H915" s="16"/>
      <c r="I915" s="16"/>
      <c r="J915" s="16"/>
      <c r="K915" s="16">
        <f>MEDIAN(K888:K914)</f>
        <v>2.1465809999999999</v>
      </c>
      <c r="L915" s="36">
        <f>AVERAGE(L888:L914)</f>
        <v>1864.7407407407406</v>
      </c>
      <c r="M915" s="36">
        <f t="shared" ref="M915:Q915" si="74">SUM(M888:M914)</f>
        <v>10748</v>
      </c>
      <c r="N915" s="36">
        <f t="shared" si="74"/>
        <v>8510</v>
      </c>
      <c r="O915" s="36">
        <f t="shared" si="74"/>
        <v>14394</v>
      </c>
      <c r="P915" s="36">
        <f t="shared" si="74"/>
        <v>11888</v>
      </c>
      <c r="Q915" s="36">
        <f t="shared" si="74"/>
        <v>4808</v>
      </c>
      <c r="R915" s="16"/>
      <c r="S915" s="16"/>
      <c r="T915" s="16"/>
      <c r="U915" s="16"/>
      <c r="V915" s="16">
        <f>MEDIAN(V888:V914)</f>
        <v>4</v>
      </c>
      <c r="W915" s="16"/>
      <c r="X915" s="16"/>
      <c r="Y915" s="16"/>
      <c r="Z915" s="16"/>
      <c r="AA915" s="37"/>
    </row>
    <row r="916" spans="1:27">
      <c r="A916" s="16" t="s">
        <v>92</v>
      </c>
      <c r="B916" s="16" t="s">
        <v>3233</v>
      </c>
      <c r="C916" s="16" t="s">
        <v>3234</v>
      </c>
      <c r="D916" s="16" t="s">
        <v>3235</v>
      </c>
      <c r="E916" s="16" t="s">
        <v>3236</v>
      </c>
      <c r="F916" s="16" t="s">
        <v>3237</v>
      </c>
      <c r="G916" s="16" t="s">
        <v>1232</v>
      </c>
      <c r="H916" s="16" t="s">
        <v>1233</v>
      </c>
      <c r="I916" s="16" t="s">
        <v>198</v>
      </c>
      <c r="J916" s="16" t="s">
        <v>199</v>
      </c>
      <c r="K916" s="16">
        <v>2.4559090000000001</v>
      </c>
      <c r="L916" s="36">
        <v>1966</v>
      </c>
      <c r="M916" s="16">
        <v>370</v>
      </c>
      <c r="N916" s="16">
        <v>282</v>
      </c>
      <c r="O916" s="16">
        <v>686</v>
      </c>
      <c r="P916" s="16">
        <v>449</v>
      </c>
      <c r="Q916" s="16">
        <v>179</v>
      </c>
      <c r="R916" s="16" t="s">
        <v>302</v>
      </c>
      <c r="S916" s="16">
        <v>37.598500000000001</v>
      </c>
      <c r="T916" s="16">
        <v>20.340499999999999</v>
      </c>
      <c r="U916" s="16">
        <v>0.78848393699999997</v>
      </c>
      <c r="V916" s="16">
        <v>6</v>
      </c>
      <c r="W916" s="16">
        <v>0.90840900000000002</v>
      </c>
      <c r="X916" s="16">
        <v>0.12370200000000001</v>
      </c>
      <c r="Y916" s="16">
        <v>0.78314399999999995</v>
      </c>
      <c r="Z916" s="16">
        <v>0.66945699999999997</v>
      </c>
      <c r="AA916" s="37"/>
    </row>
    <row r="917" spans="1:27">
      <c r="A917" s="16" t="s">
        <v>92</v>
      </c>
      <c r="B917" s="16" t="s">
        <v>3238</v>
      </c>
      <c r="C917" s="16" t="s">
        <v>3239</v>
      </c>
      <c r="D917" s="16" t="s">
        <v>3240</v>
      </c>
      <c r="E917" s="16" t="s">
        <v>3236</v>
      </c>
      <c r="F917" s="16" t="s">
        <v>3237</v>
      </c>
      <c r="G917" s="16" t="s">
        <v>1232</v>
      </c>
      <c r="H917" s="16" t="s">
        <v>1233</v>
      </c>
      <c r="I917" s="16" t="s">
        <v>198</v>
      </c>
      <c r="J917" s="16" t="s">
        <v>199</v>
      </c>
      <c r="K917" s="16">
        <v>2.383721</v>
      </c>
      <c r="L917" s="36">
        <v>2120</v>
      </c>
      <c r="M917" s="16">
        <v>326</v>
      </c>
      <c r="N917" s="16">
        <v>509</v>
      </c>
      <c r="O917" s="16">
        <v>708</v>
      </c>
      <c r="P917" s="16">
        <v>415</v>
      </c>
      <c r="Q917" s="16">
        <v>162</v>
      </c>
      <c r="R917" s="16" t="s">
        <v>302</v>
      </c>
      <c r="S917" s="16">
        <v>33.347499999999997</v>
      </c>
      <c r="T917" s="16">
        <v>20.2319</v>
      </c>
      <c r="U917" s="16">
        <v>0.82152678899999998</v>
      </c>
      <c r="V917" s="16">
        <v>5</v>
      </c>
      <c r="W917" s="16">
        <v>0.90658899999999998</v>
      </c>
      <c r="X917" s="16">
        <v>0.122158</v>
      </c>
      <c r="Y917" s="16">
        <v>0.70230300000000001</v>
      </c>
      <c r="Z917" s="16">
        <v>0.64107499999999995</v>
      </c>
      <c r="AA917" s="37"/>
    </row>
    <row r="918" spans="1:27">
      <c r="A918" s="16" t="s">
        <v>92</v>
      </c>
      <c r="B918" s="16" t="s">
        <v>3241</v>
      </c>
      <c r="C918" s="16" t="s">
        <v>3242</v>
      </c>
      <c r="D918" s="16" t="s">
        <v>3243</v>
      </c>
      <c r="E918" s="16" t="s">
        <v>3236</v>
      </c>
      <c r="F918" s="16" t="s">
        <v>3237</v>
      </c>
      <c r="G918" s="16" t="s">
        <v>1232</v>
      </c>
      <c r="H918" s="16" t="s">
        <v>1233</v>
      </c>
      <c r="I918" s="16" t="s">
        <v>198</v>
      </c>
      <c r="J918" s="16" t="s">
        <v>199</v>
      </c>
      <c r="K918" s="16">
        <v>2.2273309999999999</v>
      </c>
      <c r="L918" s="36">
        <v>1747</v>
      </c>
      <c r="M918" s="16">
        <v>228</v>
      </c>
      <c r="N918" s="16">
        <v>407</v>
      </c>
      <c r="O918" s="16">
        <v>575</v>
      </c>
      <c r="P918" s="16">
        <v>383</v>
      </c>
      <c r="Q918" s="16">
        <v>154</v>
      </c>
      <c r="R918" s="16">
        <v>5</v>
      </c>
      <c r="S918" s="16">
        <v>37.848199999999999</v>
      </c>
      <c r="T918" s="16">
        <v>6.94475</v>
      </c>
      <c r="U918" s="16">
        <v>1.0610574660000001</v>
      </c>
      <c r="V918" s="16">
        <v>3</v>
      </c>
      <c r="W918" s="16">
        <v>0.90353700000000003</v>
      </c>
      <c r="X918" s="16">
        <v>0.102614</v>
      </c>
      <c r="Y918" s="16">
        <v>0.70224399999999998</v>
      </c>
      <c r="Z918" s="16">
        <v>0.52993599999999996</v>
      </c>
      <c r="AA918" s="37"/>
    </row>
    <row r="919" spans="1:27">
      <c r="A919" s="16" t="s">
        <v>92</v>
      </c>
      <c r="B919" s="16" t="s">
        <v>3137</v>
      </c>
      <c r="C919" s="16" t="s">
        <v>3138</v>
      </c>
      <c r="D919" s="16" t="s">
        <v>3139</v>
      </c>
      <c r="E919" s="16" t="s">
        <v>3140</v>
      </c>
      <c r="F919" s="16" t="s">
        <v>3141</v>
      </c>
      <c r="G919" s="16" t="s">
        <v>1232</v>
      </c>
      <c r="H919" s="16" t="s">
        <v>1233</v>
      </c>
      <c r="I919" s="16" t="s">
        <v>198</v>
      </c>
      <c r="J919" s="16" t="s">
        <v>199</v>
      </c>
      <c r="K919" s="16">
        <v>2.8173910000000002</v>
      </c>
      <c r="L919" s="36">
        <v>1625</v>
      </c>
      <c r="M919" s="16">
        <v>310</v>
      </c>
      <c r="N919" s="16">
        <v>298</v>
      </c>
      <c r="O919" s="16">
        <v>479</v>
      </c>
      <c r="P919" s="16">
        <v>403</v>
      </c>
      <c r="Q919" s="16">
        <v>135</v>
      </c>
      <c r="R919" s="16" t="s">
        <v>302</v>
      </c>
      <c r="S919" s="16">
        <v>40.686500000000002</v>
      </c>
      <c r="T919" s="16">
        <v>15.611700000000001</v>
      </c>
      <c r="U919" s="16">
        <v>0.84491048800000002</v>
      </c>
      <c r="V919" s="16">
        <v>3</v>
      </c>
      <c r="W919" s="16">
        <v>0.91739099999999996</v>
      </c>
      <c r="X919" s="16">
        <v>0.39447500000000002</v>
      </c>
      <c r="Y919" s="16">
        <v>0.76812000000000002</v>
      </c>
      <c r="Z919" s="16">
        <v>0.74316899999999997</v>
      </c>
      <c r="AA919" s="37"/>
    </row>
    <row r="920" spans="1:27">
      <c r="A920" s="16" t="s">
        <v>92</v>
      </c>
      <c r="B920" s="16" t="s">
        <v>3244</v>
      </c>
      <c r="C920" s="16" t="s">
        <v>3245</v>
      </c>
      <c r="D920" s="16" t="s">
        <v>3246</v>
      </c>
      <c r="E920" s="16" t="s">
        <v>3247</v>
      </c>
      <c r="F920" s="16" t="s">
        <v>3248</v>
      </c>
      <c r="G920" s="16" t="s">
        <v>1232</v>
      </c>
      <c r="H920" s="16" t="s">
        <v>1233</v>
      </c>
      <c r="I920" s="16" t="s">
        <v>198</v>
      </c>
      <c r="J920" s="16" t="s">
        <v>199</v>
      </c>
      <c r="K920" s="16">
        <v>2.3363100000000001</v>
      </c>
      <c r="L920" s="36">
        <v>2168</v>
      </c>
      <c r="M920" s="16">
        <v>349</v>
      </c>
      <c r="N920" s="16">
        <v>443</v>
      </c>
      <c r="O920" s="16">
        <v>804</v>
      </c>
      <c r="P920" s="16">
        <v>370</v>
      </c>
      <c r="Q920" s="16">
        <v>202</v>
      </c>
      <c r="R920" s="16" t="s">
        <v>302</v>
      </c>
      <c r="S920" s="16">
        <v>37.810400000000001</v>
      </c>
      <c r="T920" s="16">
        <v>20.943300000000001</v>
      </c>
      <c r="U920" s="16">
        <v>0.88664573199999996</v>
      </c>
      <c r="V920" s="16">
        <v>4</v>
      </c>
      <c r="W920" s="16">
        <v>0.90654800000000002</v>
      </c>
      <c r="X920" s="16">
        <v>0.146507</v>
      </c>
      <c r="Y920" s="16">
        <v>0.7</v>
      </c>
      <c r="Z920" s="16">
        <v>0.56448399999999999</v>
      </c>
      <c r="AA920" s="37"/>
    </row>
    <row r="921" spans="1:27">
      <c r="A921" s="16" t="s">
        <v>92</v>
      </c>
      <c r="B921" s="16" t="s">
        <v>3249</v>
      </c>
      <c r="C921" s="16" t="s">
        <v>3250</v>
      </c>
      <c r="D921" s="16" t="s">
        <v>3251</v>
      </c>
      <c r="E921" s="16" t="s">
        <v>3247</v>
      </c>
      <c r="F921" s="16" t="s">
        <v>3248</v>
      </c>
      <c r="G921" s="16" t="s">
        <v>1232</v>
      </c>
      <c r="H921" s="16" t="s">
        <v>1233</v>
      </c>
      <c r="I921" s="16" t="s">
        <v>198</v>
      </c>
      <c r="J921" s="16" t="s">
        <v>199</v>
      </c>
      <c r="K921" s="16">
        <v>2.2700999999999998</v>
      </c>
      <c r="L921" s="36">
        <v>2066</v>
      </c>
      <c r="M921" s="16">
        <v>424</v>
      </c>
      <c r="N921" s="16">
        <v>368</v>
      </c>
      <c r="O921" s="16">
        <v>632</v>
      </c>
      <c r="P921" s="16">
        <v>417</v>
      </c>
      <c r="Q921" s="16">
        <v>225</v>
      </c>
      <c r="R921" s="16">
        <v>5</v>
      </c>
      <c r="S921" s="16">
        <v>39.274900000000002</v>
      </c>
      <c r="T921" s="16">
        <v>5.56717</v>
      </c>
      <c r="U921" s="16">
        <v>0.95481671700000004</v>
      </c>
      <c r="V921" s="16">
        <v>4</v>
      </c>
      <c r="W921" s="16">
        <v>0.90564800000000001</v>
      </c>
      <c r="X921" s="16">
        <v>0.123361</v>
      </c>
      <c r="Y921" s="16">
        <v>0.71228999999999998</v>
      </c>
      <c r="Z921" s="16">
        <v>0.51588599999999996</v>
      </c>
      <c r="AA921" s="37"/>
    </row>
    <row r="922" spans="1:27">
      <c r="A922" s="16" t="s">
        <v>92</v>
      </c>
      <c r="B922" s="16" t="s">
        <v>3104</v>
      </c>
      <c r="C922" s="16" t="s">
        <v>3105</v>
      </c>
      <c r="D922" s="16" t="s">
        <v>3106</v>
      </c>
      <c r="E922" s="16" t="s">
        <v>3094</v>
      </c>
      <c r="F922" s="16" t="s">
        <v>3095</v>
      </c>
      <c r="G922" s="16" t="s">
        <v>1232</v>
      </c>
      <c r="H922" s="16" t="s">
        <v>1233</v>
      </c>
      <c r="I922" s="16" t="s">
        <v>198</v>
      </c>
      <c r="J922" s="16" t="s">
        <v>199</v>
      </c>
      <c r="K922" s="16">
        <v>2.4911829999999999</v>
      </c>
      <c r="L922" s="36">
        <v>2714</v>
      </c>
      <c r="M922" s="16">
        <v>442</v>
      </c>
      <c r="N922" s="16">
        <v>570</v>
      </c>
      <c r="O922" s="16">
        <v>981</v>
      </c>
      <c r="P922" s="16">
        <v>550</v>
      </c>
      <c r="Q922" s="16">
        <v>171</v>
      </c>
      <c r="R922" s="16" t="s">
        <v>302</v>
      </c>
      <c r="S922" s="16">
        <v>40.337699999999998</v>
      </c>
      <c r="T922" s="16">
        <v>26.525400000000001</v>
      </c>
      <c r="U922" s="16">
        <v>1.0011948129999999</v>
      </c>
      <c r="V922" s="16">
        <v>3</v>
      </c>
      <c r="W922" s="16">
        <v>0.914385</v>
      </c>
      <c r="X922" s="16">
        <v>0.285057</v>
      </c>
      <c r="Y922" s="16">
        <v>0.79745999999999995</v>
      </c>
      <c r="Z922" s="16">
        <v>0.50209800000000004</v>
      </c>
      <c r="AA922" s="37"/>
    </row>
    <row r="923" spans="1:27">
      <c r="A923" s="16" t="s">
        <v>92</v>
      </c>
      <c r="B923" s="16" t="s">
        <v>3252</v>
      </c>
      <c r="C923" s="16" t="s">
        <v>3253</v>
      </c>
      <c r="D923" s="16" t="s">
        <v>3254</v>
      </c>
      <c r="E923" s="16" t="s">
        <v>3247</v>
      </c>
      <c r="F923" s="16" t="s">
        <v>3248</v>
      </c>
      <c r="G923" s="16" t="s">
        <v>1232</v>
      </c>
      <c r="H923" s="16" t="s">
        <v>1233</v>
      </c>
      <c r="I923" s="16" t="s">
        <v>198</v>
      </c>
      <c r="J923" s="16" t="s">
        <v>199</v>
      </c>
      <c r="K923" s="16">
        <v>2.3351419999999998</v>
      </c>
      <c r="L923" s="36">
        <v>2429</v>
      </c>
      <c r="M923" s="16">
        <v>239</v>
      </c>
      <c r="N923" s="16">
        <v>634</v>
      </c>
      <c r="O923" s="36">
        <v>1074</v>
      </c>
      <c r="P923" s="16">
        <v>362</v>
      </c>
      <c r="Q923" s="16">
        <v>120</v>
      </c>
      <c r="R923" s="16" t="s">
        <v>302</v>
      </c>
      <c r="S923" s="16">
        <v>37.241700000000002</v>
      </c>
      <c r="T923" s="16">
        <v>20.568200000000001</v>
      </c>
      <c r="U923" s="16">
        <v>0.77955770199999996</v>
      </c>
      <c r="V923" s="16">
        <v>6</v>
      </c>
      <c r="W923" s="16">
        <v>0.92144700000000002</v>
      </c>
      <c r="X923" s="16">
        <v>0.19689899999999999</v>
      </c>
      <c r="Y923" s="16">
        <v>0.7</v>
      </c>
      <c r="Z923" s="16">
        <v>0.57168799999999997</v>
      </c>
      <c r="AA923" s="37"/>
    </row>
    <row r="924" spans="1:27">
      <c r="A924" s="16" t="s">
        <v>92</v>
      </c>
      <c r="B924" s="16" t="s">
        <v>3255</v>
      </c>
      <c r="C924" s="16" t="s">
        <v>3256</v>
      </c>
      <c r="D924" s="16" t="s">
        <v>3257</v>
      </c>
      <c r="E924" s="16" t="s">
        <v>3247</v>
      </c>
      <c r="F924" s="16" t="s">
        <v>3248</v>
      </c>
      <c r="G924" s="16" t="s">
        <v>1232</v>
      </c>
      <c r="H924" s="16" t="s">
        <v>1233</v>
      </c>
      <c r="I924" s="16" t="s">
        <v>198</v>
      </c>
      <c r="J924" s="16" t="s">
        <v>199</v>
      </c>
      <c r="K924" s="16">
        <v>2.1786289999999999</v>
      </c>
      <c r="L924" s="36">
        <v>2043</v>
      </c>
      <c r="M924" s="16">
        <v>344</v>
      </c>
      <c r="N924" s="16">
        <v>335</v>
      </c>
      <c r="O924" s="16">
        <v>665</v>
      </c>
      <c r="P924" s="16">
        <v>495</v>
      </c>
      <c r="Q924" s="16">
        <v>204</v>
      </c>
      <c r="R924" s="16">
        <v>5</v>
      </c>
      <c r="S924" s="16">
        <v>38.729399999999998</v>
      </c>
      <c r="T924" s="16">
        <v>3.8804799999999999</v>
      </c>
      <c r="U924" s="16">
        <v>0.91225542999999998</v>
      </c>
      <c r="V924" s="16">
        <v>5</v>
      </c>
      <c r="W924" s="16">
        <v>0.90241899999999997</v>
      </c>
      <c r="X924" s="16">
        <v>5.8064999999999999E-2</v>
      </c>
      <c r="Y924" s="16">
        <v>0.71943900000000005</v>
      </c>
      <c r="Z924" s="16">
        <v>0.49737399999999998</v>
      </c>
      <c r="AA924" s="37"/>
    </row>
    <row r="925" spans="1:27">
      <c r="A925" s="16"/>
      <c r="B925" s="16"/>
      <c r="C925" s="16"/>
      <c r="D925" s="16"/>
      <c r="E925" s="16"/>
      <c r="F925" s="16"/>
      <c r="G925" s="16"/>
      <c r="H925" s="16"/>
      <c r="I925" s="16"/>
      <c r="J925" s="16"/>
      <c r="K925" s="16">
        <f>MEDIAN(K916:K924)</f>
        <v>2.3363100000000001</v>
      </c>
      <c r="L925" s="36">
        <f>AVERAGE(L916:L924)</f>
        <v>2097.5555555555557</v>
      </c>
      <c r="M925" s="36">
        <f t="shared" ref="M925:Q925" si="75">SUM(M916:M924)</f>
        <v>3032</v>
      </c>
      <c r="N925" s="36">
        <f t="shared" si="75"/>
        <v>3846</v>
      </c>
      <c r="O925" s="36">
        <f t="shared" si="75"/>
        <v>6604</v>
      </c>
      <c r="P925" s="36">
        <f t="shared" si="75"/>
        <v>3844</v>
      </c>
      <c r="Q925" s="36">
        <f t="shared" si="75"/>
        <v>1552</v>
      </c>
      <c r="R925" s="16"/>
      <c r="S925" s="16"/>
      <c r="T925" s="16"/>
      <c r="U925" s="16"/>
      <c r="V925" s="16">
        <f>MEDIAN(V916:V924)</f>
        <v>4</v>
      </c>
      <c r="W925" s="16"/>
      <c r="X925" s="16"/>
      <c r="Y925" s="16"/>
      <c r="Z925" s="16"/>
      <c r="AA925" s="37"/>
    </row>
    <row r="926" spans="1:27">
      <c r="A926" s="16" t="s">
        <v>66</v>
      </c>
      <c r="B926" s="16" t="s">
        <v>3258</v>
      </c>
      <c r="C926" s="16" t="s">
        <v>3259</v>
      </c>
      <c r="D926" s="16" t="s">
        <v>3260</v>
      </c>
      <c r="E926" s="16" t="s">
        <v>3261</v>
      </c>
      <c r="F926" s="16" t="s">
        <v>3262</v>
      </c>
      <c r="G926" s="16" t="s">
        <v>1232</v>
      </c>
      <c r="H926" s="16" t="s">
        <v>1233</v>
      </c>
      <c r="I926" s="16" t="s">
        <v>198</v>
      </c>
      <c r="J926" s="16" t="s">
        <v>199</v>
      </c>
      <c r="K926" s="16">
        <v>3.0671919999999999</v>
      </c>
      <c r="L926" s="36">
        <v>2020</v>
      </c>
      <c r="M926" s="16">
        <v>170</v>
      </c>
      <c r="N926" s="16">
        <v>770</v>
      </c>
      <c r="O926" s="16">
        <v>720</v>
      </c>
      <c r="P926" s="16">
        <v>290</v>
      </c>
      <c r="Q926" s="16">
        <v>70</v>
      </c>
      <c r="R926" s="16" t="s">
        <v>302</v>
      </c>
      <c r="S926" s="16">
        <v>36.8215</v>
      </c>
      <c r="T926" s="16">
        <v>24.703499999999998</v>
      </c>
      <c r="U926" s="16">
        <v>0.38403917599999998</v>
      </c>
      <c r="V926" s="16">
        <v>6</v>
      </c>
      <c r="W926" s="16">
        <v>0.99053599999999997</v>
      </c>
      <c r="X926" s="16">
        <v>0.37079400000000001</v>
      </c>
      <c r="Y926" s="16">
        <v>0.7</v>
      </c>
      <c r="Z926" s="16">
        <v>1</v>
      </c>
      <c r="AA926" s="37"/>
    </row>
    <row r="927" spans="1:27">
      <c r="A927" s="16" t="s">
        <v>66</v>
      </c>
      <c r="B927" s="16" t="s">
        <v>3263</v>
      </c>
      <c r="C927" s="16" t="s">
        <v>3264</v>
      </c>
      <c r="D927" s="16" t="s">
        <v>3265</v>
      </c>
      <c r="E927" s="16" t="s">
        <v>3266</v>
      </c>
      <c r="F927" s="16" t="s">
        <v>3267</v>
      </c>
      <c r="G927" s="16" t="s">
        <v>1232</v>
      </c>
      <c r="H927" s="16" t="s">
        <v>1233</v>
      </c>
      <c r="I927" s="16" t="s">
        <v>198</v>
      </c>
      <c r="J927" s="16" t="s">
        <v>199</v>
      </c>
      <c r="K927" s="16">
        <v>2.823982</v>
      </c>
      <c r="L927" s="36">
        <v>1720</v>
      </c>
      <c r="M927" s="16">
        <v>300</v>
      </c>
      <c r="N927" s="16">
        <v>402</v>
      </c>
      <c r="O927" s="16">
        <v>474</v>
      </c>
      <c r="P927" s="16">
        <v>387</v>
      </c>
      <c r="Q927" s="16">
        <v>157</v>
      </c>
      <c r="R927" s="16">
        <v>5</v>
      </c>
      <c r="S927" s="16">
        <v>36.1004</v>
      </c>
      <c r="T927" s="16">
        <v>9.6216799999999996</v>
      </c>
      <c r="U927" s="16">
        <v>0.90804342599999999</v>
      </c>
      <c r="V927" s="16">
        <v>2</v>
      </c>
      <c r="W927" s="16">
        <v>0.91176500000000005</v>
      </c>
      <c r="X927" s="16">
        <v>0.103965</v>
      </c>
      <c r="Y927" s="16">
        <v>0.8</v>
      </c>
      <c r="Z927" s="16">
        <v>1</v>
      </c>
      <c r="AA927" s="37"/>
    </row>
    <row r="928" spans="1:27">
      <c r="A928" s="16" t="s">
        <v>66</v>
      </c>
      <c r="B928" s="16" t="s">
        <v>3268</v>
      </c>
      <c r="C928" s="16" t="s">
        <v>3269</v>
      </c>
      <c r="D928" s="16" t="s">
        <v>3270</v>
      </c>
      <c r="E928" s="16" t="s">
        <v>3266</v>
      </c>
      <c r="F928" s="16" t="s">
        <v>3267</v>
      </c>
      <c r="G928" s="16" t="s">
        <v>1232</v>
      </c>
      <c r="H928" s="16" t="s">
        <v>1233</v>
      </c>
      <c r="I928" s="16" t="s">
        <v>198</v>
      </c>
      <c r="J928" s="16" t="s">
        <v>199</v>
      </c>
      <c r="K928" s="16">
        <v>3.014113</v>
      </c>
      <c r="L928" s="36">
        <v>1035</v>
      </c>
      <c r="M928" s="16">
        <v>106</v>
      </c>
      <c r="N928" s="16">
        <v>264</v>
      </c>
      <c r="O928" s="16">
        <v>342</v>
      </c>
      <c r="P928" s="16">
        <v>250</v>
      </c>
      <c r="Q928" s="16">
        <v>73</v>
      </c>
      <c r="R928" s="16" t="s">
        <v>302</v>
      </c>
      <c r="S928" s="16">
        <v>47.667099999999998</v>
      </c>
      <c r="T928" s="16">
        <v>15.9384</v>
      </c>
      <c r="U928" s="16">
        <v>0.81790094199999996</v>
      </c>
      <c r="V928" s="16">
        <v>2</v>
      </c>
      <c r="W928" s="16">
        <v>0.92540299999999998</v>
      </c>
      <c r="X928" s="16">
        <v>0.331984</v>
      </c>
      <c r="Y928" s="16">
        <v>0.74734699999999998</v>
      </c>
      <c r="Z928" s="16">
        <v>1</v>
      </c>
      <c r="AA928" s="37"/>
    </row>
    <row r="929" spans="1:27">
      <c r="A929" s="16" t="s">
        <v>66</v>
      </c>
      <c r="B929" s="16" t="s">
        <v>3271</v>
      </c>
      <c r="C929" s="16" t="s">
        <v>3272</v>
      </c>
      <c r="D929" s="16" t="s">
        <v>3273</v>
      </c>
      <c r="E929" s="16" t="s">
        <v>3266</v>
      </c>
      <c r="F929" s="16" t="s">
        <v>3267</v>
      </c>
      <c r="G929" s="16" t="s">
        <v>1232</v>
      </c>
      <c r="H929" s="16" t="s">
        <v>1233</v>
      </c>
      <c r="I929" s="16" t="s">
        <v>198</v>
      </c>
      <c r="J929" s="16" t="s">
        <v>199</v>
      </c>
      <c r="K929" s="16">
        <v>2.7486649999999999</v>
      </c>
      <c r="L929" s="36">
        <v>1894</v>
      </c>
      <c r="M929" s="16">
        <v>379</v>
      </c>
      <c r="N929" s="16">
        <v>408</v>
      </c>
      <c r="O929" s="16">
        <v>427</v>
      </c>
      <c r="P929" s="16">
        <v>481</v>
      </c>
      <c r="Q929" s="16">
        <v>199</v>
      </c>
      <c r="R929" s="16">
        <v>4</v>
      </c>
      <c r="S929" s="16">
        <v>43.682400000000001</v>
      </c>
      <c r="T929" s="16">
        <v>9.3478399999999997</v>
      </c>
      <c r="U929" s="16">
        <v>1.079188128</v>
      </c>
      <c r="V929" s="16">
        <v>2</v>
      </c>
      <c r="W929" s="16">
        <v>0.94391700000000001</v>
      </c>
      <c r="X929" s="16">
        <v>0.116364</v>
      </c>
      <c r="Y929" s="16">
        <v>0.74863199999999996</v>
      </c>
      <c r="Z929" s="16">
        <v>0.94668699999999995</v>
      </c>
      <c r="AA929" s="37"/>
    </row>
    <row r="930" spans="1:27">
      <c r="A930" s="16" t="s">
        <v>66</v>
      </c>
      <c r="B930" s="16" t="s">
        <v>3274</v>
      </c>
      <c r="C930" s="16" t="s">
        <v>3275</v>
      </c>
      <c r="D930" s="16" t="s">
        <v>3276</v>
      </c>
      <c r="E930" s="16" t="s">
        <v>3266</v>
      </c>
      <c r="F930" s="16" t="s">
        <v>3267</v>
      </c>
      <c r="G930" s="16" t="s">
        <v>1232</v>
      </c>
      <c r="H930" s="16" t="s">
        <v>1233</v>
      </c>
      <c r="I930" s="16" t="s">
        <v>198</v>
      </c>
      <c r="J930" s="16" t="s">
        <v>199</v>
      </c>
      <c r="K930" s="16">
        <v>2.8986770000000002</v>
      </c>
      <c r="L930" s="36">
        <v>1742</v>
      </c>
      <c r="M930" s="16">
        <v>231</v>
      </c>
      <c r="N930" s="16">
        <v>564</v>
      </c>
      <c r="O930" s="16">
        <v>459</v>
      </c>
      <c r="P930" s="16">
        <v>364</v>
      </c>
      <c r="Q930" s="16">
        <v>124</v>
      </c>
      <c r="R930" s="16" t="s">
        <v>668</v>
      </c>
      <c r="S930" s="16">
        <v>60.523200000000003</v>
      </c>
      <c r="T930" s="16">
        <v>34.552500000000002</v>
      </c>
      <c r="U930" s="16">
        <v>0.94847294500000001</v>
      </c>
      <c r="V930" s="16">
        <v>2</v>
      </c>
      <c r="W930" s="16">
        <v>0.92154999999999998</v>
      </c>
      <c r="X930" s="16">
        <v>0.28922500000000001</v>
      </c>
      <c r="Y930" s="16">
        <v>0.72078699999999996</v>
      </c>
      <c r="Z930" s="16">
        <v>0.98851199999999995</v>
      </c>
      <c r="AA930" s="37"/>
    </row>
    <row r="931" spans="1:27">
      <c r="A931" s="16" t="s">
        <v>66</v>
      </c>
      <c r="B931" s="16" t="s">
        <v>3277</v>
      </c>
      <c r="C931" s="16" t="s">
        <v>3278</v>
      </c>
      <c r="D931" s="16" t="s">
        <v>3279</v>
      </c>
      <c r="E931" s="16" t="s">
        <v>3280</v>
      </c>
      <c r="F931" s="16" t="s">
        <v>3281</v>
      </c>
      <c r="G931" s="16" t="s">
        <v>1232</v>
      </c>
      <c r="H931" s="16" t="s">
        <v>1233</v>
      </c>
      <c r="I931" s="16" t="s">
        <v>198</v>
      </c>
      <c r="J931" s="16" t="s">
        <v>199</v>
      </c>
      <c r="K931" s="16">
        <v>2.8151280000000001</v>
      </c>
      <c r="L931" s="36">
        <v>1708</v>
      </c>
      <c r="M931" s="16">
        <v>164</v>
      </c>
      <c r="N931" s="16">
        <v>441</v>
      </c>
      <c r="O931" s="16">
        <v>614</v>
      </c>
      <c r="P931" s="16">
        <v>336</v>
      </c>
      <c r="Q931" s="16">
        <v>153</v>
      </c>
      <c r="R931" s="16" t="s">
        <v>302</v>
      </c>
      <c r="S931" s="16">
        <v>52.127200000000002</v>
      </c>
      <c r="T931" s="16">
        <v>18.257000000000001</v>
      </c>
      <c r="U931" s="16">
        <v>0.874191312</v>
      </c>
      <c r="V931" s="16">
        <v>2</v>
      </c>
      <c r="W931" s="16">
        <v>0.905385</v>
      </c>
      <c r="X931" s="16">
        <v>0.203093</v>
      </c>
      <c r="Y931" s="16">
        <v>0.7</v>
      </c>
      <c r="Z931" s="16">
        <v>0.98509000000000002</v>
      </c>
      <c r="AA931" s="37"/>
    </row>
    <row r="932" spans="1:27">
      <c r="A932" s="16" t="s">
        <v>66</v>
      </c>
      <c r="B932" s="16" t="s">
        <v>3282</v>
      </c>
      <c r="C932" s="16" t="s">
        <v>3283</v>
      </c>
      <c r="D932" s="16" t="s">
        <v>3284</v>
      </c>
      <c r="E932" s="16" t="s">
        <v>3285</v>
      </c>
      <c r="F932" s="16" t="s">
        <v>3286</v>
      </c>
      <c r="G932" s="16" t="s">
        <v>1232</v>
      </c>
      <c r="H932" s="16" t="s">
        <v>1233</v>
      </c>
      <c r="I932" s="16" t="s">
        <v>198</v>
      </c>
      <c r="J932" s="16" t="s">
        <v>199</v>
      </c>
      <c r="K932" s="16">
        <v>2.5019480000000001</v>
      </c>
      <c r="L932" s="36">
        <v>2219</v>
      </c>
      <c r="M932" s="16">
        <v>197</v>
      </c>
      <c r="N932" s="16">
        <v>687</v>
      </c>
      <c r="O932" s="16">
        <v>807</v>
      </c>
      <c r="P932" s="16">
        <v>396</v>
      </c>
      <c r="Q932" s="16">
        <v>132</v>
      </c>
      <c r="R932" s="16">
        <v>5</v>
      </c>
      <c r="S932" s="16">
        <v>35.170400000000001</v>
      </c>
      <c r="T932" s="16">
        <v>15.334300000000001</v>
      </c>
      <c r="U932" s="16">
        <v>0.74182743699999998</v>
      </c>
      <c r="V932" s="16">
        <v>4</v>
      </c>
      <c r="W932" s="16">
        <v>0.90389600000000003</v>
      </c>
      <c r="X932" s="16">
        <v>0.101114</v>
      </c>
      <c r="Y932" s="16">
        <v>0.7</v>
      </c>
      <c r="Z932" s="16">
        <v>0.78025999999999995</v>
      </c>
      <c r="AA932" s="37"/>
    </row>
    <row r="933" spans="1:27">
      <c r="A933" s="16" t="s">
        <v>66</v>
      </c>
      <c r="B933" s="16" t="s">
        <v>3287</v>
      </c>
      <c r="C933" s="16" t="s">
        <v>3288</v>
      </c>
      <c r="D933" s="16" t="s">
        <v>3289</v>
      </c>
      <c r="E933" s="16" t="s">
        <v>3280</v>
      </c>
      <c r="F933" s="16" t="s">
        <v>3281</v>
      </c>
      <c r="G933" s="16" t="s">
        <v>1232</v>
      </c>
      <c r="H933" s="16" t="s">
        <v>1233</v>
      </c>
      <c r="I933" s="16" t="s">
        <v>198</v>
      </c>
      <c r="J933" s="16" t="s">
        <v>199</v>
      </c>
      <c r="K933" s="16">
        <v>2.6619389999999998</v>
      </c>
      <c r="L933" s="36">
        <v>1681</v>
      </c>
      <c r="M933" s="16">
        <v>286</v>
      </c>
      <c r="N933" s="16">
        <v>410</v>
      </c>
      <c r="O933" s="16">
        <v>530</v>
      </c>
      <c r="P933" s="16">
        <v>334</v>
      </c>
      <c r="Q933" s="16">
        <v>121</v>
      </c>
      <c r="R933" s="16" t="s">
        <v>302</v>
      </c>
      <c r="S933" s="16">
        <v>47.505899999999997</v>
      </c>
      <c r="T933" s="16">
        <v>20.0137</v>
      </c>
      <c r="U933" s="16">
        <v>0.72959122899999995</v>
      </c>
      <c r="V933" s="16">
        <v>4</v>
      </c>
      <c r="W933" s="16">
        <v>0.91040200000000004</v>
      </c>
      <c r="X933" s="16">
        <v>0.216279</v>
      </c>
      <c r="Y933" s="16">
        <v>0.7</v>
      </c>
      <c r="Z933" s="16">
        <v>0.84483600000000003</v>
      </c>
      <c r="AA933" s="37"/>
    </row>
    <row r="934" spans="1:27">
      <c r="A934" s="16" t="s">
        <v>66</v>
      </c>
      <c r="B934" s="16" t="s">
        <v>3290</v>
      </c>
      <c r="C934" s="16" t="s">
        <v>3291</v>
      </c>
      <c r="D934" s="16" t="s">
        <v>3292</v>
      </c>
      <c r="E934" s="16" t="s">
        <v>3145</v>
      </c>
      <c r="F934" s="16" t="s">
        <v>3146</v>
      </c>
      <c r="G934" s="16" t="s">
        <v>1232</v>
      </c>
      <c r="H934" s="16" t="s">
        <v>1233</v>
      </c>
      <c r="I934" s="16" t="s">
        <v>198</v>
      </c>
      <c r="J934" s="16" t="s">
        <v>199</v>
      </c>
      <c r="K934" s="16">
        <v>2.6596899999999999</v>
      </c>
      <c r="L934" s="36">
        <v>1802</v>
      </c>
      <c r="M934" s="16">
        <v>395</v>
      </c>
      <c r="N934" s="16">
        <v>435</v>
      </c>
      <c r="O934" s="16">
        <v>514</v>
      </c>
      <c r="P934" s="16">
        <v>354</v>
      </c>
      <c r="Q934" s="16">
        <v>104</v>
      </c>
      <c r="R934" s="16">
        <v>4</v>
      </c>
      <c r="S934" s="16">
        <v>27.482900000000001</v>
      </c>
      <c r="T934" s="16">
        <v>10.7897</v>
      </c>
      <c r="U934" s="16">
        <v>0.94603069799999995</v>
      </c>
      <c r="V934" s="16">
        <v>3</v>
      </c>
      <c r="W934" s="16">
        <v>0.90930200000000005</v>
      </c>
      <c r="X934" s="16">
        <v>0.26925100000000002</v>
      </c>
      <c r="Y934" s="16">
        <v>0.71687999999999996</v>
      </c>
      <c r="Z934" s="16">
        <v>0.758656</v>
      </c>
      <c r="AA934" s="37"/>
    </row>
    <row r="935" spans="1:27">
      <c r="A935" s="16" t="s">
        <v>66</v>
      </c>
      <c r="B935" s="16" t="s">
        <v>3142</v>
      </c>
      <c r="C935" s="16" t="s">
        <v>3143</v>
      </c>
      <c r="D935" s="16" t="s">
        <v>3144</v>
      </c>
      <c r="E935" s="16" t="s">
        <v>3145</v>
      </c>
      <c r="F935" s="16" t="s">
        <v>3146</v>
      </c>
      <c r="G935" s="16" t="s">
        <v>1232</v>
      </c>
      <c r="H935" s="16" t="s">
        <v>1233</v>
      </c>
      <c r="I935" s="16" t="s">
        <v>198</v>
      </c>
      <c r="J935" s="16" t="s">
        <v>199</v>
      </c>
      <c r="K935" s="16">
        <v>2.6468180000000001</v>
      </c>
      <c r="L935" s="36">
        <v>2063</v>
      </c>
      <c r="M935" s="16">
        <v>379</v>
      </c>
      <c r="N935" s="16">
        <v>459</v>
      </c>
      <c r="O935" s="16">
        <v>608</v>
      </c>
      <c r="P935" s="16">
        <v>456</v>
      </c>
      <c r="Q935" s="16">
        <v>161</v>
      </c>
      <c r="R935" s="16">
        <v>3</v>
      </c>
      <c r="S935" s="16">
        <v>30.938199999999998</v>
      </c>
      <c r="T935" s="16">
        <v>0</v>
      </c>
      <c r="U935" s="16">
        <v>0.84394302600000004</v>
      </c>
      <c r="V935" s="16">
        <v>4</v>
      </c>
      <c r="W935" s="16">
        <v>0.908636</v>
      </c>
      <c r="X935" s="16">
        <v>0.17422199999999999</v>
      </c>
      <c r="Y935" s="16">
        <v>0.79325800000000002</v>
      </c>
      <c r="Z935" s="16">
        <v>0.78272699999999995</v>
      </c>
      <c r="AA935" s="37"/>
    </row>
    <row r="936" spans="1:27">
      <c r="A936" s="16" t="s">
        <v>66</v>
      </c>
      <c r="B936" s="16" t="s">
        <v>3293</v>
      </c>
      <c r="C936" s="16" t="s">
        <v>3294</v>
      </c>
      <c r="D936" s="16" t="s">
        <v>3295</v>
      </c>
      <c r="E936" s="16" t="s">
        <v>3296</v>
      </c>
      <c r="F936" s="16" t="s">
        <v>3297</v>
      </c>
      <c r="G936" s="16" t="s">
        <v>1232</v>
      </c>
      <c r="H936" s="16" t="s">
        <v>1233</v>
      </c>
      <c r="I936" s="16" t="s">
        <v>198</v>
      </c>
      <c r="J936" s="16" t="s">
        <v>199</v>
      </c>
      <c r="K936" s="16">
        <v>2.6523620000000001</v>
      </c>
      <c r="L936" s="36">
        <v>1262</v>
      </c>
      <c r="M936" s="16">
        <v>213</v>
      </c>
      <c r="N936" s="16">
        <v>262</v>
      </c>
      <c r="O936" s="16">
        <v>340</v>
      </c>
      <c r="P936" s="16">
        <v>353</v>
      </c>
      <c r="Q936" s="16">
        <v>94</v>
      </c>
      <c r="R936" s="16">
        <v>3</v>
      </c>
      <c r="S936" s="16">
        <v>15.7202</v>
      </c>
      <c r="T936" s="16">
        <v>8.9554500000000008</v>
      </c>
      <c r="U936" s="16">
        <v>1.080577729</v>
      </c>
      <c r="V936" s="16">
        <v>2</v>
      </c>
      <c r="W936" s="16">
        <v>0.97834600000000005</v>
      </c>
      <c r="X936" s="16">
        <v>1.6733000000000001E-2</v>
      </c>
      <c r="Y936" s="16">
        <v>0.72987999999999997</v>
      </c>
      <c r="Z936" s="16">
        <v>0.92845800000000001</v>
      </c>
      <c r="AA936" s="37"/>
    </row>
    <row r="937" spans="1:27">
      <c r="A937" s="16" t="s">
        <v>66</v>
      </c>
      <c r="B937" s="16" t="s">
        <v>3298</v>
      </c>
      <c r="C937" s="16" t="s">
        <v>3299</v>
      </c>
      <c r="D937" s="16" t="s">
        <v>3300</v>
      </c>
      <c r="E937" s="16" t="s">
        <v>3280</v>
      </c>
      <c r="F937" s="16" t="s">
        <v>3281</v>
      </c>
      <c r="G937" s="16" t="s">
        <v>1232</v>
      </c>
      <c r="H937" s="16" t="s">
        <v>1233</v>
      </c>
      <c r="I937" s="16" t="s">
        <v>198</v>
      </c>
      <c r="J937" s="16" t="s">
        <v>199</v>
      </c>
      <c r="K937" s="16">
        <v>2.956915</v>
      </c>
      <c r="L937" s="36">
        <v>1993</v>
      </c>
      <c r="M937" s="16">
        <v>479</v>
      </c>
      <c r="N937" s="16">
        <v>404</v>
      </c>
      <c r="O937" s="16">
        <v>529</v>
      </c>
      <c r="P937" s="16">
        <v>427</v>
      </c>
      <c r="Q937" s="16">
        <v>154</v>
      </c>
      <c r="R937" s="16" t="s">
        <v>302</v>
      </c>
      <c r="S937" s="16">
        <v>43.943899999999999</v>
      </c>
      <c r="T937" s="16">
        <v>30.8934</v>
      </c>
      <c r="U937" s="16">
        <v>0.86714519999999995</v>
      </c>
      <c r="V937" s="16">
        <v>2</v>
      </c>
      <c r="W937" s="16">
        <v>0.92420199999999997</v>
      </c>
      <c r="X937" s="16">
        <v>0.42994700000000002</v>
      </c>
      <c r="Y937" s="16">
        <v>0.7</v>
      </c>
      <c r="Z937" s="16">
        <v>0.92592600000000003</v>
      </c>
      <c r="AA937" s="37"/>
    </row>
    <row r="938" spans="1:27">
      <c r="A938" s="16" t="s">
        <v>66</v>
      </c>
      <c r="B938" s="16" t="s">
        <v>3301</v>
      </c>
      <c r="C938" s="16" t="s">
        <v>3302</v>
      </c>
      <c r="D938" s="16" t="s">
        <v>3303</v>
      </c>
      <c r="E938" s="16" t="s">
        <v>3285</v>
      </c>
      <c r="F938" s="16" t="s">
        <v>3286</v>
      </c>
      <c r="G938" s="16" t="s">
        <v>1232</v>
      </c>
      <c r="H938" s="16" t="s">
        <v>1233</v>
      </c>
      <c r="I938" s="16" t="s">
        <v>198</v>
      </c>
      <c r="J938" s="16" t="s">
        <v>199</v>
      </c>
      <c r="K938" s="16">
        <v>2.493458</v>
      </c>
      <c r="L938" s="36">
        <v>1674</v>
      </c>
      <c r="M938" s="16">
        <v>233</v>
      </c>
      <c r="N938" s="16">
        <v>423</v>
      </c>
      <c r="O938" s="16">
        <v>557</v>
      </c>
      <c r="P938" s="16">
        <v>314</v>
      </c>
      <c r="Q938" s="16">
        <v>147</v>
      </c>
      <c r="R938" s="16">
        <v>4</v>
      </c>
      <c r="S938" s="16">
        <v>22.145</v>
      </c>
      <c r="T938" s="16">
        <v>10.9603</v>
      </c>
      <c r="U938" s="16">
        <v>0.79767185100000004</v>
      </c>
      <c r="V938" s="16">
        <v>4</v>
      </c>
      <c r="W938" s="16">
        <v>0.90778800000000004</v>
      </c>
      <c r="X938" s="16">
        <v>0.12716</v>
      </c>
      <c r="Y938" s="16">
        <v>0.7</v>
      </c>
      <c r="Z938" s="16">
        <v>0.78620699999999999</v>
      </c>
      <c r="AA938" s="37"/>
    </row>
    <row r="939" spans="1:27">
      <c r="A939" s="16" t="s">
        <v>66</v>
      </c>
      <c r="B939" s="16" t="s">
        <v>3304</v>
      </c>
      <c r="C939" s="16" t="s">
        <v>3305</v>
      </c>
      <c r="D939" s="16" t="s">
        <v>3306</v>
      </c>
      <c r="E939" s="16" t="s">
        <v>3307</v>
      </c>
      <c r="F939" s="16" t="s">
        <v>3308</v>
      </c>
      <c r="G939" s="16" t="s">
        <v>1232</v>
      </c>
      <c r="H939" s="16" t="s">
        <v>1233</v>
      </c>
      <c r="I939" s="16" t="s">
        <v>198</v>
      </c>
      <c r="J939" s="16" t="s">
        <v>199</v>
      </c>
      <c r="K939" s="16">
        <v>2.8316210000000002</v>
      </c>
      <c r="L939" s="36">
        <v>1430</v>
      </c>
      <c r="M939" s="16">
        <v>219</v>
      </c>
      <c r="N939" s="16">
        <v>332</v>
      </c>
      <c r="O939" s="16">
        <v>400</v>
      </c>
      <c r="P939" s="16">
        <v>342</v>
      </c>
      <c r="Q939" s="16">
        <v>137</v>
      </c>
      <c r="R939" s="16">
        <v>5</v>
      </c>
      <c r="S939" s="16">
        <v>25.7105</v>
      </c>
      <c r="T939" s="16">
        <v>19.318100000000001</v>
      </c>
      <c r="U939" s="16">
        <v>0.89236122799999995</v>
      </c>
      <c r="V939" s="16">
        <v>2</v>
      </c>
      <c r="W939" s="16">
        <v>0.979051</v>
      </c>
      <c r="X939" s="16">
        <v>0.177953</v>
      </c>
      <c r="Y939" s="16">
        <v>0.7</v>
      </c>
      <c r="Z939" s="16">
        <v>1</v>
      </c>
      <c r="AA939" s="37"/>
    </row>
    <row r="940" spans="1:27">
      <c r="A940" s="16" t="s">
        <v>66</v>
      </c>
      <c r="B940" s="16" t="s">
        <v>3309</v>
      </c>
      <c r="C940" s="16" t="s">
        <v>3310</v>
      </c>
      <c r="D940" s="16" t="s">
        <v>3311</v>
      </c>
      <c r="E940" s="16" t="s">
        <v>3261</v>
      </c>
      <c r="F940" s="16" t="s">
        <v>3262</v>
      </c>
      <c r="G940" s="16" t="s">
        <v>1232</v>
      </c>
      <c r="H940" s="16" t="s">
        <v>1233</v>
      </c>
      <c r="I940" s="16" t="s">
        <v>198</v>
      </c>
      <c r="J940" s="16" t="s">
        <v>199</v>
      </c>
      <c r="K940" s="16">
        <v>2.815299</v>
      </c>
      <c r="L940" s="36">
        <v>1776</v>
      </c>
      <c r="M940" s="16">
        <v>342</v>
      </c>
      <c r="N940" s="16">
        <v>407</v>
      </c>
      <c r="O940" s="16">
        <v>453</v>
      </c>
      <c r="P940" s="16">
        <v>397</v>
      </c>
      <c r="Q940" s="16">
        <v>177</v>
      </c>
      <c r="R940" s="16">
        <v>5</v>
      </c>
      <c r="S940" s="16">
        <v>35.589199999999998</v>
      </c>
      <c r="T940" s="16">
        <v>11.4613</v>
      </c>
      <c r="U940" s="16">
        <v>0.86147610299999999</v>
      </c>
      <c r="V940" s="16">
        <v>3</v>
      </c>
      <c r="W940" s="16">
        <v>0.98359200000000002</v>
      </c>
      <c r="X940" s="16">
        <v>0.14407200000000001</v>
      </c>
      <c r="Y940" s="16">
        <v>0.7</v>
      </c>
      <c r="Z940" s="16">
        <v>1</v>
      </c>
      <c r="AA940" s="37"/>
    </row>
    <row r="941" spans="1:27">
      <c r="A941" s="16" t="s">
        <v>66</v>
      </c>
      <c r="B941" s="16" t="s">
        <v>3312</v>
      </c>
      <c r="C941" s="16" t="s">
        <v>3313</v>
      </c>
      <c r="D941" s="16" t="s">
        <v>3314</v>
      </c>
      <c r="E941" s="16" t="s">
        <v>3307</v>
      </c>
      <c r="F941" s="16" t="s">
        <v>3308</v>
      </c>
      <c r="G941" s="16" t="s">
        <v>1232</v>
      </c>
      <c r="H941" s="16" t="s">
        <v>1233</v>
      </c>
      <c r="I941" s="16" t="s">
        <v>198</v>
      </c>
      <c r="J941" s="16" t="s">
        <v>199</v>
      </c>
      <c r="K941" s="16">
        <v>2.7473960000000002</v>
      </c>
      <c r="L941" s="36">
        <v>1231</v>
      </c>
      <c r="M941" s="16">
        <v>284</v>
      </c>
      <c r="N941" s="16">
        <v>231</v>
      </c>
      <c r="O941" s="16">
        <v>369</v>
      </c>
      <c r="P941" s="16">
        <v>264</v>
      </c>
      <c r="Q941" s="16">
        <v>83</v>
      </c>
      <c r="R941" s="16">
        <v>4</v>
      </c>
      <c r="S941" s="16">
        <v>24.427</v>
      </c>
      <c r="T941" s="16">
        <v>8.2921200000000006</v>
      </c>
      <c r="U941" s="16">
        <v>1.050373293</v>
      </c>
      <c r="V941" s="16">
        <v>2</v>
      </c>
      <c r="W941" s="16">
        <v>0.96770800000000001</v>
      </c>
      <c r="X941" s="16">
        <v>7.3403999999999997E-2</v>
      </c>
      <c r="Y941" s="16">
        <v>0.713889</v>
      </c>
      <c r="Z941" s="16">
        <v>1</v>
      </c>
      <c r="AA941" s="37"/>
    </row>
    <row r="942" spans="1:27">
      <c r="A942" s="16" t="s">
        <v>66</v>
      </c>
      <c r="B942" s="16" t="s">
        <v>3315</v>
      </c>
      <c r="C942" s="16" t="s">
        <v>3316</v>
      </c>
      <c r="D942" s="16" t="s">
        <v>3317</v>
      </c>
      <c r="E942" s="16" t="s">
        <v>3307</v>
      </c>
      <c r="F942" s="16" t="s">
        <v>3308</v>
      </c>
      <c r="G942" s="16" t="s">
        <v>1232</v>
      </c>
      <c r="H942" s="16" t="s">
        <v>1233</v>
      </c>
      <c r="I942" s="16" t="s">
        <v>198</v>
      </c>
      <c r="J942" s="16" t="s">
        <v>199</v>
      </c>
      <c r="K942" s="16">
        <v>2.7567050000000002</v>
      </c>
      <c r="L942" s="36">
        <v>1620</v>
      </c>
      <c r="M942" s="16">
        <v>206</v>
      </c>
      <c r="N942" s="16">
        <v>417</v>
      </c>
      <c r="O942" s="16">
        <v>552</v>
      </c>
      <c r="P942" s="16">
        <v>306</v>
      </c>
      <c r="Q942" s="16">
        <v>139</v>
      </c>
      <c r="R942" s="16">
        <v>5</v>
      </c>
      <c r="S942" s="16">
        <v>21.983699999999999</v>
      </c>
      <c r="T942" s="16">
        <v>17.868200000000002</v>
      </c>
      <c r="U942" s="16">
        <v>0.79831037999999999</v>
      </c>
      <c r="V942" s="16">
        <v>3</v>
      </c>
      <c r="W942" s="16">
        <v>0.92796900000000004</v>
      </c>
      <c r="X942" s="16">
        <v>0.115909</v>
      </c>
      <c r="Y942" s="16">
        <v>0.70970100000000003</v>
      </c>
      <c r="Z942" s="16">
        <v>1</v>
      </c>
      <c r="AA942" s="37"/>
    </row>
    <row r="943" spans="1:27">
      <c r="A943" s="16" t="s">
        <v>66</v>
      </c>
      <c r="B943" s="16" t="s">
        <v>3318</v>
      </c>
      <c r="C943" s="16" t="s">
        <v>3319</v>
      </c>
      <c r="D943" s="16" t="s">
        <v>3320</v>
      </c>
      <c r="E943" s="16" t="s">
        <v>3307</v>
      </c>
      <c r="F943" s="16" t="s">
        <v>3308</v>
      </c>
      <c r="G943" s="16" t="s">
        <v>1232</v>
      </c>
      <c r="H943" s="16" t="s">
        <v>1233</v>
      </c>
      <c r="I943" s="16" t="s">
        <v>198</v>
      </c>
      <c r="J943" s="16" t="s">
        <v>199</v>
      </c>
      <c r="K943" s="16">
        <v>2.8077429999999999</v>
      </c>
      <c r="L943" s="36">
        <v>2815</v>
      </c>
      <c r="M943" s="16">
        <v>353</v>
      </c>
      <c r="N943" s="16">
        <v>912</v>
      </c>
      <c r="O943" s="16">
        <v>898</v>
      </c>
      <c r="P943" s="16">
        <v>497</v>
      </c>
      <c r="Q943" s="16">
        <v>155</v>
      </c>
      <c r="R943" s="16">
        <v>5</v>
      </c>
      <c r="S943" s="16">
        <v>29.562000000000001</v>
      </c>
      <c r="T943" s="16">
        <v>8.6146799999999999</v>
      </c>
      <c r="U943" s="16">
        <v>0.67225022999999995</v>
      </c>
      <c r="V943" s="16">
        <v>5</v>
      </c>
      <c r="W943" s="16">
        <v>0.92421699999999996</v>
      </c>
      <c r="X943" s="16">
        <v>0.12970300000000001</v>
      </c>
      <c r="Y943" s="16">
        <v>0.76644599999999996</v>
      </c>
      <c r="Z943" s="16">
        <v>1</v>
      </c>
      <c r="AA943" s="37"/>
    </row>
    <row r="944" spans="1:27">
      <c r="A944" s="16" t="s">
        <v>66</v>
      </c>
      <c r="B944" s="16" t="s">
        <v>3321</v>
      </c>
      <c r="C944" s="16" t="s">
        <v>3322</v>
      </c>
      <c r="D944" s="16" t="s">
        <v>3323</v>
      </c>
      <c r="E944" s="16" t="s">
        <v>3285</v>
      </c>
      <c r="F944" s="16" t="s">
        <v>3286</v>
      </c>
      <c r="G944" s="16" t="s">
        <v>1232</v>
      </c>
      <c r="H944" s="16" t="s">
        <v>1233</v>
      </c>
      <c r="I944" s="16" t="s">
        <v>198</v>
      </c>
      <c r="J944" s="16" t="s">
        <v>199</v>
      </c>
      <c r="K944" s="16">
        <v>2.3824049999999999</v>
      </c>
      <c r="L944" s="36">
        <v>1701</v>
      </c>
      <c r="M944" s="16">
        <v>250</v>
      </c>
      <c r="N944" s="16">
        <v>449</v>
      </c>
      <c r="O944" s="16">
        <v>562</v>
      </c>
      <c r="P944" s="16">
        <v>315</v>
      </c>
      <c r="Q944" s="16">
        <v>125</v>
      </c>
      <c r="R944" s="16">
        <v>4</v>
      </c>
      <c r="S944" s="16">
        <v>22.120200000000001</v>
      </c>
      <c r="T944" s="16">
        <v>0</v>
      </c>
      <c r="U944" s="16">
        <v>0.94045610400000001</v>
      </c>
      <c r="V944" s="16">
        <v>4</v>
      </c>
      <c r="W944" s="16">
        <v>0.90410599999999997</v>
      </c>
      <c r="X944" s="16">
        <v>8.5043999999999995E-2</v>
      </c>
      <c r="Y944" s="16">
        <v>0.7</v>
      </c>
      <c r="Z944" s="16">
        <v>0.70903799999999995</v>
      </c>
      <c r="AA944" s="37"/>
    </row>
    <row r="945" spans="1:27">
      <c r="A945" s="16"/>
      <c r="B945" s="16"/>
      <c r="C945" s="16"/>
      <c r="D945" s="16"/>
      <c r="E945" s="16"/>
      <c r="F945" s="16"/>
      <c r="G945" s="16"/>
      <c r="H945" s="16"/>
      <c r="I945" s="16"/>
      <c r="J945" s="16"/>
      <c r="K945" s="16">
        <f>MEDIAN(K926:K944)</f>
        <v>2.7567050000000002</v>
      </c>
      <c r="L945" s="36">
        <f>AVERAGE(L926:L944)</f>
        <v>1757.1578947368421</v>
      </c>
      <c r="M945" s="36">
        <f t="shared" ref="M945:Q945" si="76">SUM(M926:M944)</f>
        <v>5186</v>
      </c>
      <c r="N945" s="36">
        <f t="shared" si="76"/>
        <v>8677</v>
      </c>
      <c r="O945" s="36">
        <f t="shared" si="76"/>
        <v>10155</v>
      </c>
      <c r="P945" s="36">
        <f t="shared" si="76"/>
        <v>6863</v>
      </c>
      <c r="Q945" s="36">
        <f t="shared" si="76"/>
        <v>2505</v>
      </c>
      <c r="R945" s="16"/>
      <c r="S945" s="16"/>
      <c r="T945" s="16"/>
      <c r="U945" s="16"/>
      <c r="V945" s="16">
        <f>MEDIAN(V926:V944)</f>
        <v>3</v>
      </c>
      <c r="W945" s="16"/>
      <c r="X945" s="16"/>
      <c r="Y945" s="16"/>
      <c r="Z945" s="16"/>
      <c r="AA945" s="37"/>
    </row>
    <row r="946" spans="1:27">
      <c r="A946" s="16" t="s">
        <v>76</v>
      </c>
      <c r="B946" s="16" t="s">
        <v>3324</v>
      </c>
      <c r="C946" s="16" t="s">
        <v>3325</v>
      </c>
      <c r="D946" s="16" t="s">
        <v>3326</v>
      </c>
      <c r="E946" s="16" t="s">
        <v>3327</v>
      </c>
      <c r="F946" s="16" t="s">
        <v>3328</v>
      </c>
      <c r="G946" s="16" t="s">
        <v>1261</v>
      </c>
      <c r="H946" s="16" t="s">
        <v>1262</v>
      </c>
      <c r="I946" s="16" t="s">
        <v>198</v>
      </c>
      <c r="J946" s="16" t="s">
        <v>199</v>
      </c>
      <c r="K946" s="16">
        <v>2.7638729999999998</v>
      </c>
      <c r="L946" s="36">
        <v>1926</v>
      </c>
      <c r="M946" s="16">
        <v>435</v>
      </c>
      <c r="N946" s="16">
        <v>406</v>
      </c>
      <c r="O946" s="16">
        <v>503</v>
      </c>
      <c r="P946" s="16">
        <v>463</v>
      </c>
      <c r="Q946" s="16">
        <v>119</v>
      </c>
      <c r="R946" s="16">
        <v>3</v>
      </c>
      <c r="S946" s="16">
        <v>23.137699999999999</v>
      </c>
      <c r="T946" s="16">
        <v>8.5079100000000007</v>
      </c>
      <c r="U946" s="16">
        <v>0.83368197499999996</v>
      </c>
      <c r="V946" s="16">
        <v>3</v>
      </c>
      <c r="W946" s="16">
        <v>0.90838099999999999</v>
      </c>
      <c r="X946" s="16">
        <v>0.17925099999999999</v>
      </c>
      <c r="Y946" s="16">
        <v>0.7</v>
      </c>
      <c r="Z946" s="16">
        <v>0.97890200000000005</v>
      </c>
      <c r="AA946" s="37"/>
    </row>
    <row r="947" spans="1:27">
      <c r="A947" s="16" t="s">
        <v>76</v>
      </c>
      <c r="B947" s="16" t="s">
        <v>3329</v>
      </c>
      <c r="C947" s="16" t="s">
        <v>3330</v>
      </c>
      <c r="D947" s="16" t="s">
        <v>3331</v>
      </c>
      <c r="E947" s="16" t="s">
        <v>3332</v>
      </c>
      <c r="F947" s="16" t="s">
        <v>3333</v>
      </c>
      <c r="G947" s="16" t="s">
        <v>1261</v>
      </c>
      <c r="H947" s="16" t="s">
        <v>1262</v>
      </c>
      <c r="I947" s="16" t="s">
        <v>198</v>
      </c>
      <c r="J947" s="16" t="s">
        <v>199</v>
      </c>
      <c r="K947" s="16">
        <v>2.677419</v>
      </c>
      <c r="L947" s="36">
        <v>1626</v>
      </c>
      <c r="M947" s="16">
        <v>533</v>
      </c>
      <c r="N947" s="16">
        <v>221</v>
      </c>
      <c r="O947" s="16">
        <v>367</v>
      </c>
      <c r="P947" s="16">
        <v>395</v>
      </c>
      <c r="Q947" s="16">
        <v>110</v>
      </c>
      <c r="R947" s="16">
        <v>3</v>
      </c>
      <c r="S947" s="16">
        <v>16.3704</v>
      </c>
      <c r="T947" s="16">
        <v>9.8109099999999998</v>
      </c>
      <c r="U947" s="16">
        <v>1.018876796</v>
      </c>
      <c r="V947" s="16">
        <v>2</v>
      </c>
      <c r="W947" s="16">
        <v>0.90604799999999996</v>
      </c>
      <c r="X947" s="16">
        <v>5.9109000000000002E-2</v>
      </c>
      <c r="Y947" s="16">
        <v>0.7</v>
      </c>
      <c r="Z947" s="16">
        <v>0.99879499999999999</v>
      </c>
      <c r="AA947" s="37"/>
    </row>
    <row r="948" spans="1:27">
      <c r="A948" s="16" t="s">
        <v>76</v>
      </c>
      <c r="B948" s="16" t="s">
        <v>3334</v>
      </c>
      <c r="C948" s="16" t="s">
        <v>3335</v>
      </c>
      <c r="D948" s="16" t="s">
        <v>3336</v>
      </c>
      <c r="E948" s="16" t="s">
        <v>3337</v>
      </c>
      <c r="F948" s="16" t="s">
        <v>3338</v>
      </c>
      <c r="G948" s="16" t="s">
        <v>1261</v>
      </c>
      <c r="H948" s="16" t="s">
        <v>1262</v>
      </c>
      <c r="I948" s="16" t="s">
        <v>198</v>
      </c>
      <c r="J948" s="16" t="s">
        <v>199</v>
      </c>
      <c r="K948" s="16">
        <v>2.7105260000000002</v>
      </c>
      <c r="L948" s="36">
        <v>1957</v>
      </c>
      <c r="M948" s="16">
        <v>344</v>
      </c>
      <c r="N948" s="16">
        <v>408</v>
      </c>
      <c r="O948" s="16">
        <v>542</v>
      </c>
      <c r="P948" s="16">
        <v>440</v>
      </c>
      <c r="Q948" s="16">
        <v>223</v>
      </c>
      <c r="R948" s="16" t="s">
        <v>302</v>
      </c>
      <c r="S948" s="16">
        <v>36.3645</v>
      </c>
      <c r="T948" s="16">
        <v>8.5780499999999993</v>
      </c>
      <c r="U948" s="16">
        <v>0.71753149900000002</v>
      </c>
      <c r="V948" s="16">
        <v>5</v>
      </c>
      <c r="W948" s="16">
        <v>0.91864699999999999</v>
      </c>
      <c r="X948" s="16">
        <v>0.149091</v>
      </c>
      <c r="Y948" s="16">
        <v>0.7</v>
      </c>
      <c r="Z948" s="16">
        <v>0.942137</v>
      </c>
      <c r="AA948" s="37"/>
    </row>
    <row r="949" spans="1:27">
      <c r="A949" s="16" t="s">
        <v>76</v>
      </c>
      <c r="B949" s="16" t="s">
        <v>3339</v>
      </c>
      <c r="C949" s="16" t="s">
        <v>3340</v>
      </c>
      <c r="D949" s="16" t="s">
        <v>3341</v>
      </c>
      <c r="E949" s="16" t="s">
        <v>3337</v>
      </c>
      <c r="F949" s="16" t="s">
        <v>3338</v>
      </c>
      <c r="G949" s="16" t="s">
        <v>1261</v>
      </c>
      <c r="H949" s="16" t="s">
        <v>1262</v>
      </c>
      <c r="I949" s="16" t="s">
        <v>198</v>
      </c>
      <c r="J949" s="16" t="s">
        <v>199</v>
      </c>
      <c r="K949" s="16">
        <v>2.6862469999999998</v>
      </c>
      <c r="L949" s="36">
        <v>2087</v>
      </c>
      <c r="M949" s="16">
        <v>249</v>
      </c>
      <c r="N949" s="16">
        <v>699</v>
      </c>
      <c r="O949" s="16">
        <v>558</v>
      </c>
      <c r="P949" s="16">
        <v>418</v>
      </c>
      <c r="Q949" s="16">
        <v>163</v>
      </c>
      <c r="R949" s="16">
        <v>3</v>
      </c>
      <c r="S949" s="16">
        <v>18.260100000000001</v>
      </c>
      <c r="T949" s="16">
        <v>8.3389500000000005</v>
      </c>
      <c r="U949" s="16">
        <v>0.75077415700000005</v>
      </c>
      <c r="V949" s="16">
        <v>5</v>
      </c>
      <c r="W949" s="16">
        <v>0.90815800000000002</v>
      </c>
      <c r="X949" s="16">
        <v>0.18823500000000001</v>
      </c>
      <c r="Y949" s="16">
        <v>0.7</v>
      </c>
      <c r="Z949" s="16">
        <v>0.88113200000000003</v>
      </c>
      <c r="AA949" s="37"/>
    </row>
    <row r="950" spans="1:27">
      <c r="A950" s="16" t="s">
        <v>76</v>
      </c>
      <c r="B950" s="16" t="s">
        <v>3342</v>
      </c>
      <c r="C950" s="16" t="s">
        <v>3343</v>
      </c>
      <c r="D950" s="16" t="s">
        <v>3344</v>
      </c>
      <c r="E950" s="16" t="s">
        <v>3345</v>
      </c>
      <c r="F950" s="16" t="s">
        <v>3346</v>
      </c>
      <c r="G950" s="16" t="s">
        <v>1261</v>
      </c>
      <c r="H950" s="16" t="s">
        <v>1262</v>
      </c>
      <c r="I950" s="16" t="s">
        <v>198</v>
      </c>
      <c r="J950" s="16" t="s">
        <v>199</v>
      </c>
      <c r="K950" s="16">
        <v>2.8559649999999999</v>
      </c>
      <c r="L950" s="36">
        <v>1848</v>
      </c>
      <c r="M950" s="16">
        <v>282</v>
      </c>
      <c r="N950" s="16">
        <v>448</v>
      </c>
      <c r="O950" s="16">
        <v>533</v>
      </c>
      <c r="P950" s="16">
        <v>423</v>
      </c>
      <c r="Q950" s="16">
        <v>162</v>
      </c>
      <c r="R950" s="16">
        <v>5</v>
      </c>
      <c r="S950" s="16">
        <v>30.0063</v>
      </c>
      <c r="T950" s="16">
        <v>6.9035000000000002</v>
      </c>
      <c r="U950" s="16">
        <v>0.65130742399999997</v>
      </c>
      <c r="V950" s="16">
        <v>4</v>
      </c>
      <c r="W950" s="16">
        <v>0.92060699999999995</v>
      </c>
      <c r="X950" s="16">
        <v>0.22967699999999999</v>
      </c>
      <c r="Y950" s="16">
        <v>0.7</v>
      </c>
      <c r="Z950" s="16">
        <v>0.99824599999999997</v>
      </c>
      <c r="AA950" s="37"/>
    </row>
    <row r="951" spans="1:27">
      <c r="A951" s="16" t="s">
        <v>76</v>
      </c>
      <c r="B951" s="16" t="s">
        <v>3347</v>
      </c>
      <c r="C951" s="16" t="s">
        <v>3348</v>
      </c>
      <c r="D951" s="16" t="s">
        <v>3349</v>
      </c>
      <c r="E951" s="16" t="s">
        <v>3345</v>
      </c>
      <c r="F951" s="16" t="s">
        <v>3346</v>
      </c>
      <c r="G951" s="16" t="s">
        <v>1261</v>
      </c>
      <c r="H951" s="16" t="s">
        <v>1262</v>
      </c>
      <c r="I951" s="16" t="s">
        <v>198</v>
      </c>
      <c r="J951" s="16" t="s">
        <v>199</v>
      </c>
      <c r="K951" s="16">
        <v>2.9828199999999998</v>
      </c>
      <c r="L951" s="36">
        <v>1743</v>
      </c>
      <c r="M951" s="16">
        <v>320</v>
      </c>
      <c r="N951" s="16">
        <v>387</v>
      </c>
      <c r="O951" s="16">
        <v>468</v>
      </c>
      <c r="P951" s="16">
        <v>449</v>
      </c>
      <c r="Q951" s="16">
        <v>119</v>
      </c>
      <c r="R951" s="16" t="s">
        <v>302</v>
      </c>
      <c r="S951" s="16">
        <v>44.780500000000004</v>
      </c>
      <c r="T951" s="16">
        <v>21.103000000000002</v>
      </c>
      <c r="U951" s="16">
        <v>0.92770960400000002</v>
      </c>
      <c r="V951" s="16">
        <v>2</v>
      </c>
      <c r="W951" s="16">
        <v>0.93</v>
      </c>
      <c r="X951" s="16">
        <v>0.36243700000000001</v>
      </c>
      <c r="Y951" s="16">
        <v>0.7</v>
      </c>
      <c r="Z951" s="16">
        <v>0.99923099999999998</v>
      </c>
      <c r="AA951" s="37"/>
    </row>
    <row r="952" spans="1:27">
      <c r="A952" s="16" t="s">
        <v>76</v>
      </c>
      <c r="B952" s="16" t="s">
        <v>3035</v>
      </c>
      <c r="C952" s="16" t="s">
        <v>3036</v>
      </c>
      <c r="D952" s="16" t="s">
        <v>3037</v>
      </c>
      <c r="E952" s="16" t="s">
        <v>3033</v>
      </c>
      <c r="F952" s="16" t="s">
        <v>3034</v>
      </c>
      <c r="G952" s="16" t="s">
        <v>1261</v>
      </c>
      <c r="H952" s="16" t="s">
        <v>1262</v>
      </c>
      <c r="I952" s="16" t="s">
        <v>198</v>
      </c>
      <c r="J952" s="16" t="s">
        <v>199</v>
      </c>
      <c r="K952" s="16">
        <v>2.4539520000000001</v>
      </c>
      <c r="L952" s="36">
        <v>2777</v>
      </c>
      <c r="M952" s="16">
        <v>437</v>
      </c>
      <c r="N952" s="16">
        <v>664</v>
      </c>
      <c r="O952" s="16">
        <v>889</v>
      </c>
      <c r="P952" s="16">
        <v>617</v>
      </c>
      <c r="Q952" s="16">
        <v>170</v>
      </c>
      <c r="R952" s="16">
        <v>5</v>
      </c>
      <c r="S952" s="16">
        <v>38.933599999999998</v>
      </c>
      <c r="T952" s="16">
        <v>18.5258</v>
      </c>
      <c r="U952" s="16">
        <v>1.0443294350000001</v>
      </c>
      <c r="V952" s="16">
        <v>3</v>
      </c>
      <c r="W952" s="16">
        <v>0.90429599999999999</v>
      </c>
      <c r="X952" s="16">
        <v>0.115318</v>
      </c>
      <c r="Y952" s="16">
        <v>0.7</v>
      </c>
      <c r="Z952" s="16">
        <v>0.72621500000000005</v>
      </c>
      <c r="AA952" s="37"/>
    </row>
    <row r="953" spans="1:27">
      <c r="A953" s="16" t="s">
        <v>76</v>
      </c>
      <c r="B953" s="16" t="s">
        <v>3350</v>
      </c>
      <c r="C953" s="16" t="s">
        <v>3351</v>
      </c>
      <c r="D953" s="16" t="s">
        <v>3352</v>
      </c>
      <c r="E953" s="16" t="s">
        <v>3033</v>
      </c>
      <c r="F953" s="16" t="s">
        <v>3034</v>
      </c>
      <c r="G953" s="16" t="s">
        <v>1261</v>
      </c>
      <c r="H953" s="16" t="s">
        <v>1262</v>
      </c>
      <c r="I953" s="16" t="s">
        <v>198</v>
      </c>
      <c r="J953" s="16" t="s">
        <v>199</v>
      </c>
      <c r="K953" s="16">
        <v>2.6590020000000001</v>
      </c>
      <c r="L953" s="36">
        <v>2479</v>
      </c>
      <c r="M953" s="16">
        <v>536</v>
      </c>
      <c r="N953" s="16">
        <v>437</v>
      </c>
      <c r="O953" s="16">
        <v>731</v>
      </c>
      <c r="P953" s="16">
        <v>531</v>
      </c>
      <c r="Q953" s="16">
        <v>244</v>
      </c>
      <c r="R953" s="16">
        <v>5</v>
      </c>
      <c r="S953" s="16">
        <v>37.810299999999998</v>
      </c>
      <c r="T953" s="16">
        <v>4.7868000000000004</v>
      </c>
      <c r="U953" s="16">
        <v>1.1162247160000001</v>
      </c>
      <c r="V953" s="16">
        <v>1</v>
      </c>
      <c r="W953" s="16">
        <v>0.91366599999999998</v>
      </c>
      <c r="X953" s="16">
        <v>0.20216500000000001</v>
      </c>
      <c r="Y953" s="16">
        <v>0.7</v>
      </c>
      <c r="Z953" s="16">
        <v>0.84139399999999998</v>
      </c>
      <c r="AA953" s="37"/>
    </row>
    <row r="954" spans="1:27">
      <c r="A954" s="16" t="s">
        <v>76</v>
      </c>
      <c r="B954" s="16" t="s">
        <v>3353</v>
      </c>
      <c r="C954" s="16" t="s">
        <v>3354</v>
      </c>
      <c r="D954" s="16" t="s">
        <v>3355</v>
      </c>
      <c r="E954" s="16" t="s">
        <v>3356</v>
      </c>
      <c r="F954" s="16" t="s">
        <v>3357</v>
      </c>
      <c r="G954" s="16" t="s">
        <v>1261</v>
      </c>
      <c r="H954" s="16" t="s">
        <v>1262</v>
      </c>
      <c r="I954" s="16" t="s">
        <v>198</v>
      </c>
      <c r="J954" s="16" t="s">
        <v>199</v>
      </c>
      <c r="K954" s="16">
        <v>2.6681970000000002</v>
      </c>
      <c r="L954" s="36">
        <v>2051</v>
      </c>
      <c r="M954" s="16">
        <v>443</v>
      </c>
      <c r="N954" s="16">
        <v>398</v>
      </c>
      <c r="O954" s="16">
        <v>464</v>
      </c>
      <c r="P954" s="16">
        <v>570</v>
      </c>
      <c r="Q954" s="16">
        <v>176</v>
      </c>
      <c r="R954" s="16" t="s">
        <v>302</v>
      </c>
      <c r="S954" s="16">
        <v>37.568399999999997</v>
      </c>
      <c r="T954" s="16">
        <v>20.359100000000002</v>
      </c>
      <c r="U954" s="16">
        <v>0.96495738200000003</v>
      </c>
      <c r="V954" s="16">
        <v>2</v>
      </c>
      <c r="W954" s="16">
        <v>0.90721300000000005</v>
      </c>
      <c r="X954" s="16">
        <v>4.8343999999999998E-2</v>
      </c>
      <c r="Y954" s="16">
        <v>0.7</v>
      </c>
      <c r="Z954" s="16">
        <v>0.99736800000000003</v>
      </c>
      <c r="AA954" s="37"/>
    </row>
    <row r="955" spans="1:27">
      <c r="A955" s="16" t="s">
        <v>76</v>
      </c>
      <c r="B955" s="16" t="s">
        <v>3358</v>
      </c>
      <c r="C955" s="16" t="s">
        <v>3359</v>
      </c>
      <c r="D955" s="16" t="s">
        <v>3360</v>
      </c>
      <c r="E955" s="16" t="s">
        <v>3356</v>
      </c>
      <c r="F955" s="16" t="s">
        <v>3357</v>
      </c>
      <c r="G955" s="16" t="s">
        <v>1261</v>
      </c>
      <c r="H955" s="16" t="s">
        <v>1262</v>
      </c>
      <c r="I955" s="16" t="s">
        <v>198</v>
      </c>
      <c r="J955" s="16" t="s">
        <v>199</v>
      </c>
      <c r="K955" s="16">
        <v>2.748329</v>
      </c>
      <c r="L955" s="36">
        <v>1665</v>
      </c>
      <c r="M955" s="16">
        <v>357</v>
      </c>
      <c r="N955" s="16">
        <v>329</v>
      </c>
      <c r="O955" s="16">
        <v>459</v>
      </c>
      <c r="P955" s="16">
        <v>375</v>
      </c>
      <c r="Q955" s="16">
        <v>145</v>
      </c>
      <c r="R955" s="16" t="s">
        <v>302</v>
      </c>
      <c r="S955" s="16">
        <v>43.064100000000003</v>
      </c>
      <c r="T955" s="16">
        <v>0</v>
      </c>
      <c r="U955" s="16">
        <v>0.90096683399999999</v>
      </c>
      <c r="V955" s="16">
        <v>3</v>
      </c>
      <c r="W955" s="16">
        <v>0.91311100000000001</v>
      </c>
      <c r="X955" s="16">
        <v>0.14005200000000001</v>
      </c>
      <c r="Y955" s="16">
        <v>0.7</v>
      </c>
      <c r="Z955" s="16">
        <v>0.98788699999999996</v>
      </c>
      <c r="AA955" s="37"/>
    </row>
    <row r="956" spans="1:27">
      <c r="A956" s="16" t="s">
        <v>76</v>
      </c>
      <c r="B956" s="16" t="s">
        <v>3361</v>
      </c>
      <c r="C956" s="16" t="s">
        <v>3362</v>
      </c>
      <c r="D956" s="16" t="s">
        <v>3363</v>
      </c>
      <c r="E956" s="16" t="s">
        <v>3332</v>
      </c>
      <c r="F956" s="16" t="s">
        <v>3333</v>
      </c>
      <c r="G956" s="16" t="s">
        <v>1261</v>
      </c>
      <c r="H956" s="16" t="s">
        <v>1262</v>
      </c>
      <c r="I956" s="16" t="s">
        <v>198</v>
      </c>
      <c r="J956" s="16" t="s">
        <v>199</v>
      </c>
      <c r="K956" s="16">
        <v>2.7297549999999999</v>
      </c>
      <c r="L956" s="36">
        <v>1399</v>
      </c>
      <c r="M956" s="16">
        <v>305</v>
      </c>
      <c r="N956" s="16">
        <v>273</v>
      </c>
      <c r="O956" s="16">
        <v>314</v>
      </c>
      <c r="P956" s="16">
        <v>377</v>
      </c>
      <c r="Q956" s="16">
        <v>130</v>
      </c>
      <c r="R956" s="16">
        <v>3</v>
      </c>
      <c r="S956" s="16">
        <v>16.913599999999999</v>
      </c>
      <c r="T956" s="16">
        <v>11.767300000000001</v>
      </c>
      <c r="U956" s="16">
        <v>0.94771653199999994</v>
      </c>
      <c r="V956" s="16">
        <v>2</v>
      </c>
      <c r="W956" s="16">
        <v>0.90981599999999996</v>
      </c>
      <c r="X956" s="16">
        <v>0.118654</v>
      </c>
      <c r="Y956" s="16">
        <v>0.7</v>
      </c>
      <c r="Z956" s="16">
        <v>0.99476900000000001</v>
      </c>
      <c r="AA956" s="37"/>
    </row>
    <row r="957" spans="1:27">
      <c r="A957" s="16" t="s">
        <v>76</v>
      </c>
      <c r="B957" s="16" t="s">
        <v>3364</v>
      </c>
      <c r="C957" s="16" t="s">
        <v>3365</v>
      </c>
      <c r="D957" s="16" t="s">
        <v>3366</v>
      </c>
      <c r="E957" s="16" t="s">
        <v>3033</v>
      </c>
      <c r="F957" s="16" t="s">
        <v>3034</v>
      </c>
      <c r="G957" s="16" t="s">
        <v>1261</v>
      </c>
      <c r="H957" s="16" t="s">
        <v>1262</v>
      </c>
      <c r="I957" s="16" t="s">
        <v>198</v>
      </c>
      <c r="J957" s="16" t="s">
        <v>199</v>
      </c>
      <c r="K957" s="16">
        <v>2.7447370000000002</v>
      </c>
      <c r="L957" s="36">
        <v>2090</v>
      </c>
      <c r="M957" s="16">
        <v>302</v>
      </c>
      <c r="N957" s="16">
        <v>473</v>
      </c>
      <c r="O957" s="16">
        <v>606</v>
      </c>
      <c r="P957" s="16">
        <v>462</v>
      </c>
      <c r="Q957" s="16">
        <v>247</v>
      </c>
      <c r="R957" s="16">
        <v>5</v>
      </c>
      <c r="S957" s="16">
        <v>27.954999999999998</v>
      </c>
      <c r="T957" s="16">
        <v>16.1951</v>
      </c>
      <c r="U957" s="16">
        <v>0.915642387</v>
      </c>
      <c r="V957" s="16">
        <v>2</v>
      </c>
      <c r="W957" s="16">
        <v>0.91295499999999996</v>
      </c>
      <c r="X957" s="16">
        <v>0.18279999999999999</v>
      </c>
      <c r="Y957" s="16">
        <v>0.7</v>
      </c>
      <c r="Z957" s="16">
        <v>0.94699999999999995</v>
      </c>
      <c r="AA957" s="37"/>
    </row>
    <row r="958" spans="1:27">
      <c r="A958" s="16" t="s">
        <v>76</v>
      </c>
      <c r="B958" s="16" t="s">
        <v>3367</v>
      </c>
      <c r="C958" s="16" t="s">
        <v>3368</v>
      </c>
      <c r="D958" s="16" t="s">
        <v>3369</v>
      </c>
      <c r="E958" s="16" t="s">
        <v>3370</v>
      </c>
      <c r="F958" s="16" t="s">
        <v>3371</v>
      </c>
      <c r="G958" s="16" t="s">
        <v>1261</v>
      </c>
      <c r="H958" s="16" t="s">
        <v>1262</v>
      </c>
      <c r="I958" s="16" t="s">
        <v>198</v>
      </c>
      <c r="J958" s="16" t="s">
        <v>199</v>
      </c>
      <c r="K958" s="16">
        <v>2.7270759999999998</v>
      </c>
      <c r="L958" s="36">
        <v>1934</v>
      </c>
      <c r="M958" s="16">
        <v>521</v>
      </c>
      <c r="N958" s="16">
        <v>344</v>
      </c>
      <c r="O958" s="16">
        <v>435</v>
      </c>
      <c r="P958" s="16">
        <v>482</v>
      </c>
      <c r="Q958" s="16">
        <v>152</v>
      </c>
      <c r="R958" s="16">
        <v>2</v>
      </c>
      <c r="S958" s="16">
        <v>30.467500000000001</v>
      </c>
      <c r="T958" s="16">
        <v>2.2484500000000001</v>
      </c>
      <c r="U958" s="16">
        <v>0.910147602</v>
      </c>
      <c r="V958" s="16">
        <v>3</v>
      </c>
      <c r="W958" s="16">
        <v>0.92382699999999995</v>
      </c>
      <c r="X958" s="16">
        <v>0.10036100000000001</v>
      </c>
      <c r="Y958" s="16">
        <v>0.7</v>
      </c>
      <c r="Z958" s="16">
        <v>1</v>
      </c>
      <c r="AA958" s="37"/>
    </row>
    <row r="959" spans="1:27">
      <c r="A959" s="16" t="s">
        <v>76</v>
      </c>
      <c r="B959" s="16" t="s">
        <v>3372</v>
      </c>
      <c r="C959" s="16" t="s">
        <v>3373</v>
      </c>
      <c r="D959" s="16" t="s">
        <v>3374</v>
      </c>
      <c r="E959" s="16" t="s">
        <v>3345</v>
      </c>
      <c r="F959" s="16" t="s">
        <v>3346</v>
      </c>
      <c r="G959" s="16" t="s">
        <v>1261</v>
      </c>
      <c r="H959" s="16" t="s">
        <v>1262</v>
      </c>
      <c r="I959" s="16" t="s">
        <v>198</v>
      </c>
      <c r="J959" s="16" t="s">
        <v>199</v>
      </c>
      <c r="K959" s="16">
        <v>2.746855</v>
      </c>
      <c r="L959" s="36">
        <v>1354</v>
      </c>
      <c r="M959" s="16">
        <v>223</v>
      </c>
      <c r="N959" s="16">
        <v>275</v>
      </c>
      <c r="O959" s="16">
        <v>344</v>
      </c>
      <c r="P959" s="16">
        <v>354</v>
      </c>
      <c r="Q959" s="16">
        <v>158</v>
      </c>
      <c r="R959" s="16">
        <v>4</v>
      </c>
      <c r="S959" s="16">
        <v>23.305099999999999</v>
      </c>
      <c r="T959" s="16">
        <v>6.6639099999999996</v>
      </c>
      <c r="U959" s="16">
        <v>0.83898959900000003</v>
      </c>
      <c r="V959" s="16">
        <v>3</v>
      </c>
      <c r="W959" s="16">
        <v>0.93176099999999995</v>
      </c>
      <c r="X959" s="16">
        <v>0.11346199999999999</v>
      </c>
      <c r="Y959" s="16">
        <v>0.7</v>
      </c>
      <c r="Z959" s="16">
        <v>1</v>
      </c>
      <c r="AA959" s="37"/>
    </row>
    <row r="960" spans="1:27">
      <c r="A960" s="16" t="s">
        <v>76</v>
      </c>
      <c r="B960" s="16" t="s">
        <v>3375</v>
      </c>
      <c r="C960" s="16" t="s">
        <v>3376</v>
      </c>
      <c r="D960" s="16" t="s">
        <v>3377</v>
      </c>
      <c r="E960" s="16" t="s">
        <v>3378</v>
      </c>
      <c r="F960" s="16" t="s">
        <v>3379</v>
      </c>
      <c r="G960" s="16" t="s">
        <v>1261</v>
      </c>
      <c r="H960" s="16" t="s">
        <v>1262</v>
      </c>
      <c r="I960" s="16" t="s">
        <v>198</v>
      </c>
      <c r="J960" s="16" t="s">
        <v>199</v>
      </c>
      <c r="K960" s="16">
        <v>2.648571</v>
      </c>
      <c r="L960" s="36">
        <v>2162</v>
      </c>
      <c r="M960" s="16">
        <v>489</v>
      </c>
      <c r="N960" s="16">
        <v>405</v>
      </c>
      <c r="O960" s="16">
        <v>549</v>
      </c>
      <c r="P960" s="16">
        <v>530</v>
      </c>
      <c r="Q960" s="16">
        <v>189</v>
      </c>
      <c r="R960" s="16">
        <v>5</v>
      </c>
      <c r="S960" s="16">
        <v>40.2699</v>
      </c>
      <c r="T960" s="16">
        <v>12.446999999999999</v>
      </c>
      <c r="U960" s="16">
        <v>0.80975937899999995</v>
      </c>
      <c r="V960" s="16">
        <v>4</v>
      </c>
      <c r="W960" s="16">
        <v>0.91</v>
      </c>
      <c r="X960" s="16">
        <v>0.125301</v>
      </c>
      <c r="Y960" s="16">
        <v>0.7</v>
      </c>
      <c r="Z960" s="16">
        <v>0.91976199999999997</v>
      </c>
      <c r="AA960" s="37"/>
    </row>
    <row r="961" spans="1:27">
      <c r="A961" s="16" t="s">
        <v>76</v>
      </c>
      <c r="B961" s="16" t="s">
        <v>3380</v>
      </c>
      <c r="C961" s="16" t="s">
        <v>3381</v>
      </c>
      <c r="D961" s="16" t="s">
        <v>3382</v>
      </c>
      <c r="E961" s="16" t="s">
        <v>3356</v>
      </c>
      <c r="F961" s="16" t="s">
        <v>3357</v>
      </c>
      <c r="G961" s="16" t="s">
        <v>1261</v>
      </c>
      <c r="H961" s="16" t="s">
        <v>1262</v>
      </c>
      <c r="I961" s="16" t="s">
        <v>198</v>
      </c>
      <c r="J961" s="16" t="s">
        <v>199</v>
      </c>
      <c r="K961" s="16">
        <v>2.8568419999999999</v>
      </c>
      <c r="L961" s="36">
        <v>2266</v>
      </c>
      <c r="M961" s="16">
        <v>444</v>
      </c>
      <c r="N961" s="16">
        <v>450</v>
      </c>
      <c r="O961" s="16">
        <v>645</v>
      </c>
      <c r="P961" s="16">
        <v>566</v>
      </c>
      <c r="Q961" s="16">
        <v>161</v>
      </c>
      <c r="R961" s="16" t="s">
        <v>302</v>
      </c>
      <c r="S961" s="16">
        <v>50.734400000000001</v>
      </c>
      <c r="T961" s="16">
        <v>30.4724</v>
      </c>
      <c r="U961" s="16">
        <v>0.84286472499999998</v>
      </c>
      <c r="V961" s="16">
        <v>2</v>
      </c>
      <c r="W961" s="16">
        <v>0.91759400000000002</v>
      </c>
      <c r="X961" s="16">
        <v>0.30757600000000002</v>
      </c>
      <c r="Y961" s="16">
        <v>0.7</v>
      </c>
      <c r="Z961" s="16">
        <v>0.94954400000000005</v>
      </c>
      <c r="AA961" s="37"/>
    </row>
    <row r="962" spans="1:27">
      <c r="A962" s="16" t="s">
        <v>76</v>
      </c>
      <c r="B962" s="16" t="s">
        <v>3383</v>
      </c>
      <c r="C962" s="16" t="s">
        <v>3384</v>
      </c>
      <c r="D962" s="16" t="s">
        <v>3385</v>
      </c>
      <c r="E962" s="16" t="s">
        <v>3261</v>
      </c>
      <c r="F962" s="16" t="s">
        <v>3262</v>
      </c>
      <c r="G962" s="16" t="s">
        <v>1232</v>
      </c>
      <c r="H962" s="16" t="s">
        <v>1233</v>
      </c>
      <c r="I962" s="16" t="s">
        <v>198</v>
      </c>
      <c r="J962" s="16" t="s">
        <v>199</v>
      </c>
      <c r="K962" s="16">
        <v>2.6802920000000001</v>
      </c>
      <c r="L962" s="36">
        <v>1751</v>
      </c>
      <c r="M962" s="16">
        <v>257</v>
      </c>
      <c r="N962" s="16">
        <v>417</v>
      </c>
      <c r="O962" s="16">
        <v>475</v>
      </c>
      <c r="P962" s="16">
        <v>449</v>
      </c>
      <c r="Q962" s="16">
        <v>153</v>
      </c>
      <c r="R962" s="16">
        <v>2</v>
      </c>
      <c r="S962" s="16">
        <v>18.540700000000001</v>
      </c>
      <c r="T962" s="16">
        <v>6.0837599999999998</v>
      </c>
      <c r="U962" s="16">
        <v>0.854360224</v>
      </c>
      <c r="V962" s="16">
        <v>4</v>
      </c>
      <c r="W962" s="16">
        <v>0.92676400000000003</v>
      </c>
      <c r="X962" s="16">
        <v>5.6862999999999997E-2</v>
      </c>
      <c r="Y962" s="16">
        <v>0.7</v>
      </c>
      <c r="Z962" s="16">
        <v>1</v>
      </c>
      <c r="AA962" s="37"/>
    </row>
    <row r="963" spans="1:27">
      <c r="A963" s="16" t="s">
        <v>76</v>
      </c>
      <c r="B963" s="16" t="s">
        <v>3309</v>
      </c>
      <c r="C963" s="16" t="s">
        <v>3310</v>
      </c>
      <c r="D963" s="16" t="s">
        <v>3311</v>
      </c>
      <c r="E963" s="16" t="s">
        <v>3261</v>
      </c>
      <c r="F963" s="16" t="s">
        <v>3262</v>
      </c>
      <c r="G963" s="16" t="s">
        <v>1232</v>
      </c>
      <c r="H963" s="16" t="s">
        <v>1233</v>
      </c>
      <c r="I963" s="16" t="s">
        <v>198</v>
      </c>
      <c r="J963" s="16" t="s">
        <v>199</v>
      </c>
      <c r="K963" s="16">
        <v>2.815299</v>
      </c>
      <c r="L963" s="36">
        <v>1776</v>
      </c>
      <c r="M963" s="16">
        <v>342</v>
      </c>
      <c r="N963" s="16">
        <v>407</v>
      </c>
      <c r="O963" s="16">
        <v>453</v>
      </c>
      <c r="P963" s="16">
        <v>397</v>
      </c>
      <c r="Q963" s="16">
        <v>177</v>
      </c>
      <c r="R963" s="16">
        <v>5</v>
      </c>
      <c r="S963" s="16">
        <v>35.589199999999998</v>
      </c>
      <c r="T963" s="16">
        <v>11.4613</v>
      </c>
      <c r="U963" s="16">
        <v>0.86147610299999999</v>
      </c>
      <c r="V963" s="16">
        <v>3</v>
      </c>
      <c r="W963" s="16">
        <v>0.98359200000000002</v>
      </c>
      <c r="X963" s="16">
        <v>0.14407200000000001</v>
      </c>
      <c r="Y963" s="16">
        <v>0.7</v>
      </c>
      <c r="Z963" s="16">
        <v>1</v>
      </c>
      <c r="AA963" s="37"/>
    </row>
    <row r="964" spans="1:27">
      <c r="A964" s="16" t="s">
        <v>76</v>
      </c>
      <c r="B964" s="16" t="s">
        <v>3386</v>
      </c>
      <c r="C964" s="16" t="s">
        <v>3387</v>
      </c>
      <c r="D964" s="16" t="s">
        <v>3388</v>
      </c>
      <c r="E964" s="16" t="s">
        <v>3356</v>
      </c>
      <c r="F964" s="16" t="s">
        <v>3357</v>
      </c>
      <c r="G964" s="16" t="s">
        <v>1261</v>
      </c>
      <c r="H964" s="16" t="s">
        <v>1262</v>
      </c>
      <c r="I964" s="16" t="s">
        <v>198</v>
      </c>
      <c r="J964" s="16" t="s">
        <v>199</v>
      </c>
      <c r="K964" s="16">
        <v>2.670385</v>
      </c>
      <c r="L964" s="36">
        <v>2626</v>
      </c>
      <c r="M964" s="16">
        <v>494</v>
      </c>
      <c r="N964" s="16">
        <v>658</v>
      </c>
      <c r="O964" s="16">
        <v>609</v>
      </c>
      <c r="P964" s="16">
        <v>622</v>
      </c>
      <c r="Q964" s="16">
        <v>243</v>
      </c>
      <c r="R964" s="16" t="s">
        <v>302</v>
      </c>
      <c r="S964" s="16">
        <v>37.782800000000002</v>
      </c>
      <c r="T964" s="16">
        <v>12.6732</v>
      </c>
      <c r="U964" s="16">
        <v>0.99796563599999999</v>
      </c>
      <c r="V964" s="16">
        <v>2</v>
      </c>
      <c r="W964" s="16">
        <v>0.90304300000000004</v>
      </c>
      <c r="X964" s="16">
        <v>0.106587</v>
      </c>
      <c r="Y964" s="16">
        <v>0.7</v>
      </c>
      <c r="Z964" s="16">
        <v>0.95110700000000004</v>
      </c>
      <c r="AA964" s="37"/>
    </row>
    <row r="965" spans="1:27">
      <c r="A965" s="16"/>
      <c r="B965" s="16"/>
      <c r="C965" s="16"/>
      <c r="D965" s="16"/>
      <c r="E965" s="16"/>
      <c r="F965" s="16"/>
      <c r="G965" s="16"/>
      <c r="H965" s="16"/>
      <c r="I965" s="16"/>
      <c r="J965" s="16"/>
      <c r="K965" s="16">
        <f t="shared" ref="K965:L965" si="77">AVERAGE(K946:K964)</f>
        <v>2.7276916842105265</v>
      </c>
      <c r="L965" s="36">
        <f t="shared" si="77"/>
        <v>1974.578947368421</v>
      </c>
      <c r="M965" s="36">
        <f t="shared" ref="M965:Q965" si="78">SUM(M946:M964)</f>
        <v>7313</v>
      </c>
      <c r="N965" s="36">
        <f t="shared" si="78"/>
        <v>8099</v>
      </c>
      <c r="O965" s="36">
        <f t="shared" si="78"/>
        <v>9944</v>
      </c>
      <c r="P965" s="36">
        <f t="shared" si="78"/>
        <v>8920</v>
      </c>
      <c r="Q965" s="36">
        <f t="shared" si="78"/>
        <v>3241</v>
      </c>
      <c r="R965" s="16"/>
      <c r="S965" s="16"/>
      <c r="T965" s="16"/>
      <c r="U965" s="16"/>
      <c r="V965" s="16">
        <f>MEDIAN(V946:V964)</f>
        <v>3</v>
      </c>
      <c r="W965" s="16"/>
      <c r="X965" s="16"/>
      <c r="Y965" s="16"/>
      <c r="Z965" s="16"/>
      <c r="AA965" s="37"/>
    </row>
    <row r="966" spans="1:27">
      <c r="A966" s="16" t="s">
        <v>95</v>
      </c>
      <c r="B966" s="16" t="s">
        <v>3389</v>
      </c>
      <c r="C966" s="16" t="s">
        <v>3390</v>
      </c>
      <c r="D966" s="16" t="s">
        <v>3391</v>
      </c>
      <c r="E966" s="16" t="s">
        <v>3392</v>
      </c>
      <c r="F966" s="16" t="s">
        <v>3393</v>
      </c>
      <c r="G966" s="16" t="s">
        <v>300</v>
      </c>
      <c r="H966" s="16" t="s">
        <v>301</v>
      </c>
      <c r="I966" s="16" t="s">
        <v>198</v>
      </c>
      <c r="J966" s="16" t="s">
        <v>199</v>
      </c>
      <c r="K966" s="16">
        <v>2.758756</v>
      </c>
      <c r="L966" s="36">
        <v>3418</v>
      </c>
      <c r="M966" s="16">
        <v>191</v>
      </c>
      <c r="N966" s="36">
        <v>1652</v>
      </c>
      <c r="O966" s="36">
        <v>1106</v>
      </c>
      <c r="P966" s="16">
        <v>358</v>
      </c>
      <c r="Q966" s="16">
        <v>111</v>
      </c>
      <c r="R966" s="16" t="s">
        <v>668</v>
      </c>
      <c r="S966" s="16">
        <v>105.29900000000001</v>
      </c>
      <c r="T966" s="16">
        <v>27.7883</v>
      </c>
      <c r="U966" s="16">
        <v>0.576085242</v>
      </c>
      <c r="V966" s="16">
        <v>7</v>
      </c>
      <c r="W966" s="16">
        <v>1</v>
      </c>
      <c r="X966" s="16">
        <v>0.15934999999999999</v>
      </c>
      <c r="Y966" s="16">
        <v>0.60970400000000002</v>
      </c>
      <c r="Z966" s="16">
        <v>1</v>
      </c>
      <c r="AA966" s="37"/>
    </row>
    <row r="967" spans="1:27">
      <c r="A967" s="16" t="s">
        <v>95</v>
      </c>
      <c r="B967" s="16" t="s">
        <v>3394</v>
      </c>
      <c r="C967" s="16" t="s">
        <v>3395</v>
      </c>
      <c r="D967" s="16" t="s">
        <v>3396</v>
      </c>
      <c r="E967" s="16" t="s">
        <v>3397</v>
      </c>
      <c r="F967" s="16" t="s">
        <v>3398</v>
      </c>
      <c r="G967" s="16" t="s">
        <v>300</v>
      </c>
      <c r="H967" s="16" t="s">
        <v>301</v>
      </c>
      <c r="I967" s="16" t="s">
        <v>198</v>
      </c>
      <c r="J967" s="16" t="s">
        <v>199</v>
      </c>
      <c r="K967" s="16">
        <v>2.9446599999999998</v>
      </c>
      <c r="L967" s="36">
        <v>3802</v>
      </c>
      <c r="M967" s="16">
        <v>522</v>
      </c>
      <c r="N967" s="36">
        <v>1643</v>
      </c>
      <c r="O967" s="36">
        <v>1153</v>
      </c>
      <c r="P967" s="16">
        <v>351</v>
      </c>
      <c r="Q967" s="16">
        <v>133</v>
      </c>
      <c r="R967" s="16" t="s">
        <v>668</v>
      </c>
      <c r="S967" s="16">
        <v>87.209800000000001</v>
      </c>
      <c r="T967" s="16">
        <v>23.972999999999999</v>
      </c>
      <c r="U967" s="16">
        <v>0.66263938099999997</v>
      </c>
      <c r="V967" s="16">
        <v>4</v>
      </c>
      <c r="W967" s="16">
        <v>1</v>
      </c>
      <c r="X967" s="16">
        <v>0.29752499999999998</v>
      </c>
      <c r="Y967" s="16">
        <v>0.65732000000000002</v>
      </c>
      <c r="Z967" s="16">
        <v>1</v>
      </c>
      <c r="AA967" s="37"/>
    </row>
    <row r="968" spans="1:27">
      <c r="A968" s="16" t="s">
        <v>95</v>
      </c>
      <c r="B968" s="16" t="s">
        <v>3399</v>
      </c>
      <c r="C968" s="16" t="s">
        <v>3400</v>
      </c>
      <c r="D968" s="16" t="s">
        <v>3401</v>
      </c>
      <c r="E968" s="16" t="s">
        <v>3392</v>
      </c>
      <c r="F968" s="16" t="s">
        <v>3393</v>
      </c>
      <c r="G968" s="16" t="s">
        <v>300</v>
      </c>
      <c r="H968" s="16" t="s">
        <v>301</v>
      </c>
      <c r="I968" s="16" t="s">
        <v>198</v>
      </c>
      <c r="J968" s="16" t="s">
        <v>199</v>
      </c>
      <c r="K968" s="16">
        <v>2.8966259999999999</v>
      </c>
      <c r="L968" s="36">
        <v>3450</v>
      </c>
      <c r="M968" s="16">
        <v>592</v>
      </c>
      <c r="N968" s="36">
        <v>1161</v>
      </c>
      <c r="O968" s="16">
        <v>979</v>
      </c>
      <c r="P968" s="16">
        <v>508</v>
      </c>
      <c r="Q968" s="16">
        <v>210</v>
      </c>
      <c r="R968" s="16" t="s">
        <v>302</v>
      </c>
      <c r="S968" s="16">
        <v>93.439499999999995</v>
      </c>
      <c r="T968" s="16">
        <v>19.500299999999999</v>
      </c>
      <c r="U968" s="16">
        <v>1.005631674</v>
      </c>
      <c r="V968" s="16">
        <v>2</v>
      </c>
      <c r="W968" s="16">
        <v>1</v>
      </c>
      <c r="X968" s="16">
        <v>0.235071</v>
      </c>
      <c r="Y968" s="16">
        <v>0.63938700000000004</v>
      </c>
      <c r="Z968" s="16">
        <v>1</v>
      </c>
      <c r="AA968" s="37"/>
    </row>
    <row r="969" spans="1:27">
      <c r="A969" s="16" t="s">
        <v>95</v>
      </c>
      <c r="B969" s="16" t="s">
        <v>3402</v>
      </c>
      <c r="C969" s="16" t="s">
        <v>3403</v>
      </c>
      <c r="D969" s="16" t="s">
        <v>3404</v>
      </c>
      <c r="E969" s="16" t="s">
        <v>3392</v>
      </c>
      <c r="F969" s="16" t="s">
        <v>3393</v>
      </c>
      <c r="G969" s="16" t="s">
        <v>300</v>
      </c>
      <c r="H969" s="16" t="s">
        <v>301</v>
      </c>
      <c r="I969" s="16" t="s">
        <v>198</v>
      </c>
      <c r="J969" s="16" t="s">
        <v>199</v>
      </c>
      <c r="K969" s="16">
        <v>2.9315790000000002</v>
      </c>
      <c r="L969" s="36">
        <v>1954</v>
      </c>
      <c r="M969" s="16">
        <v>271</v>
      </c>
      <c r="N969" s="16">
        <v>493</v>
      </c>
      <c r="O969" s="16">
        <v>670</v>
      </c>
      <c r="P969" s="16">
        <v>366</v>
      </c>
      <c r="Q969" s="16">
        <v>154</v>
      </c>
      <c r="R969" s="16" t="s">
        <v>668</v>
      </c>
      <c r="S969" s="16">
        <v>100.505</v>
      </c>
      <c r="T969" s="16">
        <v>66.2744</v>
      </c>
      <c r="U969" s="16">
        <v>0.84222576999999998</v>
      </c>
      <c r="V969" s="16">
        <v>2</v>
      </c>
      <c r="W969" s="16">
        <v>1</v>
      </c>
      <c r="X969" s="16">
        <v>0.23049600000000001</v>
      </c>
      <c r="Y969" s="16">
        <v>0.68531500000000001</v>
      </c>
      <c r="Z969" s="16">
        <v>1</v>
      </c>
      <c r="AA969" s="37"/>
    </row>
    <row r="970" spans="1:27">
      <c r="A970" s="16" t="s">
        <v>95</v>
      </c>
      <c r="B970" s="16" t="s">
        <v>1324</v>
      </c>
      <c r="C970" s="16" t="s">
        <v>1325</v>
      </c>
      <c r="D970" s="16" t="s">
        <v>1326</v>
      </c>
      <c r="E970" s="16" t="s">
        <v>1285</v>
      </c>
      <c r="F970" s="16" t="s">
        <v>1286</v>
      </c>
      <c r="G970" s="16" t="s">
        <v>655</v>
      </c>
      <c r="H970" s="16" t="s">
        <v>656</v>
      </c>
      <c r="I970" s="16" t="s">
        <v>198</v>
      </c>
      <c r="J970" s="16" t="s">
        <v>199</v>
      </c>
      <c r="K970" s="16">
        <v>2.9576190000000002</v>
      </c>
      <c r="L970" s="36">
        <v>1742</v>
      </c>
      <c r="M970" s="16">
        <v>100</v>
      </c>
      <c r="N970" s="16">
        <v>715</v>
      </c>
      <c r="O970" s="16">
        <v>742</v>
      </c>
      <c r="P970" s="16">
        <v>141</v>
      </c>
      <c r="Q970" s="16">
        <v>44</v>
      </c>
      <c r="R970" s="16" t="s">
        <v>302</v>
      </c>
      <c r="S970" s="16">
        <v>45.213999999999999</v>
      </c>
      <c r="T970" s="16">
        <v>27.811800000000002</v>
      </c>
      <c r="U970" s="16">
        <v>0.64083785999999998</v>
      </c>
      <c r="V970" s="16">
        <v>3</v>
      </c>
      <c r="W970" s="16">
        <v>1</v>
      </c>
      <c r="X970" s="16">
        <v>0.35518899999999998</v>
      </c>
      <c r="Y970" s="16">
        <v>0.60189599999999999</v>
      </c>
      <c r="Z970" s="16">
        <v>1</v>
      </c>
      <c r="AA970" s="37"/>
    </row>
    <row r="971" spans="1:27">
      <c r="A971" s="16" t="s">
        <v>95</v>
      </c>
      <c r="B971" s="16" t="s">
        <v>3405</v>
      </c>
      <c r="C971" s="16" t="s">
        <v>3406</v>
      </c>
      <c r="D971" s="16" t="s">
        <v>3407</v>
      </c>
      <c r="E971" s="16" t="s">
        <v>3397</v>
      </c>
      <c r="F971" s="16" t="s">
        <v>3398</v>
      </c>
      <c r="G971" s="16" t="s">
        <v>300</v>
      </c>
      <c r="H971" s="16" t="s">
        <v>301</v>
      </c>
      <c r="I971" s="16" t="s">
        <v>198</v>
      </c>
      <c r="J971" s="16" t="s">
        <v>199</v>
      </c>
      <c r="K971" s="16">
        <v>2.9520409999999999</v>
      </c>
      <c r="L971" s="36">
        <v>3084</v>
      </c>
      <c r="M971" s="16">
        <v>142</v>
      </c>
      <c r="N971" s="36">
        <v>1781</v>
      </c>
      <c r="O971" s="16">
        <v>890</v>
      </c>
      <c r="P971" s="16">
        <v>225</v>
      </c>
      <c r="Q971" s="16">
        <v>46</v>
      </c>
      <c r="R971" s="16" t="s">
        <v>668</v>
      </c>
      <c r="S971" s="16">
        <v>53.600299999999997</v>
      </c>
      <c r="T971" s="16">
        <v>38.701599999999999</v>
      </c>
      <c r="U971" s="16">
        <v>0.46783106899999999</v>
      </c>
      <c r="V971" s="16">
        <v>7</v>
      </c>
      <c r="W971" s="16">
        <v>1</v>
      </c>
      <c r="X971" s="16">
        <v>0.26751900000000001</v>
      </c>
      <c r="Y971" s="16">
        <v>0.7</v>
      </c>
      <c r="Z971" s="16">
        <v>1</v>
      </c>
      <c r="AA971" s="37"/>
    </row>
    <row r="972" spans="1:27">
      <c r="A972" s="16" t="s">
        <v>95</v>
      </c>
      <c r="B972" s="16" t="s">
        <v>1327</v>
      </c>
      <c r="C972" s="16" t="s">
        <v>1328</v>
      </c>
      <c r="D972" s="16" t="s">
        <v>1329</v>
      </c>
      <c r="E972" s="16" t="s">
        <v>1285</v>
      </c>
      <c r="F972" s="16" t="s">
        <v>1286</v>
      </c>
      <c r="G972" s="16" t="s">
        <v>655</v>
      </c>
      <c r="H972" s="16" t="s">
        <v>656</v>
      </c>
      <c r="I972" s="16" t="s">
        <v>198</v>
      </c>
      <c r="J972" s="16" t="s">
        <v>199</v>
      </c>
      <c r="K972" s="16">
        <v>2.848554</v>
      </c>
      <c r="L972" s="36">
        <v>2284</v>
      </c>
      <c r="M972" s="16">
        <v>105</v>
      </c>
      <c r="N972" s="16">
        <v>946</v>
      </c>
      <c r="O972" s="16">
        <v>955</v>
      </c>
      <c r="P972" s="16">
        <v>231</v>
      </c>
      <c r="Q972" s="16">
        <v>47</v>
      </c>
      <c r="R972" s="16" t="s">
        <v>668</v>
      </c>
      <c r="S972" s="16">
        <v>106.014</v>
      </c>
      <c r="T972" s="16">
        <v>36.423200000000001</v>
      </c>
      <c r="U972" s="16">
        <v>0.58706593399999996</v>
      </c>
      <c r="V972" s="16">
        <v>5</v>
      </c>
      <c r="W972" s="16">
        <v>1</v>
      </c>
      <c r="X972" s="16">
        <v>0.23313300000000001</v>
      </c>
      <c r="Y972" s="16">
        <v>0.61205200000000004</v>
      </c>
      <c r="Z972" s="16">
        <v>1</v>
      </c>
      <c r="AA972" s="37"/>
    </row>
    <row r="973" spans="1:27">
      <c r="A973" s="16"/>
      <c r="B973" s="16"/>
      <c r="C973" s="16"/>
      <c r="D973" s="16"/>
      <c r="E973" s="16"/>
      <c r="F973" s="16"/>
      <c r="G973" s="16"/>
      <c r="H973" s="16"/>
      <c r="I973" s="16"/>
      <c r="J973" s="16"/>
      <c r="K973" s="16">
        <f>MIN(K966:K972)</f>
        <v>2.758756</v>
      </c>
      <c r="L973" s="36">
        <f>AVERAGE(L966:L972)</f>
        <v>2819.1428571428573</v>
      </c>
      <c r="M973" s="36">
        <f>SUM(M966:M972)</f>
        <v>1923</v>
      </c>
      <c r="N973" s="16"/>
      <c r="O973" s="16"/>
      <c r="P973" s="16"/>
      <c r="Q973" s="36">
        <f>SUM(Q966:Q972)</f>
        <v>745</v>
      </c>
      <c r="R973" s="16"/>
      <c r="S973" s="16"/>
      <c r="T973" s="16"/>
      <c r="U973" s="16"/>
      <c r="V973" s="16">
        <f>MEDIAN(V966:V972)</f>
        <v>4</v>
      </c>
      <c r="W973" s="16"/>
      <c r="X973" s="16"/>
      <c r="Y973" s="16"/>
      <c r="Z973" s="16"/>
      <c r="AA973" s="37"/>
    </row>
    <row r="974" spans="1:27">
      <c r="A974" s="16" t="s">
        <v>78</v>
      </c>
      <c r="B974" s="16" t="s">
        <v>3408</v>
      </c>
      <c r="C974" s="16" t="s">
        <v>3409</v>
      </c>
      <c r="D974" s="16" t="s">
        <v>3410</v>
      </c>
      <c r="E974" s="16" t="s">
        <v>3411</v>
      </c>
      <c r="F974" s="16" t="s">
        <v>3412</v>
      </c>
      <c r="G974" s="16" t="s">
        <v>1261</v>
      </c>
      <c r="H974" s="16" t="s">
        <v>1262</v>
      </c>
      <c r="I974" s="16" t="s">
        <v>198</v>
      </c>
      <c r="J974" s="16" t="s">
        <v>199</v>
      </c>
      <c r="K974" s="16">
        <v>2.7644739999999999</v>
      </c>
      <c r="L974" s="36">
        <v>2912</v>
      </c>
      <c r="M974" s="16">
        <v>652</v>
      </c>
      <c r="N974" s="16">
        <v>619</v>
      </c>
      <c r="O974" s="36">
        <v>1007</v>
      </c>
      <c r="P974" s="16">
        <v>516</v>
      </c>
      <c r="Q974" s="16">
        <v>118</v>
      </c>
      <c r="R974" s="16">
        <v>3</v>
      </c>
      <c r="S974" s="16">
        <v>18.064399999999999</v>
      </c>
      <c r="T974" s="16">
        <v>3.68058</v>
      </c>
      <c r="U974" s="16">
        <v>0.75175544900000002</v>
      </c>
      <c r="V974" s="16">
        <v>4</v>
      </c>
      <c r="W974" s="16">
        <v>0.91118399999999999</v>
      </c>
      <c r="X974" s="16">
        <v>0.14877699999999999</v>
      </c>
      <c r="Y974" s="16">
        <v>0.7</v>
      </c>
      <c r="Z974" s="16">
        <v>0.99555199999999999</v>
      </c>
      <c r="AA974" s="37"/>
    </row>
    <row r="975" spans="1:27">
      <c r="A975" s="16" t="s">
        <v>78</v>
      </c>
      <c r="B975" s="16" t="s">
        <v>3413</v>
      </c>
      <c r="C975" s="16" t="s">
        <v>3414</v>
      </c>
      <c r="D975" s="16" t="s">
        <v>3415</v>
      </c>
      <c r="E975" s="16" t="s">
        <v>3416</v>
      </c>
      <c r="F975" s="16" t="s">
        <v>3417</v>
      </c>
      <c r="G975" s="16" t="s">
        <v>1261</v>
      </c>
      <c r="H975" s="16" t="s">
        <v>1262</v>
      </c>
      <c r="I975" s="16" t="s">
        <v>198</v>
      </c>
      <c r="J975" s="16" t="s">
        <v>199</v>
      </c>
      <c r="K975" s="16">
        <v>2.8974060000000001</v>
      </c>
      <c r="L975" s="36">
        <v>1946</v>
      </c>
      <c r="M975" s="16">
        <v>471</v>
      </c>
      <c r="N975" s="16">
        <v>371</v>
      </c>
      <c r="O975" s="16">
        <v>399</v>
      </c>
      <c r="P975" s="16">
        <v>545</v>
      </c>
      <c r="Q975" s="16">
        <v>160</v>
      </c>
      <c r="R975" s="16">
        <v>4</v>
      </c>
      <c r="S975" s="16">
        <v>23.71</v>
      </c>
      <c r="T975" s="16">
        <v>11.757999999999999</v>
      </c>
      <c r="U975" s="16">
        <v>0.94867179499999998</v>
      </c>
      <c r="V975" s="16">
        <v>2</v>
      </c>
      <c r="W975" s="16">
        <v>0.94092200000000004</v>
      </c>
      <c r="X975" s="16">
        <v>0.25672499999999998</v>
      </c>
      <c r="Y975" s="16">
        <v>0.7</v>
      </c>
      <c r="Z975" s="16">
        <v>1</v>
      </c>
      <c r="AA975" s="37"/>
    </row>
    <row r="976" spans="1:27">
      <c r="A976" s="16" t="s">
        <v>78</v>
      </c>
      <c r="B976" s="16" t="s">
        <v>3418</v>
      </c>
      <c r="C976" s="16" t="s">
        <v>3419</v>
      </c>
      <c r="D976" s="16" t="s">
        <v>3420</v>
      </c>
      <c r="E976" s="16" t="s">
        <v>3416</v>
      </c>
      <c r="F976" s="16" t="s">
        <v>3417</v>
      </c>
      <c r="G976" s="16" t="s">
        <v>1261</v>
      </c>
      <c r="H976" s="16" t="s">
        <v>1262</v>
      </c>
      <c r="I976" s="16" t="s">
        <v>198</v>
      </c>
      <c r="J976" s="16" t="s">
        <v>199</v>
      </c>
      <c r="K976" s="16">
        <v>2.698909</v>
      </c>
      <c r="L976" s="36">
        <v>1727</v>
      </c>
      <c r="M976" s="16">
        <v>345</v>
      </c>
      <c r="N976" s="16">
        <v>340</v>
      </c>
      <c r="O976" s="16">
        <v>428</v>
      </c>
      <c r="P976" s="16">
        <v>464</v>
      </c>
      <c r="Q976" s="16">
        <v>150</v>
      </c>
      <c r="R976" s="16">
        <v>3</v>
      </c>
      <c r="S976" s="16">
        <v>20.502099999999999</v>
      </c>
      <c r="T976" s="16">
        <v>9.1371699999999993</v>
      </c>
      <c r="U976" s="16">
        <v>0.86836582200000001</v>
      </c>
      <c r="V976" s="16">
        <v>3</v>
      </c>
      <c r="W976" s="16">
        <v>0.91018200000000005</v>
      </c>
      <c r="X976" s="16">
        <v>8.4558999999999995E-2</v>
      </c>
      <c r="Y976" s="16">
        <v>0.7</v>
      </c>
      <c r="Z976" s="16">
        <v>1</v>
      </c>
      <c r="AA976" s="37"/>
    </row>
    <row r="977" spans="1:27">
      <c r="A977" s="16" t="s">
        <v>78</v>
      </c>
      <c r="B977" s="16" t="s">
        <v>3030</v>
      </c>
      <c r="C977" s="16" t="s">
        <v>3031</v>
      </c>
      <c r="D977" s="16" t="s">
        <v>3032</v>
      </c>
      <c r="E977" s="16" t="s">
        <v>3033</v>
      </c>
      <c r="F977" s="16" t="s">
        <v>3034</v>
      </c>
      <c r="G977" s="16" t="s">
        <v>1261</v>
      </c>
      <c r="H977" s="16" t="s">
        <v>1262</v>
      </c>
      <c r="I977" s="16" t="s">
        <v>198</v>
      </c>
      <c r="J977" s="16" t="s">
        <v>199</v>
      </c>
      <c r="K977" s="16">
        <v>2.613661</v>
      </c>
      <c r="L977" s="36">
        <v>2021</v>
      </c>
      <c r="M977" s="16">
        <v>441</v>
      </c>
      <c r="N977" s="16">
        <v>366</v>
      </c>
      <c r="O977" s="16">
        <v>506</v>
      </c>
      <c r="P977" s="16">
        <v>529</v>
      </c>
      <c r="Q977" s="16">
        <v>179</v>
      </c>
      <c r="R977" s="16">
        <v>4</v>
      </c>
      <c r="S977" s="16">
        <v>22.612300000000001</v>
      </c>
      <c r="T977" s="16">
        <v>8.1785099999999993</v>
      </c>
      <c r="U977" s="16">
        <v>1.0257592740000001</v>
      </c>
      <c r="V977" s="16">
        <v>2</v>
      </c>
      <c r="W977" s="16">
        <v>0.90573800000000004</v>
      </c>
      <c r="X977" s="16">
        <v>0.117808</v>
      </c>
      <c r="Y977" s="16">
        <v>0.7</v>
      </c>
      <c r="Z977" s="16">
        <v>0.88342500000000002</v>
      </c>
      <c r="AA977" s="37"/>
    </row>
    <row r="978" spans="1:27">
      <c r="A978" s="16" t="s">
        <v>78</v>
      </c>
      <c r="B978" s="16" t="s">
        <v>3421</v>
      </c>
      <c r="C978" s="16" t="s">
        <v>3422</v>
      </c>
      <c r="D978" s="16" t="s">
        <v>3423</v>
      </c>
      <c r="E978" s="16" t="s">
        <v>3416</v>
      </c>
      <c r="F978" s="16" t="s">
        <v>3417</v>
      </c>
      <c r="G978" s="16" t="s">
        <v>1261</v>
      </c>
      <c r="H978" s="16" t="s">
        <v>1262</v>
      </c>
      <c r="I978" s="16" t="s">
        <v>198</v>
      </c>
      <c r="J978" s="16" t="s">
        <v>199</v>
      </c>
      <c r="K978" s="16">
        <v>2.733034</v>
      </c>
      <c r="L978" s="36">
        <v>1974</v>
      </c>
      <c r="M978" s="16">
        <v>265</v>
      </c>
      <c r="N978" s="16">
        <v>668</v>
      </c>
      <c r="O978" s="16">
        <v>422</v>
      </c>
      <c r="P978" s="16">
        <v>443</v>
      </c>
      <c r="Q978" s="16">
        <v>176</v>
      </c>
      <c r="R978" s="16">
        <v>4</v>
      </c>
      <c r="S978" s="16">
        <v>26.468699999999998</v>
      </c>
      <c r="T978" s="16">
        <v>2.1061700000000001</v>
      </c>
      <c r="U978" s="16">
        <v>0.91537738099999999</v>
      </c>
      <c r="V978" s="16">
        <v>3</v>
      </c>
      <c r="W978" s="16">
        <v>0.92639099999999996</v>
      </c>
      <c r="X978" s="16">
        <v>0.109156</v>
      </c>
      <c r="Y978" s="16">
        <v>0.7</v>
      </c>
      <c r="Z978" s="16">
        <v>1</v>
      </c>
      <c r="AA978" s="37"/>
    </row>
    <row r="979" spans="1:27">
      <c r="A979" s="16" t="s">
        <v>78</v>
      </c>
      <c r="B979" s="16" t="s">
        <v>3424</v>
      </c>
      <c r="C979" s="16" t="s">
        <v>3425</v>
      </c>
      <c r="D979" s="16" t="s">
        <v>3426</v>
      </c>
      <c r="E979" s="16" t="s">
        <v>3427</v>
      </c>
      <c r="F979" s="16" t="s">
        <v>3428</v>
      </c>
      <c r="G979" s="16" t="s">
        <v>1261</v>
      </c>
      <c r="H979" s="16" t="s">
        <v>1262</v>
      </c>
      <c r="I979" s="16" t="s">
        <v>198</v>
      </c>
      <c r="J979" s="16" t="s">
        <v>199</v>
      </c>
      <c r="K979" s="16">
        <v>2.6397330000000001</v>
      </c>
      <c r="L979" s="36">
        <v>1888</v>
      </c>
      <c r="M979" s="16">
        <v>511</v>
      </c>
      <c r="N979" s="16">
        <v>333</v>
      </c>
      <c r="O979" s="16">
        <v>378</v>
      </c>
      <c r="P979" s="16">
        <v>482</v>
      </c>
      <c r="Q979" s="16">
        <v>184</v>
      </c>
      <c r="R979" s="16">
        <v>3</v>
      </c>
      <c r="S979" s="16">
        <v>15.996600000000001</v>
      </c>
      <c r="T979" s="16">
        <v>12.019600000000001</v>
      </c>
      <c r="U979" s="16">
        <v>0.95349533500000005</v>
      </c>
      <c r="V979" s="16">
        <v>3</v>
      </c>
      <c r="W979" s="16">
        <v>0.906667</v>
      </c>
      <c r="X979" s="16">
        <v>4.2666999999999997E-2</v>
      </c>
      <c r="Y979" s="16">
        <v>0.7</v>
      </c>
      <c r="Z979" s="16">
        <v>0.99110500000000001</v>
      </c>
      <c r="AA979" s="37"/>
    </row>
    <row r="980" spans="1:27">
      <c r="A980" s="16" t="s">
        <v>78</v>
      </c>
      <c r="B980" s="16" t="s">
        <v>3364</v>
      </c>
      <c r="C980" s="16" t="s">
        <v>3365</v>
      </c>
      <c r="D980" s="16" t="s">
        <v>3366</v>
      </c>
      <c r="E980" s="16" t="s">
        <v>3033</v>
      </c>
      <c r="F980" s="16" t="s">
        <v>3034</v>
      </c>
      <c r="G980" s="16" t="s">
        <v>1261</v>
      </c>
      <c r="H980" s="16" t="s">
        <v>1262</v>
      </c>
      <c r="I980" s="16" t="s">
        <v>198</v>
      </c>
      <c r="J980" s="16" t="s">
        <v>199</v>
      </c>
      <c r="K980" s="16">
        <v>2.7447370000000002</v>
      </c>
      <c r="L980" s="36">
        <v>2090</v>
      </c>
      <c r="M980" s="16">
        <v>302</v>
      </c>
      <c r="N980" s="16">
        <v>473</v>
      </c>
      <c r="O980" s="16">
        <v>606</v>
      </c>
      <c r="P980" s="16">
        <v>462</v>
      </c>
      <c r="Q980" s="16">
        <v>247</v>
      </c>
      <c r="R980" s="16">
        <v>5</v>
      </c>
      <c r="S980" s="16">
        <v>27.954999999999998</v>
      </c>
      <c r="T980" s="16">
        <v>16.1951</v>
      </c>
      <c r="U980" s="16">
        <v>0.915642387</v>
      </c>
      <c r="V980" s="16">
        <v>2</v>
      </c>
      <c r="W980" s="16">
        <v>0.91295499999999996</v>
      </c>
      <c r="X980" s="16">
        <v>0.18279999999999999</v>
      </c>
      <c r="Y980" s="16">
        <v>0.7</v>
      </c>
      <c r="Z980" s="16">
        <v>0.94699999999999995</v>
      </c>
      <c r="AA980" s="37"/>
    </row>
    <row r="981" spans="1:27">
      <c r="A981" s="16" t="s">
        <v>78</v>
      </c>
      <c r="B981" s="16" t="s">
        <v>3429</v>
      </c>
      <c r="C981" s="16" t="s">
        <v>3430</v>
      </c>
      <c r="D981" s="16" t="s">
        <v>3431</v>
      </c>
      <c r="E981" s="16" t="s">
        <v>3427</v>
      </c>
      <c r="F981" s="16" t="s">
        <v>3428</v>
      </c>
      <c r="G981" s="16" t="s">
        <v>1261</v>
      </c>
      <c r="H981" s="16" t="s">
        <v>1262</v>
      </c>
      <c r="I981" s="16" t="s">
        <v>198</v>
      </c>
      <c r="J981" s="16" t="s">
        <v>199</v>
      </c>
      <c r="K981" s="16">
        <v>2.739725</v>
      </c>
      <c r="L981" s="36">
        <v>2394</v>
      </c>
      <c r="M981" s="16">
        <v>460</v>
      </c>
      <c r="N981" s="16">
        <v>565</v>
      </c>
      <c r="O981" s="16">
        <v>526</v>
      </c>
      <c r="P981" s="16">
        <v>589</v>
      </c>
      <c r="Q981" s="16">
        <v>254</v>
      </c>
      <c r="R981" s="16">
        <v>3</v>
      </c>
      <c r="S981" s="16">
        <v>22.1983</v>
      </c>
      <c r="T981" s="16">
        <v>0</v>
      </c>
      <c r="U981" s="16">
        <v>0.87084094300000003</v>
      </c>
      <c r="V981" s="16">
        <v>3</v>
      </c>
      <c r="W981" s="16">
        <v>0.90908299999999997</v>
      </c>
      <c r="X981" s="16">
        <v>0.13517000000000001</v>
      </c>
      <c r="Y981" s="16">
        <v>0.7</v>
      </c>
      <c r="Z981" s="16">
        <v>0.99007400000000001</v>
      </c>
      <c r="AA981" s="37"/>
    </row>
    <row r="982" spans="1:27">
      <c r="A982" s="16" t="s">
        <v>78</v>
      </c>
      <c r="B982" s="16" t="s">
        <v>3432</v>
      </c>
      <c r="C982" s="16" t="s">
        <v>3433</v>
      </c>
      <c r="D982" s="16" t="s">
        <v>3434</v>
      </c>
      <c r="E982" s="16" t="s">
        <v>3427</v>
      </c>
      <c r="F982" s="16" t="s">
        <v>3428</v>
      </c>
      <c r="G982" s="16" t="s">
        <v>1261</v>
      </c>
      <c r="H982" s="16" t="s">
        <v>1262</v>
      </c>
      <c r="I982" s="16" t="s">
        <v>198</v>
      </c>
      <c r="J982" s="16" t="s">
        <v>199</v>
      </c>
      <c r="K982" s="16">
        <v>2.7626029999999999</v>
      </c>
      <c r="L982" s="36">
        <v>2073</v>
      </c>
      <c r="M982" s="16">
        <v>501</v>
      </c>
      <c r="N982" s="16">
        <v>496</v>
      </c>
      <c r="O982" s="16">
        <v>470</v>
      </c>
      <c r="P982" s="16">
        <v>492</v>
      </c>
      <c r="Q982" s="16">
        <v>114</v>
      </c>
      <c r="R982" s="16">
        <v>2</v>
      </c>
      <c r="S982" s="16">
        <v>15.3027</v>
      </c>
      <c r="T982" s="16">
        <v>0</v>
      </c>
      <c r="U982" s="16">
        <v>0.82275852400000005</v>
      </c>
      <c r="V982" s="16">
        <v>3</v>
      </c>
      <c r="W982" s="16">
        <v>0.91191800000000001</v>
      </c>
      <c r="X982" s="16">
        <v>0.15765000000000001</v>
      </c>
      <c r="Y982" s="16">
        <v>0.7</v>
      </c>
      <c r="Z982" s="16">
        <v>1</v>
      </c>
      <c r="AA982" s="37"/>
    </row>
    <row r="983" spans="1:27">
      <c r="A983" s="16" t="s">
        <v>78</v>
      </c>
      <c r="B983" s="16" t="s">
        <v>3435</v>
      </c>
      <c r="C983" s="16" t="s">
        <v>3436</v>
      </c>
      <c r="D983" s="16" t="s">
        <v>3437</v>
      </c>
      <c r="E983" s="16" t="s">
        <v>3438</v>
      </c>
      <c r="F983" s="16" t="s">
        <v>3439</v>
      </c>
      <c r="G983" s="16" t="s">
        <v>1261</v>
      </c>
      <c r="H983" s="16" t="s">
        <v>1262</v>
      </c>
      <c r="I983" s="16" t="s">
        <v>198</v>
      </c>
      <c r="J983" s="16" t="s">
        <v>199</v>
      </c>
      <c r="K983" s="16">
        <v>2.6510690000000001</v>
      </c>
      <c r="L983" s="36">
        <v>2317</v>
      </c>
      <c r="M983" s="16">
        <v>483</v>
      </c>
      <c r="N983" s="16">
        <v>485</v>
      </c>
      <c r="O983" s="16">
        <v>558</v>
      </c>
      <c r="P983" s="16">
        <v>607</v>
      </c>
      <c r="Q983" s="16">
        <v>184</v>
      </c>
      <c r="R983" s="16">
        <v>3</v>
      </c>
      <c r="S983" s="16">
        <v>19.177499999999998</v>
      </c>
      <c r="T983" s="16">
        <v>0</v>
      </c>
      <c r="U983" s="16">
        <v>0.94465427199999996</v>
      </c>
      <c r="V983" s="16">
        <v>2</v>
      </c>
      <c r="W983" s="16">
        <v>0.91084699999999996</v>
      </c>
      <c r="X983" s="16">
        <v>8.5123000000000004E-2</v>
      </c>
      <c r="Y983" s="16">
        <v>0.7</v>
      </c>
      <c r="Z983" s="16">
        <v>0.95866499999999999</v>
      </c>
      <c r="AA983" s="37"/>
    </row>
    <row r="984" spans="1:27">
      <c r="A984" s="16" t="s">
        <v>78</v>
      </c>
      <c r="B984" s="16" t="s">
        <v>3440</v>
      </c>
      <c r="C984" s="16" t="s">
        <v>3441</v>
      </c>
      <c r="D984" s="16" t="s">
        <v>3442</v>
      </c>
      <c r="E984" s="16" t="s">
        <v>3438</v>
      </c>
      <c r="F984" s="16" t="s">
        <v>3439</v>
      </c>
      <c r="G984" s="16" t="s">
        <v>1261</v>
      </c>
      <c r="H984" s="16" t="s">
        <v>1262</v>
      </c>
      <c r="I984" s="16" t="s">
        <v>198</v>
      </c>
      <c r="J984" s="16" t="s">
        <v>199</v>
      </c>
      <c r="K984" s="16">
        <v>2.7919399999999999</v>
      </c>
      <c r="L984" s="36">
        <v>1865</v>
      </c>
      <c r="M984" s="16">
        <v>358</v>
      </c>
      <c r="N984" s="16">
        <v>474</v>
      </c>
      <c r="O984" s="16">
        <v>439</v>
      </c>
      <c r="P984" s="16">
        <v>381</v>
      </c>
      <c r="Q984" s="16">
        <v>213</v>
      </c>
      <c r="R984" s="16">
        <v>4</v>
      </c>
      <c r="S984" s="16">
        <v>25.296600000000002</v>
      </c>
      <c r="T984" s="16">
        <v>13.6045</v>
      </c>
      <c r="U984" s="16">
        <v>0.91984300500000005</v>
      </c>
      <c r="V984" s="16">
        <v>2</v>
      </c>
      <c r="W984" s="16">
        <v>0.93552199999999996</v>
      </c>
      <c r="X984" s="16">
        <v>0.14985100000000001</v>
      </c>
      <c r="Y984" s="16">
        <v>0.7</v>
      </c>
      <c r="Z984" s="16">
        <v>1</v>
      </c>
      <c r="AA984" s="37"/>
    </row>
    <row r="985" spans="1:27">
      <c r="A985" s="16" t="s">
        <v>78</v>
      </c>
      <c r="B985" s="16" t="s">
        <v>3443</v>
      </c>
      <c r="C985" s="16" t="s">
        <v>3444</v>
      </c>
      <c r="D985" s="16" t="s">
        <v>3445</v>
      </c>
      <c r="E985" s="16" t="s">
        <v>3446</v>
      </c>
      <c r="F985" s="16" t="s">
        <v>3447</v>
      </c>
      <c r="G985" s="16" t="s">
        <v>1261</v>
      </c>
      <c r="H985" s="16" t="s">
        <v>1262</v>
      </c>
      <c r="I985" s="16" t="s">
        <v>198</v>
      </c>
      <c r="J985" s="16" t="s">
        <v>199</v>
      </c>
      <c r="K985" s="16">
        <v>2.7</v>
      </c>
      <c r="L985" s="36">
        <v>2100</v>
      </c>
      <c r="M985" s="16">
        <v>387</v>
      </c>
      <c r="N985" s="16">
        <v>422</v>
      </c>
      <c r="O985" s="16">
        <v>470</v>
      </c>
      <c r="P985" s="16">
        <v>521</v>
      </c>
      <c r="Q985" s="16">
        <v>300</v>
      </c>
      <c r="R985" s="16">
        <v>5</v>
      </c>
      <c r="S985" s="16">
        <v>48.025599999999997</v>
      </c>
      <c r="T985" s="16">
        <v>16.115300000000001</v>
      </c>
      <c r="U985" s="16">
        <v>1.0436009100000001</v>
      </c>
      <c r="V985" s="16">
        <v>2</v>
      </c>
      <c r="W985" s="16">
        <v>0.95517200000000002</v>
      </c>
      <c r="X985" s="16">
        <v>5.4787000000000002E-2</v>
      </c>
      <c r="Y985" s="16">
        <v>0.7</v>
      </c>
      <c r="Z985" s="16">
        <v>0.99441500000000005</v>
      </c>
      <c r="AA985" s="37"/>
    </row>
    <row r="986" spans="1:27">
      <c r="A986" s="16" t="s">
        <v>78</v>
      </c>
      <c r="B986" s="16" t="s">
        <v>3049</v>
      </c>
      <c r="C986" s="16" t="s">
        <v>3050</v>
      </c>
      <c r="D986" s="16" t="s">
        <v>3051</v>
      </c>
      <c r="E986" s="16" t="s">
        <v>3052</v>
      </c>
      <c r="F986" s="16" t="s">
        <v>3053</v>
      </c>
      <c r="G986" s="16" t="s">
        <v>2164</v>
      </c>
      <c r="H986" s="16" t="s">
        <v>2165</v>
      </c>
      <c r="I986" s="16" t="s">
        <v>198</v>
      </c>
      <c r="J986" s="16" t="s">
        <v>199</v>
      </c>
      <c r="K986" s="16">
        <v>2.578049</v>
      </c>
      <c r="L986" s="36">
        <v>1945</v>
      </c>
      <c r="M986" s="16">
        <v>408</v>
      </c>
      <c r="N986" s="16">
        <v>434</v>
      </c>
      <c r="O986" s="16">
        <v>506</v>
      </c>
      <c r="P986" s="16">
        <v>398</v>
      </c>
      <c r="Q986" s="16">
        <v>199</v>
      </c>
      <c r="R986" s="16">
        <v>2</v>
      </c>
      <c r="S986" s="16">
        <v>18.078299999999999</v>
      </c>
      <c r="T986" s="16">
        <v>1.80765</v>
      </c>
      <c r="U986" s="16">
        <v>1.0134807320000001</v>
      </c>
      <c r="V986" s="16">
        <v>2</v>
      </c>
      <c r="W986" s="16">
        <v>0.90365899999999999</v>
      </c>
      <c r="X986" s="16">
        <v>8.6144999999999999E-2</v>
      </c>
      <c r="Y986" s="16">
        <v>0.7</v>
      </c>
      <c r="Z986" s="16">
        <v>0.88658499999999996</v>
      </c>
      <c r="AA986" s="37"/>
    </row>
    <row r="987" spans="1:27">
      <c r="A987" s="16" t="s">
        <v>78</v>
      </c>
      <c r="B987" s="16" t="s">
        <v>3448</v>
      </c>
      <c r="C987" s="16" t="s">
        <v>3449</v>
      </c>
      <c r="D987" s="16" t="s">
        <v>3450</v>
      </c>
      <c r="E987" s="16" t="s">
        <v>3052</v>
      </c>
      <c r="F987" s="16" t="s">
        <v>3053</v>
      </c>
      <c r="G987" s="16" t="s">
        <v>2164</v>
      </c>
      <c r="H987" s="16" t="s">
        <v>2165</v>
      </c>
      <c r="I987" s="16" t="s">
        <v>198</v>
      </c>
      <c r="J987" s="16" t="s">
        <v>199</v>
      </c>
      <c r="K987" s="16">
        <v>2.7146669999999999</v>
      </c>
      <c r="L987" s="36">
        <v>1624</v>
      </c>
      <c r="M987" s="16">
        <v>321</v>
      </c>
      <c r="N987" s="16">
        <v>306</v>
      </c>
      <c r="O987" s="16">
        <v>457</v>
      </c>
      <c r="P987" s="16">
        <v>387</v>
      </c>
      <c r="Q987" s="16">
        <v>153</v>
      </c>
      <c r="R987" s="16">
        <v>2</v>
      </c>
      <c r="S987" s="16">
        <v>19.380299999999998</v>
      </c>
      <c r="T987" s="16">
        <v>2.3743599999999998</v>
      </c>
      <c r="U987" s="16">
        <v>0.87845374300000001</v>
      </c>
      <c r="V987" s="16">
        <v>3</v>
      </c>
      <c r="W987" s="16">
        <v>0.90826700000000005</v>
      </c>
      <c r="X987" s="16">
        <v>0.18981200000000001</v>
      </c>
      <c r="Y987" s="16">
        <v>0.7</v>
      </c>
      <c r="Z987" s="16">
        <v>0.93083099999999996</v>
      </c>
      <c r="AA987" s="37"/>
    </row>
    <row r="988" spans="1:27">
      <c r="A988" s="16"/>
      <c r="B988" s="16"/>
      <c r="C988" s="16"/>
      <c r="D988" s="16"/>
      <c r="E988" s="16"/>
      <c r="F988" s="16"/>
      <c r="G988" s="16"/>
      <c r="H988" s="16"/>
      <c r="I988" s="16"/>
      <c r="J988" s="16"/>
      <c r="K988" s="16">
        <f>MEDIAN(K974:K987)</f>
        <v>2.7238505000000002</v>
      </c>
      <c r="L988" s="36">
        <f>AVERAGE(L974:L987)</f>
        <v>2062.5714285714284</v>
      </c>
      <c r="M988" s="36">
        <f t="shared" ref="M988:Q988" si="79">SUM(M974:M987)</f>
        <v>5905</v>
      </c>
      <c r="N988" s="36">
        <f t="shared" si="79"/>
        <v>6352</v>
      </c>
      <c r="O988" s="36">
        <f t="shared" si="79"/>
        <v>7172</v>
      </c>
      <c r="P988" s="36">
        <f t="shared" si="79"/>
        <v>6816</v>
      </c>
      <c r="Q988" s="36">
        <f t="shared" si="79"/>
        <v>2631</v>
      </c>
      <c r="R988" s="16"/>
      <c r="S988" s="16"/>
      <c r="T988" s="16"/>
      <c r="U988" s="16"/>
      <c r="V988" s="16">
        <f>MEDIAN(V974:V987)</f>
        <v>2.5</v>
      </c>
      <c r="W988" s="16"/>
      <c r="X988" s="16"/>
      <c r="Y988" s="16"/>
      <c r="Z988" s="16"/>
      <c r="AA988" s="37"/>
    </row>
    <row r="989" spans="1:27">
      <c r="A989" s="16" t="s">
        <v>97</v>
      </c>
      <c r="B989" s="16" t="s">
        <v>3451</v>
      </c>
      <c r="C989" s="16" t="s">
        <v>3452</v>
      </c>
      <c r="D989" s="16" t="s">
        <v>3453</v>
      </c>
      <c r="E989" s="16" t="s">
        <v>3454</v>
      </c>
      <c r="F989" s="16" t="s">
        <v>3455</v>
      </c>
      <c r="G989" s="16" t="s">
        <v>1261</v>
      </c>
      <c r="H989" s="16" t="s">
        <v>1262</v>
      </c>
      <c r="I989" s="16" t="s">
        <v>198</v>
      </c>
      <c r="J989" s="16" t="s">
        <v>199</v>
      </c>
      <c r="K989" s="16">
        <v>2.809536</v>
      </c>
      <c r="L989" s="36">
        <v>1770</v>
      </c>
      <c r="M989" s="16">
        <v>427</v>
      </c>
      <c r="N989" s="16">
        <v>369</v>
      </c>
      <c r="O989" s="16">
        <v>492</v>
      </c>
      <c r="P989" s="16">
        <v>358</v>
      </c>
      <c r="Q989" s="16">
        <v>124</v>
      </c>
      <c r="R989" s="16">
        <v>4</v>
      </c>
      <c r="S989" s="16">
        <v>26.899799999999999</v>
      </c>
      <c r="T989" s="16">
        <v>11.630100000000001</v>
      </c>
      <c r="U989" s="16">
        <v>0.804472348</v>
      </c>
      <c r="V989" s="16">
        <v>4</v>
      </c>
      <c r="W989" s="16">
        <v>0.91469100000000003</v>
      </c>
      <c r="X989" s="16">
        <v>0.242455</v>
      </c>
      <c r="Y989" s="16">
        <v>0.7</v>
      </c>
      <c r="Z989" s="16">
        <v>0.94215899999999997</v>
      </c>
      <c r="AA989" s="37"/>
    </row>
    <row r="990" spans="1:27">
      <c r="A990" s="16" t="s">
        <v>97</v>
      </c>
      <c r="B990" s="16" t="s">
        <v>3456</v>
      </c>
      <c r="C990" s="16" t="s">
        <v>3457</v>
      </c>
      <c r="D990" s="16" t="s">
        <v>3458</v>
      </c>
      <c r="E990" s="16" t="s">
        <v>3459</v>
      </c>
      <c r="F990" s="16" t="s">
        <v>3460</v>
      </c>
      <c r="G990" s="16" t="s">
        <v>1261</v>
      </c>
      <c r="H990" s="16" t="s">
        <v>1262</v>
      </c>
      <c r="I990" s="16" t="s">
        <v>198</v>
      </c>
      <c r="J990" s="16" t="s">
        <v>199</v>
      </c>
      <c r="K990" s="16">
        <v>2.8554219999999999</v>
      </c>
      <c r="L990" s="36">
        <v>3854</v>
      </c>
      <c r="M990" s="16">
        <v>749</v>
      </c>
      <c r="N990" s="16">
        <v>727</v>
      </c>
      <c r="O990" s="36">
        <v>1449</v>
      </c>
      <c r="P990" s="16">
        <v>628</v>
      </c>
      <c r="Q990" s="16">
        <v>301</v>
      </c>
      <c r="R990" s="16">
        <v>4</v>
      </c>
      <c r="S990" s="16">
        <v>20.875</v>
      </c>
      <c r="T990" s="16">
        <v>10.195</v>
      </c>
      <c r="U990" s="16">
        <v>0.69575770800000003</v>
      </c>
      <c r="V990" s="16">
        <v>4</v>
      </c>
      <c r="W990" s="16">
        <v>0.91686699999999999</v>
      </c>
      <c r="X990" s="16">
        <v>0.238729</v>
      </c>
      <c r="Y990" s="16">
        <v>0.7</v>
      </c>
      <c r="Z990" s="16">
        <v>0.99954500000000002</v>
      </c>
      <c r="AA990" s="37"/>
    </row>
    <row r="991" spans="1:27">
      <c r="A991" s="16" t="s">
        <v>97</v>
      </c>
      <c r="B991" s="16" t="s">
        <v>3461</v>
      </c>
      <c r="C991" s="16" t="s">
        <v>3462</v>
      </c>
      <c r="D991" s="16" t="s">
        <v>3463</v>
      </c>
      <c r="E991" s="16" t="s">
        <v>3459</v>
      </c>
      <c r="F991" s="16" t="s">
        <v>3460</v>
      </c>
      <c r="G991" s="16" t="s">
        <v>1261</v>
      </c>
      <c r="H991" s="16" t="s">
        <v>1262</v>
      </c>
      <c r="I991" s="16" t="s">
        <v>198</v>
      </c>
      <c r="J991" s="16" t="s">
        <v>199</v>
      </c>
      <c r="K991" s="16">
        <v>2.7683430000000002</v>
      </c>
      <c r="L991" s="36">
        <v>1955</v>
      </c>
      <c r="M991" s="16">
        <v>411</v>
      </c>
      <c r="N991" s="16">
        <v>361</v>
      </c>
      <c r="O991" s="16">
        <v>524</v>
      </c>
      <c r="P991" s="16">
        <v>457</v>
      </c>
      <c r="Q991" s="16">
        <v>202</v>
      </c>
      <c r="R991" s="16">
        <v>3</v>
      </c>
      <c r="S991" s="16">
        <v>21.592600000000001</v>
      </c>
      <c r="T991" s="16">
        <v>12.190200000000001</v>
      </c>
      <c r="U991" s="16">
        <v>0.85791477599999999</v>
      </c>
      <c r="V991" s="16">
        <v>3</v>
      </c>
      <c r="W991" s="16">
        <v>0.91508900000000004</v>
      </c>
      <c r="X991" s="16">
        <v>0.156471</v>
      </c>
      <c r="Y991" s="16">
        <v>0.7</v>
      </c>
      <c r="Z991" s="16">
        <v>0.99676500000000001</v>
      </c>
      <c r="AA991" s="37"/>
    </row>
    <row r="992" spans="1:27">
      <c r="A992" s="16" t="s">
        <v>97</v>
      </c>
      <c r="B992" s="16" t="s">
        <v>3464</v>
      </c>
      <c r="C992" s="16" t="s">
        <v>3465</v>
      </c>
      <c r="D992" s="16" t="s">
        <v>3466</v>
      </c>
      <c r="E992" s="16" t="s">
        <v>3459</v>
      </c>
      <c r="F992" s="16" t="s">
        <v>3460</v>
      </c>
      <c r="G992" s="16" t="s">
        <v>1261</v>
      </c>
      <c r="H992" s="16" t="s">
        <v>1262</v>
      </c>
      <c r="I992" s="16" t="s">
        <v>198</v>
      </c>
      <c r="J992" s="16" t="s">
        <v>199</v>
      </c>
      <c r="K992" s="16">
        <v>2.9338669999999998</v>
      </c>
      <c r="L992" s="36">
        <v>2815</v>
      </c>
      <c r="M992" s="16">
        <v>530</v>
      </c>
      <c r="N992" s="16">
        <v>619</v>
      </c>
      <c r="O992" s="16">
        <v>948</v>
      </c>
      <c r="P992" s="16">
        <v>557</v>
      </c>
      <c r="Q992" s="16">
        <v>161</v>
      </c>
      <c r="R992" s="16">
        <v>3</v>
      </c>
      <c r="S992" s="16">
        <v>17.802800000000001</v>
      </c>
      <c r="T992" s="16">
        <v>6.7929399999999998</v>
      </c>
      <c r="U992" s="16">
        <v>0.71155568599999997</v>
      </c>
      <c r="V992" s="16">
        <v>4</v>
      </c>
      <c r="W992" s="16">
        <v>0.92720000000000002</v>
      </c>
      <c r="X992" s="16">
        <v>0.31034499999999998</v>
      </c>
      <c r="Y992" s="16">
        <v>0.7</v>
      </c>
      <c r="Z992" s="16">
        <v>1</v>
      </c>
      <c r="AA992" s="37"/>
    </row>
    <row r="993" spans="1:27">
      <c r="A993" s="16" t="s">
        <v>97</v>
      </c>
      <c r="B993" s="16" t="s">
        <v>3467</v>
      </c>
      <c r="C993" s="16" t="s">
        <v>3468</v>
      </c>
      <c r="D993" s="16" t="s">
        <v>3469</v>
      </c>
      <c r="E993" s="16" t="s">
        <v>3470</v>
      </c>
      <c r="F993" s="16" t="s">
        <v>3471</v>
      </c>
      <c r="G993" s="16" t="s">
        <v>1261</v>
      </c>
      <c r="H993" s="16" t="s">
        <v>1262</v>
      </c>
      <c r="I993" s="16" t="s">
        <v>198</v>
      </c>
      <c r="J993" s="16" t="s">
        <v>199</v>
      </c>
      <c r="K993" s="16">
        <v>2.5901489999999998</v>
      </c>
      <c r="L993" s="36">
        <v>2419</v>
      </c>
      <c r="M993" s="16">
        <v>310</v>
      </c>
      <c r="N993" s="16">
        <v>628</v>
      </c>
      <c r="O993" s="16">
        <v>975</v>
      </c>
      <c r="P993" s="16">
        <v>405</v>
      </c>
      <c r="Q993" s="16">
        <v>101</v>
      </c>
      <c r="R993" s="16">
        <v>4</v>
      </c>
      <c r="S993" s="16">
        <v>27.6357</v>
      </c>
      <c r="T993" s="16">
        <v>11.5068</v>
      </c>
      <c r="U993" s="16">
        <v>0.60491329100000002</v>
      </c>
      <c r="V993" s="16">
        <v>7</v>
      </c>
      <c r="W993" s="16">
        <v>0.92835800000000002</v>
      </c>
      <c r="X993" s="16">
        <v>5.9199999999999997E-4</v>
      </c>
      <c r="Y993" s="16">
        <v>0.7</v>
      </c>
      <c r="Z993" s="16">
        <v>0.960117</v>
      </c>
      <c r="AA993" s="37"/>
    </row>
    <row r="994" spans="1:27">
      <c r="A994" s="16" t="s">
        <v>97</v>
      </c>
      <c r="B994" s="16" t="s">
        <v>3472</v>
      </c>
      <c r="C994" s="16" t="s">
        <v>3473</v>
      </c>
      <c r="D994" s="16" t="s">
        <v>3474</v>
      </c>
      <c r="E994" s="16" t="s">
        <v>3454</v>
      </c>
      <c r="F994" s="16" t="s">
        <v>3455</v>
      </c>
      <c r="G994" s="16" t="s">
        <v>1261</v>
      </c>
      <c r="H994" s="16" t="s">
        <v>1262</v>
      </c>
      <c r="I994" s="16" t="s">
        <v>198</v>
      </c>
      <c r="J994" s="16" t="s">
        <v>199</v>
      </c>
      <c r="K994" s="16">
        <v>2.6761740000000001</v>
      </c>
      <c r="L994" s="36">
        <v>1527</v>
      </c>
      <c r="M994" s="16">
        <v>165</v>
      </c>
      <c r="N994" s="16">
        <v>309</v>
      </c>
      <c r="O994" s="16">
        <v>460</v>
      </c>
      <c r="P994" s="16">
        <v>418</v>
      </c>
      <c r="Q994" s="16">
        <v>175</v>
      </c>
      <c r="R994" s="16">
        <v>5</v>
      </c>
      <c r="S994" s="16">
        <v>27.153199999999998</v>
      </c>
      <c r="T994" s="16">
        <v>15.1348</v>
      </c>
      <c r="U994" s="16">
        <v>0.82835957299999996</v>
      </c>
      <c r="V994" s="16">
        <v>4</v>
      </c>
      <c r="W994" s="16">
        <v>0.92349000000000003</v>
      </c>
      <c r="X994" s="16">
        <v>0.122819</v>
      </c>
      <c r="Y994" s="16">
        <v>0.7</v>
      </c>
      <c r="Z994" s="16">
        <v>0.92567600000000005</v>
      </c>
      <c r="AA994" s="37"/>
    </row>
    <row r="995" spans="1:27">
      <c r="A995" s="16" t="s">
        <v>97</v>
      </c>
      <c r="B995" s="16" t="s">
        <v>3475</v>
      </c>
      <c r="C995" s="16" t="s">
        <v>3476</v>
      </c>
      <c r="D995" s="16" t="s">
        <v>3477</v>
      </c>
      <c r="E995" s="16" t="s">
        <v>3454</v>
      </c>
      <c r="F995" s="16" t="s">
        <v>3455</v>
      </c>
      <c r="G995" s="16" t="s">
        <v>1261</v>
      </c>
      <c r="H995" s="16" t="s">
        <v>1262</v>
      </c>
      <c r="I995" s="16" t="s">
        <v>198</v>
      </c>
      <c r="J995" s="16" t="s">
        <v>199</v>
      </c>
      <c r="K995" s="16">
        <v>2.792157</v>
      </c>
      <c r="L995" s="36">
        <v>2787</v>
      </c>
      <c r="M995" s="16">
        <v>496</v>
      </c>
      <c r="N995" s="16">
        <v>614</v>
      </c>
      <c r="O995" s="16">
        <v>940</v>
      </c>
      <c r="P995" s="16">
        <v>523</v>
      </c>
      <c r="Q995" s="16">
        <v>214</v>
      </c>
      <c r="R995" s="16" t="s">
        <v>302</v>
      </c>
      <c r="S995" s="16">
        <v>35.7684</v>
      </c>
      <c r="T995" s="16">
        <v>10.5884</v>
      </c>
      <c r="U995" s="16">
        <v>0.90593561600000005</v>
      </c>
      <c r="V995" s="16">
        <v>3</v>
      </c>
      <c r="W995" s="16">
        <v>0.93529399999999996</v>
      </c>
      <c r="X995" s="16">
        <v>0.20300399999999999</v>
      </c>
      <c r="Y995" s="16">
        <v>0.7</v>
      </c>
      <c r="Z995" s="16">
        <v>0.95909100000000003</v>
      </c>
      <c r="AA995" s="37"/>
    </row>
    <row r="996" spans="1:27">
      <c r="A996" s="16" t="s">
        <v>97</v>
      </c>
      <c r="B996" s="16" t="s">
        <v>3478</v>
      </c>
      <c r="C996" s="16" t="s">
        <v>3479</v>
      </c>
      <c r="D996" s="16" t="s">
        <v>3480</v>
      </c>
      <c r="E996" s="16" t="s">
        <v>3481</v>
      </c>
      <c r="F996" s="16" t="s">
        <v>3482</v>
      </c>
      <c r="G996" s="16" t="s">
        <v>1261</v>
      </c>
      <c r="H996" s="16" t="s">
        <v>1262</v>
      </c>
      <c r="I996" s="16" t="s">
        <v>198</v>
      </c>
      <c r="J996" s="16" t="s">
        <v>199</v>
      </c>
      <c r="K996" s="16">
        <v>2.7804350000000002</v>
      </c>
      <c r="L996" s="36">
        <v>1357</v>
      </c>
      <c r="M996" s="16">
        <v>73</v>
      </c>
      <c r="N996" s="16">
        <v>280</v>
      </c>
      <c r="O996" s="16">
        <v>540</v>
      </c>
      <c r="P996" s="16">
        <v>358</v>
      </c>
      <c r="Q996" s="16">
        <v>106</v>
      </c>
      <c r="R996" s="16">
        <v>3</v>
      </c>
      <c r="S996" s="16">
        <v>12.863899999999999</v>
      </c>
      <c r="T996" s="16">
        <v>9.7587399999999995</v>
      </c>
      <c r="U996" s="16">
        <v>0.45756082199999998</v>
      </c>
      <c r="V996" s="16">
        <v>8</v>
      </c>
      <c r="W996" s="16">
        <v>0.99058000000000002</v>
      </c>
      <c r="X996" s="16">
        <v>9.4285999999999995E-2</v>
      </c>
      <c r="Y996" s="16">
        <v>0.7</v>
      </c>
      <c r="Z996" s="16">
        <v>1</v>
      </c>
      <c r="AA996" s="37"/>
    </row>
    <row r="997" spans="1:27">
      <c r="A997" s="16" t="s">
        <v>97</v>
      </c>
      <c r="B997" s="16" t="s">
        <v>3483</v>
      </c>
      <c r="C997" s="16" t="s">
        <v>3484</v>
      </c>
      <c r="D997" s="16" t="s">
        <v>3485</v>
      </c>
      <c r="E997" s="16" t="s">
        <v>3481</v>
      </c>
      <c r="F997" s="16" t="s">
        <v>3482</v>
      </c>
      <c r="G997" s="16" t="s">
        <v>1261</v>
      </c>
      <c r="H997" s="16" t="s">
        <v>1262</v>
      </c>
      <c r="I997" s="16" t="s">
        <v>198</v>
      </c>
      <c r="J997" s="16" t="s">
        <v>199</v>
      </c>
      <c r="K997" s="16">
        <v>2.78</v>
      </c>
      <c r="L997" s="36">
        <v>1553</v>
      </c>
      <c r="M997" s="16">
        <v>70</v>
      </c>
      <c r="N997" s="16">
        <v>551</v>
      </c>
      <c r="O997" s="16">
        <v>638</v>
      </c>
      <c r="P997" s="16">
        <v>249</v>
      </c>
      <c r="Q997" s="16">
        <v>45</v>
      </c>
      <c r="R997" s="16" t="s">
        <v>302</v>
      </c>
      <c r="S997" s="16">
        <v>62.462499999999999</v>
      </c>
      <c r="T997" s="16">
        <v>11.5345</v>
      </c>
      <c r="U997" s="16">
        <v>0.444585595</v>
      </c>
      <c r="V997" s="16">
        <v>8</v>
      </c>
      <c r="W997" s="16">
        <v>1</v>
      </c>
      <c r="X997" s="16">
        <v>9.4656000000000004E-2</v>
      </c>
      <c r="Y997" s="16">
        <v>0.7</v>
      </c>
      <c r="Z997" s="16">
        <v>1</v>
      </c>
      <c r="AA997" s="37"/>
    </row>
    <row r="998" spans="1:27">
      <c r="A998" s="16" t="s">
        <v>97</v>
      </c>
      <c r="B998" s="16" t="s">
        <v>3486</v>
      </c>
      <c r="C998" s="16" t="s">
        <v>3487</v>
      </c>
      <c r="D998" s="16" t="s">
        <v>3488</v>
      </c>
      <c r="E998" s="16" t="s">
        <v>3481</v>
      </c>
      <c r="F998" s="16" t="s">
        <v>3482</v>
      </c>
      <c r="G998" s="16" t="s">
        <v>1261</v>
      </c>
      <c r="H998" s="16" t="s">
        <v>1262</v>
      </c>
      <c r="I998" s="16" t="s">
        <v>198</v>
      </c>
      <c r="J998" s="16" t="s">
        <v>199</v>
      </c>
      <c r="K998" s="16">
        <v>2.628889</v>
      </c>
      <c r="L998" s="36">
        <v>1520</v>
      </c>
      <c r="M998" s="16">
        <v>103</v>
      </c>
      <c r="N998" s="16">
        <v>318</v>
      </c>
      <c r="O998" s="16">
        <v>624</v>
      </c>
      <c r="P998" s="16">
        <v>375</v>
      </c>
      <c r="Q998" s="16">
        <v>100</v>
      </c>
      <c r="R998" s="16">
        <v>2</v>
      </c>
      <c r="S998" s="16">
        <v>10.739599999999999</v>
      </c>
      <c r="T998" s="16">
        <v>6.6926500000000004</v>
      </c>
      <c r="U998" s="16">
        <v>0.44746944599999999</v>
      </c>
      <c r="V998" s="16">
        <v>10</v>
      </c>
      <c r="W998" s="16">
        <v>0.92888899999999996</v>
      </c>
      <c r="X998" s="16">
        <v>0</v>
      </c>
      <c r="Y998" s="16">
        <v>0.7</v>
      </c>
      <c r="Z998" s="16">
        <v>1</v>
      </c>
      <c r="AA998" s="37"/>
    </row>
    <row r="999" spans="1:27">
      <c r="A999" s="16" t="s">
        <v>97</v>
      </c>
      <c r="B999" s="16" t="s">
        <v>3489</v>
      </c>
      <c r="C999" s="16" t="s">
        <v>3490</v>
      </c>
      <c r="D999" s="16" t="s">
        <v>3491</v>
      </c>
      <c r="E999" s="16" t="s">
        <v>3481</v>
      </c>
      <c r="F999" s="16" t="s">
        <v>3482</v>
      </c>
      <c r="G999" s="16" t="s">
        <v>1261</v>
      </c>
      <c r="H999" s="16" t="s">
        <v>1262</v>
      </c>
      <c r="I999" s="16" t="s">
        <v>198</v>
      </c>
      <c r="J999" s="16" t="s">
        <v>199</v>
      </c>
      <c r="K999" s="16">
        <v>2.8097219999999998</v>
      </c>
      <c r="L999" s="36">
        <v>1541</v>
      </c>
      <c r="M999" s="16">
        <v>110</v>
      </c>
      <c r="N999" s="16">
        <v>341</v>
      </c>
      <c r="O999" s="16">
        <v>618</v>
      </c>
      <c r="P999" s="16">
        <v>391</v>
      </c>
      <c r="Q999" s="16">
        <v>81</v>
      </c>
      <c r="R999" s="16" t="s">
        <v>302</v>
      </c>
      <c r="S999" s="16">
        <v>61.263500000000001</v>
      </c>
      <c r="T999" s="16">
        <v>12.230600000000001</v>
      </c>
      <c r="U999" s="16">
        <v>0.38341198100000001</v>
      </c>
      <c r="V999" s="16">
        <v>8</v>
      </c>
      <c r="W999" s="16">
        <v>1</v>
      </c>
      <c r="X999" s="16">
        <v>0.15068500000000001</v>
      </c>
      <c r="Y999" s="16">
        <v>0.7</v>
      </c>
      <c r="Z999" s="16">
        <v>1</v>
      </c>
      <c r="AA999" s="37"/>
    </row>
    <row r="1000" spans="1:27">
      <c r="A1000" s="16"/>
      <c r="B1000" s="16"/>
      <c r="C1000" s="16"/>
      <c r="D1000" s="16"/>
      <c r="E1000" s="16"/>
      <c r="F1000" s="16"/>
      <c r="G1000" s="16"/>
      <c r="H1000" s="16"/>
      <c r="I1000" s="16"/>
      <c r="J1000" s="16"/>
      <c r="K1000" s="16">
        <f>MEDIAN(K989:K999)</f>
        <v>2.7804350000000002</v>
      </c>
      <c r="L1000" s="36">
        <f>AVERAGE(L989:L999)</f>
        <v>2099.818181818182</v>
      </c>
      <c r="M1000" s="36">
        <f t="shared" ref="M1000:Q1000" si="80">SUM(M989:M999)</f>
        <v>3444</v>
      </c>
      <c r="N1000" s="36">
        <f t="shared" si="80"/>
        <v>5117</v>
      </c>
      <c r="O1000" s="36">
        <f t="shared" si="80"/>
        <v>8208</v>
      </c>
      <c r="P1000" s="36">
        <f t="shared" si="80"/>
        <v>4719</v>
      </c>
      <c r="Q1000" s="36">
        <f t="shared" si="80"/>
        <v>1610</v>
      </c>
      <c r="R1000" s="16"/>
      <c r="S1000" s="16"/>
      <c r="T1000" s="16"/>
      <c r="U1000" s="16"/>
      <c r="V1000" s="16">
        <f>MEDIAN(V989:V999)</f>
        <v>4</v>
      </c>
      <c r="W1000" s="16"/>
      <c r="X1000" s="16"/>
      <c r="Y1000" s="16"/>
      <c r="Z1000" s="16"/>
      <c r="AA1000" s="37"/>
    </row>
    <row r="1001" spans="1:27">
      <c r="A1001" s="16" t="s">
        <v>98</v>
      </c>
      <c r="B1001" s="16" t="s">
        <v>3492</v>
      </c>
      <c r="C1001" s="16" t="s">
        <v>3493</v>
      </c>
      <c r="D1001" s="16" t="s">
        <v>3494</v>
      </c>
      <c r="E1001" s="16" t="s">
        <v>3481</v>
      </c>
      <c r="F1001" s="16" t="s">
        <v>3482</v>
      </c>
      <c r="G1001" s="16" t="s">
        <v>1261</v>
      </c>
      <c r="H1001" s="16" t="s">
        <v>1262</v>
      </c>
      <c r="I1001" s="16" t="s">
        <v>198</v>
      </c>
      <c r="J1001" s="16" t="s">
        <v>199</v>
      </c>
      <c r="K1001" s="16">
        <v>2.8946239999999999</v>
      </c>
      <c r="L1001" s="36">
        <v>2438</v>
      </c>
      <c r="M1001" s="16">
        <v>510</v>
      </c>
      <c r="N1001" s="16">
        <v>627</v>
      </c>
      <c r="O1001" s="16">
        <v>831</v>
      </c>
      <c r="P1001" s="16">
        <v>380</v>
      </c>
      <c r="Q1001" s="16">
        <v>90</v>
      </c>
      <c r="R1001" s="16">
        <v>5</v>
      </c>
      <c r="S1001" s="16">
        <v>61.9694</v>
      </c>
      <c r="T1001" s="16">
        <v>10.280200000000001</v>
      </c>
      <c r="U1001" s="16">
        <v>0.68499240100000003</v>
      </c>
      <c r="V1001" s="16">
        <v>3</v>
      </c>
      <c r="W1001" s="16">
        <v>0.98602199999999995</v>
      </c>
      <c r="X1001" s="16">
        <v>0.221607</v>
      </c>
      <c r="Y1001" s="16">
        <v>0.7</v>
      </c>
      <c r="Z1001" s="16">
        <v>1</v>
      </c>
      <c r="AA1001" s="37"/>
    </row>
    <row r="1002" spans="1:27">
      <c r="A1002" s="16" t="s">
        <v>98</v>
      </c>
      <c r="B1002" s="16" t="s">
        <v>3495</v>
      </c>
      <c r="C1002" s="16" t="s">
        <v>3496</v>
      </c>
      <c r="D1002" s="16" t="s">
        <v>3497</v>
      </c>
      <c r="E1002" s="16" t="s">
        <v>3498</v>
      </c>
      <c r="F1002" s="16" t="s">
        <v>3499</v>
      </c>
      <c r="G1002" s="16" t="s">
        <v>1261</v>
      </c>
      <c r="H1002" s="16" t="s">
        <v>1262</v>
      </c>
      <c r="I1002" s="16" t="s">
        <v>198</v>
      </c>
      <c r="J1002" s="16" t="s">
        <v>199</v>
      </c>
      <c r="K1002" s="16">
        <v>2.8376030000000001</v>
      </c>
      <c r="L1002" s="36">
        <v>1925</v>
      </c>
      <c r="M1002" s="16">
        <v>267</v>
      </c>
      <c r="N1002" s="16">
        <v>412</v>
      </c>
      <c r="O1002" s="16">
        <v>548</v>
      </c>
      <c r="P1002" s="16">
        <v>441</v>
      </c>
      <c r="Q1002" s="16">
        <v>257</v>
      </c>
      <c r="R1002" s="16">
        <v>4</v>
      </c>
      <c r="S1002" s="16">
        <v>25.6295</v>
      </c>
      <c r="T1002" s="16">
        <v>8.9443900000000003</v>
      </c>
      <c r="U1002" s="16">
        <v>0.79312977900000003</v>
      </c>
      <c r="V1002" s="16">
        <v>3</v>
      </c>
      <c r="W1002" s="16">
        <v>0.96115700000000004</v>
      </c>
      <c r="X1002" s="16">
        <v>0.20041700000000001</v>
      </c>
      <c r="Y1002" s="16">
        <v>0.7</v>
      </c>
      <c r="Z1002" s="16">
        <v>1</v>
      </c>
      <c r="AA1002" s="37"/>
    </row>
    <row r="1003" spans="1:27">
      <c r="A1003" s="16" t="s">
        <v>98</v>
      </c>
      <c r="B1003" s="16" t="s">
        <v>3500</v>
      </c>
      <c r="C1003" s="16" t="s">
        <v>3501</v>
      </c>
      <c r="D1003" s="16" t="s">
        <v>3502</v>
      </c>
      <c r="E1003" s="16" t="s">
        <v>3498</v>
      </c>
      <c r="F1003" s="16" t="s">
        <v>3499</v>
      </c>
      <c r="G1003" s="16" t="s">
        <v>1261</v>
      </c>
      <c r="H1003" s="16" t="s">
        <v>1262</v>
      </c>
      <c r="I1003" s="16" t="s">
        <v>198</v>
      </c>
      <c r="J1003" s="16" t="s">
        <v>199</v>
      </c>
      <c r="K1003" s="16">
        <v>3.110922</v>
      </c>
      <c r="L1003" s="36">
        <v>2085</v>
      </c>
      <c r="M1003" s="16">
        <v>289</v>
      </c>
      <c r="N1003" s="16">
        <v>481</v>
      </c>
      <c r="O1003" s="16">
        <v>781</v>
      </c>
      <c r="P1003" s="16">
        <v>409</v>
      </c>
      <c r="Q1003" s="16">
        <v>125</v>
      </c>
      <c r="R1003" s="16">
        <v>4</v>
      </c>
      <c r="S1003" s="16">
        <v>25.529499999999999</v>
      </c>
      <c r="T1003" s="16">
        <v>14.289099999999999</v>
      </c>
      <c r="U1003" s="16">
        <v>0.41722357900000001</v>
      </c>
      <c r="V1003" s="16">
        <v>5</v>
      </c>
      <c r="W1003" s="16">
        <v>1</v>
      </c>
      <c r="X1003" s="16">
        <v>0.40745799999999999</v>
      </c>
      <c r="Y1003" s="16">
        <v>0.7</v>
      </c>
      <c r="Z1003" s="16">
        <v>1</v>
      </c>
      <c r="AA1003" s="37"/>
    </row>
    <row r="1004" spans="1:27">
      <c r="A1004" s="16" t="s">
        <v>98</v>
      </c>
      <c r="B1004" s="16" t="s">
        <v>3503</v>
      </c>
      <c r="C1004" s="16" t="s">
        <v>3504</v>
      </c>
      <c r="D1004" s="16" t="s">
        <v>3505</v>
      </c>
      <c r="E1004" s="16" t="s">
        <v>3481</v>
      </c>
      <c r="F1004" s="16" t="s">
        <v>3482</v>
      </c>
      <c r="G1004" s="16" t="s">
        <v>1261</v>
      </c>
      <c r="H1004" s="16" t="s">
        <v>1262</v>
      </c>
      <c r="I1004" s="16" t="s">
        <v>198</v>
      </c>
      <c r="J1004" s="16" t="s">
        <v>199</v>
      </c>
      <c r="K1004" s="16">
        <v>2.9956520000000002</v>
      </c>
      <c r="L1004" s="36">
        <v>1721</v>
      </c>
      <c r="M1004" s="16">
        <v>199</v>
      </c>
      <c r="N1004" s="16">
        <v>522</v>
      </c>
      <c r="O1004" s="16">
        <v>636</v>
      </c>
      <c r="P1004" s="16">
        <v>289</v>
      </c>
      <c r="Q1004" s="16">
        <v>75</v>
      </c>
      <c r="R1004" s="16" t="s">
        <v>668</v>
      </c>
      <c r="S1004" s="16">
        <v>72.412800000000004</v>
      </c>
      <c r="T1004" s="16">
        <v>8.7533399999999997</v>
      </c>
      <c r="U1004" s="16">
        <v>0.42839390999999999</v>
      </c>
      <c r="V1004" s="16">
        <v>7</v>
      </c>
      <c r="W1004" s="16">
        <v>1</v>
      </c>
      <c r="X1004" s="16">
        <v>0.28756799999999999</v>
      </c>
      <c r="Y1004" s="16">
        <v>0.7</v>
      </c>
      <c r="Z1004" s="16">
        <v>1</v>
      </c>
      <c r="AA1004" s="37"/>
    </row>
    <row r="1005" spans="1:27">
      <c r="A1005" s="16"/>
      <c r="B1005" s="16"/>
      <c r="C1005" s="16"/>
      <c r="D1005" s="16"/>
      <c r="E1005" s="16"/>
      <c r="F1005" s="16"/>
      <c r="G1005" s="16"/>
      <c r="H1005" s="16"/>
      <c r="I1005" s="16"/>
      <c r="J1005" s="16"/>
      <c r="K1005" s="16">
        <f>MEDIAN(K1001:K1004)</f>
        <v>2.945138</v>
      </c>
      <c r="L1005" s="36">
        <f>AVERAGE(L1001:L1004)</f>
        <v>2042.25</v>
      </c>
      <c r="M1005" s="36">
        <f t="shared" ref="M1005:Q1005" si="81">SUM(M1001:M1004)</f>
        <v>1265</v>
      </c>
      <c r="N1005" s="36">
        <f t="shared" si="81"/>
        <v>2042</v>
      </c>
      <c r="O1005" s="36">
        <f t="shared" si="81"/>
        <v>2796</v>
      </c>
      <c r="P1005" s="36">
        <f t="shared" si="81"/>
        <v>1519</v>
      </c>
      <c r="Q1005" s="36">
        <f t="shared" si="81"/>
        <v>547</v>
      </c>
      <c r="R1005" s="16"/>
      <c r="S1005" s="16"/>
      <c r="T1005" s="16"/>
      <c r="U1005" s="16"/>
      <c r="V1005" s="16">
        <f>MEDIAN(V1001:V1004)</f>
        <v>4</v>
      </c>
      <c r="W1005" s="16"/>
      <c r="X1005" s="16"/>
      <c r="Y1005" s="16"/>
      <c r="Z1005" s="16"/>
      <c r="AA1005" s="37"/>
    </row>
    <row r="1006" spans="1:27">
      <c r="A1006" s="16" t="s">
        <v>99</v>
      </c>
      <c r="B1006" s="16" t="s">
        <v>1239</v>
      </c>
      <c r="C1006" s="16" t="s">
        <v>1240</v>
      </c>
      <c r="D1006" s="16" t="s">
        <v>1241</v>
      </c>
      <c r="E1006" s="16" t="s">
        <v>1242</v>
      </c>
      <c r="F1006" s="16" t="s">
        <v>1243</v>
      </c>
      <c r="G1006" s="16" t="s">
        <v>1232</v>
      </c>
      <c r="H1006" s="16" t="s">
        <v>1233</v>
      </c>
      <c r="I1006" s="16" t="s">
        <v>198</v>
      </c>
      <c r="J1006" s="16" t="s">
        <v>199</v>
      </c>
      <c r="K1006" s="16">
        <v>3.0814699999999999</v>
      </c>
      <c r="L1006" s="36">
        <v>2739</v>
      </c>
      <c r="M1006" s="16">
        <v>130</v>
      </c>
      <c r="N1006" s="36">
        <v>1566</v>
      </c>
      <c r="O1006" s="16">
        <v>636</v>
      </c>
      <c r="P1006" s="16">
        <v>297</v>
      </c>
      <c r="Q1006" s="16">
        <v>110</v>
      </c>
      <c r="R1006" s="16" t="s">
        <v>668</v>
      </c>
      <c r="S1006" s="16">
        <v>117.336</v>
      </c>
      <c r="T1006" s="16">
        <v>10.7951</v>
      </c>
      <c r="U1006" s="16">
        <v>0.38083277900000001</v>
      </c>
      <c r="V1006" s="16">
        <v>7</v>
      </c>
      <c r="W1006" s="16">
        <v>1</v>
      </c>
      <c r="X1006" s="16">
        <v>0.38303399999999999</v>
      </c>
      <c r="Y1006" s="16">
        <v>0.7</v>
      </c>
      <c r="Z1006" s="16">
        <v>1</v>
      </c>
      <c r="AA1006" s="37"/>
    </row>
    <row r="1007" spans="1:27">
      <c r="A1007" s="16" t="s">
        <v>99</v>
      </c>
      <c r="B1007" s="16" t="s">
        <v>1250</v>
      </c>
      <c r="C1007" s="16" t="s">
        <v>1251</v>
      </c>
      <c r="D1007" s="16" t="s">
        <v>1252</v>
      </c>
      <c r="E1007" s="16" t="s">
        <v>1242</v>
      </c>
      <c r="F1007" s="16" t="s">
        <v>1243</v>
      </c>
      <c r="G1007" s="16" t="s">
        <v>1232</v>
      </c>
      <c r="H1007" s="16" t="s">
        <v>1233</v>
      </c>
      <c r="I1007" s="16" t="s">
        <v>198</v>
      </c>
      <c r="J1007" s="16" t="s">
        <v>199</v>
      </c>
      <c r="K1007" s="16">
        <v>3.0790150000000001</v>
      </c>
      <c r="L1007" s="36">
        <v>2843</v>
      </c>
      <c r="M1007" s="16">
        <v>109</v>
      </c>
      <c r="N1007" s="36">
        <v>1992</v>
      </c>
      <c r="O1007" s="16">
        <v>307</v>
      </c>
      <c r="P1007" s="16">
        <v>294</v>
      </c>
      <c r="Q1007" s="16">
        <v>141</v>
      </c>
      <c r="R1007" s="16" t="s">
        <v>668</v>
      </c>
      <c r="S1007" s="16">
        <v>128.92599999999999</v>
      </c>
      <c r="T1007" s="16">
        <v>84.484399999999994</v>
      </c>
      <c r="U1007" s="16">
        <v>0.443867132</v>
      </c>
      <c r="V1007" s="16">
        <v>7</v>
      </c>
      <c r="W1007" s="16">
        <v>1</v>
      </c>
      <c r="X1007" s="16">
        <v>0.38936199999999999</v>
      </c>
      <c r="Y1007" s="16">
        <v>0.7</v>
      </c>
      <c r="Z1007" s="16">
        <v>1</v>
      </c>
      <c r="AA1007" s="37"/>
    </row>
    <row r="1008" spans="1:27">
      <c r="A1008" s="16" t="s">
        <v>99</v>
      </c>
      <c r="B1008" s="16" t="s">
        <v>1253</v>
      </c>
      <c r="C1008" s="16" t="s">
        <v>1254</v>
      </c>
      <c r="D1008" s="16" t="s">
        <v>1255</v>
      </c>
      <c r="E1008" s="16" t="s">
        <v>1242</v>
      </c>
      <c r="F1008" s="16" t="s">
        <v>1243</v>
      </c>
      <c r="G1008" s="16" t="s">
        <v>1232</v>
      </c>
      <c r="H1008" s="16" t="s">
        <v>1233</v>
      </c>
      <c r="I1008" s="16" t="s">
        <v>198</v>
      </c>
      <c r="J1008" s="16" t="s">
        <v>199</v>
      </c>
      <c r="K1008" s="16">
        <v>2.8471199999999999</v>
      </c>
      <c r="L1008" s="36">
        <v>2029</v>
      </c>
      <c r="M1008" s="16">
        <v>201</v>
      </c>
      <c r="N1008" s="16">
        <v>709</v>
      </c>
      <c r="O1008" s="16">
        <v>449</v>
      </c>
      <c r="P1008" s="16">
        <v>426</v>
      </c>
      <c r="Q1008" s="16">
        <v>244</v>
      </c>
      <c r="R1008" s="16" t="s">
        <v>668</v>
      </c>
      <c r="S1008" s="16">
        <v>123.193</v>
      </c>
      <c r="T1008" s="16">
        <v>96.225700000000003</v>
      </c>
      <c r="U1008" s="16">
        <v>0.73887804599999996</v>
      </c>
      <c r="V1008" s="16">
        <v>4</v>
      </c>
      <c r="W1008" s="16">
        <v>1</v>
      </c>
      <c r="X1008" s="16">
        <v>0.16562499999999999</v>
      </c>
      <c r="Y1008" s="16">
        <v>0.7</v>
      </c>
      <c r="Z1008" s="16">
        <v>1</v>
      </c>
      <c r="AA1008" s="37"/>
    </row>
    <row r="1009" spans="1:27">
      <c r="A1009" s="16" t="s">
        <v>99</v>
      </c>
      <c r="B1009" s="16" t="s">
        <v>3506</v>
      </c>
      <c r="C1009" s="16" t="s">
        <v>3507</v>
      </c>
      <c r="D1009" s="16" t="s">
        <v>3508</v>
      </c>
      <c r="E1009" s="16" t="s">
        <v>3481</v>
      </c>
      <c r="F1009" s="16" t="s">
        <v>3482</v>
      </c>
      <c r="G1009" s="16" t="s">
        <v>1261</v>
      </c>
      <c r="H1009" s="16" t="s">
        <v>1262</v>
      </c>
      <c r="I1009" s="16" t="s">
        <v>198</v>
      </c>
      <c r="J1009" s="16" t="s">
        <v>199</v>
      </c>
      <c r="K1009" s="16">
        <v>3.0614490000000001</v>
      </c>
      <c r="L1009" s="36">
        <v>2750</v>
      </c>
      <c r="M1009" s="16">
        <v>419</v>
      </c>
      <c r="N1009" s="16">
        <v>757</v>
      </c>
      <c r="O1009" s="16">
        <v>917</v>
      </c>
      <c r="P1009" s="16">
        <v>551</v>
      </c>
      <c r="Q1009" s="16">
        <v>106</v>
      </c>
      <c r="R1009" s="16" t="s">
        <v>668</v>
      </c>
      <c r="S1009" s="16">
        <v>135.66900000000001</v>
      </c>
      <c r="T1009" s="16">
        <v>13.2073</v>
      </c>
      <c r="U1009" s="16">
        <v>0.525264709</v>
      </c>
      <c r="V1009" s="16">
        <v>5</v>
      </c>
      <c r="W1009" s="16">
        <v>0.997664</v>
      </c>
      <c r="X1009" s="16">
        <v>0.36361500000000002</v>
      </c>
      <c r="Y1009" s="16">
        <v>0.7</v>
      </c>
      <c r="Z1009" s="16">
        <v>1</v>
      </c>
      <c r="AA1009" s="37"/>
    </row>
    <row r="1010" spans="1:27">
      <c r="A1010" s="16" t="s">
        <v>99</v>
      </c>
      <c r="B1010" s="16" t="s">
        <v>3509</v>
      </c>
      <c r="C1010" s="16" t="s">
        <v>3510</v>
      </c>
      <c r="D1010" s="16" t="s">
        <v>3511</v>
      </c>
      <c r="E1010" s="16" t="s">
        <v>3498</v>
      </c>
      <c r="F1010" s="16" t="s">
        <v>3499</v>
      </c>
      <c r="G1010" s="16" t="s">
        <v>1261</v>
      </c>
      <c r="H1010" s="16" t="s">
        <v>1262</v>
      </c>
      <c r="I1010" s="16" t="s">
        <v>198</v>
      </c>
      <c r="J1010" s="16" t="s">
        <v>199</v>
      </c>
      <c r="K1010" s="16">
        <v>2.9414289999999998</v>
      </c>
      <c r="L1010" s="36">
        <v>2333</v>
      </c>
      <c r="M1010" s="16">
        <v>224</v>
      </c>
      <c r="N1010" s="36">
        <v>1131</v>
      </c>
      <c r="O1010" s="16">
        <v>456</v>
      </c>
      <c r="P1010" s="16">
        <v>368</v>
      </c>
      <c r="Q1010" s="16">
        <v>154</v>
      </c>
      <c r="R1010" s="16" t="s">
        <v>668</v>
      </c>
      <c r="S1010" s="16">
        <v>124.785</v>
      </c>
      <c r="T1010" s="16">
        <v>58.439900000000002</v>
      </c>
      <c r="U1010" s="16">
        <v>0.68613608500000001</v>
      </c>
      <c r="V1010" s="16">
        <v>4</v>
      </c>
      <c r="W1010" s="16">
        <v>1</v>
      </c>
      <c r="X1010" s="16">
        <v>0.25</v>
      </c>
      <c r="Y1010" s="16">
        <v>0.7</v>
      </c>
      <c r="Z1010" s="16">
        <v>1</v>
      </c>
      <c r="AA1010" s="37"/>
    </row>
    <row r="1011" spans="1:27">
      <c r="A1011" s="16" t="s">
        <v>99</v>
      </c>
      <c r="B1011" s="16" t="s">
        <v>3512</v>
      </c>
      <c r="C1011" s="16" t="s">
        <v>3513</v>
      </c>
      <c r="D1011" s="16" t="s">
        <v>3514</v>
      </c>
      <c r="E1011" s="16" t="s">
        <v>1259</v>
      </c>
      <c r="F1011" s="16" t="s">
        <v>1260</v>
      </c>
      <c r="G1011" s="16" t="s">
        <v>1261</v>
      </c>
      <c r="H1011" s="16" t="s">
        <v>1262</v>
      </c>
      <c r="I1011" s="16" t="s">
        <v>198</v>
      </c>
      <c r="J1011" s="16" t="s">
        <v>199</v>
      </c>
      <c r="K1011" s="16">
        <v>2.9786069999999998</v>
      </c>
      <c r="L1011" s="36">
        <v>3566</v>
      </c>
      <c r="M1011" s="16">
        <v>260</v>
      </c>
      <c r="N1011" s="36">
        <v>1792</v>
      </c>
      <c r="O1011" s="16">
        <v>888</v>
      </c>
      <c r="P1011" s="16">
        <v>485</v>
      </c>
      <c r="Q1011" s="16">
        <v>141</v>
      </c>
      <c r="R1011" s="16" t="s">
        <v>668</v>
      </c>
      <c r="S1011" s="16">
        <v>105.218</v>
      </c>
      <c r="T1011" s="16">
        <v>34.616399999999999</v>
      </c>
      <c r="U1011" s="16">
        <v>0.54133283499999996</v>
      </c>
      <c r="V1011" s="16">
        <v>6</v>
      </c>
      <c r="W1011" s="16">
        <v>1</v>
      </c>
      <c r="X1011" s="16">
        <v>0.27546199999999998</v>
      </c>
      <c r="Y1011" s="16">
        <v>0.7</v>
      </c>
      <c r="Z1011" s="16">
        <v>1</v>
      </c>
      <c r="AA1011" s="37"/>
    </row>
    <row r="1012" spans="1:27">
      <c r="A1012" s="16" t="s">
        <v>99</v>
      </c>
      <c r="B1012" s="16" t="s">
        <v>3515</v>
      </c>
      <c r="C1012" s="16" t="s">
        <v>3516</v>
      </c>
      <c r="D1012" s="16" t="s">
        <v>3517</v>
      </c>
      <c r="E1012" s="16" t="s">
        <v>1259</v>
      </c>
      <c r="F1012" s="16" t="s">
        <v>1260</v>
      </c>
      <c r="G1012" s="16" t="s">
        <v>1261</v>
      </c>
      <c r="H1012" s="16" t="s">
        <v>1262</v>
      </c>
      <c r="I1012" s="16" t="s">
        <v>198</v>
      </c>
      <c r="J1012" s="16" t="s">
        <v>199</v>
      </c>
      <c r="K1012" s="16">
        <v>3.023876</v>
      </c>
      <c r="L1012" s="36">
        <v>2463</v>
      </c>
      <c r="M1012" s="16">
        <v>263</v>
      </c>
      <c r="N1012" s="16">
        <v>587</v>
      </c>
      <c r="O1012" s="16">
        <v>888</v>
      </c>
      <c r="P1012" s="16">
        <v>567</v>
      </c>
      <c r="Q1012" s="16">
        <v>158</v>
      </c>
      <c r="R1012" s="16" t="s">
        <v>668</v>
      </c>
      <c r="S1012" s="16">
        <v>130.83000000000001</v>
      </c>
      <c r="T1012" s="16">
        <v>68.0227</v>
      </c>
      <c r="U1012" s="16">
        <v>0.51996193199999996</v>
      </c>
      <c r="V1012" s="16">
        <v>4</v>
      </c>
      <c r="W1012" s="16">
        <v>1</v>
      </c>
      <c r="X1012" s="16">
        <v>0.31602799999999998</v>
      </c>
      <c r="Y1012" s="16">
        <v>0.7</v>
      </c>
      <c r="Z1012" s="16">
        <v>1</v>
      </c>
      <c r="AA1012" s="37"/>
    </row>
    <row r="1013" spans="1:27">
      <c r="A1013" s="16" t="s">
        <v>99</v>
      </c>
      <c r="B1013" s="16" t="s">
        <v>1256</v>
      </c>
      <c r="C1013" s="16" t="s">
        <v>1257</v>
      </c>
      <c r="D1013" s="16" t="s">
        <v>1258</v>
      </c>
      <c r="E1013" s="16" t="s">
        <v>1259</v>
      </c>
      <c r="F1013" s="16" t="s">
        <v>1260</v>
      </c>
      <c r="G1013" s="16" t="s">
        <v>1261</v>
      </c>
      <c r="H1013" s="16" t="s">
        <v>1262</v>
      </c>
      <c r="I1013" s="16" t="s">
        <v>198</v>
      </c>
      <c r="J1013" s="16" t="s">
        <v>199</v>
      </c>
      <c r="K1013" s="16">
        <v>2.9761470000000001</v>
      </c>
      <c r="L1013" s="36">
        <v>2163</v>
      </c>
      <c r="M1013" s="16">
        <v>171</v>
      </c>
      <c r="N1013" s="16">
        <v>707</v>
      </c>
      <c r="O1013" s="16">
        <v>565</v>
      </c>
      <c r="P1013" s="16">
        <v>472</v>
      </c>
      <c r="Q1013" s="16">
        <v>248</v>
      </c>
      <c r="R1013" s="16" t="s">
        <v>668</v>
      </c>
      <c r="S1013" s="16">
        <v>113.505</v>
      </c>
      <c r="T1013" s="16">
        <v>19.251200000000001</v>
      </c>
      <c r="U1013" s="16">
        <v>0.52373289300000003</v>
      </c>
      <c r="V1013" s="16">
        <v>5</v>
      </c>
      <c r="W1013" s="16">
        <v>1</v>
      </c>
      <c r="X1013" s="16">
        <v>0.280061</v>
      </c>
      <c r="Y1013" s="16">
        <v>0.7</v>
      </c>
      <c r="Z1013" s="16">
        <v>1</v>
      </c>
      <c r="AA1013" s="37"/>
    </row>
    <row r="1014" spans="1:27">
      <c r="A1014" s="16" t="s">
        <v>99</v>
      </c>
      <c r="B1014" s="16" t="s">
        <v>3518</v>
      </c>
      <c r="C1014" s="16" t="s">
        <v>3519</v>
      </c>
      <c r="D1014" s="16" t="s">
        <v>3520</v>
      </c>
      <c r="E1014" s="16" t="s">
        <v>1259</v>
      </c>
      <c r="F1014" s="16" t="s">
        <v>1260</v>
      </c>
      <c r="G1014" s="16" t="s">
        <v>1261</v>
      </c>
      <c r="H1014" s="16" t="s">
        <v>1262</v>
      </c>
      <c r="I1014" s="16" t="s">
        <v>198</v>
      </c>
      <c r="J1014" s="16" t="s">
        <v>199</v>
      </c>
      <c r="K1014" s="16">
        <v>2.8744679999999998</v>
      </c>
      <c r="L1014" s="36">
        <v>1294</v>
      </c>
      <c r="M1014" s="16">
        <v>153</v>
      </c>
      <c r="N1014" s="16">
        <v>544</v>
      </c>
      <c r="O1014" s="16">
        <v>264</v>
      </c>
      <c r="P1014" s="16">
        <v>244</v>
      </c>
      <c r="Q1014" s="16">
        <v>89</v>
      </c>
      <c r="R1014" s="16" t="s">
        <v>668</v>
      </c>
      <c r="S1014" s="16">
        <v>98.8904</v>
      </c>
      <c r="T1014" s="16">
        <v>27.454799999999999</v>
      </c>
      <c r="U1014" s="16">
        <v>0.56729278999999999</v>
      </c>
      <c r="V1014" s="16">
        <v>5</v>
      </c>
      <c r="W1014" s="16">
        <v>1</v>
      </c>
      <c r="X1014" s="16">
        <v>0.174458</v>
      </c>
      <c r="Y1014" s="16">
        <v>0.7</v>
      </c>
      <c r="Z1014" s="16">
        <v>1</v>
      </c>
      <c r="AA1014" s="37"/>
    </row>
    <row r="1015" spans="1:27">
      <c r="A1015" s="16" t="s">
        <v>99</v>
      </c>
      <c r="B1015" s="16" t="s">
        <v>3521</v>
      </c>
      <c r="C1015" s="16" t="s">
        <v>3522</v>
      </c>
      <c r="D1015" s="16" t="s">
        <v>3523</v>
      </c>
      <c r="E1015" s="16" t="s">
        <v>3524</v>
      </c>
      <c r="F1015" s="16" t="s">
        <v>3525</v>
      </c>
      <c r="G1015" s="16" t="s">
        <v>1261</v>
      </c>
      <c r="H1015" s="16" t="s">
        <v>1262</v>
      </c>
      <c r="I1015" s="16" t="s">
        <v>198</v>
      </c>
      <c r="J1015" s="16" t="s">
        <v>199</v>
      </c>
      <c r="K1015" s="16">
        <v>2.8265310000000001</v>
      </c>
      <c r="L1015" s="36">
        <v>3291</v>
      </c>
      <c r="M1015" s="16">
        <v>196</v>
      </c>
      <c r="N1015" s="36">
        <v>2325</v>
      </c>
      <c r="O1015" s="16">
        <v>514</v>
      </c>
      <c r="P1015" s="16">
        <v>171</v>
      </c>
      <c r="Q1015" s="16">
        <v>85</v>
      </c>
      <c r="R1015" s="16" t="s">
        <v>668</v>
      </c>
      <c r="S1015" s="16">
        <v>83.170500000000004</v>
      </c>
      <c r="T1015" s="16">
        <v>17.024699999999999</v>
      </c>
      <c r="U1015" s="16">
        <v>0.49439195600000002</v>
      </c>
      <c r="V1015" s="16">
        <v>6</v>
      </c>
      <c r="W1015" s="16">
        <v>1</v>
      </c>
      <c r="X1015" s="16">
        <v>0.122184</v>
      </c>
      <c r="Y1015" s="16">
        <v>0.7</v>
      </c>
      <c r="Z1015" s="16">
        <v>1</v>
      </c>
      <c r="AA1015" s="37"/>
    </row>
    <row r="1016" spans="1:27">
      <c r="A1016" s="16" t="s">
        <v>99</v>
      </c>
      <c r="B1016" s="16" t="s">
        <v>3526</v>
      </c>
      <c r="C1016" s="16" t="s">
        <v>3527</v>
      </c>
      <c r="D1016" s="16" t="s">
        <v>3528</v>
      </c>
      <c r="E1016" s="16" t="s">
        <v>3498</v>
      </c>
      <c r="F1016" s="16" t="s">
        <v>3499</v>
      </c>
      <c r="G1016" s="16" t="s">
        <v>1261</v>
      </c>
      <c r="H1016" s="16" t="s">
        <v>1262</v>
      </c>
      <c r="I1016" s="16" t="s">
        <v>198</v>
      </c>
      <c r="J1016" s="16" t="s">
        <v>199</v>
      </c>
      <c r="K1016" s="16">
        <v>2.8330540000000002</v>
      </c>
      <c r="L1016" s="36">
        <v>1588</v>
      </c>
      <c r="M1016" s="16">
        <v>317</v>
      </c>
      <c r="N1016" s="16">
        <v>405</v>
      </c>
      <c r="O1016" s="16">
        <v>411</v>
      </c>
      <c r="P1016" s="16">
        <v>348</v>
      </c>
      <c r="Q1016" s="16">
        <v>107</v>
      </c>
      <c r="R1016" s="16" t="s">
        <v>668</v>
      </c>
      <c r="S1016" s="16">
        <v>75.046000000000006</v>
      </c>
      <c r="T1016" s="16">
        <v>57.709699999999998</v>
      </c>
      <c r="U1016" s="16">
        <v>0.735236789</v>
      </c>
      <c r="V1016" s="16">
        <v>3</v>
      </c>
      <c r="W1016" s="16">
        <v>1</v>
      </c>
      <c r="X1016" s="16">
        <v>0.142041</v>
      </c>
      <c r="Y1016" s="16">
        <v>0.7</v>
      </c>
      <c r="Z1016" s="16">
        <v>1</v>
      </c>
      <c r="AA1016" s="37"/>
    </row>
    <row r="1017" spans="1:27">
      <c r="A1017" s="16" t="s">
        <v>99</v>
      </c>
      <c r="B1017" s="16" t="s">
        <v>3529</v>
      </c>
      <c r="C1017" s="16" t="s">
        <v>3530</v>
      </c>
      <c r="D1017" s="16" t="s">
        <v>3531</v>
      </c>
      <c r="E1017" s="16" t="s">
        <v>1259</v>
      </c>
      <c r="F1017" s="16" t="s">
        <v>1260</v>
      </c>
      <c r="G1017" s="16" t="s">
        <v>1261</v>
      </c>
      <c r="H1017" s="16" t="s">
        <v>1262</v>
      </c>
      <c r="I1017" s="16" t="s">
        <v>198</v>
      </c>
      <c r="J1017" s="16" t="s">
        <v>199</v>
      </c>
      <c r="K1017" s="16">
        <v>2.9269810000000001</v>
      </c>
      <c r="L1017" s="36">
        <v>1968</v>
      </c>
      <c r="M1017" s="16">
        <v>234</v>
      </c>
      <c r="N1017" s="16">
        <v>742</v>
      </c>
      <c r="O1017" s="16">
        <v>626</v>
      </c>
      <c r="P1017" s="16">
        <v>277</v>
      </c>
      <c r="Q1017" s="16">
        <v>89</v>
      </c>
      <c r="R1017" s="16" t="s">
        <v>668</v>
      </c>
      <c r="S1017" s="16">
        <v>104.242</v>
      </c>
      <c r="T1017" s="16">
        <v>73.8279</v>
      </c>
      <c r="U1017" s="16">
        <v>0.52977360399999995</v>
      </c>
      <c r="V1017" s="16">
        <v>5</v>
      </c>
      <c r="W1017" s="16">
        <v>1</v>
      </c>
      <c r="X1017" s="16">
        <v>0.25948300000000002</v>
      </c>
      <c r="Y1017" s="16">
        <v>0.7</v>
      </c>
      <c r="Z1017" s="16">
        <v>1</v>
      </c>
      <c r="AA1017" s="37"/>
    </row>
    <row r="1018" spans="1:27">
      <c r="A1018" s="16" t="s">
        <v>99</v>
      </c>
      <c r="B1018" s="16" t="s">
        <v>3532</v>
      </c>
      <c r="C1018" s="16" t="s">
        <v>3533</v>
      </c>
      <c r="D1018" s="16" t="s">
        <v>3534</v>
      </c>
      <c r="E1018" s="16" t="s">
        <v>3498</v>
      </c>
      <c r="F1018" s="16" t="s">
        <v>3499</v>
      </c>
      <c r="G1018" s="16" t="s">
        <v>1261</v>
      </c>
      <c r="H1018" s="16" t="s">
        <v>1262</v>
      </c>
      <c r="I1018" s="16" t="s">
        <v>198</v>
      </c>
      <c r="J1018" s="16" t="s">
        <v>199</v>
      </c>
      <c r="K1018" s="16">
        <v>2.7758620000000001</v>
      </c>
      <c r="L1018" s="36">
        <v>1376</v>
      </c>
      <c r="M1018" s="16">
        <v>275</v>
      </c>
      <c r="N1018" s="16">
        <v>343</v>
      </c>
      <c r="O1018" s="16">
        <v>275</v>
      </c>
      <c r="P1018" s="16">
        <v>359</v>
      </c>
      <c r="Q1018" s="16">
        <v>124</v>
      </c>
      <c r="R1018" s="16" t="s">
        <v>302</v>
      </c>
      <c r="S1018" s="16">
        <v>58.414700000000003</v>
      </c>
      <c r="T1018" s="16">
        <v>19.487100000000002</v>
      </c>
      <c r="U1018" s="16">
        <v>0.822708035</v>
      </c>
      <c r="V1018" s="16">
        <v>2</v>
      </c>
      <c r="W1018" s="16">
        <v>1</v>
      </c>
      <c r="X1018" s="16">
        <v>8.3907999999999996E-2</v>
      </c>
      <c r="Y1018" s="16">
        <v>0.7</v>
      </c>
      <c r="Z1018" s="16">
        <v>1</v>
      </c>
      <c r="AA1018" s="37"/>
    </row>
    <row r="1019" spans="1:27">
      <c r="A1019" s="16" t="s">
        <v>99</v>
      </c>
      <c r="B1019" s="16" t="s">
        <v>3535</v>
      </c>
      <c r="C1019" s="16" t="s">
        <v>3536</v>
      </c>
      <c r="D1019" s="16" t="s">
        <v>3537</v>
      </c>
      <c r="E1019" s="16" t="s">
        <v>3498</v>
      </c>
      <c r="F1019" s="16" t="s">
        <v>3499</v>
      </c>
      <c r="G1019" s="16" t="s">
        <v>1261</v>
      </c>
      <c r="H1019" s="16" t="s">
        <v>1262</v>
      </c>
      <c r="I1019" s="16" t="s">
        <v>198</v>
      </c>
      <c r="J1019" s="16" t="s">
        <v>199</v>
      </c>
      <c r="K1019" s="16">
        <v>2.9561600000000001</v>
      </c>
      <c r="L1019" s="36">
        <v>1509</v>
      </c>
      <c r="M1019" s="16">
        <v>364</v>
      </c>
      <c r="N1019" s="16">
        <v>403</v>
      </c>
      <c r="O1019" s="16">
        <v>302</v>
      </c>
      <c r="P1019" s="16">
        <v>299</v>
      </c>
      <c r="Q1019" s="16">
        <v>141</v>
      </c>
      <c r="R1019" s="16" t="s">
        <v>302</v>
      </c>
      <c r="S1019" s="16">
        <v>41.6357</v>
      </c>
      <c r="T1019" s="16">
        <v>19.463899999999999</v>
      </c>
      <c r="U1019" s="16">
        <v>0.70688928699999998</v>
      </c>
      <c r="V1019" s="16">
        <v>3</v>
      </c>
      <c r="W1019" s="16">
        <v>1</v>
      </c>
      <c r="X1019" s="16">
        <v>0.25071199999999999</v>
      </c>
      <c r="Y1019" s="16">
        <v>0.7</v>
      </c>
      <c r="Z1019" s="16">
        <v>1</v>
      </c>
      <c r="AA1019" s="37"/>
    </row>
    <row r="1020" spans="1:27">
      <c r="A1020" s="16" t="s">
        <v>99</v>
      </c>
      <c r="B1020" s="16" t="s">
        <v>3538</v>
      </c>
      <c r="C1020" s="16" t="s">
        <v>3539</v>
      </c>
      <c r="D1020" s="16" t="s">
        <v>3540</v>
      </c>
      <c r="E1020" s="16" t="s">
        <v>3481</v>
      </c>
      <c r="F1020" s="16" t="s">
        <v>3482</v>
      </c>
      <c r="G1020" s="16" t="s">
        <v>1261</v>
      </c>
      <c r="H1020" s="16" t="s">
        <v>1262</v>
      </c>
      <c r="I1020" s="16" t="s">
        <v>198</v>
      </c>
      <c r="J1020" s="16" t="s">
        <v>199</v>
      </c>
      <c r="K1020" s="16">
        <v>2.819372</v>
      </c>
      <c r="L1020" s="36">
        <v>1434</v>
      </c>
      <c r="M1020" s="16">
        <v>140</v>
      </c>
      <c r="N1020" s="16">
        <v>456</v>
      </c>
      <c r="O1020" s="16">
        <v>586</v>
      </c>
      <c r="P1020" s="16">
        <v>209</v>
      </c>
      <c r="Q1020" s="16">
        <v>43</v>
      </c>
      <c r="R1020" s="16" t="s">
        <v>668</v>
      </c>
      <c r="S1020" s="16">
        <v>61.880800000000001</v>
      </c>
      <c r="T1020" s="16">
        <v>57.675400000000003</v>
      </c>
      <c r="U1020" s="16">
        <v>0.56989740700000002</v>
      </c>
      <c r="V1020" s="16">
        <v>6</v>
      </c>
      <c r="W1020" s="16">
        <v>1</v>
      </c>
      <c r="X1020" s="16">
        <v>0.110417</v>
      </c>
      <c r="Y1020" s="16">
        <v>0.7</v>
      </c>
      <c r="Z1020" s="16">
        <v>1</v>
      </c>
      <c r="AA1020" s="37"/>
    </row>
    <row r="1021" spans="1:27">
      <c r="A1021" s="16" t="s">
        <v>99</v>
      </c>
      <c r="B1021" s="16" t="s">
        <v>1263</v>
      </c>
      <c r="C1021" s="16" t="s">
        <v>1264</v>
      </c>
      <c r="D1021" s="16" t="s">
        <v>1265</v>
      </c>
      <c r="E1021" s="16" t="s">
        <v>1242</v>
      </c>
      <c r="F1021" s="16" t="s">
        <v>1243</v>
      </c>
      <c r="G1021" s="16" t="s">
        <v>1232</v>
      </c>
      <c r="H1021" s="16" t="s">
        <v>1233</v>
      </c>
      <c r="I1021" s="16" t="s">
        <v>198</v>
      </c>
      <c r="J1021" s="16" t="s">
        <v>199</v>
      </c>
      <c r="K1021" s="16">
        <v>2.9688599999999998</v>
      </c>
      <c r="L1021" s="36">
        <v>2028</v>
      </c>
      <c r="M1021" s="16">
        <v>263</v>
      </c>
      <c r="N1021" s="16">
        <v>514</v>
      </c>
      <c r="O1021" s="16">
        <v>628</v>
      </c>
      <c r="P1021" s="16">
        <v>429</v>
      </c>
      <c r="Q1021" s="16">
        <v>194</v>
      </c>
      <c r="R1021" s="16" t="s">
        <v>668</v>
      </c>
      <c r="S1021" s="16">
        <v>142.93100000000001</v>
      </c>
      <c r="T1021" s="16">
        <v>89.631500000000003</v>
      </c>
      <c r="U1021" s="16">
        <v>0.665987777</v>
      </c>
      <c r="V1021" s="16">
        <v>3</v>
      </c>
      <c r="W1021" s="16">
        <v>1</v>
      </c>
      <c r="X1021" s="16">
        <v>0.26932400000000001</v>
      </c>
      <c r="Y1021" s="16">
        <v>0.7</v>
      </c>
      <c r="Z1021" s="16">
        <v>1</v>
      </c>
      <c r="AA1021" s="37"/>
    </row>
    <row r="1022" spans="1:27">
      <c r="A1022" s="16" t="s">
        <v>99</v>
      </c>
      <c r="B1022" s="16" t="s">
        <v>1266</v>
      </c>
      <c r="C1022" s="16" t="s">
        <v>1267</v>
      </c>
      <c r="D1022" s="16" t="s">
        <v>1268</v>
      </c>
      <c r="E1022" s="16" t="s">
        <v>1269</v>
      </c>
      <c r="F1022" s="16" t="s">
        <v>1270</v>
      </c>
      <c r="G1022" s="16" t="s">
        <v>1261</v>
      </c>
      <c r="H1022" s="16" t="s">
        <v>1262</v>
      </c>
      <c r="I1022" s="16" t="s">
        <v>198</v>
      </c>
      <c r="J1022" s="16" t="s">
        <v>199</v>
      </c>
      <c r="K1022" s="16">
        <v>2.9</v>
      </c>
      <c r="L1022" s="36">
        <v>1692</v>
      </c>
      <c r="M1022" s="16">
        <v>211</v>
      </c>
      <c r="N1022" s="16">
        <v>500</v>
      </c>
      <c r="O1022" s="16">
        <v>526</v>
      </c>
      <c r="P1022" s="16">
        <v>341</v>
      </c>
      <c r="Q1022" s="16">
        <v>114</v>
      </c>
      <c r="R1022" s="16" t="s">
        <v>668</v>
      </c>
      <c r="S1022" s="16">
        <v>116.857</v>
      </c>
      <c r="T1022" s="16">
        <v>71.036100000000005</v>
      </c>
      <c r="U1022" s="16">
        <v>0.67156270399999995</v>
      </c>
      <c r="V1022" s="16">
        <v>3</v>
      </c>
      <c r="W1022" s="16">
        <v>1</v>
      </c>
      <c r="X1022" s="16">
        <v>0.20086200000000001</v>
      </c>
      <c r="Y1022" s="16">
        <v>0.7</v>
      </c>
      <c r="Z1022" s="16">
        <v>1</v>
      </c>
      <c r="AA1022" s="37"/>
    </row>
    <row r="1023" spans="1:27">
      <c r="A1023" s="16" t="s">
        <v>99</v>
      </c>
      <c r="B1023" s="16" t="s">
        <v>3503</v>
      </c>
      <c r="C1023" s="16" t="s">
        <v>3504</v>
      </c>
      <c r="D1023" s="16" t="s">
        <v>3505</v>
      </c>
      <c r="E1023" s="16" t="s">
        <v>3481</v>
      </c>
      <c r="F1023" s="16" t="s">
        <v>3482</v>
      </c>
      <c r="G1023" s="16" t="s">
        <v>1261</v>
      </c>
      <c r="H1023" s="16" t="s">
        <v>1262</v>
      </c>
      <c r="I1023" s="16" t="s">
        <v>198</v>
      </c>
      <c r="J1023" s="16" t="s">
        <v>199</v>
      </c>
      <c r="K1023" s="16">
        <v>2.9956520000000002</v>
      </c>
      <c r="L1023" s="36">
        <v>1721</v>
      </c>
      <c r="M1023" s="16">
        <v>199</v>
      </c>
      <c r="N1023" s="16">
        <v>522</v>
      </c>
      <c r="O1023" s="16">
        <v>636</v>
      </c>
      <c r="P1023" s="16">
        <v>289</v>
      </c>
      <c r="Q1023" s="16">
        <v>75</v>
      </c>
      <c r="R1023" s="16" t="s">
        <v>668</v>
      </c>
      <c r="S1023" s="16">
        <v>72.412800000000004</v>
      </c>
      <c r="T1023" s="16">
        <v>8.7533399999999997</v>
      </c>
      <c r="U1023" s="16">
        <v>0.42839390999999999</v>
      </c>
      <c r="V1023" s="16">
        <v>7</v>
      </c>
      <c r="W1023" s="16">
        <v>1</v>
      </c>
      <c r="X1023" s="16">
        <v>0.28756799999999999</v>
      </c>
      <c r="Y1023" s="16">
        <v>0.7</v>
      </c>
      <c r="Z1023" s="16">
        <v>1</v>
      </c>
      <c r="AA1023" s="37"/>
    </row>
    <row r="1024" spans="1:27">
      <c r="A1024" s="16"/>
      <c r="B1024" s="16"/>
      <c r="C1024" s="16"/>
      <c r="D1024" s="16"/>
      <c r="E1024" s="16"/>
      <c r="F1024" s="16"/>
      <c r="G1024" s="16"/>
      <c r="H1024" s="16"/>
      <c r="I1024" s="16"/>
      <c r="J1024" s="16"/>
      <c r="K1024" s="16">
        <f>MEDIAN(K1006:K1023)</f>
        <v>2.9487945</v>
      </c>
      <c r="L1024" s="36">
        <f>AVERAGE(L1006:L1023)</f>
        <v>2154.8333333333335</v>
      </c>
      <c r="M1024" s="36">
        <f t="shared" ref="M1024:Q1024" si="82">SUM(M1006:M1023)</f>
        <v>4129</v>
      </c>
      <c r="N1024" s="36">
        <f t="shared" si="82"/>
        <v>15995</v>
      </c>
      <c r="O1024" s="36">
        <f t="shared" si="82"/>
        <v>9874</v>
      </c>
      <c r="P1024" s="36">
        <f t="shared" si="82"/>
        <v>6426</v>
      </c>
      <c r="Q1024" s="36">
        <f t="shared" si="82"/>
        <v>2363</v>
      </c>
      <c r="R1024" s="16"/>
      <c r="S1024" s="16"/>
      <c r="T1024" s="16"/>
      <c r="U1024" s="16"/>
      <c r="V1024" s="16">
        <f>MEDIAN(V1006:V1023)</f>
        <v>5</v>
      </c>
      <c r="W1024" s="16"/>
      <c r="X1024" s="16"/>
      <c r="Y1024" s="16"/>
      <c r="Z1024" s="16"/>
      <c r="AA1024" s="37"/>
    </row>
    <row r="1025" spans="1:27">
      <c r="A1025" s="16" t="s">
        <v>40</v>
      </c>
      <c r="B1025" s="16" t="s">
        <v>3541</v>
      </c>
      <c r="C1025" s="16" t="s">
        <v>3542</v>
      </c>
      <c r="D1025" s="16" t="s">
        <v>3543</v>
      </c>
      <c r="E1025" s="16" t="s">
        <v>3446</v>
      </c>
      <c r="F1025" s="16" t="s">
        <v>3447</v>
      </c>
      <c r="G1025" s="16" t="s">
        <v>1261</v>
      </c>
      <c r="H1025" s="16" t="s">
        <v>1262</v>
      </c>
      <c r="I1025" s="16" t="s">
        <v>198</v>
      </c>
      <c r="J1025" s="16" t="s">
        <v>199</v>
      </c>
      <c r="K1025" s="16">
        <v>2.9737269999999998</v>
      </c>
      <c r="L1025" s="36">
        <v>2019</v>
      </c>
      <c r="M1025" s="16">
        <v>302</v>
      </c>
      <c r="N1025" s="16">
        <v>734</v>
      </c>
      <c r="O1025" s="16">
        <v>472</v>
      </c>
      <c r="P1025" s="16">
        <v>365</v>
      </c>
      <c r="Q1025" s="16">
        <v>146</v>
      </c>
      <c r="R1025" s="16" t="s">
        <v>302</v>
      </c>
      <c r="S1025" s="16">
        <v>48.383299999999998</v>
      </c>
      <c r="T1025" s="16">
        <v>19.536100000000001</v>
      </c>
      <c r="U1025" s="16">
        <v>0.67740349399999999</v>
      </c>
      <c r="V1025" s="16">
        <v>3</v>
      </c>
      <c r="W1025" s="16">
        <v>0.99222500000000002</v>
      </c>
      <c r="X1025" s="16">
        <v>0.29946800000000001</v>
      </c>
      <c r="Y1025" s="16">
        <v>0.7</v>
      </c>
      <c r="Z1025" s="16">
        <v>1</v>
      </c>
      <c r="AA1025" s="37"/>
    </row>
    <row r="1026" spans="1:27">
      <c r="A1026" s="16" t="s">
        <v>40</v>
      </c>
      <c r="B1026" s="16" t="s">
        <v>3512</v>
      </c>
      <c r="C1026" s="16" t="s">
        <v>3513</v>
      </c>
      <c r="D1026" s="16" t="s">
        <v>3514</v>
      </c>
      <c r="E1026" s="16" t="s">
        <v>1259</v>
      </c>
      <c r="F1026" s="16" t="s">
        <v>1260</v>
      </c>
      <c r="G1026" s="16" t="s">
        <v>1261</v>
      </c>
      <c r="H1026" s="16" t="s">
        <v>1262</v>
      </c>
      <c r="I1026" s="16" t="s">
        <v>198</v>
      </c>
      <c r="J1026" s="16" t="s">
        <v>199</v>
      </c>
      <c r="K1026" s="16">
        <v>2.9786069999999998</v>
      </c>
      <c r="L1026" s="36">
        <v>3566</v>
      </c>
      <c r="M1026" s="16">
        <v>260</v>
      </c>
      <c r="N1026" s="36">
        <v>1792</v>
      </c>
      <c r="O1026" s="16">
        <v>888</v>
      </c>
      <c r="P1026" s="16">
        <v>485</v>
      </c>
      <c r="Q1026" s="16">
        <v>141</v>
      </c>
      <c r="R1026" s="16" t="s">
        <v>668</v>
      </c>
      <c r="S1026" s="16">
        <v>105.218</v>
      </c>
      <c r="T1026" s="16">
        <v>34.616399999999999</v>
      </c>
      <c r="U1026" s="16">
        <v>0.54133283499999996</v>
      </c>
      <c r="V1026" s="16">
        <v>6</v>
      </c>
      <c r="W1026" s="16">
        <v>1</v>
      </c>
      <c r="X1026" s="16">
        <v>0.27546199999999998</v>
      </c>
      <c r="Y1026" s="16">
        <v>0.7</v>
      </c>
      <c r="Z1026" s="16">
        <v>1</v>
      </c>
      <c r="AA1026" s="37"/>
    </row>
    <row r="1027" spans="1:27">
      <c r="A1027" s="16" t="s">
        <v>40</v>
      </c>
      <c r="B1027" s="16" t="s">
        <v>3544</v>
      </c>
      <c r="C1027" s="16" t="s">
        <v>3545</v>
      </c>
      <c r="D1027" s="16" t="s">
        <v>3546</v>
      </c>
      <c r="E1027" s="16" t="s">
        <v>1269</v>
      </c>
      <c r="F1027" s="16" t="s">
        <v>1270</v>
      </c>
      <c r="G1027" s="16" t="s">
        <v>1261</v>
      </c>
      <c r="H1027" s="16" t="s">
        <v>1262</v>
      </c>
      <c r="I1027" s="16" t="s">
        <v>198</v>
      </c>
      <c r="J1027" s="16" t="s">
        <v>199</v>
      </c>
      <c r="K1027" s="16">
        <v>3.0620479999999999</v>
      </c>
      <c r="L1027" s="36">
        <v>1874</v>
      </c>
      <c r="M1027" s="16">
        <v>368</v>
      </c>
      <c r="N1027" s="16">
        <v>540</v>
      </c>
      <c r="O1027" s="16">
        <v>416</v>
      </c>
      <c r="P1027" s="16">
        <v>434</v>
      </c>
      <c r="Q1027" s="16">
        <v>116</v>
      </c>
      <c r="R1027" s="16" t="s">
        <v>668</v>
      </c>
      <c r="S1027" s="16">
        <v>121.054</v>
      </c>
      <c r="T1027" s="16">
        <v>48.132800000000003</v>
      </c>
      <c r="U1027" s="16">
        <v>0.68686619000000004</v>
      </c>
      <c r="V1027" s="16">
        <v>3</v>
      </c>
      <c r="W1027" s="16">
        <v>1</v>
      </c>
      <c r="X1027" s="16">
        <v>0.35568899999999998</v>
      </c>
      <c r="Y1027" s="16">
        <v>0.7</v>
      </c>
      <c r="Z1027" s="16">
        <v>1</v>
      </c>
      <c r="AA1027" s="37"/>
    </row>
    <row r="1028" spans="1:27">
      <c r="A1028" s="16" t="s">
        <v>40</v>
      </c>
      <c r="B1028" s="16" t="s">
        <v>3547</v>
      </c>
      <c r="C1028" s="16" t="s">
        <v>3548</v>
      </c>
      <c r="D1028" s="16" t="s">
        <v>3549</v>
      </c>
      <c r="E1028" s="16" t="s">
        <v>1269</v>
      </c>
      <c r="F1028" s="16" t="s">
        <v>1270</v>
      </c>
      <c r="G1028" s="16" t="s">
        <v>1261</v>
      </c>
      <c r="H1028" s="16" t="s">
        <v>1262</v>
      </c>
      <c r="I1028" s="16" t="s">
        <v>198</v>
      </c>
      <c r="J1028" s="16" t="s">
        <v>199</v>
      </c>
      <c r="K1028" s="16">
        <v>3.0866669999999998</v>
      </c>
      <c r="L1028" s="36">
        <v>1592</v>
      </c>
      <c r="M1028" s="16">
        <v>254</v>
      </c>
      <c r="N1028" s="16">
        <v>388</v>
      </c>
      <c r="O1028" s="16">
        <v>446</v>
      </c>
      <c r="P1028" s="16">
        <v>391</v>
      </c>
      <c r="Q1028" s="16">
        <v>113</v>
      </c>
      <c r="R1028" s="16" t="s">
        <v>668</v>
      </c>
      <c r="S1028" s="16">
        <v>123.949</v>
      </c>
      <c r="T1028" s="16">
        <v>47.669499999999999</v>
      </c>
      <c r="U1028" s="16">
        <v>0.81931273599999999</v>
      </c>
      <c r="V1028" s="16">
        <v>2</v>
      </c>
      <c r="W1028" s="16">
        <v>1</v>
      </c>
      <c r="X1028" s="16">
        <v>0.38567600000000002</v>
      </c>
      <c r="Y1028" s="16">
        <v>0.7</v>
      </c>
      <c r="Z1028" s="16">
        <v>1</v>
      </c>
      <c r="AA1028" s="37"/>
    </row>
    <row r="1029" spans="1:27">
      <c r="A1029" s="16" t="s">
        <v>40</v>
      </c>
      <c r="B1029" s="16" t="s">
        <v>3550</v>
      </c>
      <c r="C1029" s="16" t="s">
        <v>3551</v>
      </c>
      <c r="D1029" s="16" t="s">
        <v>3552</v>
      </c>
      <c r="E1029" s="16" t="s">
        <v>3524</v>
      </c>
      <c r="F1029" s="16" t="s">
        <v>3525</v>
      </c>
      <c r="G1029" s="16" t="s">
        <v>1261</v>
      </c>
      <c r="H1029" s="16" t="s">
        <v>1262</v>
      </c>
      <c r="I1029" s="16" t="s">
        <v>198</v>
      </c>
      <c r="J1029" s="16" t="s">
        <v>199</v>
      </c>
      <c r="K1029" s="16">
        <v>2.8508770000000001</v>
      </c>
      <c r="L1029" s="36">
        <v>1435</v>
      </c>
      <c r="M1029" s="16">
        <v>137</v>
      </c>
      <c r="N1029" s="16">
        <v>436</v>
      </c>
      <c r="O1029" s="16">
        <v>564</v>
      </c>
      <c r="P1029" s="16">
        <v>227</v>
      </c>
      <c r="Q1029" s="16">
        <v>71</v>
      </c>
      <c r="R1029" s="16" t="s">
        <v>668</v>
      </c>
      <c r="S1029" s="16">
        <v>113.492</v>
      </c>
      <c r="T1029" s="16">
        <v>52.805399999999999</v>
      </c>
      <c r="U1029" s="16">
        <v>0.65858594800000003</v>
      </c>
      <c r="V1029" s="16">
        <v>4</v>
      </c>
      <c r="W1029" s="16">
        <v>1</v>
      </c>
      <c r="X1029" s="16">
        <v>0.195683</v>
      </c>
      <c r="Y1029" s="16">
        <v>0.7</v>
      </c>
      <c r="Z1029" s="16">
        <v>1</v>
      </c>
      <c r="AA1029" s="37"/>
    </row>
    <row r="1030" spans="1:27">
      <c r="A1030" s="16" t="s">
        <v>40</v>
      </c>
      <c r="B1030" s="16" t="s">
        <v>3535</v>
      </c>
      <c r="C1030" s="16" t="s">
        <v>3536</v>
      </c>
      <c r="D1030" s="16" t="s">
        <v>3537</v>
      </c>
      <c r="E1030" s="16" t="s">
        <v>3498</v>
      </c>
      <c r="F1030" s="16" t="s">
        <v>3499</v>
      </c>
      <c r="G1030" s="16" t="s">
        <v>1261</v>
      </c>
      <c r="H1030" s="16" t="s">
        <v>1262</v>
      </c>
      <c r="I1030" s="16" t="s">
        <v>198</v>
      </c>
      <c r="J1030" s="16" t="s">
        <v>199</v>
      </c>
      <c r="K1030" s="16">
        <v>2.9561600000000001</v>
      </c>
      <c r="L1030" s="36">
        <v>1509</v>
      </c>
      <c r="M1030" s="16">
        <v>364</v>
      </c>
      <c r="N1030" s="16">
        <v>403</v>
      </c>
      <c r="O1030" s="16">
        <v>302</v>
      </c>
      <c r="P1030" s="16">
        <v>299</v>
      </c>
      <c r="Q1030" s="16">
        <v>141</v>
      </c>
      <c r="R1030" s="16" t="s">
        <v>302</v>
      </c>
      <c r="S1030" s="16">
        <v>41.6357</v>
      </c>
      <c r="T1030" s="16">
        <v>19.463899999999999</v>
      </c>
      <c r="U1030" s="16">
        <v>0.70688928699999998</v>
      </c>
      <c r="V1030" s="16">
        <v>3</v>
      </c>
      <c r="W1030" s="16">
        <v>1</v>
      </c>
      <c r="X1030" s="16">
        <v>0.25071199999999999</v>
      </c>
      <c r="Y1030" s="16">
        <v>0.7</v>
      </c>
      <c r="Z1030" s="16">
        <v>1</v>
      </c>
      <c r="AA1030" s="37"/>
    </row>
    <row r="1031" spans="1:27">
      <c r="A1031" s="16" t="s">
        <v>40</v>
      </c>
      <c r="B1031" s="16" t="s">
        <v>3553</v>
      </c>
      <c r="C1031" s="16" t="s">
        <v>3554</v>
      </c>
      <c r="D1031" s="16" t="s">
        <v>3555</v>
      </c>
      <c r="E1031" s="16" t="s">
        <v>3524</v>
      </c>
      <c r="F1031" s="16" t="s">
        <v>3525</v>
      </c>
      <c r="G1031" s="16" t="s">
        <v>1261</v>
      </c>
      <c r="H1031" s="16" t="s">
        <v>1262</v>
      </c>
      <c r="I1031" s="16" t="s">
        <v>198</v>
      </c>
      <c r="J1031" s="16" t="s">
        <v>199</v>
      </c>
      <c r="K1031" s="16">
        <v>2.7463769999999998</v>
      </c>
      <c r="L1031" s="36">
        <v>1118</v>
      </c>
      <c r="M1031" s="16">
        <v>284</v>
      </c>
      <c r="N1031" s="16">
        <v>177</v>
      </c>
      <c r="O1031" s="16">
        <v>297</v>
      </c>
      <c r="P1031" s="16">
        <v>254</v>
      </c>
      <c r="Q1031" s="16">
        <v>106</v>
      </c>
      <c r="R1031" s="16" t="s">
        <v>668</v>
      </c>
      <c r="S1031" s="16">
        <v>70.316800000000001</v>
      </c>
      <c r="T1031" s="16">
        <v>59.960900000000002</v>
      </c>
      <c r="U1031" s="16">
        <v>0.99891246099999997</v>
      </c>
      <c r="V1031" s="16">
        <v>2</v>
      </c>
      <c r="W1031" s="16">
        <v>1</v>
      </c>
      <c r="X1031" s="16">
        <v>4.5069999999999999E-2</v>
      </c>
      <c r="Y1031" s="16">
        <v>0.7</v>
      </c>
      <c r="Z1031" s="16">
        <v>1</v>
      </c>
      <c r="AA1031" s="37"/>
    </row>
    <row r="1032" spans="1:27">
      <c r="A1032" s="16" t="s">
        <v>40</v>
      </c>
      <c r="B1032" s="16" t="s">
        <v>3556</v>
      </c>
      <c r="C1032" s="16" t="s">
        <v>3557</v>
      </c>
      <c r="D1032" s="16" t="s">
        <v>3558</v>
      </c>
      <c r="E1032" s="16" t="s">
        <v>3524</v>
      </c>
      <c r="F1032" s="16" t="s">
        <v>3525</v>
      </c>
      <c r="G1032" s="16" t="s">
        <v>1261</v>
      </c>
      <c r="H1032" s="16" t="s">
        <v>1262</v>
      </c>
      <c r="I1032" s="16" t="s">
        <v>198</v>
      </c>
      <c r="J1032" s="16" t="s">
        <v>199</v>
      </c>
      <c r="K1032" s="16">
        <v>3.1154470000000001</v>
      </c>
      <c r="L1032" s="36">
        <v>1405</v>
      </c>
      <c r="M1032" s="16">
        <v>245</v>
      </c>
      <c r="N1032" s="16">
        <v>431</v>
      </c>
      <c r="O1032" s="16">
        <v>366</v>
      </c>
      <c r="P1032" s="16">
        <v>268</v>
      </c>
      <c r="Q1032" s="16">
        <v>95</v>
      </c>
      <c r="R1032" s="16" t="s">
        <v>668</v>
      </c>
      <c r="S1032" s="16">
        <v>88.935500000000005</v>
      </c>
      <c r="T1032" s="16">
        <v>31.959099999999999</v>
      </c>
      <c r="U1032" s="16">
        <v>0.73829119200000004</v>
      </c>
      <c r="V1032" s="16">
        <v>1</v>
      </c>
      <c r="W1032" s="16">
        <v>1</v>
      </c>
      <c r="X1032" s="16">
        <v>0.41522599999999998</v>
      </c>
      <c r="Y1032" s="16">
        <v>0.7</v>
      </c>
      <c r="Z1032" s="16">
        <v>1</v>
      </c>
      <c r="AA1032" s="37"/>
    </row>
    <row r="1033" spans="1:27">
      <c r="A1033" s="16" t="s">
        <v>40</v>
      </c>
      <c r="B1033" s="16" t="s">
        <v>3559</v>
      </c>
      <c r="C1033" s="16" t="s">
        <v>3560</v>
      </c>
      <c r="D1033" s="16" t="s">
        <v>3561</v>
      </c>
      <c r="E1033" s="16" t="s">
        <v>1269</v>
      </c>
      <c r="F1033" s="16" t="s">
        <v>1270</v>
      </c>
      <c r="G1033" s="16" t="s">
        <v>1261</v>
      </c>
      <c r="H1033" s="16" t="s">
        <v>1262</v>
      </c>
      <c r="I1033" s="16" t="s">
        <v>198</v>
      </c>
      <c r="J1033" s="16" t="s">
        <v>199</v>
      </c>
      <c r="K1033" s="16">
        <v>3.1014179999999998</v>
      </c>
      <c r="L1033" s="36">
        <v>1302</v>
      </c>
      <c r="M1033" s="16">
        <v>174</v>
      </c>
      <c r="N1033" s="16">
        <v>437</v>
      </c>
      <c r="O1033" s="16">
        <v>285</v>
      </c>
      <c r="P1033" s="16">
        <v>301</v>
      </c>
      <c r="Q1033" s="16">
        <v>105</v>
      </c>
      <c r="R1033" s="16" t="s">
        <v>668</v>
      </c>
      <c r="S1033" s="16">
        <v>131.34200000000001</v>
      </c>
      <c r="T1033" s="16">
        <v>110.681</v>
      </c>
      <c r="U1033" s="16">
        <v>0.60833842999999999</v>
      </c>
      <c r="V1033" s="16">
        <v>3</v>
      </c>
      <c r="W1033" s="16">
        <v>1</v>
      </c>
      <c r="X1033" s="16">
        <v>0.410638</v>
      </c>
      <c r="Y1033" s="16">
        <v>0.7</v>
      </c>
      <c r="Z1033" s="16">
        <v>1</v>
      </c>
      <c r="AA1033" s="37"/>
    </row>
    <row r="1034" spans="1:27">
      <c r="A1034" s="16"/>
      <c r="B1034" s="16"/>
      <c r="C1034" s="16"/>
      <c r="D1034" s="16"/>
      <c r="E1034" s="16"/>
      <c r="F1034" s="16"/>
      <c r="G1034" s="16"/>
      <c r="H1034" s="16"/>
      <c r="I1034" s="16"/>
      <c r="J1034" s="16"/>
      <c r="K1034" s="16">
        <f>MEDIAN(K1025:K1033)</f>
        <v>2.9786069999999998</v>
      </c>
      <c r="L1034" s="36">
        <f>AVERAGE(L1025:L1033)</f>
        <v>1757.7777777777778</v>
      </c>
      <c r="M1034" s="36">
        <f t="shared" ref="M1034:Q1034" si="83">SUM(M1025:M1033)</f>
        <v>2388</v>
      </c>
      <c r="N1034" s="36">
        <f t="shared" si="83"/>
        <v>5338</v>
      </c>
      <c r="O1034" s="36">
        <f t="shared" si="83"/>
        <v>4036</v>
      </c>
      <c r="P1034" s="36">
        <f t="shared" si="83"/>
        <v>3024</v>
      </c>
      <c r="Q1034" s="36">
        <f t="shared" si="83"/>
        <v>1034</v>
      </c>
      <c r="R1034" s="16"/>
      <c r="S1034" s="16"/>
      <c r="T1034" s="16"/>
      <c r="U1034" s="16"/>
      <c r="V1034" s="16">
        <f>MEDIAN(V1025:V1033)</f>
        <v>3</v>
      </c>
      <c r="W1034" s="16"/>
      <c r="X1034" s="16"/>
      <c r="Y1034" s="16"/>
      <c r="Z1034" s="16"/>
      <c r="AA1034" s="37"/>
    </row>
    <row r="1035" spans="1:27">
      <c r="A1035" s="16" t="s">
        <v>44</v>
      </c>
      <c r="B1035" s="16" t="s">
        <v>3562</v>
      </c>
      <c r="C1035" s="16" t="s">
        <v>3563</v>
      </c>
      <c r="D1035" s="16" t="s">
        <v>3564</v>
      </c>
      <c r="E1035" s="16" t="s">
        <v>1237</v>
      </c>
      <c r="F1035" s="16" t="s">
        <v>1238</v>
      </c>
      <c r="G1035" s="16" t="s">
        <v>1232</v>
      </c>
      <c r="H1035" s="16" t="s">
        <v>1233</v>
      </c>
      <c r="I1035" s="16" t="s">
        <v>198</v>
      </c>
      <c r="J1035" s="16" t="s">
        <v>199</v>
      </c>
      <c r="K1035" s="16">
        <v>2.9912000000000001</v>
      </c>
      <c r="L1035" s="36">
        <v>1594</v>
      </c>
      <c r="M1035" s="16">
        <v>312</v>
      </c>
      <c r="N1035" s="16">
        <v>252</v>
      </c>
      <c r="O1035" s="16">
        <v>436</v>
      </c>
      <c r="P1035" s="16">
        <v>381</v>
      </c>
      <c r="Q1035" s="16">
        <v>213</v>
      </c>
      <c r="R1035" s="16" t="s">
        <v>302</v>
      </c>
      <c r="S1035" s="16">
        <v>51.01</v>
      </c>
      <c r="T1035" s="16">
        <v>9.1888400000000008</v>
      </c>
      <c r="U1035" s="16">
        <v>0.76957018700000002</v>
      </c>
      <c r="V1035" s="16">
        <v>3</v>
      </c>
      <c r="W1035" s="16">
        <v>1</v>
      </c>
      <c r="X1035" s="16">
        <v>0.27330700000000002</v>
      </c>
      <c r="Y1035" s="16">
        <v>0.7</v>
      </c>
      <c r="Z1035" s="16">
        <v>1</v>
      </c>
      <c r="AA1035" s="37"/>
    </row>
    <row r="1036" spans="1:27">
      <c r="A1036" s="16" t="s">
        <v>44</v>
      </c>
      <c r="B1036" s="16" t="s">
        <v>3565</v>
      </c>
      <c r="C1036" s="16" t="s">
        <v>3566</v>
      </c>
      <c r="D1036" s="16" t="s">
        <v>3567</v>
      </c>
      <c r="E1036" s="16" t="s">
        <v>1237</v>
      </c>
      <c r="F1036" s="16" t="s">
        <v>1238</v>
      </c>
      <c r="G1036" s="16" t="s">
        <v>1232</v>
      </c>
      <c r="H1036" s="16" t="s">
        <v>1233</v>
      </c>
      <c r="I1036" s="16" t="s">
        <v>198</v>
      </c>
      <c r="J1036" s="16" t="s">
        <v>199</v>
      </c>
      <c r="K1036" s="16">
        <v>2.8659289999999999</v>
      </c>
      <c r="L1036" s="36">
        <v>2206</v>
      </c>
      <c r="M1036" s="16">
        <v>328</v>
      </c>
      <c r="N1036" s="16">
        <v>479</v>
      </c>
      <c r="O1036" s="16">
        <v>638</v>
      </c>
      <c r="P1036" s="16">
        <v>506</v>
      </c>
      <c r="Q1036" s="16">
        <v>255</v>
      </c>
      <c r="R1036" s="16" t="s">
        <v>302</v>
      </c>
      <c r="S1036" s="16">
        <v>58.132199999999997</v>
      </c>
      <c r="T1036" s="16">
        <v>24.078499999999998</v>
      </c>
      <c r="U1036" s="16">
        <v>0.56729782299999998</v>
      </c>
      <c r="V1036" s="16">
        <v>6</v>
      </c>
      <c r="W1036" s="16">
        <v>1</v>
      </c>
      <c r="X1036" s="16">
        <v>0.17383599999999999</v>
      </c>
      <c r="Y1036" s="16">
        <v>0.7</v>
      </c>
      <c r="Z1036" s="16">
        <v>1</v>
      </c>
      <c r="AA1036" s="37"/>
    </row>
    <row r="1037" spans="1:27">
      <c r="A1037" s="16" t="s">
        <v>44</v>
      </c>
      <c r="B1037" s="16" t="s">
        <v>3568</v>
      </c>
      <c r="C1037" s="16" t="s">
        <v>3569</v>
      </c>
      <c r="D1037" s="16" t="s">
        <v>3570</v>
      </c>
      <c r="E1037" s="16" t="s">
        <v>3261</v>
      </c>
      <c r="F1037" s="16" t="s">
        <v>3262</v>
      </c>
      <c r="G1037" s="16" t="s">
        <v>1232</v>
      </c>
      <c r="H1037" s="16" t="s">
        <v>1233</v>
      </c>
      <c r="I1037" s="16" t="s">
        <v>198</v>
      </c>
      <c r="J1037" s="16" t="s">
        <v>199</v>
      </c>
      <c r="K1037" s="16">
        <v>2.9620410000000001</v>
      </c>
      <c r="L1037" s="36">
        <v>1822</v>
      </c>
      <c r="M1037" s="16">
        <v>286</v>
      </c>
      <c r="N1037" s="16">
        <v>472</v>
      </c>
      <c r="O1037" s="16">
        <v>583</v>
      </c>
      <c r="P1037" s="16">
        <v>367</v>
      </c>
      <c r="Q1037" s="16">
        <v>114</v>
      </c>
      <c r="R1037" s="16" t="s">
        <v>302</v>
      </c>
      <c r="S1037" s="16">
        <v>59.009399999999999</v>
      </c>
      <c r="T1037" s="16">
        <v>13.577</v>
      </c>
      <c r="U1037" s="16">
        <v>0.71399952099999997</v>
      </c>
      <c r="V1037" s="16">
        <v>3</v>
      </c>
      <c r="W1037" s="16">
        <v>0.98566500000000001</v>
      </c>
      <c r="X1037" s="16">
        <v>0.27727299999999999</v>
      </c>
      <c r="Y1037" s="16">
        <v>0.7</v>
      </c>
      <c r="Z1037" s="16">
        <v>1</v>
      </c>
      <c r="AA1037" s="37"/>
    </row>
    <row r="1038" spans="1:27">
      <c r="A1038" s="16" t="s">
        <v>44</v>
      </c>
      <c r="B1038" s="16" t="s">
        <v>3571</v>
      </c>
      <c r="C1038" s="16" t="s">
        <v>3572</v>
      </c>
      <c r="D1038" s="16" t="s">
        <v>3573</v>
      </c>
      <c r="E1038" s="16" t="s">
        <v>1230</v>
      </c>
      <c r="F1038" s="16" t="s">
        <v>1231</v>
      </c>
      <c r="G1038" s="16" t="s">
        <v>1232</v>
      </c>
      <c r="H1038" s="16" t="s">
        <v>1233</v>
      </c>
      <c r="I1038" s="16" t="s">
        <v>198</v>
      </c>
      <c r="J1038" s="16" t="s">
        <v>199</v>
      </c>
      <c r="K1038" s="16">
        <v>2.9188679999999998</v>
      </c>
      <c r="L1038" s="36">
        <v>1580</v>
      </c>
      <c r="M1038" s="16">
        <v>257</v>
      </c>
      <c r="N1038" s="16">
        <v>440</v>
      </c>
      <c r="O1038" s="16">
        <v>447</v>
      </c>
      <c r="P1038" s="16">
        <v>327</v>
      </c>
      <c r="Q1038" s="16">
        <v>109</v>
      </c>
      <c r="R1038" s="16" t="s">
        <v>668</v>
      </c>
      <c r="S1038" s="16">
        <v>51.677500000000002</v>
      </c>
      <c r="T1038" s="16">
        <v>28.504100000000001</v>
      </c>
      <c r="U1038" s="16">
        <v>0.67380352499999996</v>
      </c>
      <c r="V1038" s="16">
        <v>3</v>
      </c>
      <c r="W1038" s="16">
        <v>1</v>
      </c>
      <c r="X1038" s="16">
        <v>0.221024</v>
      </c>
      <c r="Y1038" s="16">
        <v>0.7</v>
      </c>
      <c r="Z1038" s="16">
        <v>1</v>
      </c>
      <c r="AA1038" s="37"/>
    </row>
    <row r="1039" spans="1:27">
      <c r="A1039" s="16" t="s">
        <v>44</v>
      </c>
      <c r="B1039" s="16" t="s">
        <v>3574</v>
      </c>
      <c r="C1039" s="16" t="s">
        <v>3575</v>
      </c>
      <c r="D1039" s="16" t="s">
        <v>3576</v>
      </c>
      <c r="E1039" s="16" t="s">
        <v>3577</v>
      </c>
      <c r="F1039" s="16" t="s">
        <v>3578</v>
      </c>
      <c r="G1039" s="16" t="s">
        <v>1232</v>
      </c>
      <c r="H1039" s="16" t="s">
        <v>1233</v>
      </c>
      <c r="I1039" s="16" t="s">
        <v>198</v>
      </c>
      <c r="J1039" s="16" t="s">
        <v>199</v>
      </c>
      <c r="K1039" s="16">
        <v>3.0039009999999999</v>
      </c>
      <c r="L1039" s="36">
        <v>1832</v>
      </c>
      <c r="M1039" s="16">
        <v>134</v>
      </c>
      <c r="N1039" s="16">
        <v>557</v>
      </c>
      <c r="O1039" s="16">
        <v>580</v>
      </c>
      <c r="P1039" s="16">
        <v>367</v>
      </c>
      <c r="Q1039" s="16">
        <v>194</v>
      </c>
      <c r="R1039" s="16" t="s">
        <v>668</v>
      </c>
      <c r="S1039" s="16">
        <v>62.8155</v>
      </c>
      <c r="T1039" s="16">
        <v>28.9038</v>
      </c>
      <c r="U1039" s="16">
        <v>0.63407701999999999</v>
      </c>
      <c r="V1039" s="16">
        <v>4</v>
      </c>
      <c r="W1039" s="16">
        <v>0.99835700000000005</v>
      </c>
      <c r="X1039" s="16">
        <v>0.32206200000000001</v>
      </c>
      <c r="Y1039" s="16">
        <v>0.7</v>
      </c>
      <c r="Z1039" s="16">
        <v>1</v>
      </c>
      <c r="AA1039" s="37"/>
    </row>
    <row r="1040" spans="1:27">
      <c r="A1040" s="16" t="s">
        <v>44</v>
      </c>
      <c r="B1040" s="16" t="s">
        <v>3579</v>
      </c>
      <c r="C1040" s="16" t="s">
        <v>3580</v>
      </c>
      <c r="D1040" s="16" t="s">
        <v>3581</v>
      </c>
      <c r="E1040" s="16" t="s">
        <v>1230</v>
      </c>
      <c r="F1040" s="16" t="s">
        <v>1231</v>
      </c>
      <c r="G1040" s="16" t="s">
        <v>1232</v>
      </c>
      <c r="H1040" s="16" t="s">
        <v>1233</v>
      </c>
      <c r="I1040" s="16" t="s">
        <v>198</v>
      </c>
      <c r="J1040" s="16" t="s">
        <v>199</v>
      </c>
      <c r="K1040" s="16">
        <v>2.9450259999999999</v>
      </c>
      <c r="L1040" s="36">
        <v>2173</v>
      </c>
      <c r="M1040" s="16">
        <v>428</v>
      </c>
      <c r="N1040" s="16">
        <v>417</v>
      </c>
      <c r="O1040" s="16">
        <v>588</v>
      </c>
      <c r="P1040" s="16">
        <v>519</v>
      </c>
      <c r="Q1040" s="16">
        <v>221</v>
      </c>
      <c r="R1040" s="16">
        <v>5</v>
      </c>
      <c r="S1040" s="16">
        <v>34.703400000000002</v>
      </c>
      <c r="T1040" s="16">
        <v>13.368399999999999</v>
      </c>
      <c r="U1040" s="16">
        <v>0.61266451799999999</v>
      </c>
      <c r="V1040" s="16">
        <v>3</v>
      </c>
      <c r="W1040" s="16">
        <v>1</v>
      </c>
      <c r="X1040" s="16">
        <v>0.23812</v>
      </c>
      <c r="Y1040" s="16">
        <v>0.7</v>
      </c>
      <c r="Z1040" s="16">
        <v>1</v>
      </c>
      <c r="AA1040" s="37"/>
    </row>
    <row r="1041" spans="1:27">
      <c r="A1041" s="16" t="s">
        <v>44</v>
      </c>
      <c r="B1041" s="16" t="s">
        <v>3582</v>
      </c>
      <c r="C1041" s="16" t="s">
        <v>3583</v>
      </c>
      <c r="D1041" s="16" t="s">
        <v>3584</v>
      </c>
      <c r="E1041" s="16" t="s">
        <v>1230</v>
      </c>
      <c r="F1041" s="16" t="s">
        <v>1231</v>
      </c>
      <c r="G1041" s="16" t="s">
        <v>1232</v>
      </c>
      <c r="H1041" s="16" t="s">
        <v>1233</v>
      </c>
      <c r="I1041" s="16" t="s">
        <v>198</v>
      </c>
      <c r="J1041" s="16" t="s">
        <v>199</v>
      </c>
      <c r="K1041" s="16">
        <v>2.961881</v>
      </c>
      <c r="L1041" s="36">
        <v>1977</v>
      </c>
      <c r="M1041" s="16">
        <v>228</v>
      </c>
      <c r="N1041" s="16">
        <v>515</v>
      </c>
      <c r="O1041" s="16">
        <v>643</v>
      </c>
      <c r="P1041" s="16">
        <v>433</v>
      </c>
      <c r="Q1041" s="16">
        <v>158</v>
      </c>
      <c r="R1041" s="16" t="s">
        <v>668</v>
      </c>
      <c r="S1041" s="16">
        <v>47.926600000000001</v>
      </c>
      <c r="T1041" s="16">
        <v>26.048100000000002</v>
      </c>
      <c r="U1041" s="16">
        <v>0.45844207199999998</v>
      </c>
      <c r="V1041" s="16">
        <v>6</v>
      </c>
      <c r="W1041" s="16">
        <v>1</v>
      </c>
      <c r="X1041" s="16">
        <v>0.25530900000000001</v>
      </c>
      <c r="Y1041" s="16">
        <v>0.7</v>
      </c>
      <c r="Z1041" s="16">
        <v>1</v>
      </c>
      <c r="AA1041" s="37"/>
    </row>
    <row r="1042" spans="1:27">
      <c r="A1042" s="16" t="s">
        <v>44</v>
      </c>
      <c r="B1042" s="16" t="s">
        <v>3585</v>
      </c>
      <c r="C1042" s="16" t="s">
        <v>3586</v>
      </c>
      <c r="D1042" s="16" t="s">
        <v>3587</v>
      </c>
      <c r="E1042" s="16" t="s">
        <v>3588</v>
      </c>
      <c r="F1042" s="16" t="s">
        <v>3589</v>
      </c>
      <c r="G1042" s="16" t="s">
        <v>1261</v>
      </c>
      <c r="H1042" s="16" t="s">
        <v>1262</v>
      </c>
      <c r="I1042" s="16" t="s">
        <v>198</v>
      </c>
      <c r="J1042" s="16" t="s">
        <v>199</v>
      </c>
      <c r="K1042" s="16">
        <v>2.7370890000000001</v>
      </c>
      <c r="L1042" s="36">
        <v>1452</v>
      </c>
      <c r="M1042" s="16">
        <v>231</v>
      </c>
      <c r="N1042" s="16">
        <v>240</v>
      </c>
      <c r="O1042" s="16">
        <v>398</v>
      </c>
      <c r="P1042" s="16">
        <v>415</v>
      </c>
      <c r="Q1042" s="16">
        <v>168</v>
      </c>
      <c r="R1042" s="16" t="s">
        <v>668</v>
      </c>
      <c r="S1042" s="16">
        <v>52.982599999999998</v>
      </c>
      <c r="T1042" s="16">
        <v>30.720099999999999</v>
      </c>
      <c r="U1042" s="16">
        <v>0.97120765799999997</v>
      </c>
      <c r="V1042" s="16">
        <v>2</v>
      </c>
      <c r="W1042" s="16">
        <v>0.98920200000000003</v>
      </c>
      <c r="X1042" s="16">
        <v>7.3148000000000005E-2</v>
      </c>
      <c r="Y1042" s="16">
        <v>0.7</v>
      </c>
      <c r="Z1042" s="16">
        <v>1</v>
      </c>
      <c r="AA1042" s="37"/>
    </row>
    <row r="1043" spans="1:27">
      <c r="A1043" s="16" t="s">
        <v>44</v>
      </c>
      <c r="B1043" s="16" t="s">
        <v>3590</v>
      </c>
      <c r="C1043" s="16" t="s">
        <v>3591</v>
      </c>
      <c r="D1043" s="16" t="s">
        <v>3592</v>
      </c>
      <c r="E1043" s="16" t="s">
        <v>3588</v>
      </c>
      <c r="F1043" s="16" t="s">
        <v>3589</v>
      </c>
      <c r="G1043" s="16" t="s">
        <v>1261</v>
      </c>
      <c r="H1043" s="16" t="s">
        <v>1262</v>
      </c>
      <c r="I1043" s="16" t="s">
        <v>198</v>
      </c>
      <c r="J1043" s="16" t="s">
        <v>199</v>
      </c>
      <c r="K1043" s="16">
        <v>2.795623</v>
      </c>
      <c r="L1043" s="36">
        <v>1446</v>
      </c>
      <c r="M1043" s="16">
        <v>171</v>
      </c>
      <c r="N1043" s="16">
        <v>326</v>
      </c>
      <c r="O1043" s="16">
        <v>456</v>
      </c>
      <c r="P1043" s="16">
        <v>349</v>
      </c>
      <c r="Q1043" s="16">
        <v>144</v>
      </c>
      <c r="R1043" s="16" t="s">
        <v>302</v>
      </c>
      <c r="S1043" s="16">
        <v>51.162700000000001</v>
      </c>
      <c r="T1043" s="16">
        <v>24.731999999999999</v>
      </c>
      <c r="U1043" s="16">
        <v>0.73043603999999995</v>
      </c>
      <c r="V1043" s="16">
        <v>4</v>
      </c>
      <c r="W1043" s="16">
        <v>0.98787899999999995</v>
      </c>
      <c r="X1043" s="16">
        <v>0.14189199999999999</v>
      </c>
      <c r="Y1043" s="16">
        <v>0.7</v>
      </c>
      <c r="Z1043" s="16">
        <v>1</v>
      </c>
      <c r="AA1043" s="37"/>
    </row>
    <row r="1044" spans="1:27">
      <c r="A1044" s="16" t="s">
        <v>44</v>
      </c>
      <c r="B1044" s="16" t="s">
        <v>3593</v>
      </c>
      <c r="C1044" s="16" t="s">
        <v>3594</v>
      </c>
      <c r="D1044" s="16" t="s">
        <v>3595</v>
      </c>
      <c r="E1044" s="16" t="s">
        <v>1269</v>
      </c>
      <c r="F1044" s="16" t="s">
        <v>1270</v>
      </c>
      <c r="G1044" s="16" t="s">
        <v>1261</v>
      </c>
      <c r="H1044" s="16" t="s">
        <v>1262</v>
      </c>
      <c r="I1044" s="16" t="s">
        <v>198</v>
      </c>
      <c r="J1044" s="16" t="s">
        <v>199</v>
      </c>
      <c r="K1044" s="16">
        <v>3.0500780000000001</v>
      </c>
      <c r="L1044" s="36">
        <v>1881</v>
      </c>
      <c r="M1044" s="16">
        <v>205</v>
      </c>
      <c r="N1044" s="16">
        <v>679</v>
      </c>
      <c r="O1044" s="16">
        <v>456</v>
      </c>
      <c r="P1044" s="16">
        <v>394</v>
      </c>
      <c r="Q1044" s="16">
        <v>147</v>
      </c>
      <c r="R1044" s="16" t="s">
        <v>668</v>
      </c>
      <c r="S1044" s="16">
        <v>94.046800000000005</v>
      </c>
      <c r="T1044" s="16">
        <v>36.751399999999997</v>
      </c>
      <c r="U1044" s="16">
        <v>0.70007057900000003</v>
      </c>
      <c r="V1044" s="16">
        <v>2</v>
      </c>
      <c r="W1044" s="16">
        <v>1</v>
      </c>
      <c r="X1044" s="16">
        <v>0.351242</v>
      </c>
      <c r="Y1044" s="16">
        <v>0.7</v>
      </c>
      <c r="Z1044" s="16">
        <v>1</v>
      </c>
      <c r="AA1044" s="37"/>
    </row>
    <row r="1045" spans="1:27">
      <c r="A1045" s="16" t="s">
        <v>44</v>
      </c>
      <c r="B1045" s="16" t="s">
        <v>3596</v>
      </c>
      <c r="C1045" s="16" t="s">
        <v>3597</v>
      </c>
      <c r="D1045" s="16" t="s">
        <v>3598</v>
      </c>
      <c r="E1045" s="16" t="s">
        <v>3588</v>
      </c>
      <c r="F1045" s="16" t="s">
        <v>3589</v>
      </c>
      <c r="G1045" s="16" t="s">
        <v>1261</v>
      </c>
      <c r="H1045" s="16" t="s">
        <v>1262</v>
      </c>
      <c r="I1045" s="16" t="s">
        <v>198</v>
      </c>
      <c r="J1045" s="16" t="s">
        <v>199</v>
      </c>
      <c r="K1045" s="16">
        <v>3.0710350000000002</v>
      </c>
      <c r="L1045" s="36">
        <v>1908</v>
      </c>
      <c r="M1045" s="16">
        <v>282</v>
      </c>
      <c r="N1045" s="16">
        <v>509</v>
      </c>
      <c r="O1045" s="16">
        <v>617</v>
      </c>
      <c r="P1045" s="16">
        <v>378</v>
      </c>
      <c r="Q1045" s="16">
        <v>122</v>
      </c>
      <c r="R1045" s="16" t="s">
        <v>668</v>
      </c>
      <c r="S1045" s="16">
        <v>76.319599999999994</v>
      </c>
      <c r="T1045" s="16">
        <v>53.633000000000003</v>
      </c>
      <c r="U1045" s="16">
        <v>0.66529607800000001</v>
      </c>
      <c r="V1045" s="16">
        <v>4</v>
      </c>
      <c r="W1045" s="16">
        <v>1</v>
      </c>
      <c r="X1045" s="16">
        <v>0.43698599999999999</v>
      </c>
      <c r="Y1045" s="16">
        <v>0.7</v>
      </c>
      <c r="Z1045" s="16">
        <v>1</v>
      </c>
      <c r="AA1045" s="37"/>
    </row>
    <row r="1046" spans="1:27">
      <c r="A1046" s="16"/>
      <c r="B1046" s="16"/>
      <c r="C1046" s="16"/>
      <c r="D1046" s="16"/>
      <c r="E1046" s="16"/>
      <c r="F1046" s="16"/>
      <c r="G1046" s="16"/>
      <c r="H1046" s="16"/>
      <c r="I1046" s="16"/>
      <c r="J1046" s="16"/>
      <c r="K1046" s="16">
        <f>MEDIAN(K1035:K1045)</f>
        <v>2.961881</v>
      </c>
      <c r="L1046" s="36">
        <f>AVERAGE(L1035:L1045)</f>
        <v>1806.4545454545455</v>
      </c>
      <c r="M1046" s="36">
        <f t="shared" ref="M1046:Q1046" si="84">SUM(M1035:M1045)</f>
        <v>2862</v>
      </c>
      <c r="N1046" s="36">
        <f t="shared" si="84"/>
        <v>4886</v>
      </c>
      <c r="O1046" s="36">
        <f t="shared" si="84"/>
        <v>5842</v>
      </c>
      <c r="P1046" s="36">
        <f t="shared" si="84"/>
        <v>4436</v>
      </c>
      <c r="Q1046" s="36">
        <f t="shared" si="84"/>
        <v>1845</v>
      </c>
      <c r="R1046" s="16"/>
      <c r="S1046" s="16"/>
      <c r="T1046" s="16"/>
      <c r="U1046" s="16"/>
      <c r="V1046" s="16">
        <f>MEDIAN(V1035:V1045)</f>
        <v>3</v>
      </c>
      <c r="W1046" s="16"/>
      <c r="X1046" s="16"/>
      <c r="Y1046" s="16"/>
      <c r="Z1046" s="16"/>
      <c r="AA1046" s="37"/>
    </row>
    <row r="1047" spans="1:27">
      <c r="A1047" s="16" t="s">
        <v>65</v>
      </c>
      <c r="B1047" s="16" t="s">
        <v>3599</v>
      </c>
      <c r="C1047" s="16" t="s">
        <v>3600</v>
      </c>
      <c r="D1047" s="16" t="s">
        <v>3601</v>
      </c>
      <c r="E1047" s="16" t="s">
        <v>3602</v>
      </c>
      <c r="F1047" s="16" t="s">
        <v>3603</v>
      </c>
      <c r="G1047" s="16" t="s">
        <v>1232</v>
      </c>
      <c r="H1047" s="16" t="s">
        <v>1233</v>
      </c>
      <c r="I1047" s="16" t="s">
        <v>198</v>
      </c>
      <c r="J1047" s="16" t="s">
        <v>199</v>
      </c>
      <c r="K1047" s="16">
        <v>2.7473679999999998</v>
      </c>
      <c r="L1047" s="36">
        <v>1482</v>
      </c>
      <c r="M1047" s="16">
        <v>219</v>
      </c>
      <c r="N1047" s="16">
        <v>355</v>
      </c>
      <c r="O1047" s="16">
        <v>430</v>
      </c>
      <c r="P1047" s="16">
        <v>316</v>
      </c>
      <c r="Q1047" s="16">
        <v>162</v>
      </c>
      <c r="R1047" s="16" t="s">
        <v>302</v>
      </c>
      <c r="S1047" s="16">
        <v>29.540299999999998</v>
      </c>
      <c r="T1047" s="16">
        <v>16.410599999999999</v>
      </c>
      <c r="U1047" s="16">
        <v>0.85934933000000002</v>
      </c>
      <c r="V1047" s="16">
        <v>3</v>
      </c>
      <c r="W1047" s="16">
        <v>0.92024300000000003</v>
      </c>
      <c r="X1047" s="16">
        <v>0.12177399999999999</v>
      </c>
      <c r="Y1047" s="16">
        <v>0.7056</v>
      </c>
      <c r="Z1047" s="16">
        <v>1</v>
      </c>
      <c r="AA1047" s="37"/>
    </row>
    <row r="1048" spans="1:27">
      <c r="A1048" s="16" t="s">
        <v>65</v>
      </c>
      <c r="B1048" s="16" t="s">
        <v>3604</v>
      </c>
      <c r="C1048" s="16" t="s">
        <v>3605</v>
      </c>
      <c r="D1048" s="16" t="s">
        <v>3606</v>
      </c>
      <c r="E1048" s="16" t="s">
        <v>3602</v>
      </c>
      <c r="F1048" s="16" t="s">
        <v>3603</v>
      </c>
      <c r="G1048" s="16" t="s">
        <v>1232</v>
      </c>
      <c r="H1048" s="16" t="s">
        <v>1233</v>
      </c>
      <c r="I1048" s="16" t="s">
        <v>198</v>
      </c>
      <c r="J1048" s="16" t="s">
        <v>199</v>
      </c>
      <c r="K1048" s="16">
        <v>2.891489</v>
      </c>
      <c r="L1048" s="36">
        <v>1796</v>
      </c>
      <c r="M1048" s="16">
        <v>396</v>
      </c>
      <c r="N1048" s="16">
        <v>339</v>
      </c>
      <c r="O1048" s="16">
        <v>426</v>
      </c>
      <c r="P1048" s="16">
        <v>436</v>
      </c>
      <c r="Q1048" s="16">
        <v>199</v>
      </c>
      <c r="R1048" s="16">
        <v>5</v>
      </c>
      <c r="S1048" s="16">
        <v>30.470700000000001</v>
      </c>
      <c r="T1048" s="16">
        <v>12.873100000000001</v>
      </c>
      <c r="U1048" s="16">
        <v>0.82775412400000004</v>
      </c>
      <c r="V1048" s="16">
        <v>3</v>
      </c>
      <c r="W1048" s="16">
        <v>0.91404300000000005</v>
      </c>
      <c r="X1048" s="16">
        <v>0.24249999999999999</v>
      </c>
      <c r="Y1048" s="16">
        <v>0.7</v>
      </c>
      <c r="Z1048" s="16">
        <v>1</v>
      </c>
      <c r="AA1048" s="37"/>
    </row>
    <row r="1049" spans="1:27">
      <c r="A1049" s="16" t="s">
        <v>65</v>
      </c>
      <c r="B1049" s="16" t="s">
        <v>3607</v>
      </c>
      <c r="C1049" s="16" t="s">
        <v>3608</v>
      </c>
      <c r="D1049" s="16" t="s">
        <v>3609</v>
      </c>
      <c r="E1049" s="16" t="s">
        <v>3610</v>
      </c>
      <c r="F1049" s="16" t="s">
        <v>3611</v>
      </c>
      <c r="G1049" s="16" t="s">
        <v>1232</v>
      </c>
      <c r="H1049" s="16" t="s">
        <v>1233</v>
      </c>
      <c r="I1049" s="16" t="s">
        <v>198</v>
      </c>
      <c r="J1049" s="16" t="s">
        <v>199</v>
      </c>
      <c r="K1049" s="16">
        <v>2.8914749999999998</v>
      </c>
      <c r="L1049" s="36">
        <v>1535</v>
      </c>
      <c r="M1049" s="16">
        <v>261</v>
      </c>
      <c r="N1049" s="16">
        <v>359</v>
      </c>
      <c r="O1049" s="16">
        <v>439</v>
      </c>
      <c r="P1049" s="16">
        <v>379</v>
      </c>
      <c r="Q1049" s="16">
        <v>97</v>
      </c>
      <c r="R1049" s="16" t="s">
        <v>302</v>
      </c>
      <c r="S1049" s="16">
        <v>40.331099999999999</v>
      </c>
      <c r="T1049" s="16">
        <v>24.039000000000001</v>
      </c>
      <c r="U1049" s="16">
        <v>0.79343593400000001</v>
      </c>
      <c r="V1049" s="16">
        <v>3</v>
      </c>
      <c r="W1049" s="16">
        <v>0.92786900000000005</v>
      </c>
      <c r="X1049" s="16">
        <v>0.20200699999999999</v>
      </c>
      <c r="Y1049" s="16">
        <v>0.75800000000000001</v>
      </c>
      <c r="Z1049" s="16">
        <v>1</v>
      </c>
      <c r="AA1049" s="37"/>
    </row>
    <row r="1050" spans="1:27">
      <c r="A1050" s="16" t="s">
        <v>65</v>
      </c>
      <c r="B1050" s="16" t="s">
        <v>3612</v>
      </c>
      <c r="C1050" s="16" t="s">
        <v>3613</v>
      </c>
      <c r="D1050" s="16" t="s">
        <v>3614</v>
      </c>
      <c r="E1050" s="16" t="s">
        <v>3615</v>
      </c>
      <c r="F1050" s="16" t="s">
        <v>3616</v>
      </c>
      <c r="G1050" s="16" t="s">
        <v>1232</v>
      </c>
      <c r="H1050" s="16" t="s">
        <v>1233</v>
      </c>
      <c r="I1050" s="16" t="s">
        <v>198</v>
      </c>
      <c r="J1050" s="16" t="s">
        <v>199</v>
      </c>
      <c r="K1050" s="16">
        <v>2.808163</v>
      </c>
      <c r="L1050" s="36">
        <v>1789</v>
      </c>
      <c r="M1050" s="16">
        <v>264</v>
      </c>
      <c r="N1050" s="16">
        <v>477</v>
      </c>
      <c r="O1050" s="16">
        <v>463</v>
      </c>
      <c r="P1050" s="16">
        <v>431</v>
      </c>
      <c r="Q1050" s="16">
        <v>154</v>
      </c>
      <c r="R1050" s="16" t="s">
        <v>302</v>
      </c>
      <c r="S1050" s="16">
        <v>40.32</v>
      </c>
      <c r="T1050" s="16">
        <v>24.101700000000001</v>
      </c>
      <c r="U1050" s="16">
        <v>0.71904669099999996</v>
      </c>
      <c r="V1050" s="16">
        <v>4</v>
      </c>
      <c r="W1050" s="16">
        <v>0.91505099999999995</v>
      </c>
      <c r="X1050" s="16">
        <v>0.101523</v>
      </c>
      <c r="Y1050" s="16">
        <v>0.79974299999999998</v>
      </c>
      <c r="Z1050" s="16">
        <v>1</v>
      </c>
      <c r="AA1050" s="37"/>
    </row>
    <row r="1051" spans="1:27">
      <c r="A1051" s="16" t="s">
        <v>65</v>
      </c>
      <c r="B1051" s="16" t="s">
        <v>3617</v>
      </c>
      <c r="C1051" s="16" t="s">
        <v>3618</v>
      </c>
      <c r="D1051" s="16" t="s">
        <v>3619</v>
      </c>
      <c r="E1051" s="16" t="s">
        <v>3610</v>
      </c>
      <c r="F1051" s="16" t="s">
        <v>3611</v>
      </c>
      <c r="G1051" s="16" t="s">
        <v>1232</v>
      </c>
      <c r="H1051" s="16" t="s">
        <v>1233</v>
      </c>
      <c r="I1051" s="16" t="s">
        <v>198</v>
      </c>
      <c r="J1051" s="16" t="s">
        <v>199</v>
      </c>
      <c r="K1051" s="16">
        <v>2.8208329999999999</v>
      </c>
      <c r="L1051" s="36">
        <v>1558</v>
      </c>
      <c r="M1051" s="16">
        <v>301</v>
      </c>
      <c r="N1051" s="16">
        <v>348</v>
      </c>
      <c r="O1051" s="16">
        <v>432</v>
      </c>
      <c r="P1051" s="16">
        <v>353</v>
      </c>
      <c r="Q1051" s="16">
        <v>124</v>
      </c>
      <c r="R1051" s="16" t="s">
        <v>302</v>
      </c>
      <c r="S1051" s="16">
        <v>39.780700000000003</v>
      </c>
      <c r="T1051" s="16">
        <v>17.619399999999999</v>
      </c>
      <c r="U1051" s="16">
        <v>0.92679260799999996</v>
      </c>
      <c r="V1051" s="16">
        <v>2</v>
      </c>
      <c r="W1051" s="16">
        <v>0.90643899999999999</v>
      </c>
      <c r="X1051" s="16">
        <v>0.15789500000000001</v>
      </c>
      <c r="Y1051" s="16">
        <v>0.73863599999999996</v>
      </c>
      <c r="Z1051" s="16">
        <v>1</v>
      </c>
      <c r="AA1051" s="37"/>
    </row>
    <row r="1052" spans="1:27">
      <c r="A1052" s="16" t="s">
        <v>65</v>
      </c>
      <c r="B1052" s="16" t="s">
        <v>3620</v>
      </c>
      <c r="C1052" s="16" t="s">
        <v>3621</v>
      </c>
      <c r="D1052" s="16" t="s">
        <v>3622</v>
      </c>
      <c r="E1052" s="16" t="s">
        <v>3577</v>
      </c>
      <c r="F1052" s="16" t="s">
        <v>3578</v>
      </c>
      <c r="G1052" s="16" t="s">
        <v>1232</v>
      </c>
      <c r="H1052" s="16" t="s">
        <v>1233</v>
      </c>
      <c r="I1052" s="16" t="s">
        <v>198</v>
      </c>
      <c r="J1052" s="16" t="s">
        <v>199</v>
      </c>
      <c r="K1052" s="16">
        <v>2.6770429999999998</v>
      </c>
      <c r="L1052" s="36">
        <v>1798</v>
      </c>
      <c r="M1052" s="16">
        <v>227</v>
      </c>
      <c r="N1052" s="16">
        <v>433</v>
      </c>
      <c r="O1052" s="16">
        <v>599</v>
      </c>
      <c r="P1052" s="16">
        <v>377</v>
      </c>
      <c r="Q1052" s="16">
        <v>162</v>
      </c>
      <c r="R1052" s="16">
        <v>5</v>
      </c>
      <c r="S1052" s="16">
        <v>33.806199999999997</v>
      </c>
      <c r="T1052" s="16">
        <v>12.9636</v>
      </c>
      <c r="U1052" s="16">
        <v>0.72795432999999998</v>
      </c>
      <c r="V1052" s="16">
        <v>4</v>
      </c>
      <c r="W1052" s="16">
        <v>0.91634199999999999</v>
      </c>
      <c r="X1052" s="16">
        <v>7.1815000000000004E-2</v>
      </c>
      <c r="Y1052" s="16">
        <v>0.7</v>
      </c>
      <c r="Z1052" s="16">
        <v>1</v>
      </c>
      <c r="AA1052" s="37"/>
    </row>
    <row r="1053" spans="1:27">
      <c r="A1053" s="16" t="s">
        <v>65</v>
      </c>
      <c r="B1053" s="16" t="s">
        <v>3623</v>
      </c>
      <c r="C1053" s="16" t="s">
        <v>3624</v>
      </c>
      <c r="D1053" s="16" t="s">
        <v>3625</v>
      </c>
      <c r="E1053" s="16" t="s">
        <v>3615</v>
      </c>
      <c r="F1053" s="16" t="s">
        <v>3616</v>
      </c>
      <c r="G1053" s="16" t="s">
        <v>1232</v>
      </c>
      <c r="H1053" s="16" t="s">
        <v>1233</v>
      </c>
      <c r="I1053" s="16" t="s">
        <v>198</v>
      </c>
      <c r="J1053" s="16" t="s">
        <v>199</v>
      </c>
      <c r="K1053" s="16">
        <v>2.9068969999999998</v>
      </c>
      <c r="L1053" s="36">
        <v>2609</v>
      </c>
      <c r="M1053" s="16">
        <v>606</v>
      </c>
      <c r="N1053" s="16">
        <v>602</v>
      </c>
      <c r="O1053" s="16">
        <v>686</v>
      </c>
      <c r="P1053" s="16">
        <v>473</v>
      </c>
      <c r="Q1053" s="16">
        <v>242</v>
      </c>
      <c r="R1053" s="16" t="s">
        <v>302</v>
      </c>
      <c r="S1053" s="16">
        <v>34.4392</v>
      </c>
      <c r="T1053" s="16">
        <v>24.352499999999999</v>
      </c>
      <c r="U1053" s="16">
        <v>0.81408476699999999</v>
      </c>
      <c r="V1053" s="16">
        <v>2</v>
      </c>
      <c r="W1053" s="16">
        <v>0.91982799999999998</v>
      </c>
      <c r="X1053" s="16">
        <v>0.201709</v>
      </c>
      <c r="Y1053" s="16">
        <v>0.8</v>
      </c>
      <c r="Z1053" s="16">
        <v>1</v>
      </c>
      <c r="AA1053" s="37"/>
    </row>
    <row r="1054" spans="1:27">
      <c r="A1054" s="16" t="s">
        <v>65</v>
      </c>
      <c r="B1054" s="16" t="s">
        <v>3626</v>
      </c>
      <c r="C1054" s="16" t="s">
        <v>3627</v>
      </c>
      <c r="D1054" s="16" t="s">
        <v>3628</v>
      </c>
      <c r="E1054" s="16" t="s">
        <v>3615</v>
      </c>
      <c r="F1054" s="16" t="s">
        <v>3616</v>
      </c>
      <c r="G1054" s="16" t="s">
        <v>1232</v>
      </c>
      <c r="H1054" s="16" t="s">
        <v>1233</v>
      </c>
      <c r="I1054" s="16" t="s">
        <v>198</v>
      </c>
      <c r="J1054" s="16" t="s">
        <v>199</v>
      </c>
      <c r="K1054" s="16">
        <v>2.6337299999999999</v>
      </c>
      <c r="L1054" s="36">
        <v>1490</v>
      </c>
      <c r="M1054" s="16">
        <v>172</v>
      </c>
      <c r="N1054" s="16">
        <v>446</v>
      </c>
      <c r="O1054" s="16">
        <v>399</v>
      </c>
      <c r="P1054" s="16">
        <v>316</v>
      </c>
      <c r="Q1054" s="16">
        <v>157</v>
      </c>
      <c r="R1054" s="16" t="s">
        <v>302</v>
      </c>
      <c r="S1054" s="16">
        <v>30.910599999999999</v>
      </c>
      <c r="T1054" s="16">
        <v>20.9496</v>
      </c>
      <c r="U1054" s="16">
        <v>0.84672077700000004</v>
      </c>
      <c r="V1054" s="16">
        <v>3</v>
      </c>
      <c r="W1054" s="16">
        <v>0.90793599999999997</v>
      </c>
      <c r="X1054" s="16">
        <v>6.6396999999999998E-2</v>
      </c>
      <c r="Y1054" s="16">
        <v>0.77817499999999995</v>
      </c>
      <c r="Z1054" s="16">
        <v>0.90117599999999998</v>
      </c>
      <c r="AA1054" s="37"/>
    </row>
    <row r="1055" spans="1:27">
      <c r="A1055" s="16" t="s">
        <v>65</v>
      </c>
      <c r="B1055" s="16" t="s">
        <v>3629</v>
      </c>
      <c r="C1055" s="16" t="s">
        <v>3630</v>
      </c>
      <c r="D1055" s="16" t="s">
        <v>3631</v>
      </c>
      <c r="E1055" s="16" t="s">
        <v>3615</v>
      </c>
      <c r="F1055" s="16" t="s">
        <v>3616</v>
      </c>
      <c r="G1055" s="16" t="s">
        <v>1232</v>
      </c>
      <c r="H1055" s="16" t="s">
        <v>1233</v>
      </c>
      <c r="I1055" s="16" t="s">
        <v>198</v>
      </c>
      <c r="J1055" s="16" t="s">
        <v>199</v>
      </c>
      <c r="K1055" s="16">
        <v>2.708297</v>
      </c>
      <c r="L1055" s="36">
        <v>2443</v>
      </c>
      <c r="M1055" s="16">
        <v>145</v>
      </c>
      <c r="N1055" s="36">
        <v>1134</v>
      </c>
      <c r="O1055" s="16">
        <v>747</v>
      </c>
      <c r="P1055" s="16">
        <v>293</v>
      </c>
      <c r="Q1055" s="16">
        <v>124</v>
      </c>
      <c r="R1055" s="16">
        <v>5</v>
      </c>
      <c r="S1055" s="16">
        <v>45.947200000000002</v>
      </c>
      <c r="T1055" s="16">
        <v>8.6404499999999995</v>
      </c>
      <c r="U1055" s="16">
        <v>0.756092078</v>
      </c>
      <c r="V1055" s="16">
        <v>4</v>
      </c>
      <c r="W1055" s="16">
        <v>0.90851499999999996</v>
      </c>
      <c r="X1055" s="16">
        <v>9.1067999999999996E-2</v>
      </c>
      <c r="Y1055" s="16">
        <v>0.76768599999999998</v>
      </c>
      <c r="Z1055" s="16">
        <v>0.93538500000000002</v>
      </c>
      <c r="AA1055" s="37"/>
    </row>
    <row r="1056" spans="1:27">
      <c r="A1056" s="16" t="s">
        <v>65</v>
      </c>
      <c r="B1056" s="16" t="s">
        <v>3632</v>
      </c>
      <c r="C1056" s="16" t="s">
        <v>3633</v>
      </c>
      <c r="D1056" s="16" t="s">
        <v>3634</v>
      </c>
      <c r="E1056" s="16" t="s">
        <v>3602</v>
      </c>
      <c r="F1056" s="16" t="s">
        <v>3603</v>
      </c>
      <c r="G1056" s="16" t="s">
        <v>1232</v>
      </c>
      <c r="H1056" s="16" t="s">
        <v>1233</v>
      </c>
      <c r="I1056" s="16" t="s">
        <v>198</v>
      </c>
      <c r="J1056" s="16" t="s">
        <v>199</v>
      </c>
      <c r="K1056" s="16">
        <v>2.782524</v>
      </c>
      <c r="L1056" s="36">
        <v>1652</v>
      </c>
      <c r="M1056" s="16">
        <v>263</v>
      </c>
      <c r="N1056" s="16">
        <v>349</v>
      </c>
      <c r="O1056" s="16">
        <v>422</v>
      </c>
      <c r="P1056" s="16">
        <v>388</v>
      </c>
      <c r="Q1056" s="16">
        <v>230</v>
      </c>
      <c r="R1056" s="16">
        <v>4</v>
      </c>
      <c r="S1056" s="16">
        <v>31.506599999999999</v>
      </c>
      <c r="T1056" s="16">
        <v>8.13734</v>
      </c>
      <c r="U1056" s="16">
        <v>0.87818672200000003</v>
      </c>
      <c r="V1056" s="16">
        <v>3</v>
      </c>
      <c r="W1056" s="16">
        <v>0.93818800000000002</v>
      </c>
      <c r="X1056" s="16">
        <v>0.147368</v>
      </c>
      <c r="Y1056" s="16">
        <v>0.7</v>
      </c>
      <c r="Z1056" s="16">
        <v>1</v>
      </c>
      <c r="AA1056" s="37"/>
    </row>
    <row r="1057" spans="1:27">
      <c r="A1057" s="16" t="s">
        <v>65</v>
      </c>
      <c r="B1057" s="16" t="s">
        <v>3635</v>
      </c>
      <c r="C1057" s="16" t="s">
        <v>3636</v>
      </c>
      <c r="D1057" s="16" t="s">
        <v>3637</v>
      </c>
      <c r="E1057" s="16" t="s">
        <v>3261</v>
      </c>
      <c r="F1057" s="16" t="s">
        <v>3262</v>
      </c>
      <c r="G1057" s="16" t="s">
        <v>1232</v>
      </c>
      <c r="H1057" s="16" t="s">
        <v>1233</v>
      </c>
      <c r="I1057" s="16" t="s">
        <v>198</v>
      </c>
      <c r="J1057" s="16" t="s">
        <v>199</v>
      </c>
      <c r="K1057" s="16">
        <v>2.6672929999999999</v>
      </c>
      <c r="L1057" s="36">
        <v>1509</v>
      </c>
      <c r="M1057" s="16">
        <v>229</v>
      </c>
      <c r="N1057" s="16">
        <v>323</v>
      </c>
      <c r="O1057" s="16">
        <v>431</v>
      </c>
      <c r="P1057" s="16">
        <v>363</v>
      </c>
      <c r="Q1057" s="16">
        <v>163</v>
      </c>
      <c r="R1057" s="16">
        <v>5</v>
      </c>
      <c r="S1057" s="16">
        <v>30.838999999999999</v>
      </c>
      <c r="T1057" s="16">
        <v>11.8918</v>
      </c>
      <c r="U1057" s="16">
        <v>0.74308931199999995</v>
      </c>
      <c r="V1057" s="16">
        <v>4</v>
      </c>
      <c r="W1057" s="16">
        <v>0.93496199999999996</v>
      </c>
      <c r="X1057" s="16">
        <v>1.4671999999999999E-2</v>
      </c>
      <c r="Y1057" s="16">
        <v>0.7</v>
      </c>
      <c r="Z1057" s="16">
        <v>1</v>
      </c>
      <c r="AA1057" s="37"/>
    </row>
    <row r="1058" spans="1:27">
      <c r="A1058" s="16" t="s">
        <v>65</v>
      </c>
      <c r="B1058" s="16" t="s">
        <v>3258</v>
      </c>
      <c r="C1058" s="16" t="s">
        <v>3259</v>
      </c>
      <c r="D1058" s="16" t="s">
        <v>3260</v>
      </c>
      <c r="E1058" s="16" t="s">
        <v>3261</v>
      </c>
      <c r="F1058" s="16" t="s">
        <v>3262</v>
      </c>
      <c r="G1058" s="16" t="s">
        <v>1232</v>
      </c>
      <c r="H1058" s="16" t="s">
        <v>1233</v>
      </c>
      <c r="I1058" s="16" t="s">
        <v>198</v>
      </c>
      <c r="J1058" s="16" t="s">
        <v>199</v>
      </c>
      <c r="K1058" s="16">
        <v>3.0671919999999999</v>
      </c>
      <c r="L1058" s="36">
        <v>2020</v>
      </c>
      <c r="M1058" s="16">
        <v>170</v>
      </c>
      <c r="N1058" s="16">
        <v>770</v>
      </c>
      <c r="O1058" s="16">
        <v>720</v>
      </c>
      <c r="P1058" s="16">
        <v>290</v>
      </c>
      <c r="Q1058" s="16">
        <v>70</v>
      </c>
      <c r="R1058" s="16" t="s">
        <v>302</v>
      </c>
      <c r="S1058" s="16">
        <v>36.8215</v>
      </c>
      <c r="T1058" s="16">
        <v>24.703499999999998</v>
      </c>
      <c r="U1058" s="16">
        <v>0.38403917599999998</v>
      </c>
      <c r="V1058" s="16">
        <v>6</v>
      </c>
      <c r="W1058" s="16">
        <v>0.99053599999999997</v>
      </c>
      <c r="X1058" s="16">
        <v>0.37079400000000001</v>
      </c>
      <c r="Y1058" s="16">
        <v>0.7</v>
      </c>
      <c r="Z1058" s="16">
        <v>1</v>
      </c>
      <c r="AA1058" s="37"/>
    </row>
    <row r="1059" spans="1:27">
      <c r="A1059" s="16" t="s">
        <v>65</v>
      </c>
      <c r="B1059" s="16" t="s">
        <v>3638</v>
      </c>
      <c r="C1059" s="16" t="s">
        <v>3639</v>
      </c>
      <c r="D1059" s="16" t="s">
        <v>3640</v>
      </c>
      <c r="E1059" s="16" t="s">
        <v>3577</v>
      </c>
      <c r="F1059" s="16" t="s">
        <v>3578</v>
      </c>
      <c r="G1059" s="16" t="s">
        <v>1232</v>
      </c>
      <c r="H1059" s="16" t="s">
        <v>1233</v>
      </c>
      <c r="I1059" s="16" t="s">
        <v>198</v>
      </c>
      <c r="J1059" s="16" t="s">
        <v>199</v>
      </c>
      <c r="K1059" s="16">
        <v>2.7613029999999998</v>
      </c>
      <c r="L1059" s="36">
        <v>1674</v>
      </c>
      <c r="M1059" s="16">
        <v>172</v>
      </c>
      <c r="N1059" s="16">
        <v>513</v>
      </c>
      <c r="O1059" s="16">
        <v>519</v>
      </c>
      <c r="P1059" s="16">
        <v>328</v>
      </c>
      <c r="Q1059" s="16">
        <v>142</v>
      </c>
      <c r="R1059" s="16" t="s">
        <v>302</v>
      </c>
      <c r="S1059" s="16">
        <v>41.6828</v>
      </c>
      <c r="T1059" s="16">
        <v>17.3977</v>
      </c>
      <c r="U1059" s="16">
        <v>0.74038328499999995</v>
      </c>
      <c r="V1059" s="16">
        <v>4</v>
      </c>
      <c r="W1059" s="16">
        <v>0.95019200000000004</v>
      </c>
      <c r="X1059" s="16">
        <v>0.116226</v>
      </c>
      <c r="Y1059" s="16">
        <v>0.7</v>
      </c>
      <c r="Z1059" s="16">
        <v>1</v>
      </c>
      <c r="AA1059" s="37"/>
    </row>
    <row r="1060" spans="1:27">
      <c r="A1060" s="16" t="s">
        <v>65</v>
      </c>
      <c r="B1060" s="16" t="s">
        <v>3641</v>
      </c>
      <c r="C1060" s="16" t="s">
        <v>3642</v>
      </c>
      <c r="D1060" s="16" t="s">
        <v>3643</v>
      </c>
      <c r="E1060" s="16" t="s">
        <v>3615</v>
      </c>
      <c r="F1060" s="16" t="s">
        <v>3616</v>
      </c>
      <c r="G1060" s="16" t="s">
        <v>1232</v>
      </c>
      <c r="H1060" s="16" t="s">
        <v>1233</v>
      </c>
      <c r="I1060" s="16" t="s">
        <v>198</v>
      </c>
      <c r="J1060" s="16" t="s">
        <v>199</v>
      </c>
      <c r="K1060" s="16">
        <v>2.540702</v>
      </c>
      <c r="L1060" s="36">
        <v>1586</v>
      </c>
      <c r="M1060" s="16">
        <v>231</v>
      </c>
      <c r="N1060" s="16">
        <v>519</v>
      </c>
      <c r="O1060" s="16">
        <v>451</v>
      </c>
      <c r="P1060" s="16">
        <v>293</v>
      </c>
      <c r="Q1060" s="16">
        <v>92</v>
      </c>
      <c r="R1060" s="16">
        <v>5</v>
      </c>
      <c r="S1060" s="16">
        <v>26.317299999999999</v>
      </c>
      <c r="T1060" s="16">
        <v>16.959499999999998</v>
      </c>
      <c r="U1060" s="16">
        <v>0.93528043500000002</v>
      </c>
      <c r="V1060" s="16">
        <v>3</v>
      </c>
      <c r="W1060" s="16">
        <v>0.90526300000000004</v>
      </c>
      <c r="X1060" s="16">
        <v>0.148789</v>
      </c>
      <c r="Y1060" s="16">
        <v>0.70446699999999995</v>
      </c>
      <c r="Z1060" s="16">
        <v>0.77003500000000003</v>
      </c>
      <c r="AA1060" s="37"/>
    </row>
    <row r="1061" spans="1:27">
      <c r="A1061" s="16" t="s">
        <v>65</v>
      </c>
      <c r="B1061" s="16" t="s">
        <v>3644</v>
      </c>
      <c r="C1061" s="16" t="s">
        <v>3645</v>
      </c>
      <c r="D1061" s="16" t="s">
        <v>3646</v>
      </c>
      <c r="E1061" s="16" t="s">
        <v>3647</v>
      </c>
      <c r="F1061" s="16" t="s">
        <v>3648</v>
      </c>
      <c r="G1061" s="16" t="s">
        <v>1232</v>
      </c>
      <c r="H1061" s="16" t="s">
        <v>1233</v>
      </c>
      <c r="I1061" s="16" t="s">
        <v>198</v>
      </c>
      <c r="J1061" s="16" t="s">
        <v>199</v>
      </c>
      <c r="K1061" s="16">
        <v>2.6724060000000001</v>
      </c>
      <c r="L1061" s="36">
        <v>2348</v>
      </c>
      <c r="M1061" s="16">
        <v>204</v>
      </c>
      <c r="N1061" s="16">
        <v>897</v>
      </c>
      <c r="O1061" s="16">
        <v>774</v>
      </c>
      <c r="P1061" s="16">
        <v>336</v>
      </c>
      <c r="Q1061" s="16">
        <v>137</v>
      </c>
      <c r="R1061" s="16" t="s">
        <v>302</v>
      </c>
      <c r="S1061" s="16">
        <v>38.765500000000003</v>
      </c>
      <c r="T1061" s="16">
        <v>22.495899999999999</v>
      </c>
      <c r="U1061" s="16">
        <v>0.74715956800000005</v>
      </c>
      <c r="V1061" s="16">
        <v>4</v>
      </c>
      <c r="W1061" s="16">
        <v>0.918632</v>
      </c>
      <c r="X1061" s="16">
        <v>0.21179200000000001</v>
      </c>
      <c r="Y1061" s="16">
        <v>0.70236399999999999</v>
      </c>
      <c r="Z1061" s="16">
        <v>0.83744099999999999</v>
      </c>
      <c r="AA1061" s="37"/>
    </row>
    <row r="1062" spans="1:27">
      <c r="A1062" s="16" t="s">
        <v>65</v>
      </c>
      <c r="B1062" s="16" t="s">
        <v>3649</v>
      </c>
      <c r="C1062" s="16" t="s">
        <v>3650</v>
      </c>
      <c r="D1062" s="16" t="s">
        <v>3651</v>
      </c>
      <c r="E1062" s="16" t="s">
        <v>3266</v>
      </c>
      <c r="F1062" s="16" t="s">
        <v>3267</v>
      </c>
      <c r="G1062" s="16" t="s">
        <v>1232</v>
      </c>
      <c r="H1062" s="16" t="s">
        <v>1233</v>
      </c>
      <c r="I1062" s="16" t="s">
        <v>198</v>
      </c>
      <c r="J1062" s="16" t="s">
        <v>199</v>
      </c>
      <c r="K1062" s="16">
        <v>2.9178030000000001</v>
      </c>
      <c r="L1062" s="36">
        <v>1554</v>
      </c>
      <c r="M1062" s="16">
        <v>301</v>
      </c>
      <c r="N1062" s="16">
        <v>307</v>
      </c>
      <c r="O1062" s="16">
        <v>437</v>
      </c>
      <c r="P1062" s="16">
        <v>342</v>
      </c>
      <c r="Q1062" s="16">
        <v>167</v>
      </c>
      <c r="R1062" s="16" t="s">
        <v>302</v>
      </c>
      <c r="S1062" s="16">
        <v>46.063400000000001</v>
      </c>
      <c r="T1062" s="16">
        <v>23.502500000000001</v>
      </c>
      <c r="U1062" s="16">
        <v>0.93912136599999996</v>
      </c>
      <c r="V1062" s="16">
        <v>2</v>
      </c>
      <c r="W1062" s="16">
        <v>0.91552999999999995</v>
      </c>
      <c r="X1062" s="16">
        <v>0.19703699999999999</v>
      </c>
      <c r="Y1062" s="16">
        <v>0.8</v>
      </c>
      <c r="Z1062" s="16">
        <v>1</v>
      </c>
      <c r="AA1062" s="37"/>
    </row>
    <row r="1063" spans="1:27">
      <c r="A1063" s="16" t="s">
        <v>65</v>
      </c>
      <c r="B1063" s="16" t="s">
        <v>3268</v>
      </c>
      <c r="C1063" s="16" t="s">
        <v>3269</v>
      </c>
      <c r="D1063" s="16" t="s">
        <v>3270</v>
      </c>
      <c r="E1063" s="16" t="s">
        <v>3266</v>
      </c>
      <c r="F1063" s="16" t="s">
        <v>3267</v>
      </c>
      <c r="G1063" s="16" t="s">
        <v>1232</v>
      </c>
      <c r="H1063" s="16" t="s">
        <v>1233</v>
      </c>
      <c r="I1063" s="16" t="s">
        <v>198</v>
      </c>
      <c r="J1063" s="16" t="s">
        <v>199</v>
      </c>
      <c r="K1063" s="16">
        <v>3.014113</v>
      </c>
      <c r="L1063" s="36">
        <v>1035</v>
      </c>
      <c r="M1063" s="16">
        <v>106</v>
      </c>
      <c r="N1063" s="16">
        <v>264</v>
      </c>
      <c r="O1063" s="16">
        <v>342</v>
      </c>
      <c r="P1063" s="16">
        <v>250</v>
      </c>
      <c r="Q1063" s="16">
        <v>73</v>
      </c>
      <c r="R1063" s="16" t="s">
        <v>302</v>
      </c>
      <c r="S1063" s="16">
        <v>47.667099999999998</v>
      </c>
      <c r="T1063" s="16">
        <v>15.9384</v>
      </c>
      <c r="U1063" s="16">
        <v>0.81790094199999996</v>
      </c>
      <c r="V1063" s="16">
        <v>2</v>
      </c>
      <c r="W1063" s="16">
        <v>0.92540299999999998</v>
      </c>
      <c r="X1063" s="16">
        <v>0.331984</v>
      </c>
      <c r="Y1063" s="16">
        <v>0.74734699999999998</v>
      </c>
      <c r="Z1063" s="16">
        <v>1</v>
      </c>
      <c r="AA1063" s="37"/>
    </row>
    <row r="1064" spans="1:27">
      <c r="A1064" s="16" t="s">
        <v>65</v>
      </c>
      <c r="B1064" s="16" t="s">
        <v>3652</v>
      </c>
      <c r="C1064" s="16" t="s">
        <v>3653</v>
      </c>
      <c r="D1064" s="16" t="s">
        <v>3654</v>
      </c>
      <c r="E1064" s="16" t="s">
        <v>3655</v>
      </c>
      <c r="F1064" s="16" t="s">
        <v>3656</v>
      </c>
      <c r="G1064" s="16" t="s">
        <v>1232</v>
      </c>
      <c r="H1064" s="16" t="s">
        <v>1233</v>
      </c>
      <c r="I1064" s="16" t="s">
        <v>198</v>
      </c>
      <c r="J1064" s="16" t="s">
        <v>199</v>
      </c>
      <c r="K1064" s="16">
        <v>2.8459240000000001</v>
      </c>
      <c r="L1064" s="36">
        <v>1680</v>
      </c>
      <c r="M1064" s="16">
        <v>136</v>
      </c>
      <c r="N1064" s="16">
        <v>608</v>
      </c>
      <c r="O1064" s="16">
        <v>605</v>
      </c>
      <c r="P1064" s="16">
        <v>233</v>
      </c>
      <c r="Q1064" s="16">
        <v>98</v>
      </c>
      <c r="R1064" s="16" t="s">
        <v>302</v>
      </c>
      <c r="S1064" s="16">
        <v>47.351799999999997</v>
      </c>
      <c r="T1064" s="16">
        <v>18.8186</v>
      </c>
      <c r="U1064" s="16">
        <v>0.63284478600000005</v>
      </c>
      <c r="V1064" s="16">
        <v>4</v>
      </c>
      <c r="W1064" s="16">
        <v>0.90380400000000005</v>
      </c>
      <c r="X1064" s="16">
        <v>0.23013700000000001</v>
      </c>
      <c r="Y1064" s="16">
        <v>0.73468800000000001</v>
      </c>
      <c r="Z1064" s="16">
        <v>0.98360700000000001</v>
      </c>
      <c r="AA1064" s="37"/>
    </row>
    <row r="1065" spans="1:27">
      <c r="A1065" s="16" t="s">
        <v>65</v>
      </c>
      <c r="B1065" s="16" t="s">
        <v>3657</v>
      </c>
      <c r="C1065" s="16" t="s">
        <v>3658</v>
      </c>
      <c r="D1065" s="16" t="s">
        <v>3659</v>
      </c>
      <c r="E1065" s="16" t="s">
        <v>3655</v>
      </c>
      <c r="F1065" s="16" t="s">
        <v>3656</v>
      </c>
      <c r="G1065" s="16" t="s">
        <v>1232</v>
      </c>
      <c r="H1065" s="16" t="s">
        <v>1233</v>
      </c>
      <c r="I1065" s="16" t="s">
        <v>198</v>
      </c>
      <c r="J1065" s="16" t="s">
        <v>199</v>
      </c>
      <c r="K1065" s="16">
        <v>2.577032</v>
      </c>
      <c r="L1065" s="36">
        <v>2079</v>
      </c>
      <c r="M1065" s="16">
        <v>180</v>
      </c>
      <c r="N1065" s="16">
        <v>944</v>
      </c>
      <c r="O1065" s="16">
        <v>687</v>
      </c>
      <c r="P1065" s="16">
        <v>182</v>
      </c>
      <c r="Q1065" s="16">
        <v>86</v>
      </c>
      <c r="R1065" s="16" t="s">
        <v>302</v>
      </c>
      <c r="S1065" s="16">
        <v>34.091900000000003</v>
      </c>
      <c r="T1065" s="16">
        <v>23.7835</v>
      </c>
      <c r="U1065" s="16">
        <v>0.71101869799999995</v>
      </c>
      <c r="V1065" s="16">
        <v>4</v>
      </c>
      <c r="W1065" s="16">
        <v>0.91554800000000003</v>
      </c>
      <c r="X1065" s="16">
        <v>0.188693</v>
      </c>
      <c r="Y1065" s="16">
        <v>0.7</v>
      </c>
      <c r="Z1065" s="16">
        <v>0.79503500000000005</v>
      </c>
      <c r="AA1065" s="37"/>
    </row>
    <row r="1066" spans="1:27">
      <c r="A1066" s="16" t="s">
        <v>65</v>
      </c>
      <c r="B1066" s="16" t="s">
        <v>3660</v>
      </c>
      <c r="C1066" s="16" t="s">
        <v>3661</v>
      </c>
      <c r="D1066" s="16" t="s">
        <v>3662</v>
      </c>
      <c r="E1066" s="16" t="s">
        <v>3663</v>
      </c>
      <c r="F1066" s="16" t="s">
        <v>3664</v>
      </c>
      <c r="G1066" s="16" t="s">
        <v>1232</v>
      </c>
      <c r="H1066" s="16" t="s">
        <v>1233</v>
      </c>
      <c r="I1066" s="16" t="s">
        <v>198</v>
      </c>
      <c r="J1066" s="16" t="s">
        <v>199</v>
      </c>
      <c r="K1066" s="16">
        <v>2.5460229999999999</v>
      </c>
      <c r="L1066" s="36">
        <v>1747</v>
      </c>
      <c r="M1066" s="16">
        <v>237</v>
      </c>
      <c r="N1066" s="16">
        <v>485</v>
      </c>
      <c r="O1066" s="16">
        <v>451</v>
      </c>
      <c r="P1066" s="16">
        <v>354</v>
      </c>
      <c r="Q1066" s="16">
        <v>220</v>
      </c>
      <c r="R1066" s="16" t="s">
        <v>302</v>
      </c>
      <c r="S1066" s="16">
        <v>41.878300000000003</v>
      </c>
      <c r="T1066" s="16">
        <v>19.754200000000001</v>
      </c>
      <c r="U1066" s="16">
        <v>0.96388614500000003</v>
      </c>
      <c r="V1066" s="16">
        <v>3</v>
      </c>
      <c r="W1066" s="16">
        <v>0.92234799999999995</v>
      </c>
      <c r="X1066" s="16">
        <v>0.279026</v>
      </c>
      <c r="Y1066" s="16">
        <v>0.72732399999999997</v>
      </c>
      <c r="Z1066" s="16">
        <v>0.64037699999999997</v>
      </c>
      <c r="AA1066" s="37"/>
    </row>
    <row r="1067" spans="1:27">
      <c r="A1067" s="16" t="s">
        <v>65</v>
      </c>
      <c r="B1067" s="16" t="s">
        <v>3665</v>
      </c>
      <c r="C1067" s="16" t="s">
        <v>3666</v>
      </c>
      <c r="D1067" s="16" t="s">
        <v>3667</v>
      </c>
      <c r="E1067" s="16" t="s">
        <v>3647</v>
      </c>
      <c r="F1067" s="16" t="s">
        <v>3648</v>
      </c>
      <c r="G1067" s="16" t="s">
        <v>1232</v>
      </c>
      <c r="H1067" s="16" t="s">
        <v>1233</v>
      </c>
      <c r="I1067" s="16" t="s">
        <v>198</v>
      </c>
      <c r="J1067" s="16" t="s">
        <v>199</v>
      </c>
      <c r="K1067" s="16">
        <v>2.633426</v>
      </c>
      <c r="L1067" s="36">
        <v>1600</v>
      </c>
      <c r="M1067" s="16">
        <v>174</v>
      </c>
      <c r="N1067" s="16">
        <v>592</v>
      </c>
      <c r="O1067" s="16">
        <v>481</v>
      </c>
      <c r="P1067" s="16">
        <v>242</v>
      </c>
      <c r="Q1067" s="16">
        <v>111</v>
      </c>
      <c r="R1067" s="16" t="s">
        <v>302</v>
      </c>
      <c r="S1067" s="16">
        <v>32.8611</v>
      </c>
      <c r="T1067" s="16">
        <v>16.9589</v>
      </c>
      <c r="U1067" s="16">
        <v>0.79727139899999999</v>
      </c>
      <c r="V1067" s="16">
        <v>4</v>
      </c>
      <c r="W1067" s="16">
        <v>0.90640699999999996</v>
      </c>
      <c r="X1067" s="16">
        <v>0.19125700000000001</v>
      </c>
      <c r="Y1067" s="16">
        <v>0.7</v>
      </c>
      <c r="Z1067" s="16">
        <v>0.82383600000000001</v>
      </c>
      <c r="AA1067" s="37"/>
    </row>
    <row r="1068" spans="1:27">
      <c r="A1068" s="16" t="s">
        <v>65</v>
      </c>
      <c r="B1068" s="16" t="s">
        <v>3668</v>
      </c>
      <c r="C1068" s="16" t="s">
        <v>3669</v>
      </c>
      <c r="D1068" s="16" t="s">
        <v>3670</v>
      </c>
      <c r="E1068" s="16" t="s">
        <v>3671</v>
      </c>
      <c r="F1068" s="16" t="s">
        <v>3672</v>
      </c>
      <c r="G1068" s="16" t="s">
        <v>1232</v>
      </c>
      <c r="H1068" s="16" t="s">
        <v>1233</v>
      </c>
      <c r="I1068" s="16" t="s">
        <v>198</v>
      </c>
      <c r="J1068" s="16" t="s">
        <v>199</v>
      </c>
      <c r="K1068" s="16">
        <v>2.4741939999999998</v>
      </c>
      <c r="L1068" s="36">
        <v>2465</v>
      </c>
      <c r="M1068" s="16">
        <v>333</v>
      </c>
      <c r="N1068" s="16">
        <v>707</v>
      </c>
      <c r="O1068" s="16">
        <v>870</v>
      </c>
      <c r="P1068" s="16">
        <v>398</v>
      </c>
      <c r="Q1068" s="16">
        <v>157</v>
      </c>
      <c r="R1068" s="16" t="s">
        <v>302</v>
      </c>
      <c r="S1068" s="16">
        <v>36.165799999999997</v>
      </c>
      <c r="T1068" s="16">
        <v>18.9209</v>
      </c>
      <c r="U1068" s="16">
        <v>0.63569198299999996</v>
      </c>
      <c r="V1068" s="16">
        <v>8</v>
      </c>
      <c r="W1068" s="16">
        <v>0.91442100000000004</v>
      </c>
      <c r="X1068" s="16">
        <v>9.8485000000000003E-2</v>
      </c>
      <c r="Y1068" s="16">
        <v>0.74486699999999995</v>
      </c>
      <c r="Z1068" s="16">
        <v>0.71138500000000005</v>
      </c>
      <c r="AA1068" s="37"/>
    </row>
    <row r="1069" spans="1:27">
      <c r="A1069" s="16" t="s">
        <v>65</v>
      </c>
      <c r="B1069" s="16" t="s">
        <v>3673</v>
      </c>
      <c r="C1069" s="16" t="s">
        <v>3674</v>
      </c>
      <c r="D1069" s="16" t="s">
        <v>3675</v>
      </c>
      <c r="E1069" s="16" t="s">
        <v>3663</v>
      </c>
      <c r="F1069" s="16" t="s">
        <v>3664</v>
      </c>
      <c r="G1069" s="16" t="s">
        <v>1232</v>
      </c>
      <c r="H1069" s="16" t="s">
        <v>1233</v>
      </c>
      <c r="I1069" s="16" t="s">
        <v>198</v>
      </c>
      <c r="J1069" s="16" t="s">
        <v>199</v>
      </c>
      <c r="K1069" s="16">
        <v>2.545455</v>
      </c>
      <c r="L1069" s="36">
        <v>1574</v>
      </c>
      <c r="M1069" s="16">
        <v>255</v>
      </c>
      <c r="N1069" s="16">
        <v>454</v>
      </c>
      <c r="O1069" s="16">
        <v>365</v>
      </c>
      <c r="P1069" s="16">
        <v>325</v>
      </c>
      <c r="Q1069" s="16">
        <v>175</v>
      </c>
      <c r="R1069" s="16" t="s">
        <v>302</v>
      </c>
      <c r="S1069" s="16">
        <v>38.709600000000002</v>
      </c>
      <c r="T1069" s="16">
        <v>24.876799999999999</v>
      </c>
      <c r="U1069" s="16">
        <v>1.062374111</v>
      </c>
      <c r="V1069" s="16">
        <v>2</v>
      </c>
      <c r="W1069" s="16">
        <v>0.91461000000000003</v>
      </c>
      <c r="X1069" s="16">
        <v>0.19225800000000001</v>
      </c>
      <c r="Y1069" s="16">
        <v>0.7</v>
      </c>
      <c r="Z1069" s="16">
        <v>0.74317500000000003</v>
      </c>
      <c r="AA1069" s="37"/>
    </row>
    <row r="1070" spans="1:27">
      <c r="A1070" s="16" t="s">
        <v>65</v>
      </c>
      <c r="B1070" s="16" t="s">
        <v>3304</v>
      </c>
      <c r="C1070" s="16" t="s">
        <v>3305</v>
      </c>
      <c r="D1070" s="16" t="s">
        <v>3306</v>
      </c>
      <c r="E1070" s="16" t="s">
        <v>3307</v>
      </c>
      <c r="F1070" s="16" t="s">
        <v>3308</v>
      </c>
      <c r="G1070" s="16" t="s">
        <v>1232</v>
      </c>
      <c r="H1070" s="16" t="s">
        <v>1233</v>
      </c>
      <c r="I1070" s="16" t="s">
        <v>198</v>
      </c>
      <c r="J1070" s="16" t="s">
        <v>199</v>
      </c>
      <c r="K1070" s="16">
        <v>2.8316210000000002</v>
      </c>
      <c r="L1070" s="36">
        <v>1430</v>
      </c>
      <c r="M1070" s="16">
        <v>219</v>
      </c>
      <c r="N1070" s="16">
        <v>332</v>
      </c>
      <c r="O1070" s="16">
        <v>400</v>
      </c>
      <c r="P1070" s="16">
        <v>342</v>
      </c>
      <c r="Q1070" s="16">
        <v>137</v>
      </c>
      <c r="R1070" s="16">
        <v>5</v>
      </c>
      <c r="S1070" s="16">
        <v>25.7105</v>
      </c>
      <c r="T1070" s="16">
        <v>19.318100000000001</v>
      </c>
      <c r="U1070" s="16">
        <v>0.89236122799999995</v>
      </c>
      <c r="V1070" s="16">
        <v>2</v>
      </c>
      <c r="W1070" s="16">
        <v>0.979051</v>
      </c>
      <c r="X1070" s="16">
        <v>0.177953</v>
      </c>
      <c r="Y1070" s="16">
        <v>0.7</v>
      </c>
      <c r="Z1070" s="16">
        <v>1</v>
      </c>
      <c r="AA1070" s="37"/>
    </row>
    <row r="1071" spans="1:27">
      <c r="A1071" s="16" t="s">
        <v>65</v>
      </c>
      <c r="B1071" s="16" t="s">
        <v>3318</v>
      </c>
      <c r="C1071" s="16" t="s">
        <v>3319</v>
      </c>
      <c r="D1071" s="16" t="s">
        <v>3320</v>
      </c>
      <c r="E1071" s="16" t="s">
        <v>3307</v>
      </c>
      <c r="F1071" s="16" t="s">
        <v>3308</v>
      </c>
      <c r="G1071" s="16" t="s">
        <v>1232</v>
      </c>
      <c r="H1071" s="16" t="s">
        <v>1233</v>
      </c>
      <c r="I1071" s="16" t="s">
        <v>198</v>
      </c>
      <c r="J1071" s="16" t="s">
        <v>199</v>
      </c>
      <c r="K1071" s="16">
        <v>2.8077429999999999</v>
      </c>
      <c r="L1071" s="36">
        <v>2815</v>
      </c>
      <c r="M1071" s="16">
        <v>353</v>
      </c>
      <c r="N1071" s="16">
        <v>912</v>
      </c>
      <c r="O1071" s="16">
        <v>898</v>
      </c>
      <c r="P1071" s="16">
        <v>497</v>
      </c>
      <c r="Q1071" s="16">
        <v>155</v>
      </c>
      <c r="R1071" s="16">
        <v>5</v>
      </c>
      <c r="S1071" s="16">
        <v>29.562000000000001</v>
      </c>
      <c r="T1071" s="16">
        <v>8.6146799999999999</v>
      </c>
      <c r="U1071" s="16">
        <v>0.67225022999999995</v>
      </c>
      <c r="V1071" s="16">
        <v>5</v>
      </c>
      <c r="W1071" s="16">
        <v>0.92421699999999996</v>
      </c>
      <c r="X1071" s="16">
        <v>0.12970300000000001</v>
      </c>
      <c r="Y1071" s="16">
        <v>0.76644599999999996</v>
      </c>
      <c r="Z1071" s="16">
        <v>1</v>
      </c>
      <c r="AA1071" s="37"/>
    </row>
    <row r="1072" spans="1:27">
      <c r="A1072" s="16" t="s">
        <v>65</v>
      </c>
      <c r="B1072" s="16" t="s">
        <v>3676</v>
      </c>
      <c r="C1072" s="16" t="s">
        <v>3677</v>
      </c>
      <c r="D1072" s="16" t="s">
        <v>3678</v>
      </c>
      <c r="E1072" s="16" t="s">
        <v>3577</v>
      </c>
      <c r="F1072" s="16" t="s">
        <v>3578</v>
      </c>
      <c r="G1072" s="16" t="s">
        <v>1232</v>
      </c>
      <c r="H1072" s="16" t="s">
        <v>1233</v>
      </c>
      <c r="I1072" s="16" t="s">
        <v>198</v>
      </c>
      <c r="J1072" s="16" t="s">
        <v>199</v>
      </c>
      <c r="K1072" s="16">
        <v>2.9119519999999999</v>
      </c>
      <c r="L1072" s="36">
        <v>2649</v>
      </c>
      <c r="M1072" s="16">
        <v>334</v>
      </c>
      <c r="N1072" s="16">
        <v>877</v>
      </c>
      <c r="O1072" s="16">
        <v>686</v>
      </c>
      <c r="P1072" s="16">
        <v>516</v>
      </c>
      <c r="Q1072" s="16">
        <v>236</v>
      </c>
      <c r="R1072" s="16" t="s">
        <v>302</v>
      </c>
      <c r="S1072" s="16">
        <v>47.217599999999997</v>
      </c>
      <c r="T1072" s="16">
        <v>12.0655</v>
      </c>
      <c r="U1072" s="16">
        <v>0.95118255399999996</v>
      </c>
      <c r="V1072" s="16">
        <v>2</v>
      </c>
      <c r="W1072" s="16">
        <v>0.98207199999999994</v>
      </c>
      <c r="X1072" s="16">
        <v>0.234043</v>
      </c>
      <c r="Y1072" s="16">
        <v>0.706897</v>
      </c>
      <c r="Z1072" s="16">
        <v>1</v>
      </c>
      <c r="AA1072" s="37"/>
    </row>
    <row r="1073" spans="1:27">
      <c r="A1073" s="16"/>
      <c r="B1073" s="16"/>
      <c r="C1073" s="16"/>
      <c r="D1073" s="16"/>
      <c r="E1073" s="16"/>
      <c r="F1073" s="16"/>
      <c r="G1073" s="16"/>
      <c r="H1073" s="16"/>
      <c r="I1073" s="16"/>
      <c r="J1073" s="16"/>
      <c r="K1073" s="16">
        <f>MEDIAN(K1047:K1072)</f>
        <v>2.7719135000000001</v>
      </c>
      <c r="L1073" s="36">
        <f>AVERAGE(L1047:L1072)</f>
        <v>1842.9615384615386</v>
      </c>
      <c r="M1073" s="36">
        <f t="shared" ref="M1073:Q1073" si="85">SUM(M1047:M1072)</f>
        <v>6488</v>
      </c>
      <c r="N1073" s="36">
        <f t="shared" si="85"/>
        <v>14346</v>
      </c>
      <c r="O1073" s="36">
        <f t="shared" si="85"/>
        <v>14160</v>
      </c>
      <c r="P1073" s="36">
        <f t="shared" si="85"/>
        <v>9053</v>
      </c>
      <c r="Q1073" s="36">
        <f t="shared" si="85"/>
        <v>3870</v>
      </c>
      <c r="R1073" s="16"/>
      <c r="S1073" s="16"/>
      <c r="T1073" s="16"/>
      <c r="U1073" s="16"/>
      <c r="V1073" s="16">
        <f>MEDIAN(V1047:V1072)</f>
        <v>3</v>
      </c>
      <c r="W1073" s="16"/>
      <c r="X1073" s="16"/>
      <c r="Y1073" s="16"/>
      <c r="Z1073" s="16"/>
      <c r="AA1073" s="37"/>
    </row>
    <row r="1074" spans="1:27">
      <c r="A1074" s="16" t="s">
        <v>59</v>
      </c>
      <c r="B1074" s="16" t="s">
        <v>3679</v>
      </c>
      <c r="C1074" s="16" t="s">
        <v>3680</v>
      </c>
      <c r="D1074" s="16" t="s">
        <v>3681</v>
      </c>
      <c r="E1074" s="16" t="s">
        <v>3682</v>
      </c>
      <c r="F1074" s="16" t="s">
        <v>3683</v>
      </c>
      <c r="G1074" s="16" t="s">
        <v>3684</v>
      </c>
      <c r="H1074" s="16" t="s">
        <v>3685</v>
      </c>
      <c r="I1074" s="16" t="s">
        <v>198</v>
      </c>
      <c r="J1074" s="16" t="s">
        <v>199</v>
      </c>
      <c r="K1074" s="16">
        <v>3.1266080000000001</v>
      </c>
      <c r="L1074" s="36">
        <v>1476</v>
      </c>
      <c r="M1074" s="16">
        <v>230</v>
      </c>
      <c r="N1074" s="16">
        <v>341</v>
      </c>
      <c r="O1074" s="16">
        <v>437</v>
      </c>
      <c r="P1074" s="16">
        <v>322</v>
      </c>
      <c r="Q1074" s="16">
        <v>146</v>
      </c>
      <c r="R1074" s="16" t="s">
        <v>302</v>
      </c>
      <c r="S1074" s="16">
        <v>29.095300000000002</v>
      </c>
      <c r="T1074" s="16">
        <v>21.236599999999999</v>
      </c>
      <c r="U1074" s="16">
        <v>0.58623847600000001</v>
      </c>
      <c r="V1074" s="16">
        <v>3</v>
      </c>
      <c r="W1074" s="16">
        <v>0.94824600000000003</v>
      </c>
      <c r="X1074" s="16">
        <v>0.47701500000000002</v>
      </c>
      <c r="Y1074" s="16">
        <v>0.7</v>
      </c>
      <c r="Z1074" s="16">
        <v>1</v>
      </c>
      <c r="AA1074" s="37"/>
    </row>
    <row r="1075" spans="1:27">
      <c r="A1075" s="16" t="s">
        <v>59</v>
      </c>
      <c r="B1075" s="16" t="s">
        <v>3686</v>
      </c>
      <c r="C1075" s="16" t="s">
        <v>3687</v>
      </c>
      <c r="D1075" s="16" t="s">
        <v>3688</v>
      </c>
      <c r="E1075" s="16" t="s">
        <v>3682</v>
      </c>
      <c r="F1075" s="16" t="s">
        <v>3683</v>
      </c>
      <c r="G1075" s="16" t="s">
        <v>3684</v>
      </c>
      <c r="H1075" s="16" t="s">
        <v>3685</v>
      </c>
      <c r="I1075" s="16" t="s">
        <v>198</v>
      </c>
      <c r="J1075" s="16" t="s">
        <v>199</v>
      </c>
      <c r="K1075" s="16">
        <v>2.8939789999999999</v>
      </c>
      <c r="L1075" s="36">
        <v>1775</v>
      </c>
      <c r="M1075" s="16">
        <v>231</v>
      </c>
      <c r="N1075" s="16">
        <v>459</v>
      </c>
      <c r="O1075" s="16">
        <v>701</v>
      </c>
      <c r="P1075" s="16">
        <v>296</v>
      </c>
      <c r="Q1075" s="16">
        <v>88</v>
      </c>
      <c r="R1075" s="16">
        <v>3</v>
      </c>
      <c r="S1075" s="16">
        <v>24.590499999999999</v>
      </c>
      <c r="T1075" s="16">
        <v>2.3000799999999999</v>
      </c>
      <c r="U1075" s="16">
        <v>0.66860614299999999</v>
      </c>
      <c r="V1075" s="16">
        <v>3</v>
      </c>
      <c r="W1075" s="16">
        <v>0.91466000000000003</v>
      </c>
      <c r="X1075" s="16">
        <v>0.276393</v>
      </c>
      <c r="Y1075" s="16">
        <v>0.7</v>
      </c>
      <c r="Z1075" s="16">
        <v>1</v>
      </c>
      <c r="AA1075" s="37"/>
    </row>
    <row r="1076" spans="1:27">
      <c r="A1076" s="16" t="s">
        <v>59</v>
      </c>
      <c r="B1076" s="16" t="s">
        <v>3689</v>
      </c>
      <c r="C1076" s="16" t="s">
        <v>3690</v>
      </c>
      <c r="D1076" s="16" t="s">
        <v>3691</v>
      </c>
      <c r="E1076" s="16" t="s">
        <v>3682</v>
      </c>
      <c r="F1076" s="16" t="s">
        <v>3683</v>
      </c>
      <c r="G1076" s="16" t="s">
        <v>3684</v>
      </c>
      <c r="H1076" s="16" t="s">
        <v>3685</v>
      </c>
      <c r="I1076" s="16" t="s">
        <v>198</v>
      </c>
      <c r="J1076" s="16" t="s">
        <v>199</v>
      </c>
      <c r="K1076" s="16">
        <v>2.8882029999999999</v>
      </c>
      <c r="L1076" s="36">
        <v>2057</v>
      </c>
      <c r="M1076" s="16">
        <v>283</v>
      </c>
      <c r="N1076" s="16">
        <v>633</v>
      </c>
      <c r="O1076" s="16">
        <v>705</v>
      </c>
      <c r="P1076" s="16">
        <v>355</v>
      </c>
      <c r="Q1076" s="16">
        <v>81</v>
      </c>
      <c r="R1076" s="16">
        <v>4</v>
      </c>
      <c r="S1076" s="16">
        <v>26.322099999999999</v>
      </c>
      <c r="T1076" s="16">
        <v>0</v>
      </c>
      <c r="U1076" s="16">
        <v>0.52119470300000004</v>
      </c>
      <c r="V1076" s="16">
        <v>6</v>
      </c>
      <c r="W1076" s="16">
        <v>0.91609700000000005</v>
      </c>
      <c r="X1076" s="16">
        <v>0.364091</v>
      </c>
      <c r="Y1076" s="16">
        <v>0.7</v>
      </c>
      <c r="Z1076" s="16">
        <v>0.91106200000000004</v>
      </c>
      <c r="AA1076" s="37"/>
    </row>
    <row r="1077" spans="1:27">
      <c r="A1077" s="16" t="s">
        <v>59</v>
      </c>
      <c r="B1077" s="16" t="s">
        <v>3692</v>
      </c>
      <c r="C1077" s="16" t="s">
        <v>3693</v>
      </c>
      <c r="D1077" s="16" t="s">
        <v>3694</v>
      </c>
      <c r="E1077" s="16" t="s">
        <v>3695</v>
      </c>
      <c r="F1077" s="16" t="s">
        <v>3696</v>
      </c>
      <c r="G1077" s="16" t="s">
        <v>3684</v>
      </c>
      <c r="H1077" s="16" t="s">
        <v>3685</v>
      </c>
      <c r="I1077" s="16" t="s">
        <v>198</v>
      </c>
      <c r="J1077" s="16" t="s">
        <v>199</v>
      </c>
      <c r="K1077" s="16">
        <v>2.347</v>
      </c>
      <c r="L1077" s="36">
        <v>2184</v>
      </c>
      <c r="M1077" s="16">
        <v>325</v>
      </c>
      <c r="N1077" s="16">
        <v>482</v>
      </c>
      <c r="O1077" s="16">
        <v>649</v>
      </c>
      <c r="P1077" s="16">
        <v>511</v>
      </c>
      <c r="Q1077" s="16">
        <v>217</v>
      </c>
      <c r="R1077" s="16">
        <v>2</v>
      </c>
      <c r="S1077" s="16">
        <v>23.077300000000001</v>
      </c>
      <c r="T1077" s="16">
        <v>0</v>
      </c>
      <c r="U1077" s="16">
        <v>0.81293117299999995</v>
      </c>
      <c r="V1077" s="16">
        <v>6</v>
      </c>
      <c r="W1077" s="16">
        <v>0.90794699999999995</v>
      </c>
      <c r="X1077" s="16">
        <v>0.19483900000000001</v>
      </c>
      <c r="Y1077" s="16">
        <v>0.70388499999999998</v>
      </c>
      <c r="Z1077" s="16">
        <v>0.544292</v>
      </c>
      <c r="AA1077" s="37"/>
    </row>
    <row r="1078" spans="1:27">
      <c r="A1078" s="16" t="s">
        <v>59</v>
      </c>
      <c r="B1078" s="16" t="s">
        <v>3697</v>
      </c>
      <c r="C1078" s="16" t="s">
        <v>3698</v>
      </c>
      <c r="D1078" s="16" t="s">
        <v>3699</v>
      </c>
      <c r="E1078" s="16" t="s">
        <v>3682</v>
      </c>
      <c r="F1078" s="16" t="s">
        <v>3683</v>
      </c>
      <c r="G1078" s="16" t="s">
        <v>3684</v>
      </c>
      <c r="H1078" s="16" t="s">
        <v>3685</v>
      </c>
      <c r="I1078" s="16" t="s">
        <v>198</v>
      </c>
      <c r="J1078" s="16" t="s">
        <v>199</v>
      </c>
      <c r="K1078" s="16">
        <v>2.934539</v>
      </c>
      <c r="L1078" s="36">
        <v>2900</v>
      </c>
      <c r="M1078" s="16">
        <v>520</v>
      </c>
      <c r="N1078" s="16">
        <v>670</v>
      </c>
      <c r="O1078" s="16">
        <v>916</v>
      </c>
      <c r="P1078" s="16">
        <v>515</v>
      </c>
      <c r="Q1078" s="16">
        <v>279</v>
      </c>
      <c r="R1078" s="16">
        <v>3</v>
      </c>
      <c r="S1078" s="16">
        <v>48.506500000000003</v>
      </c>
      <c r="T1078" s="16">
        <v>0</v>
      </c>
      <c r="U1078" s="16">
        <v>0.64170606600000002</v>
      </c>
      <c r="V1078" s="16">
        <v>3</v>
      </c>
      <c r="W1078" s="16">
        <v>0.93020800000000003</v>
      </c>
      <c r="X1078" s="16">
        <v>0.29868600000000001</v>
      </c>
      <c r="Y1078" s="16">
        <v>0.71265100000000003</v>
      </c>
      <c r="Z1078" s="16">
        <v>1</v>
      </c>
      <c r="AA1078" s="37"/>
    </row>
    <row r="1079" spans="1:27">
      <c r="A1079" s="16" t="s">
        <v>59</v>
      </c>
      <c r="B1079" s="16" t="s">
        <v>3700</v>
      </c>
      <c r="C1079" s="16" t="s">
        <v>3701</v>
      </c>
      <c r="D1079" s="16" t="s">
        <v>3702</v>
      </c>
      <c r="E1079" s="16" t="s">
        <v>3682</v>
      </c>
      <c r="F1079" s="16" t="s">
        <v>3683</v>
      </c>
      <c r="G1079" s="16" t="s">
        <v>3684</v>
      </c>
      <c r="H1079" s="16" t="s">
        <v>3685</v>
      </c>
      <c r="I1079" s="16" t="s">
        <v>198</v>
      </c>
      <c r="J1079" s="16" t="s">
        <v>199</v>
      </c>
      <c r="K1079" s="16">
        <v>2.9065789999999998</v>
      </c>
      <c r="L1079" s="36">
        <v>2285</v>
      </c>
      <c r="M1079" s="16">
        <v>478</v>
      </c>
      <c r="N1079" s="16">
        <v>495</v>
      </c>
      <c r="O1079" s="16">
        <v>684</v>
      </c>
      <c r="P1079" s="16">
        <v>479</v>
      </c>
      <c r="Q1079" s="16">
        <v>149</v>
      </c>
      <c r="R1079" s="16">
        <v>4</v>
      </c>
      <c r="S1079" s="16">
        <v>26.044799999999999</v>
      </c>
      <c r="T1079" s="16">
        <v>2.3310499999999998</v>
      </c>
      <c r="U1079" s="16">
        <v>0.74953627499999997</v>
      </c>
      <c r="V1079" s="16">
        <v>3</v>
      </c>
      <c r="W1079" s="16">
        <v>0.91271899999999995</v>
      </c>
      <c r="X1079" s="16">
        <v>0.51048000000000004</v>
      </c>
      <c r="Y1079" s="16">
        <v>0.70413899999999996</v>
      </c>
      <c r="Z1079" s="16">
        <v>0.78611699999999995</v>
      </c>
      <c r="AA1079" s="37"/>
    </row>
    <row r="1080" spans="1:27">
      <c r="A1080" s="16" t="s">
        <v>59</v>
      </c>
      <c r="B1080" s="16" t="s">
        <v>3703</v>
      </c>
      <c r="C1080" s="16" t="s">
        <v>3704</v>
      </c>
      <c r="D1080" s="16" t="s">
        <v>3705</v>
      </c>
      <c r="E1080" s="16" t="s">
        <v>3682</v>
      </c>
      <c r="F1080" s="16" t="s">
        <v>3683</v>
      </c>
      <c r="G1080" s="16" t="s">
        <v>3684</v>
      </c>
      <c r="H1080" s="16" t="s">
        <v>3685</v>
      </c>
      <c r="I1080" s="16" t="s">
        <v>198</v>
      </c>
      <c r="J1080" s="16" t="s">
        <v>199</v>
      </c>
      <c r="K1080" s="16">
        <v>2.8404039999999999</v>
      </c>
      <c r="L1080" s="36">
        <v>1800</v>
      </c>
      <c r="M1080" s="16">
        <v>211</v>
      </c>
      <c r="N1080" s="16">
        <v>537</v>
      </c>
      <c r="O1080" s="16">
        <v>569</v>
      </c>
      <c r="P1080" s="16">
        <v>362</v>
      </c>
      <c r="Q1080" s="16">
        <v>121</v>
      </c>
      <c r="R1080" s="16">
        <v>4</v>
      </c>
      <c r="S1080" s="16">
        <v>27.197800000000001</v>
      </c>
      <c r="T1080" s="16">
        <v>2.2866499999999998</v>
      </c>
      <c r="U1080" s="16">
        <v>0.53109915100000005</v>
      </c>
      <c r="V1080" s="16">
        <v>5</v>
      </c>
      <c r="W1080" s="16">
        <v>0.90918299999999996</v>
      </c>
      <c r="X1080" s="16">
        <v>0.27393699999999999</v>
      </c>
      <c r="Y1080" s="16">
        <v>0.7</v>
      </c>
      <c r="Z1080" s="16">
        <v>0.96853699999999998</v>
      </c>
      <c r="AA1080" s="37"/>
    </row>
    <row r="1081" spans="1:27">
      <c r="A1081" s="16" t="s">
        <v>59</v>
      </c>
      <c r="B1081" s="16" t="s">
        <v>3706</v>
      </c>
      <c r="C1081" s="16" t="s">
        <v>3707</v>
      </c>
      <c r="D1081" s="16" t="s">
        <v>3708</v>
      </c>
      <c r="E1081" s="16" t="s">
        <v>3695</v>
      </c>
      <c r="F1081" s="16" t="s">
        <v>3696</v>
      </c>
      <c r="G1081" s="16" t="s">
        <v>3684</v>
      </c>
      <c r="H1081" s="16" t="s">
        <v>3685</v>
      </c>
      <c r="I1081" s="16" t="s">
        <v>198</v>
      </c>
      <c r="J1081" s="16" t="s">
        <v>199</v>
      </c>
      <c r="K1081" s="16">
        <v>2.7425169999999999</v>
      </c>
      <c r="L1081" s="36">
        <v>1739</v>
      </c>
      <c r="M1081" s="16">
        <v>230</v>
      </c>
      <c r="N1081" s="16">
        <v>402</v>
      </c>
      <c r="O1081" s="16">
        <v>516</v>
      </c>
      <c r="P1081" s="16">
        <v>376</v>
      </c>
      <c r="Q1081" s="16">
        <v>215</v>
      </c>
      <c r="R1081" s="16">
        <v>5</v>
      </c>
      <c r="S1081" s="16">
        <v>27.599499999999999</v>
      </c>
      <c r="T1081" s="16">
        <v>19.6629</v>
      </c>
      <c r="U1081" s="16">
        <v>0.52017682700000001</v>
      </c>
      <c r="V1081" s="16">
        <v>7</v>
      </c>
      <c r="W1081" s="16">
        <v>0.93435400000000002</v>
      </c>
      <c r="X1081" s="16">
        <v>0.225939</v>
      </c>
      <c r="Y1081" s="16">
        <v>0.7</v>
      </c>
      <c r="Z1081" s="16">
        <v>0.86644100000000002</v>
      </c>
      <c r="AA1081" s="37"/>
    </row>
    <row r="1082" spans="1:27">
      <c r="A1082" s="16" t="s">
        <v>59</v>
      </c>
      <c r="B1082" s="16" t="s">
        <v>3709</v>
      </c>
      <c r="C1082" s="16" t="s">
        <v>3710</v>
      </c>
      <c r="D1082" s="16" t="s">
        <v>3711</v>
      </c>
      <c r="E1082" s="16" t="s">
        <v>3682</v>
      </c>
      <c r="F1082" s="16" t="s">
        <v>3683</v>
      </c>
      <c r="G1082" s="16" t="s">
        <v>3684</v>
      </c>
      <c r="H1082" s="16" t="s">
        <v>3685</v>
      </c>
      <c r="I1082" s="16" t="s">
        <v>198</v>
      </c>
      <c r="J1082" s="16" t="s">
        <v>199</v>
      </c>
      <c r="K1082" s="16">
        <v>2.7985989999999998</v>
      </c>
      <c r="L1082" s="36">
        <v>2477</v>
      </c>
      <c r="M1082" s="16">
        <v>576</v>
      </c>
      <c r="N1082" s="16">
        <v>509</v>
      </c>
      <c r="O1082" s="16">
        <v>799</v>
      </c>
      <c r="P1082" s="16">
        <v>442</v>
      </c>
      <c r="Q1082" s="16">
        <v>151</v>
      </c>
      <c r="R1082" s="16">
        <v>2</v>
      </c>
      <c r="S1082" s="16">
        <v>18.842500000000001</v>
      </c>
      <c r="T1082" s="16">
        <v>2.0611799999999998</v>
      </c>
      <c r="U1082" s="16">
        <v>0.85855257399999996</v>
      </c>
      <c r="V1082" s="16">
        <v>3</v>
      </c>
      <c r="W1082" s="16">
        <v>0.90756300000000001</v>
      </c>
      <c r="X1082" s="16">
        <v>0.204482</v>
      </c>
      <c r="Y1082" s="16">
        <v>0.7</v>
      </c>
      <c r="Z1082" s="16">
        <v>1</v>
      </c>
      <c r="AA1082" s="37"/>
    </row>
    <row r="1083" spans="1:27">
      <c r="A1083" s="16" t="s">
        <v>59</v>
      </c>
      <c r="B1083" s="16" t="s">
        <v>3712</v>
      </c>
      <c r="C1083" s="16" t="s">
        <v>3713</v>
      </c>
      <c r="D1083" s="16" t="s">
        <v>3714</v>
      </c>
      <c r="E1083" s="16" t="s">
        <v>3715</v>
      </c>
      <c r="F1083" s="16" t="s">
        <v>3716</v>
      </c>
      <c r="G1083" s="16" t="s">
        <v>3684</v>
      </c>
      <c r="H1083" s="16" t="s">
        <v>3685</v>
      </c>
      <c r="I1083" s="16" t="s">
        <v>198</v>
      </c>
      <c r="J1083" s="16" t="s">
        <v>199</v>
      </c>
      <c r="K1083" s="16">
        <v>2.486005</v>
      </c>
      <c r="L1083" s="36">
        <v>2138</v>
      </c>
      <c r="M1083" s="16">
        <v>534</v>
      </c>
      <c r="N1083" s="16">
        <v>425</v>
      </c>
      <c r="O1083" s="16">
        <v>506</v>
      </c>
      <c r="P1083" s="16">
        <v>502</v>
      </c>
      <c r="Q1083" s="16">
        <v>171</v>
      </c>
      <c r="R1083" s="16">
        <v>2</v>
      </c>
      <c r="S1083" s="16">
        <v>17.247199999999999</v>
      </c>
      <c r="T1083" s="16">
        <v>2.47566</v>
      </c>
      <c r="U1083" s="16">
        <v>1.0672016660000001</v>
      </c>
      <c r="V1083" s="16">
        <v>2</v>
      </c>
      <c r="W1083" s="16">
        <v>0.91068700000000002</v>
      </c>
      <c r="X1083" s="16">
        <v>0.25012800000000002</v>
      </c>
      <c r="Y1083" s="16">
        <v>0.78746799999999995</v>
      </c>
      <c r="Z1083" s="16">
        <v>0.53629400000000005</v>
      </c>
      <c r="AA1083" s="37"/>
    </row>
    <row r="1084" spans="1:27">
      <c r="A1084" s="16" t="s">
        <v>59</v>
      </c>
      <c r="B1084" s="16" t="s">
        <v>3717</v>
      </c>
      <c r="C1084" s="16" t="s">
        <v>3718</v>
      </c>
      <c r="D1084" s="16" t="s">
        <v>3719</v>
      </c>
      <c r="E1084" s="16" t="s">
        <v>3715</v>
      </c>
      <c r="F1084" s="16" t="s">
        <v>3716</v>
      </c>
      <c r="G1084" s="16" t="s">
        <v>3684</v>
      </c>
      <c r="H1084" s="16" t="s">
        <v>3685</v>
      </c>
      <c r="I1084" s="16" t="s">
        <v>198</v>
      </c>
      <c r="J1084" s="16" t="s">
        <v>199</v>
      </c>
      <c r="K1084" s="16">
        <v>2.491546</v>
      </c>
      <c r="L1084" s="36">
        <v>2080</v>
      </c>
      <c r="M1084" s="16">
        <v>307</v>
      </c>
      <c r="N1084" s="16">
        <v>436</v>
      </c>
      <c r="O1084" s="16">
        <v>681</v>
      </c>
      <c r="P1084" s="16">
        <v>456</v>
      </c>
      <c r="Q1084" s="16">
        <v>200</v>
      </c>
      <c r="R1084" s="16">
        <v>2</v>
      </c>
      <c r="S1084" s="16">
        <v>13.706899999999999</v>
      </c>
      <c r="T1084" s="16">
        <v>0</v>
      </c>
      <c r="U1084" s="16">
        <v>0.90425399900000003</v>
      </c>
      <c r="V1084" s="16">
        <v>4</v>
      </c>
      <c r="W1084" s="16">
        <v>0.92391299999999998</v>
      </c>
      <c r="X1084" s="16">
        <v>0.25060199999999999</v>
      </c>
      <c r="Y1084" s="16">
        <v>0.79951799999999995</v>
      </c>
      <c r="Z1084" s="16">
        <v>0.51853700000000003</v>
      </c>
      <c r="AA1084" s="37"/>
    </row>
    <row r="1085" spans="1:27">
      <c r="A1085" s="16"/>
      <c r="B1085" s="16"/>
      <c r="C1085" s="16"/>
      <c r="D1085" s="16"/>
      <c r="E1085" s="16"/>
      <c r="F1085" s="16"/>
      <c r="G1085" s="16"/>
      <c r="H1085" s="16"/>
      <c r="I1085" s="16"/>
      <c r="J1085" s="16"/>
      <c r="K1085" s="16">
        <f>MEDIAN(K1074:K1084)</f>
        <v>2.8404039999999999</v>
      </c>
      <c r="L1085" s="36">
        <f>AVERAGE(L1074:L1084)</f>
        <v>2082.818181818182</v>
      </c>
      <c r="M1085" s="36">
        <f t="shared" ref="M1085:Q1085" si="86">SUM(M1074:M1084)</f>
        <v>3925</v>
      </c>
      <c r="N1085" s="36">
        <f t="shared" si="86"/>
        <v>5389</v>
      </c>
      <c r="O1085" s="36">
        <f t="shared" si="86"/>
        <v>7163</v>
      </c>
      <c r="P1085" s="36">
        <f t="shared" si="86"/>
        <v>4616</v>
      </c>
      <c r="Q1085" s="36">
        <f t="shared" si="86"/>
        <v>1818</v>
      </c>
      <c r="R1085" s="16"/>
      <c r="S1085" s="16"/>
      <c r="T1085" s="16"/>
      <c r="U1085" s="16"/>
      <c r="V1085" s="16">
        <f>MEDIAN(V1074:V1084)</f>
        <v>3</v>
      </c>
      <c r="W1085" s="16"/>
      <c r="X1085" s="16"/>
      <c r="Y1085" s="16"/>
      <c r="Z1085" s="16"/>
      <c r="AA1085" s="37"/>
    </row>
    <row r="1086" spans="1:27">
      <c r="A1086" s="16" t="s">
        <v>104</v>
      </c>
      <c r="B1086" s="16" t="s">
        <v>3720</v>
      </c>
      <c r="C1086" s="16" t="s">
        <v>3721</v>
      </c>
      <c r="D1086" s="16" t="s">
        <v>3722</v>
      </c>
      <c r="E1086" s="16" t="s">
        <v>3140</v>
      </c>
      <c r="F1086" s="16" t="s">
        <v>3141</v>
      </c>
      <c r="G1086" s="16" t="s">
        <v>1232</v>
      </c>
      <c r="H1086" s="16" t="s">
        <v>1233</v>
      </c>
      <c r="I1086" s="16" t="s">
        <v>198</v>
      </c>
      <c r="J1086" s="16" t="s">
        <v>199</v>
      </c>
      <c r="K1086" s="16">
        <v>2.361561</v>
      </c>
      <c r="L1086" s="36">
        <v>1739</v>
      </c>
      <c r="M1086" s="16">
        <v>256</v>
      </c>
      <c r="N1086" s="16">
        <v>412</v>
      </c>
      <c r="O1086" s="16">
        <v>605</v>
      </c>
      <c r="P1086" s="16">
        <v>346</v>
      </c>
      <c r="Q1086" s="16">
        <v>120</v>
      </c>
      <c r="R1086" s="16">
        <v>4</v>
      </c>
      <c r="S1086" s="16">
        <v>24.561</v>
      </c>
      <c r="T1086" s="16">
        <v>10.198499999999999</v>
      </c>
      <c r="U1086" s="16">
        <v>0.94300651899999999</v>
      </c>
      <c r="V1086" s="16">
        <v>4</v>
      </c>
      <c r="W1086" s="16">
        <v>0.90549100000000005</v>
      </c>
      <c r="X1086" s="16">
        <v>5.1462000000000001E-2</v>
      </c>
      <c r="Y1086" s="16">
        <v>0.7</v>
      </c>
      <c r="Z1086" s="16">
        <v>0.70463799999999999</v>
      </c>
      <c r="AA1086" s="37"/>
    </row>
    <row r="1087" spans="1:27">
      <c r="A1087" s="16" t="s">
        <v>104</v>
      </c>
      <c r="B1087" s="16" t="s">
        <v>3723</v>
      </c>
      <c r="C1087" s="16" t="s">
        <v>3724</v>
      </c>
      <c r="D1087" s="16" t="s">
        <v>3725</v>
      </c>
      <c r="E1087" s="16" t="s">
        <v>3726</v>
      </c>
      <c r="F1087" s="16" t="s">
        <v>3727</v>
      </c>
      <c r="G1087" s="16" t="s">
        <v>1232</v>
      </c>
      <c r="H1087" s="16" t="s">
        <v>1233</v>
      </c>
      <c r="I1087" s="16" t="s">
        <v>198</v>
      </c>
      <c r="J1087" s="16" t="s">
        <v>199</v>
      </c>
      <c r="K1087" s="16">
        <v>2.271363</v>
      </c>
      <c r="L1087" s="36">
        <v>1594</v>
      </c>
      <c r="M1087" s="16">
        <v>292</v>
      </c>
      <c r="N1087" s="16">
        <v>379</v>
      </c>
      <c r="O1087" s="16">
        <v>444</v>
      </c>
      <c r="P1087" s="16">
        <v>338</v>
      </c>
      <c r="Q1087" s="16">
        <v>141</v>
      </c>
      <c r="R1087" s="16">
        <v>2</v>
      </c>
      <c r="S1087" s="16">
        <v>11.8363</v>
      </c>
      <c r="T1087" s="16">
        <v>2.97661</v>
      </c>
      <c r="U1087" s="16">
        <v>0.88149033799999998</v>
      </c>
      <c r="V1087" s="16">
        <v>5</v>
      </c>
      <c r="W1087" s="16">
        <v>0.901617</v>
      </c>
      <c r="X1087" s="16">
        <v>3.6951999999999999E-2</v>
      </c>
      <c r="Y1087" s="16">
        <v>0.7</v>
      </c>
      <c r="Z1087" s="16">
        <v>0.62886799999999998</v>
      </c>
      <c r="AA1087" s="37"/>
    </row>
    <row r="1088" spans="1:27">
      <c r="A1088" s="16" t="s">
        <v>104</v>
      </c>
      <c r="B1088" s="16" t="s">
        <v>3728</v>
      </c>
      <c r="C1088" s="16" t="s">
        <v>3729</v>
      </c>
      <c r="D1088" s="16" t="s">
        <v>3730</v>
      </c>
      <c r="E1088" s="16" t="s">
        <v>3726</v>
      </c>
      <c r="F1088" s="16" t="s">
        <v>3727</v>
      </c>
      <c r="G1088" s="16" t="s">
        <v>1232</v>
      </c>
      <c r="H1088" s="16" t="s">
        <v>1233</v>
      </c>
      <c r="I1088" s="16" t="s">
        <v>198</v>
      </c>
      <c r="J1088" s="16" t="s">
        <v>199</v>
      </c>
      <c r="K1088" s="16">
        <v>2.5474999999999999</v>
      </c>
      <c r="L1088" s="36">
        <v>2032</v>
      </c>
      <c r="M1088" s="16">
        <v>279</v>
      </c>
      <c r="N1088" s="16">
        <v>632</v>
      </c>
      <c r="O1088" s="16">
        <v>744</v>
      </c>
      <c r="P1088" s="16">
        <v>263</v>
      </c>
      <c r="Q1088" s="16">
        <v>114</v>
      </c>
      <c r="R1088" s="16">
        <v>4</v>
      </c>
      <c r="S1088" s="16">
        <v>26.7164</v>
      </c>
      <c r="T1088" s="16">
        <v>15.256500000000001</v>
      </c>
      <c r="U1088" s="16">
        <v>0.65292214500000001</v>
      </c>
      <c r="V1088" s="16">
        <v>6</v>
      </c>
      <c r="W1088" s="16">
        <v>0.91625000000000001</v>
      </c>
      <c r="X1088" s="16">
        <v>0.29431600000000002</v>
      </c>
      <c r="Y1088" s="16">
        <v>0.8</v>
      </c>
      <c r="Z1088" s="16">
        <v>0.53592399999999996</v>
      </c>
      <c r="AA1088" s="37"/>
    </row>
    <row r="1089" spans="1:27">
      <c r="A1089" s="16" t="s">
        <v>104</v>
      </c>
      <c r="B1089" s="16" t="s">
        <v>3731</v>
      </c>
      <c r="C1089" s="16" t="s">
        <v>3732</v>
      </c>
      <c r="D1089" s="16" t="s">
        <v>3733</v>
      </c>
      <c r="E1089" s="16" t="s">
        <v>3734</v>
      </c>
      <c r="F1089" s="16" t="s">
        <v>3735</v>
      </c>
      <c r="G1089" s="16" t="s">
        <v>1232</v>
      </c>
      <c r="H1089" s="16" t="s">
        <v>1233</v>
      </c>
      <c r="I1089" s="16" t="s">
        <v>198</v>
      </c>
      <c r="J1089" s="16" t="s">
        <v>199</v>
      </c>
      <c r="K1089" s="16">
        <v>2.589855</v>
      </c>
      <c r="L1089" s="36">
        <v>1733</v>
      </c>
      <c r="M1089" s="16">
        <v>273</v>
      </c>
      <c r="N1089" s="16">
        <v>574</v>
      </c>
      <c r="O1089" s="16">
        <v>511</v>
      </c>
      <c r="P1089" s="16">
        <v>277</v>
      </c>
      <c r="Q1089" s="16">
        <v>98</v>
      </c>
      <c r="R1089" s="16">
        <v>3</v>
      </c>
      <c r="S1089" s="16">
        <v>16.433299999999999</v>
      </c>
      <c r="T1089" s="16">
        <v>6.35555</v>
      </c>
      <c r="U1089" s="16">
        <v>0.74705735399999995</v>
      </c>
      <c r="V1089" s="16">
        <v>4</v>
      </c>
      <c r="W1089" s="16">
        <v>0.91666700000000001</v>
      </c>
      <c r="X1089" s="16">
        <v>0.25177300000000002</v>
      </c>
      <c r="Y1089" s="16">
        <v>0.75724400000000003</v>
      </c>
      <c r="Z1089" s="16">
        <v>0.66295000000000004</v>
      </c>
      <c r="AA1089" s="37"/>
    </row>
    <row r="1090" spans="1:27">
      <c r="A1090" s="16" t="s">
        <v>104</v>
      </c>
      <c r="B1090" s="16" t="s">
        <v>3736</v>
      </c>
      <c r="C1090" s="16" t="s">
        <v>3737</v>
      </c>
      <c r="D1090" s="16" t="s">
        <v>3738</v>
      </c>
      <c r="E1090" s="16" t="s">
        <v>3145</v>
      </c>
      <c r="F1090" s="16" t="s">
        <v>3146</v>
      </c>
      <c r="G1090" s="16" t="s">
        <v>1232</v>
      </c>
      <c r="H1090" s="16" t="s">
        <v>1233</v>
      </c>
      <c r="I1090" s="16" t="s">
        <v>198</v>
      </c>
      <c r="J1090" s="16" t="s">
        <v>199</v>
      </c>
      <c r="K1090" s="16">
        <v>2.5963539999999998</v>
      </c>
      <c r="L1090" s="36">
        <v>2714</v>
      </c>
      <c r="M1090" s="16">
        <v>414</v>
      </c>
      <c r="N1090" s="16">
        <v>778</v>
      </c>
      <c r="O1090" s="16">
        <v>976</v>
      </c>
      <c r="P1090" s="16">
        <v>414</v>
      </c>
      <c r="Q1090" s="16">
        <v>132</v>
      </c>
      <c r="R1090" s="16">
        <v>5</v>
      </c>
      <c r="S1090" s="16">
        <v>28.616499999999998</v>
      </c>
      <c r="T1090" s="16">
        <v>17.898900000000001</v>
      </c>
      <c r="U1090" s="16">
        <v>0.76056632999999996</v>
      </c>
      <c r="V1090" s="16">
        <v>5</v>
      </c>
      <c r="W1090" s="16">
        <v>0.91145799999999999</v>
      </c>
      <c r="X1090" s="16">
        <v>0.15795100000000001</v>
      </c>
      <c r="Y1090" s="16">
        <v>0.71379300000000001</v>
      </c>
      <c r="Z1090" s="16">
        <v>0.79005199999999998</v>
      </c>
      <c r="AA1090" s="37"/>
    </row>
    <row r="1091" spans="1:27">
      <c r="A1091" s="16" t="s">
        <v>104</v>
      </c>
      <c r="B1091" s="16" t="s">
        <v>3739</v>
      </c>
      <c r="C1091" s="16" t="s">
        <v>3740</v>
      </c>
      <c r="D1091" s="16" t="s">
        <v>3741</v>
      </c>
      <c r="E1091" s="16" t="s">
        <v>3140</v>
      </c>
      <c r="F1091" s="16" t="s">
        <v>3141</v>
      </c>
      <c r="G1091" s="16" t="s">
        <v>1232</v>
      </c>
      <c r="H1091" s="16" t="s">
        <v>1233</v>
      </c>
      <c r="I1091" s="16" t="s">
        <v>198</v>
      </c>
      <c r="J1091" s="16" t="s">
        <v>199</v>
      </c>
      <c r="K1091" s="16">
        <v>2.5795599999999999</v>
      </c>
      <c r="L1091" s="36">
        <v>1422</v>
      </c>
      <c r="M1091" s="16">
        <v>249</v>
      </c>
      <c r="N1091" s="16">
        <v>376</v>
      </c>
      <c r="O1091" s="16">
        <v>342</v>
      </c>
      <c r="P1091" s="16">
        <v>368</v>
      </c>
      <c r="Q1091" s="16">
        <v>87</v>
      </c>
      <c r="R1091" s="16">
        <v>3</v>
      </c>
      <c r="S1091" s="16">
        <v>16.904599999999999</v>
      </c>
      <c r="T1091" s="16">
        <v>3.1449600000000002</v>
      </c>
      <c r="U1091" s="16">
        <v>0.99705812800000004</v>
      </c>
      <c r="V1091" s="16">
        <v>3</v>
      </c>
      <c r="W1091" s="16">
        <v>0.91100599999999998</v>
      </c>
      <c r="X1091" s="16">
        <v>0.26877000000000001</v>
      </c>
      <c r="Y1091" s="16">
        <v>0.70156200000000002</v>
      </c>
      <c r="Z1091" s="16">
        <v>0.7</v>
      </c>
      <c r="AA1091" s="37"/>
    </row>
    <row r="1092" spans="1:27">
      <c r="A1092" s="16" t="s">
        <v>104</v>
      </c>
      <c r="B1092" s="16" t="s">
        <v>3742</v>
      </c>
      <c r="C1092" s="16" t="s">
        <v>3743</v>
      </c>
      <c r="D1092" s="16" t="s">
        <v>3744</v>
      </c>
      <c r="E1092" s="16" t="s">
        <v>3734</v>
      </c>
      <c r="F1092" s="16" t="s">
        <v>3735</v>
      </c>
      <c r="G1092" s="16" t="s">
        <v>1232</v>
      </c>
      <c r="H1092" s="16" t="s">
        <v>1233</v>
      </c>
      <c r="I1092" s="16" t="s">
        <v>198</v>
      </c>
      <c r="J1092" s="16" t="s">
        <v>199</v>
      </c>
      <c r="K1092" s="16">
        <v>2.3975339999999998</v>
      </c>
      <c r="L1092" s="36">
        <v>1232</v>
      </c>
      <c r="M1092" s="16">
        <v>255</v>
      </c>
      <c r="N1092" s="16">
        <v>344</v>
      </c>
      <c r="O1092" s="16">
        <v>324</v>
      </c>
      <c r="P1092" s="16">
        <v>191</v>
      </c>
      <c r="Q1092" s="16">
        <v>118</v>
      </c>
      <c r="R1092" s="16">
        <v>3</v>
      </c>
      <c r="S1092" s="16">
        <v>16.337599999999998</v>
      </c>
      <c r="T1092" s="16">
        <v>4.0016299999999996</v>
      </c>
      <c r="U1092" s="16">
        <v>0.82278760200000001</v>
      </c>
      <c r="V1092" s="16">
        <v>5</v>
      </c>
      <c r="W1092" s="16">
        <v>0.90630100000000002</v>
      </c>
      <c r="X1092" s="16">
        <v>6.5745999999999999E-2</v>
      </c>
      <c r="Y1092" s="16">
        <v>0.78504200000000002</v>
      </c>
      <c r="Z1092" s="16">
        <v>0.64726799999999995</v>
      </c>
      <c r="AA1092" s="37"/>
    </row>
    <row r="1093" spans="1:27">
      <c r="A1093" s="16" t="s">
        <v>104</v>
      </c>
      <c r="B1093" s="16" t="s">
        <v>3745</v>
      </c>
      <c r="C1093" s="16" t="s">
        <v>3746</v>
      </c>
      <c r="D1093" s="16" t="s">
        <v>3747</v>
      </c>
      <c r="E1093" s="16" t="s">
        <v>3140</v>
      </c>
      <c r="F1093" s="16" t="s">
        <v>3141</v>
      </c>
      <c r="G1093" s="16" t="s">
        <v>1232</v>
      </c>
      <c r="H1093" s="16" t="s">
        <v>1233</v>
      </c>
      <c r="I1093" s="16" t="s">
        <v>198</v>
      </c>
      <c r="J1093" s="16" t="s">
        <v>199</v>
      </c>
      <c r="K1093" s="16">
        <v>2.5688949999999999</v>
      </c>
      <c r="L1093" s="36">
        <v>1965</v>
      </c>
      <c r="M1093" s="16">
        <v>415</v>
      </c>
      <c r="N1093" s="16">
        <v>415</v>
      </c>
      <c r="O1093" s="16">
        <v>500</v>
      </c>
      <c r="P1093" s="16">
        <v>499</v>
      </c>
      <c r="Q1093" s="16">
        <v>136</v>
      </c>
      <c r="R1093" s="16">
        <v>4</v>
      </c>
      <c r="S1093" s="16">
        <v>23.553999999999998</v>
      </c>
      <c r="T1093" s="16">
        <v>11.349</v>
      </c>
      <c r="U1093" s="16">
        <v>0.95566923299999995</v>
      </c>
      <c r="V1093" s="16">
        <v>3</v>
      </c>
      <c r="W1093" s="16">
        <v>0.91308100000000003</v>
      </c>
      <c r="X1093" s="16">
        <v>0.233819</v>
      </c>
      <c r="Y1093" s="16">
        <v>0.7</v>
      </c>
      <c r="Z1093" s="16">
        <v>0.72558100000000003</v>
      </c>
      <c r="AA1093" s="37"/>
    </row>
    <row r="1094" spans="1:27">
      <c r="A1094" s="16" t="s">
        <v>104</v>
      </c>
      <c r="B1094" s="16" t="s">
        <v>3748</v>
      </c>
      <c r="C1094" s="16" t="s">
        <v>3749</v>
      </c>
      <c r="D1094" s="16" t="s">
        <v>3750</v>
      </c>
      <c r="E1094" s="16" t="s">
        <v>3734</v>
      </c>
      <c r="F1094" s="16" t="s">
        <v>3735</v>
      </c>
      <c r="G1094" s="16" t="s">
        <v>1232</v>
      </c>
      <c r="H1094" s="16" t="s">
        <v>1233</v>
      </c>
      <c r="I1094" s="16" t="s">
        <v>198</v>
      </c>
      <c r="J1094" s="16" t="s">
        <v>199</v>
      </c>
      <c r="K1094" s="16">
        <v>2.3348640000000001</v>
      </c>
      <c r="L1094" s="36">
        <v>1645</v>
      </c>
      <c r="M1094" s="16">
        <v>310</v>
      </c>
      <c r="N1094" s="16">
        <v>373</v>
      </c>
      <c r="O1094" s="16">
        <v>412</v>
      </c>
      <c r="P1094" s="16">
        <v>339</v>
      </c>
      <c r="Q1094" s="16">
        <v>211</v>
      </c>
      <c r="R1094" s="16">
        <v>3</v>
      </c>
      <c r="S1094" s="16">
        <v>14.0466</v>
      </c>
      <c r="T1094" s="16">
        <v>4.1032000000000002</v>
      </c>
      <c r="U1094" s="16">
        <v>0.78162300799999995</v>
      </c>
      <c r="V1094" s="16">
        <v>6</v>
      </c>
      <c r="W1094" s="16">
        <v>0.90578199999999998</v>
      </c>
      <c r="X1094" s="16">
        <v>6.9862999999999995E-2</v>
      </c>
      <c r="Y1094" s="16">
        <v>0.7</v>
      </c>
      <c r="Z1094" s="16">
        <v>0.66281800000000002</v>
      </c>
      <c r="AA1094" s="37"/>
    </row>
    <row r="1095" spans="1:27">
      <c r="A1095" s="16" t="s">
        <v>104</v>
      </c>
      <c r="B1095" s="16" t="s">
        <v>3751</v>
      </c>
      <c r="C1095" s="16" t="s">
        <v>3752</v>
      </c>
      <c r="D1095" s="16" t="s">
        <v>3753</v>
      </c>
      <c r="E1095" s="16" t="s">
        <v>3754</v>
      </c>
      <c r="F1095" s="16" t="s">
        <v>3755</v>
      </c>
      <c r="G1095" s="16" t="s">
        <v>3684</v>
      </c>
      <c r="H1095" s="16" t="s">
        <v>3685</v>
      </c>
      <c r="I1095" s="16" t="s">
        <v>198</v>
      </c>
      <c r="J1095" s="16" t="s">
        <v>199</v>
      </c>
      <c r="K1095" s="16">
        <v>2.3656899999999998</v>
      </c>
      <c r="L1095" s="36">
        <v>1819</v>
      </c>
      <c r="M1095" s="16">
        <v>261</v>
      </c>
      <c r="N1095" s="16">
        <v>609</v>
      </c>
      <c r="O1095" s="16">
        <v>626</v>
      </c>
      <c r="P1095" s="16">
        <v>191</v>
      </c>
      <c r="Q1095" s="16">
        <v>132</v>
      </c>
      <c r="R1095" s="16">
        <v>4</v>
      </c>
      <c r="S1095" s="16">
        <v>28.601800000000001</v>
      </c>
      <c r="T1095" s="16">
        <v>13.776</v>
      </c>
      <c r="U1095" s="16">
        <v>0.63265961800000003</v>
      </c>
      <c r="V1095" s="16">
        <v>9</v>
      </c>
      <c r="W1095" s="16">
        <v>0.90460200000000002</v>
      </c>
      <c r="X1095" s="16">
        <v>5.2941000000000002E-2</v>
      </c>
      <c r="Y1095" s="16">
        <v>0.8</v>
      </c>
      <c r="Z1095" s="16">
        <v>0.61548099999999994</v>
      </c>
      <c r="AA1095" s="37"/>
    </row>
    <row r="1096" spans="1:27">
      <c r="A1096" s="16"/>
      <c r="B1096" s="16"/>
      <c r="C1096" s="16"/>
      <c r="D1096" s="16"/>
      <c r="E1096" s="16"/>
      <c r="F1096" s="16"/>
      <c r="G1096" s="16"/>
      <c r="H1096" s="16"/>
      <c r="I1096" s="16"/>
      <c r="J1096" s="16"/>
      <c r="K1096" s="16">
        <f>MEDIAN(K1086:K1095)</f>
        <v>2.4725169999999999</v>
      </c>
      <c r="L1096" s="36">
        <f>AVERAGE(L1086:L1095)</f>
        <v>1789.5</v>
      </c>
      <c r="M1096" s="36">
        <f t="shared" ref="M1096:Q1096" si="87">SUM(M1086:M1095)</f>
        <v>3004</v>
      </c>
      <c r="N1096" s="36">
        <f t="shared" si="87"/>
        <v>4892</v>
      </c>
      <c r="O1096" s="36">
        <f t="shared" si="87"/>
        <v>5484</v>
      </c>
      <c r="P1096" s="36">
        <f t="shared" si="87"/>
        <v>3226</v>
      </c>
      <c r="Q1096" s="36">
        <f t="shared" si="87"/>
        <v>1289</v>
      </c>
      <c r="R1096" s="16"/>
      <c r="S1096" s="16"/>
      <c r="T1096" s="16"/>
      <c r="U1096" s="16"/>
      <c r="V1096" s="16">
        <f>MEDIAN(V1086:V1095)</f>
        <v>5</v>
      </c>
      <c r="W1096" s="16"/>
      <c r="X1096" s="16"/>
      <c r="Y1096" s="16"/>
      <c r="Z1096" s="16"/>
      <c r="AA1096" s="37"/>
    </row>
    <row r="1097" spans="1:27">
      <c r="A1097" s="16" t="s">
        <v>105</v>
      </c>
      <c r="B1097" s="16" t="s">
        <v>3249</v>
      </c>
      <c r="C1097" s="16" t="s">
        <v>3250</v>
      </c>
      <c r="D1097" s="16" t="s">
        <v>3251</v>
      </c>
      <c r="E1097" s="16" t="s">
        <v>3247</v>
      </c>
      <c r="F1097" s="16" t="s">
        <v>3248</v>
      </c>
      <c r="G1097" s="16" t="s">
        <v>1232</v>
      </c>
      <c r="H1097" s="16" t="s">
        <v>1233</v>
      </c>
      <c r="I1097" s="16" t="s">
        <v>198</v>
      </c>
      <c r="J1097" s="16" t="s">
        <v>199</v>
      </c>
      <c r="K1097" s="16">
        <v>2.2700999999999998</v>
      </c>
      <c r="L1097" s="36">
        <v>2066</v>
      </c>
      <c r="M1097" s="16">
        <v>424</v>
      </c>
      <c r="N1097" s="16">
        <v>368</v>
      </c>
      <c r="O1097" s="16">
        <v>632</v>
      </c>
      <c r="P1097" s="16">
        <v>417</v>
      </c>
      <c r="Q1097" s="16">
        <v>225</v>
      </c>
      <c r="R1097" s="16">
        <v>5</v>
      </c>
      <c r="S1097" s="16">
        <v>39.274900000000002</v>
      </c>
      <c r="T1097" s="16">
        <v>5.56717</v>
      </c>
      <c r="U1097" s="16">
        <v>0.95481671700000004</v>
      </c>
      <c r="V1097" s="16">
        <v>4</v>
      </c>
      <c r="W1097" s="16">
        <v>0.90564800000000001</v>
      </c>
      <c r="X1097" s="16">
        <v>0.123361</v>
      </c>
      <c r="Y1097" s="16">
        <v>0.71228999999999998</v>
      </c>
      <c r="Z1097" s="16">
        <v>0.51588599999999996</v>
      </c>
      <c r="AA1097" s="37"/>
    </row>
    <row r="1098" spans="1:27">
      <c r="A1098" s="16" t="s">
        <v>105</v>
      </c>
      <c r="B1098" s="16" t="s">
        <v>3756</v>
      </c>
      <c r="C1098" s="16" t="s">
        <v>3757</v>
      </c>
      <c r="D1098" s="16" t="s">
        <v>3758</v>
      </c>
      <c r="E1098" s="16" t="s">
        <v>3094</v>
      </c>
      <c r="F1098" s="16" t="s">
        <v>3095</v>
      </c>
      <c r="G1098" s="16" t="s">
        <v>1232</v>
      </c>
      <c r="H1098" s="16" t="s">
        <v>1233</v>
      </c>
      <c r="I1098" s="16" t="s">
        <v>198</v>
      </c>
      <c r="J1098" s="16" t="s">
        <v>199</v>
      </c>
      <c r="K1098" s="16">
        <v>2.5641699999999998</v>
      </c>
      <c r="L1098" s="36">
        <v>2317</v>
      </c>
      <c r="M1098" s="16">
        <v>429</v>
      </c>
      <c r="N1098" s="16">
        <v>419</v>
      </c>
      <c r="O1098" s="16">
        <v>819</v>
      </c>
      <c r="P1098" s="16">
        <v>467</v>
      </c>
      <c r="Q1098" s="16">
        <v>183</v>
      </c>
      <c r="R1098" s="16" t="s">
        <v>302</v>
      </c>
      <c r="S1098" s="16">
        <v>36.767499999999998</v>
      </c>
      <c r="T1098" s="16">
        <v>10.0021</v>
      </c>
      <c r="U1098" s="16">
        <v>0.78993077099999998</v>
      </c>
      <c r="V1098" s="16">
        <v>4</v>
      </c>
      <c r="W1098" s="16">
        <v>0.91153799999999996</v>
      </c>
      <c r="X1098" s="16">
        <v>0.35422700000000001</v>
      </c>
      <c r="Y1098" s="16">
        <v>0.8</v>
      </c>
      <c r="Z1098" s="16">
        <v>0.50141100000000005</v>
      </c>
      <c r="AA1098" s="37"/>
    </row>
    <row r="1099" spans="1:27">
      <c r="A1099" s="16" t="s">
        <v>105</v>
      </c>
      <c r="B1099" s="16" t="s">
        <v>3759</v>
      </c>
      <c r="C1099" s="16" t="s">
        <v>3760</v>
      </c>
      <c r="D1099" s="16" t="s">
        <v>3761</v>
      </c>
      <c r="E1099" s="16" t="s">
        <v>3762</v>
      </c>
      <c r="F1099" s="16" t="s">
        <v>3763</v>
      </c>
      <c r="G1099" s="16" t="s">
        <v>3684</v>
      </c>
      <c r="H1099" s="16" t="s">
        <v>3685</v>
      </c>
      <c r="I1099" s="16" t="s">
        <v>198</v>
      </c>
      <c r="J1099" s="16" t="s">
        <v>199</v>
      </c>
      <c r="K1099" s="16">
        <v>2.1420620000000001</v>
      </c>
      <c r="L1099" s="36">
        <v>1824</v>
      </c>
      <c r="M1099" s="16">
        <v>362</v>
      </c>
      <c r="N1099" s="16">
        <v>284</v>
      </c>
      <c r="O1099" s="16">
        <v>444</v>
      </c>
      <c r="P1099" s="16">
        <v>435</v>
      </c>
      <c r="Q1099" s="16">
        <v>299</v>
      </c>
      <c r="R1099" s="16">
        <v>2</v>
      </c>
      <c r="S1099" s="16">
        <v>8.3999900000000007</v>
      </c>
      <c r="T1099" s="16">
        <v>2.4324699999999999</v>
      </c>
      <c r="U1099" s="16">
        <v>0.95080304699999996</v>
      </c>
      <c r="V1099" s="16">
        <v>5</v>
      </c>
      <c r="W1099" s="16">
        <v>0.90370799999999996</v>
      </c>
      <c r="X1099" s="16">
        <v>5.4712999999999998E-2</v>
      </c>
      <c r="Y1099" s="16">
        <v>0.790219</v>
      </c>
      <c r="Z1099" s="16">
        <v>0.39895999999999998</v>
      </c>
      <c r="AA1099" s="37"/>
    </row>
    <row r="1100" spans="1:27">
      <c r="A1100" s="16" t="s">
        <v>105</v>
      </c>
      <c r="B1100" s="16" t="s">
        <v>3764</v>
      </c>
      <c r="C1100" s="16" t="s">
        <v>3765</v>
      </c>
      <c r="D1100" s="16" t="s">
        <v>3766</v>
      </c>
      <c r="E1100" s="16" t="s">
        <v>3767</v>
      </c>
      <c r="F1100" s="16" t="s">
        <v>3768</v>
      </c>
      <c r="G1100" s="16" t="s">
        <v>3684</v>
      </c>
      <c r="H1100" s="16" t="s">
        <v>3685</v>
      </c>
      <c r="I1100" s="16" t="s">
        <v>198</v>
      </c>
      <c r="J1100" s="16" t="s">
        <v>199</v>
      </c>
      <c r="K1100" s="16">
        <v>2.3449490000000002</v>
      </c>
      <c r="L1100" s="36">
        <v>1933</v>
      </c>
      <c r="M1100" s="16">
        <v>457</v>
      </c>
      <c r="N1100" s="16">
        <v>287</v>
      </c>
      <c r="O1100" s="16">
        <v>527</v>
      </c>
      <c r="P1100" s="16">
        <v>423</v>
      </c>
      <c r="Q1100" s="16">
        <v>239</v>
      </c>
      <c r="R1100" s="16">
        <v>2</v>
      </c>
      <c r="S1100" s="16">
        <v>10.7158</v>
      </c>
      <c r="T1100" s="16">
        <v>6.4573900000000002</v>
      </c>
      <c r="U1100" s="16">
        <v>1.1824918849999999</v>
      </c>
      <c r="V1100" s="16">
        <v>2</v>
      </c>
      <c r="W1100" s="16">
        <v>0.90303</v>
      </c>
      <c r="X1100" s="16">
        <v>0.20453399999999999</v>
      </c>
      <c r="Y1100" s="16">
        <v>0.8</v>
      </c>
      <c r="Z1100" s="16">
        <v>0.42664999999999997</v>
      </c>
      <c r="AA1100" s="37"/>
    </row>
    <row r="1101" spans="1:27">
      <c r="A1101" s="16" t="s">
        <v>105</v>
      </c>
      <c r="B1101" s="16" t="s">
        <v>3769</v>
      </c>
      <c r="C1101" s="16" t="s">
        <v>3770</v>
      </c>
      <c r="D1101" s="16" t="s">
        <v>3771</v>
      </c>
      <c r="E1101" s="16" t="s">
        <v>3772</v>
      </c>
      <c r="F1101" s="16" t="s">
        <v>3773</v>
      </c>
      <c r="G1101" s="16" t="s">
        <v>3684</v>
      </c>
      <c r="H1101" s="16" t="s">
        <v>3685</v>
      </c>
      <c r="I1101" s="16" t="s">
        <v>198</v>
      </c>
      <c r="J1101" s="16" t="s">
        <v>199</v>
      </c>
      <c r="K1101" s="16">
        <v>2.3839229999999998</v>
      </c>
      <c r="L1101" s="36">
        <v>1557</v>
      </c>
      <c r="M1101" s="16">
        <v>200</v>
      </c>
      <c r="N1101" s="16">
        <v>463</v>
      </c>
      <c r="O1101" s="16">
        <v>561</v>
      </c>
      <c r="P1101" s="16">
        <v>229</v>
      </c>
      <c r="Q1101" s="16">
        <v>104</v>
      </c>
      <c r="R1101" s="16">
        <v>5</v>
      </c>
      <c r="S1101" s="16">
        <v>31.2087</v>
      </c>
      <c r="T1101" s="16">
        <v>17.764399999999998</v>
      </c>
      <c r="U1101" s="16">
        <v>0.75950752399999999</v>
      </c>
      <c r="V1101" s="16">
        <v>6</v>
      </c>
      <c r="W1101" s="16">
        <v>0.909968</v>
      </c>
      <c r="X1101" s="16">
        <v>0.18274799999999999</v>
      </c>
      <c r="Y1101" s="16">
        <v>0.79967600000000005</v>
      </c>
      <c r="Z1101" s="16">
        <v>0.52443700000000004</v>
      </c>
      <c r="AA1101" s="37"/>
    </row>
    <row r="1102" spans="1:27">
      <c r="A1102" s="16" t="s">
        <v>105</v>
      </c>
      <c r="B1102" s="16" t="s">
        <v>3774</v>
      </c>
      <c r="C1102" s="16" t="s">
        <v>3775</v>
      </c>
      <c r="D1102" s="16" t="s">
        <v>3776</v>
      </c>
      <c r="E1102" s="16" t="s">
        <v>3777</v>
      </c>
      <c r="F1102" s="16" t="s">
        <v>3778</v>
      </c>
      <c r="G1102" s="16" t="s">
        <v>3684</v>
      </c>
      <c r="H1102" s="16" t="s">
        <v>3685</v>
      </c>
      <c r="I1102" s="16" t="s">
        <v>198</v>
      </c>
      <c r="J1102" s="16" t="s">
        <v>199</v>
      </c>
      <c r="K1102" s="16">
        <v>2.2478259999999999</v>
      </c>
      <c r="L1102" s="36">
        <v>1615</v>
      </c>
      <c r="M1102" s="16">
        <v>274</v>
      </c>
      <c r="N1102" s="16">
        <v>390</v>
      </c>
      <c r="O1102" s="16">
        <v>476</v>
      </c>
      <c r="P1102" s="16">
        <v>292</v>
      </c>
      <c r="Q1102" s="16">
        <v>183</v>
      </c>
      <c r="R1102" s="16">
        <v>3</v>
      </c>
      <c r="S1102" s="16">
        <v>18.6495</v>
      </c>
      <c r="T1102" s="16">
        <v>4.0656299999999996</v>
      </c>
      <c r="U1102" s="16">
        <v>0.86441799799999997</v>
      </c>
      <c r="V1102" s="16">
        <v>6</v>
      </c>
      <c r="W1102" s="16">
        <v>0.90625</v>
      </c>
      <c r="X1102" s="16">
        <v>0.105405</v>
      </c>
      <c r="Y1102" s="16">
        <v>0.74972700000000003</v>
      </c>
      <c r="Z1102" s="16">
        <v>0.48668499999999998</v>
      </c>
      <c r="AA1102" s="37"/>
    </row>
    <row r="1103" spans="1:27">
      <c r="A1103" s="16" t="s">
        <v>105</v>
      </c>
      <c r="B1103" s="16" t="s">
        <v>3779</v>
      </c>
      <c r="C1103" s="16" t="s">
        <v>3780</v>
      </c>
      <c r="D1103" s="16" t="s">
        <v>3781</v>
      </c>
      <c r="E1103" s="16" t="s">
        <v>3754</v>
      </c>
      <c r="F1103" s="16" t="s">
        <v>3755</v>
      </c>
      <c r="G1103" s="16" t="s">
        <v>3684</v>
      </c>
      <c r="H1103" s="16" t="s">
        <v>3685</v>
      </c>
      <c r="I1103" s="16" t="s">
        <v>198</v>
      </c>
      <c r="J1103" s="16" t="s">
        <v>199</v>
      </c>
      <c r="K1103" s="16">
        <v>2.197257</v>
      </c>
      <c r="L1103" s="36">
        <v>2033</v>
      </c>
      <c r="M1103" s="16">
        <v>314</v>
      </c>
      <c r="N1103" s="16">
        <v>502</v>
      </c>
      <c r="O1103" s="16">
        <v>758</v>
      </c>
      <c r="P1103" s="16">
        <v>342</v>
      </c>
      <c r="Q1103" s="16">
        <v>117</v>
      </c>
      <c r="R1103" s="16">
        <v>2</v>
      </c>
      <c r="S1103" s="16">
        <v>26.5596</v>
      </c>
      <c r="T1103" s="16">
        <v>0</v>
      </c>
      <c r="U1103" s="16">
        <v>0.882328263</v>
      </c>
      <c r="V1103" s="16">
        <v>7</v>
      </c>
      <c r="W1103" s="16">
        <v>0.90352699999999997</v>
      </c>
      <c r="X1103" s="16">
        <v>0.19637499999999999</v>
      </c>
      <c r="Y1103" s="16">
        <v>0.72556900000000002</v>
      </c>
      <c r="Z1103" s="16">
        <v>0.36918200000000001</v>
      </c>
      <c r="AA1103" s="37"/>
    </row>
    <row r="1104" spans="1:27">
      <c r="A1104" s="16" t="s">
        <v>105</v>
      </c>
      <c r="B1104" s="16" t="s">
        <v>3782</v>
      </c>
      <c r="C1104" s="16" t="s">
        <v>3783</v>
      </c>
      <c r="D1104" s="16" t="s">
        <v>3784</v>
      </c>
      <c r="E1104" s="16" t="s">
        <v>3777</v>
      </c>
      <c r="F1104" s="16" t="s">
        <v>3778</v>
      </c>
      <c r="G1104" s="16" t="s">
        <v>3684</v>
      </c>
      <c r="H1104" s="16" t="s">
        <v>3685</v>
      </c>
      <c r="I1104" s="16" t="s">
        <v>198</v>
      </c>
      <c r="J1104" s="16" t="s">
        <v>199</v>
      </c>
      <c r="K1104" s="16">
        <v>2.1620819999999998</v>
      </c>
      <c r="L1104" s="36">
        <v>1398</v>
      </c>
      <c r="M1104" s="16">
        <v>336</v>
      </c>
      <c r="N1104" s="16">
        <v>253</v>
      </c>
      <c r="O1104" s="16">
        <v>332</v>
      </c>
      <c r="P1104" s="16">
        <v>360</v>
      </c>
      <c r="Q1104" s="16">
        <v>117</v>
      </c>
      <c r="R1104" s="16">
        <v>3</v>
      </c>
      <c r="S1104" s="16">
        <v>17.8322</v>
      </c>
      <c r="T1104" s="16">
        <v>4.11341</v>
      </c>
      <c r="U1104" s="16">
        <v>1.0594361299999999</v>
      </c>
      <c r="V1104" s="16">
        <v>3</v>
      </c>
      <c r="W1104" s="16">
        <v>0.90315999999999996</v>
      </c>
      <c r="X1104" s="16">
        <v>9.3854999999999994E-2</v>
      </c>
      <c r="Y1104" s="16">
        <v>0.71176499999999998</v>
      </c>
      <c r="Z1104" s="16">
        <v>0.44953399999999999</v>
      </c>
      <c r="AA1104" s="37"/>
    </row>
    <row r="1105" spans="1:27">
      <c r="A1105" s="16"/>
      <c r="B1105" s="16"/>
      <c r="C1105" s="16"/>
      <c r="D1105" s="16"/>
      <c r="E1105" s="16"/>
      <c r="F1105" s="16"/>
      <c r="G1105" s="16"/>
      <c r="H1105" s="16"/>
      <c r="I1105" s="16"/>
      <c r="J1105" s="16"/>
      <c r="K1105" s="16">
        <f>MEDIAN(K1097:K1104)</f>
        <v>2.2589629999999996</v>
      </c>
      <c r="L1105" s="36">
        <f>AVERAGE(L1097:L1104)</f>
        <v>1842.875</v>
      </c>
      <c r="M1105" s="36">
        <f t="shared" ref="M1105:Q1105" si="88">SUM(M1097:M1104)</f>
        <v>2796</v>
      </c>
      <c r="N1105" s="36">
        <f t="shared" si="88"/>
        <v>2966</v>
      </c>
      <c r="O1105" s="36">
        <f t="shared" si="88"/>
        <v>4549</v>
      </c>
      <c r="P1105" s="36">
        <f t="shared" si="88"/>
        <v>2965</v>
      </c>
      <c r="Q1105" s="36">
        <f t="shared" si="88"/>
        <v>1467</v>
      </c>
      <c r="R1105" s="16"/>
      <c r="S1105" s="16"/>
      <c r="T1105" s="16"/>
      <c r="U1105" s="16"/>
      <c r="V1105" s="16">
        <f>MEDIAN(V1097:V1104)</f>
        <v>4.5</v>
      </c>
      <c r="W1105" s="16"/>
      <c r="X1105" s="16"/>
      <c r="Y1105" s="16"/>
      <c r="Z1105" s="16"/>
      <c r="AA1105" s="37"/>
    </row>
    <row r="1106" spans="1:27">
      <c r="A1106" s="16" t="s">
        <v>3785</v>
      </c>
      <c r="B1106" s="16" t="s">
        <v>1327</v>
      </c>
      <c r="C1106" s="16" t="s">
        <v>1328</v>
      </c>
      <c r="D1106" s="16" t="s">
        <v>1329</v>
      </c>
      <c r="E1106" s="16" t="s">
        <v>1285</v>
      </c>
      <c r="F1106" s="16" t="s">
        <v>1286</v>
      </c>
      <c r="G1106" s="16" t="s">
        <v>655</v>
      </c>
      <c r="H1106" s="16" t="s">
        <v>656</v>
      </c>
      <c r="I1106" s="16" t="s">
        <v>198</v>
      </c>
      <c r="J1106" s="16" t="s">
        <v>199</v>
      </c>
      <c r="K1106" s="16">
        <v>2.848554</v>
      </c>
      <c r="L1106" s="36">
        <v>2284</v>
      </c>
      <c r="M1106" s="16">
        <v>105</v>
      </c>
      <c r="N1106" s="16">
        <v>946</v>
      </c>
      <c r="O1106" s="16">
        <v>955</v>
      </c>
      <c r="P1106" s="16">
        <v>231</v>
      </c>
      <c r="Q1106" s="16">
        <v>47</v>
      </c>
      <c r="R1106" s="16" t="s">
        <v>668</v>
      </c>
      <c r="S1106" s="16">
        <v>106.014</v>
      </c>
      <c r="T1106" s="16">
        <v>36.423200000000001</v>
      </c>
      <c r="U1106" s="16">
        <v>0.58706593399999996</v>
      </c>
      <c r="V1106" s="16">
        <v>5</v>
      </c>
      <c r="W1106" s="16">
        <v>1</v>
      </c>
      <c r="X1106" s="16">
        <v>0.23313300000000001</v>
      </c>
      <c r="Y1106" s="16">
        <v>0.61205200000000004</v>
      </c>
      <c r="Z1106" s="16">
        <v>1</v>
      </c>
      <c r="AA1106" s="37"/>
    </row>
    <row r="1107" spans="1:27">
      <c r="A1107" s="16"/>
      <c r="B1107" s="16"/>
      <c r="C1107" s="16"/>
      <c r="D1107" s="16"/>
      <c r="E1107" s="16"/>
      <c r="F1107" s="16"/>
      <c r="G1107" s="16"/>
      <c r="H1107" s="16"/>
      <c r="I1107" s="16"/>
      <c r="J1107" s="16"/>
      <c r="K1107" s="16"/>
      <c r="L1107" s="36"/>
      <c r="M1107" s="16"/>
      <c r="N1107" s="16"/>
      <c r="O1107" s="16"/>
      <c r="P1107" s="16"/>
      <c r="Q1107" s="16"/>
      <c r="R1107" s="16"/>
      <c r="S1107" s="16"/>
      <c r="T1107" s="16"/>
      <c r="U1107" s="16"/>
      <c r="V1107" s="16"/>
      <c r="W1107" s="16"/>
      <c r="X1107" s="16"/>
      <c r="Y1107" s="16"/>
      <c r="Z1107" s="16"/>
      <c r="AA1107" s="37"/>
    </row>
    <row r="1108" spans="1:27">
      <c r="A1108" s="16" t="s">
        <v>70</v>
      </c>
      <c r="B1108" s="16" t="s">
        <v>3394</v>
      </c>
      <c r="C1108" s="16" t="s">
        <v>3395</v>
      </c>
      <c r="D1108" s="16" t="s">
        <v>3396</v>
      </c>
      <c r="E1108" s="16" t="s">
        <v>3397</v>
      </c>
      <c r="F1108" s="16" t="s">
        <v>3398</v>
      </c>
      <c r="G1108" s="16" t="s">
        <v>300</v>
      </c>
      <c r="H1108" s="16" t="s">
        <v>301</v>
      </c>
      <c r="I1108" s="16" t="s">
        <v>198</v>
      </c>
      <c r="J1108" s="16" t="s">
        <v>199</v>
      </c>
      <c r="K1108" s="16">
        <v>2.9446599999999998</v>
      </c>
      <c r="L1108" s="36">
        <v>3802</v>
      </c>
      <c r="M1108" s="16">
        <v>522</v>
      </c>
      <c r="N1108" s="36">
        <v>1643</v>
      </c>
      <c r="O1108" s="36">
        <v>1153</v>
      </c>
      <c r="P1108" s="16">
        <v>351</v>
      </c>
      <c r="Q1108" s="16">
        <v>133</v>
      </c>
      <c r="R1108" s="16" t="s">
        <v>668</v>
      </c>
      <c r="S1108" s="16">
        <v>87.209800000000001</v>
      </c>
      <c r="T1108" s="16">
        <v>23.972999999999999</v>
      </c>
      <c r="U1108" s="16">
        <v>0.66263938099999997</v>
      </c>
      <c r="V1108" s="16">
        <v>4</v>
      </c>
      <c r="W1108" s="16">
        <v>1</v>
      </c>
      <c r="X1108" s="16">
        <v>0.29752499999999998</v>
      </c>
      <c r="Y1108" s="16">
        <v>0.65732000000000002</v>
      </c>
      <c r="Z1108" s="16">
        <v>1</v>
      </c>
      <c r="AA1108" s="37"/>
    </row>
    <row r="1109" spans="1:27">
      <c r="A1109" s="16" t="s">
        <v>70</v>
      </c>
      <c r="B1109" s="16" t="s">
        <v>3786</v>
      </c>
      <c r="C1109" s="16" t="s">
        <v>3787</v>
      </c>
      <c r="D1109" s="16" t="s">
        <v>3788</v>
      </c>
      <c r="E1109" s="16" t="s">
        <v>3789</v>
      </c>
      <c r="F1109" s="16" t="s">
        <v>3790</v>
      </c>
      <c r="G1109" s="16" t="s">
        <v>300</v>
      </c>
      <c r="H1109" s="16" t="s">
        <v>301</v>
      </c>
      <c r="I1109" s="16" t="s">
        <v>198</v>
      </c>
      <c r="J1109" s="16" t="s">
        <v>199</v>
      </c>
      <c r="K1109" s="16">
        <v>2.6110060000000002</v>
      </c>
      <c r="L1109" s="36">
        <v>2075</v>
      </c>
      <c r="M1109" s="16">
        <v>431</v>
      </c>
      <c r="N1109" s="16">
        <v>549</v>
      </c>
      <c r="O1109" s="16">
        <v>552</v>
      </c>
      <c r="P1109" s="16">
        <v>340</v>
      </c>
      <c r="Q1109" s="16">
        <v>203</v>
      </c>
      <c r="R1109" s="16">
        <v>5</v>
      </c>
      <c r="S1109" s="16">
        <v>38.943399999999997</v>
      </c>
      <c r="T1109" s="16">
        <v>16.0929</v>
      </c>
      <c r="U1109" s="16">
        <v>0.92788017899999997</v>
      </c>
      <c r="V1109" s="16">
        <v>3</v>
      </c>
      <c r="W1109" s="16">
        <v>0.91540900000000003</v>
      </c>
      <c r="X1109" s="16">
        <v>0.12834899999999999</v>
      </c>
      <c r="Y1109" s="16">
        <v>0.6</v>
      </c>
      <c r="Z1109" s="16">
        <v>1</v>
      </c>
      <c r="AA1109" s="37"/>
    </row>
    <row r="1110" spans="1:27">
      <c r="A1110" s="16" t="s">
        <v>70</v>
      </c>
      <c r="B1110" s="16" t="s">
        <v>3399</v>
      </c>
      <c r="C1110" s="16" t="s">
        <v>3400</v>
      </c>
      <c r="D1110" s="16" t="s">
        <v>3401</v>
      </c>
      <c r="E1110" s="16" t="s">
        <v>3392</v>
      </c>
      <c r="F1110" s="16" t="s">
        <v>3393</v>
      </c>
      <c r="G1110" s="16" t="s">
        <v>300</v>
      </c>
      <c r="H1110" s="16" t="s">
        <v>301</v>
      </c>
      <c r="I1110" s="16" t="s">
        <v>198</v>
      </c>
      <c r="J1110" s="16" t="s">
        <v>199</v>
      </c>
      <c r="K1110" s="16">
        <v>2.8966259999999999</v>
      </c>
      <c r="L1110" s="36">
        <v>3450</v>
      </c>
      <c r="M1110" s="16">
        <v>592</v>
      </c>
      <c r="N1110" s="36">
        <v>1161</v>
      </c>
      <c r="O1110" s="16">
        <v>979</v>
      </c>
      <c r="P1110" s="16">
        <v>508</v>
      </c>
      <c r="Q1110" s="16">
        <v>210</v>
      </c>
      <c r="R1110" s="16" t="s">
        <v>302</v>
      </c>
      <c r="S1110" s="16">
        <v>93.439499999999995</v>
      </c>
      <c r="T1110" s="16">
        <v>19.500299999999999</v>
      </c>
      <c r="U1110" s="16">
        <v>1.005631674</v>
      </c>
      <c r="V1110" s="16">
        <v>2</v>
      </c>
      <c r="W1110" s="16">
        <v>1</v>
      </c>
      <c r="X1110" s="16">
        <v>0.235071</v>
      </c>
      <c r="Y1110" s="16">
        <v>0.63938700000000004</v>
      </c>
      <c r="Z1110" s="16">
        <v>1</v>
      </c>
      <c r="AA1110" s="37"/>
    </row>
    <row r="1111" spans="1:27">
      <c r="A1111" s="16" t="s">
        <v>70</v>
      </c>
      <c r="B1111" s="16" t="s">
        <v>3791</v>
      </c>
      <c r="C1111" s="16" t="s">
        <v>3792</v>
      </c>
      <c r="D1111" s="16" t="s">
        <v>3793</v>
      </c>
      <c r="E1111" s="16" t="s">
        <v>3794</v>
      </c>
      <c r="F1111" s="16" t="s">
        <v>3795</v>
      </c>
      <c r="G1111" s="16" t="s">
        <v>300</v>
      </c>
      <c r="H1111" s="16" t="s">
        <v>301</v>
      </c>
      <c r="I1111" s="16" t="s">
        <v>198</v>
      </c>
      <c r="J1111" s="16" t="s">
        <v>199</v>
      </c>
      <c r="K1111" s="16">
        <v>2.7166670000000002</v>
      </c>
      <c r="L1111" s="36">
        <v>3087</v>
      </c>
      <c r="M1111" s="16">
        <v>336</v>
      </c>
      <c r="N1111" s="36">
        <v>2010</v>
      </c>
      <c r="O1111" s="16">
        <v>366</v>
      </c>
      <c r="P1111" s="16">
        <v>234</v>
      </c>
      <c r="Q1111" s="16">
        <v>141</v>
      </c>
      <c r="R1111" s="16" t="s">
        <v>302</v>
      </c>
      <c r="S1111" s="16">
        <v>36.380899999999997</v>
      </c>
      <c r="T1111" s="16">
        <v>21.389500000000002</v>
      </c>
      <c r="U1111" s="16">
        <v>0.75903964999999995</v>
      </c>
      <c r="V1111" s="16">
        <v>4</v>
      </c>
      <c r="W1111" s="16">
        <v>0.90654800000000002</v>
      </c>
      <c r="X1111" s="16">
        <v>0.20790500000000001</v>
      </c>
      <c r="Y1111" s="16">
        <v>0.60235300000000003</v>
      </c>
      <c r="Z1111" s="16">
        <v>1</v>
      </c>
      <c r="AA1111" s="37"/>
    </row>
    <row r="1112" spans="1:27">
      <c r="A1112" s="16" t="s">
        <v>70</v>
      </c>
      <c r="B1112" s="16" t="s">
        <v>3796</v>
      </c>
      <c r="C1112" s="16" t="s">
        <v>3797</v>
      </c>
      <c r="D1112" s="16" t="s">
        <v>3798</v>
      </c>
      <c r="E1112" s="16" t="s">
        <v>3799</v>
      </c>
      <c r="F1112" s="16" t="s">
        <v>3800</v>
      </c>
      <c r="G1112" s="16" t="s">
        <v>300</v>
      </c>
      <c r="H1112" s="16" t="s">
        <v>301</v>
      </c>
      <c r="I1112" s="16" t="s">
        <v>198</v>
      </c>
      <c r="J1112" s="16" t="s">
        <v>199</v>
      </c>
      <c r="K1112" s="16">
        <v>2.6177779999999999</v>
      </c>
      <c r="L1112" s="36">
        <v>1489</v>
      </c>
      <c r="M1112" s="16">
        <v>269</v>
      </c>
      <c r="N1112" s="16">
        <v>388</v>
      </c>
      <c r="O1112" s="16">
        <v>375</v>
      </c>
      <c r="P1112" s="16">
        <v>330</v>
      </c>
      <c r="Q1112" s="16">
        <v>127</v>
      </c>
      <c r="R1112" s="16" t="s">
        <v>302</v>
      </c>
      <c r="S1112" s="16">
        <v>34.577599999999997</v>
      </c>
      <c r="T1112" s="16">
        <v>16.9527</v>
      </c>
      <c r="U1112" s="16">
        <v>1.07603633</v>
      </c>
      <c r="V1112" s="16">
        <v>2</v>
      </c>
      <c r="W1112" s="16">
        <v>0.911111</v>
      </c>
      <c r="X1112" s="16">
        <v>9.3450000000000005E-2</v>
      </c>
      <c r="Y1112" s="16">
        <v>0.6</v>
      </c>
      <c r="Z1112" s="16">
        <v>1</v>
      </c>
      <c r="AA1112" s="37"/>
    </row>
    <row r="1113" spans="1:27">
      <c r="A1113" s="16" t="s">
        <v>70</v>
      </c>
      <c r="B1113" s="16" t="s">
        <v>3801</v>
      </c>
      <c r="C1113" s="16" t="s">
        <v>3802</v>
      </c>
      <c r="D1113" s="16" t="s">
        <v>3803</v>
      </c>
      <c r="E1113" s="16" t="s">
        <v>3794</v>
      </c>
      <c r="F1113" s="16" t="s">
        <v>3795</v>
      </c>
      <c r="G1113" s="16" t="s">
        <v>300</v>
      </c>
      <c r="H1113" s="16" t="s">
        <v>301</v>
      </c>
      <c r="I1113" s="16" t="s">
        <v>198</v>
      </c>
      <c r="J1113" s="16" t="s">
        <v>199</v>
      </c>
      <c r="K1113" s="16">
        <v>2.7782330000000002</v>
      </c>
      <c r="L1113" s="36">
        <v>2040</v>
      </c>
      <c r="M1113" s="16">
        <v>270</v>
      </c>
      <c r="N1113" s="36">
        <v>1031</v>
      </c>
      <c r="O1113" s="16">
        <v>350</v>
      </c>
      <c r="P1113" s="16">
        <v>245</v>
      </c>
      <c r="Q1113" s="16">
        <v>144</v>
      </c>
      <c r="R1113" s="16">
        <v>4</v>
      </c>
      <c r="S1113" s="16">
        <v>27.8186</v>
      </c>
      <c r="T1113" s="16">
        <v>6.2387100000000002</v>
      </c>
      <c r="U1113" s="16">
        <v>0.82459187499999997</v>
      </c>
      <c r="V1113" s="16">
        <v>3</v>
      </c>
      <c r="W1113" s="16">
        <v>0.90517199999999998</v>
      </c>
      <c r="X1113" s="16">
        <v>0.26811299999999999</v>
      </c>
      <c r="Y1113" s="16">
        <v>0.61568599999999996</v>
      </c>
      <c r="Z1113" s="16">
        <v>0.99782599999999999</v>
      </c>
      <c r="AA1113" s="37"/>
    </row>
    <row r="1114" spans="1:27">
      <c r="A1114" s="16" t="s">
        <v>70</v>
      </c>
      <c r="B1114" s="16" t="s">
        <v>3804</v>
      </c>
      <c r="C1114" s="16" t="s">
        <v>3805</v>
      </c>
      <c r="D1114" s="16" t="s">
        <v>3806</v>
      </c>
      <c r="E1114" s="16" t="s">
        <v>3807</v>
      </c>
      <c r="F1114" s="16" t="s">
        <v>3808</v>
      </c>
      <c r="G1114" s="16" t="s">
        <v>300</v>
      </c>
      <c r="H1114" s="16" t="s">
        <v>301</v>
      </c>
      <c r="I1114" s="16" t="s">
        <v>198</v>
      </c>
      <c r="J1114" s="16" t="s">
        <v>199</v>
      </c>
      <c r="K1114" s="16">
        <v>2.8773089999999999</v>
      </c>
      <c r="L1114" s="36">
        <v>2598</v>
      </c>
      <c r="M1114" s="16">
        <v>268</v>
      </c>
      <c r="N1114" s="36">
        <v>1086</v>
      </c>
      <c r="O1114" s="16">
        <v>842</v>
      </c>
      <c r="P1114" s="16">
        <v>329</v>
      </c>
      <c r="Q1114" s="16">
        <v>73</v>
      </c>
      <c r="R1114" s="16" t="s">
        <v>302</v>
      </c>
      <c r="S1114" s="16">
        <v>44.675899999999999</v>
      </c>
      <c r="T1114" s="16">
        <v>21.013300000000001</v>
      </c>
      <c r="U1114" s="16">
        <v>0.755537346</v>
      </c>
      <c r="V1114" s="16">
        <v>4</v>
      </c>
      <c r="W1114" s="16">
        <v>0.94317300000000004</v>
      </c>
      <c r="X1114" s="16">
        <v>0.30865199999999998</v>
      </c>
      <c r="Y1114" s="16">
        <v>0.6</v>
      </c>
      <c r="Z1114" s="16">
        <v>1</v>
      </c>
      <c r="AA1114" s="37"/>
    </row>
    <row r="1115" spans="1:27">
      <c r="A1115" s="16" t="s">
        <v>70</v>
      </c>
      <c r="B1115" s="16" t="s">
        <v>3809</v>
      </c>
      <c r="C1115" s="16" t="s">
        <v>3810</v>
      </c>
      <c r="D1115" s="16" t="s">
        <v>3811</v>
      </c>
      <c r="E1115" s="16" t="s">
        <v>3812</v>
      </c>
      <c r="F1115" s="16" t="s">
        <v>3813</v>
      </c>
      <c r="G1115" s="16" t="s">
        <v>300</v>
      </c>
      <c r="H1115" s="16" t="s">
        <v>301</v>
      </c>
      <c r="I1115" s="16" t="s">
        <v>198</v>
      </c>
      <c r="J1115" s="16" t="s">
        <v>199</v>
      </c>
      <c r="K1115" s="16">
        <v>2.7054119999999999</v>
      </c>
      <c r="L1115" s="36">
        <v>1526</v>
      </c>
      <c r="M1115" s="16">
        <v>301</v>
      </c>
      <c r="N1115" s="16">
        <v>461</v>
      </c>
      <c r="O1115" s="16">
        <v>408</v>
      </c>
      <c r="P1115" s="16">
        <v>256</v>
      </c>
      <c r="Q1115" s="16">
        <v>100</v>
      </c>
      <c r="R1115" s="16" t="s">
        <v>302</v>
      </c>
      <c r="S1115" s="16">
        <v>44.6417</v>
      </c>
      <c r="T1115" s="16">
        <v>26.787800000000001</v>
      </c>
      <c r="U1115" s="16">
        <v>1.0847211670000001</v>
      </c>
      <c r="V1115" s="16">
        <v>3</v>
      </c>
      <c r="W1115" s="16">
        <v>0.97411800000000004</v>
      </c>
      <c r="X1115" s="16">
        <v>0.17036999999999999</v>
      </c>
      <c r="Y1115" s="16">
        <v>0.6</v>
      </c>
      <c r="Z1115" s="16">
        <v>1</v>
      </c>
      <c r="AA1115" s="37"/>
    </row>
    <row r="1116" spans="1:27">
      <c r="A1116" s="16"/>
      <c r="B1116" s="16"/>
      <c r="C1116" s="16"/>
      <c r="D1116" s="16"/>
      <c r="E1116" s="16"/>
      <c r="F1116" s="16"/>
      <c r="G1116" s="16"/>
      <c r="H1116" s="16"/>
      <c r="I1116" s="16"/>
      <c r="J1116" s="16"/>
      <c r="K1116" s="16">
        <f>MEDIAN(K1108:K1115)</f>
        <v>2.7474500000000002</v>
      </c>
      <c r="L1116" s="36">
        <f>AVERAGE(L1108:L1115)</f>
        <v>2508.375</v>
      </c>
      <c r="M1116" s="36">
        <f>SUM(M1108:M1115)</f>
        <v>2989</v>
      </c>
      <c r="N1116" s="16"/>
      <c r="O1116" s="16"/>
      <c r="P1116" s="16"/>
      <c r="Q1116" s="36">
        <f>SUM(Q1108:Q1115)</f>
        <v>1131</v>
      </c>
      <c r="R1116" s="16"/>
      <c r="S1116" s="16"/>
      <c r="T1116" s="16"/>
      <c r="U1116" s="16"/>
      <c r="V1116" s="16">
        <f>MEDIAN(V1108:V1115)</f>
        <v>3</v>
      </c>
      <c r="W1116" s="16"/>
      <c r="X1116" s="16"/>
      <c r="Y1116" s="16"/>
      <c r="Z1116" s="16"/>
      <c r="AA1116" s="37"/>
    </row>
    <row r="1117" spans="1:27">
      <c r="A1117" s="16" t="s">
        <v>107</v>
      </c>
      <c r="B1117" s="16" t="s">
        <v>3814</v>
      </c>
      <c r="C1117" s="16" t="s">
        <v>3815</v>
      </c>
      <c r="D1117" s="16" t="s">
        <v>3816</v>
      </c>
      <c r="E1117" s="16" t="s">
        <v>3817</v>
      </c>
      <c r="F1117" s="16" t="s">
        <v>3818</v>
      </c>
      <c r="G1117" s="16" t="s">
        <v>3684</v>
      </c>
      <c r="H1117" s="16" t="s">
        <v>3685</v>
      </c>
      <c r="I1117" s="16" t="s">
        <v>198</v>
      </c>
      <c r="J1117" s="16" t="s">
        <v>199</v>
      </c>
      <c r="K1117" s="16">
        <v>2.3793730000000002</v>
      </c>
      <c r="L1117" s="36">
        <v>1694</v>
      </c>
      <c r="M1117" s="16">
        <v>313</v>
      </c>
      <c r="N1117" s="16">
        <v>398</v>
      </c>
      <c r="O1117" s="16">
        <v>431</v>
      </c>
      <c r="P1117" s="16">
        <v>414</v>
      </c>
      <c r="Q1117" s="16">
        <v>138</v>
      </c>
      <c r="R1117" s="16">
        <v>4</v>
      </c>
      <c r="S1117" s="16">
        <v>23.7059</v>
      </c>
      <c r="T1117" s="16">
        <v>12.2211</v>
      </c>
      <c r="U1117" s="16">
        <v>0.65330332700000004</v>
      </c>
      <c r="V1117" s="16">
        <v>9</v>
      </c>
      <c r="W1117" s="16">
        <v>0.90792099999999998</v>
      </c>
      <c r="X1117" s="16">
        <v>0.27049200000000001</v>
      </c>
      <c r="Y1117" s="16">
        <v>0.8</v>
      </c>
      <c r="Z1117" s="16">
        <v>0.41197400000000001</v>
      </c>
      <c r="AA1117" s="37"/>
    </row>
    <row r="1118" spans="1:27">
      <c r="A1118" s="16" t="s">
        <v>107</v>
      </c>
      <c r="B1118" s="16" t="s">
        <v>3819</v>
      </c>
      <c r="C1118" s="16" t="s">
        <v>3820</v>
      </c>
      <c r="D1118" s="16" t="s">
        <v>3821</v>
      </c>
      <c r="E1118" s="16" t="s">
        <v>3817</v>
      </c>
      <c r="F1118" s="16" t="s">
        <v>3818</v>
      </c>
      <c r="G1118" s="16" t="s">
        <v>3684</v>
      </c>
      <c r="H1118" s="16" t="s">
        <v>3685</v>
      </c>
      <c r="I1118" s="16" t="s">
        <v>198</v>
      </c>
      <c r="J1118" s="16" t="s">
        <v>199</v>
      </c>
      <c r="K1118" s="16">
        <v>2.1671480000000001</v>
      </c>
      <c r="L1118" s="36">
        <v>1473</v>
      </c>
      <c r="M1118" s="16">
        <v>268</v>
      </c>
      <c r="N1118" s="16">
        <v>373</v>
      </c>
      <c r="O1118" s="16">
        <v>475</v>
      </c>
      <c r="P1118" s="16">
        <v>241</v>
      </c>
      <c r="Q1118" s="16">
        <v>116</v>
      </c>
      <c r="R1118" s="16">
        <v>5</v>
      </c>
      <c r="S1118" s="16">
        <v>25.7181</v>
      </c>
      <c r="T1118" s="16">
        <v>22.616399999999999</v>
      </c>
      <c r="U1118" s="16">
        <v>0.72997353099999995</v>
      </c>
      <c r="V1118" s="16">
        <v>9</v>
      </c>
      <c r="W1118" s="16">
        <v>0.9</v>
      </c>
      <c r="X1118" s="16">
        <v>0</v>
      </c>
      <c r="Y1118" s="16">
        <v>0.8</v>
      </c>
      <c r="Z1118" s="16">
        <v>0.468613</v>
      </c>
      <c r="AA1118" s="37"/>
    </row>
    <row r="1119" spans="1:27">
      <c r="A1119" s="16" t="s">
        <v>107</v>
      </c>
      <c r="B1119" s="16" t="s">
        <v>3822</v>
      </c>
      <c r="C1119" s="16" t="s">
        <v>3823</v>
      </c>
      <c r="D1119" s="16" t="s">
        <v>3824</v>
      </c>
      <c r="E1119" s="16" t="s">
        <v>3772</v>
      </c>
      <c r="F1119" s="16" t="s">
        <v>3773</v>
      </c>
      <c r="G1119" s="16" t="s">
        <v>3684</v>
      </c>
      <c r="H1119" s="16" t="s">
        <v>3685</v>
      </c>
      <c r="I1119" s="16" t="s">
        <v>198</v>
      </c>
      <c r="J1119" s="16" t="s">
        <v>199</v>
      </c>
      <c r="K1119" s="16">
        <v>2.2345109999999999</v>
      </c>
      <c r="L1119" s="36">
        <v>1438</v>
      </c>
      <c r="M1119" s="16">
        <v>219</v>
      </c>
      <c r="N1119" s="16">
        <v>280</v>
      </c>
      <c r="O1119" s="16">
        <v>324</v>
      </c>
      <c r="P1119" s="16">
        <v>331</v>
      </c>
      <c r="Q1119" s="16">
        <v>284</v>
      </c>
      <c r="R1119" s="16">
        <v>4</v>
      </c>
      <c r="S1119" s="16">
        <v>25.126300000000001</v>
      </c>
      <c r="T1119" s="16">
        <v>12.7182</v>
      </c>
      <c r="U1119" s="16">
        <v>0.95448009099999997</v>
      </c>
      <c r="V1119" s="16">
        <v>5</v>
      </c>
      <c r="W1119" s="16">
        <v>0.90733699999999995</v>
      </c>
      <c r="X1119" s="16">
        <v>0.10743800000000001</v>
      </c>
      <c r="Y1119" s="16">
        <v>0.8</v>
      </c>
      <c r="Z1119" s="16">
        <v>0.42280200000000001</v>
      </c>
      <c r="AA1119" s="37"/>
    </row>
    <row r="1120" spans="1:27">
      <c r="A1120" s="16" t="s">
        <v>107</v>
      </c>
      <c r="B1120" s="16" t="s">
        <v>3825</v>
      </c>
      <c r="C1120" s="16" t="s">
        <v>3826</v>
      </c>
      <c r="D1120" s="16" t="s">
        <v>3827</v>
      </c>
      <c r="E1120" s="16" t="s">
        <v>3772</v>
      </c>
      <c r="F1120" s="16" t="s">
        <v>3773</v>
      </c>
      <c r="G1120" s="16" t="s">
        <v>3684</v>
      </c>
      <c r="H1120" s="16" t="s">
        <v>3685</v>
      </c>
      <c r="I1120" s="16" t="s">
        <v>198</v>
      </c>
      <c r="J1120" s="16" t="s">
        <v>199</v>
      </c>
      <c r="K1120" s="16">
        <v>2.5173649999999999</v>
      </c>
      <c r="L1120" s="36">
        <v>1992</v>
      </c>
      <c r="M1120" s="16">
        <v>249</v>
      </c>
      <c r="N1120" s="16">
        <v>520</v>
      </c>
      <c r="O1120" s="16">
        <v>714</v>
      </c>
      <c r="P1120" s="16">
        <v>359</v>
      </c>
      <c r="Q1120" s="16">
        <v>150</v>
      </c>
      <c r="R1120" s="16">
        <v>5</v>
      </c>
      <c r="S1120" s="16">
        <v>29.417100000000001</v>
      </c>
      <c r="T1120" s="16">
        <v>15.6076</v>
      </c>
      <c r="U1120" s="16">
        <v>0.73343423100000005</v>
      </c>
      <c r="V1120" s="16">
        <v>6</v>
      </c>
      <c r="W1120" s="16">
        <v>0.90459100000000003</v>
      </c>
      <c r="X1120" s="16">
        <v>0.232596</v>
      </c>
      <c r="Y1120" s="16">
        <v>0.8</v>
      </c>
      <c r="Z1120" s="16">
        <v>0.55835000000000001</v>
      </c>
      <c r="AA1120" s="37"/>
    </row>
    <row r="1121" spans="1:27">
      <c r="A1121" s="16" t="s">
        <v>107</v>
      </c>
      <c r="B1121" s="16" t="s">
        <v>3828</v>
      </c>
      <c r="C1121" s="16" t="s">
        <v>3829</v>
      </c>
      <c r="D1121" s="16" t="s">
        <v>3830</v>
      </c>
      <c r="E1121" s="16" t="s">
        <v>3817</v>
      </c>
      <c r="F1121" s="16" t="s">
        <v>3818</v>
      </c>
      <c r="G1121" s="16" t="s">
        <v>3684</v>
      </c>
      <c r="H1121" s="16" t="s">
        <v>3685</v>
      </c>
      <c r="I1121" s="16" t="s">
        <v>198</v>
      </c>
      <c r="J1121" s="16" t="s">
        <v>199</v>
      </c>
      <c r="K1121" s="16">
        <v>2.322133</v>
      </c>
      <c r="L1121" s="36">
        <v>1657</v>
      </c>
      <c r="M1121" s="16">
        <v>302</v>
      </c>
      <c r="N1121" s="16">
        <v>300</v>
      </c>
      <c r="O1121" s="16">
        <v>491</v>
      </c>
      <c r="P1121" s="16">
        <v>362</v>
      </c>
      <c r="Q1121" s="16">
        <v>202</v>
      </c>
      <c r="R1121" s="16">
        <v>4</v>
      </c>
      <c r="S1121" s="16">
        <v>24.797799999999999</v>
      </c>
      <c r="T1121" s="16">
        <v>10.4171</v>
      </c>
      <c r="U1121" s="16">
        <v>0.82932577299999999</v>
      </c>
      <c r="V1121" s="16">
        <v>5</v>
      </c>
      <c r="W1121" s="16">
        <v>0.90586699999999998</v>
      </c>
      <c r="X1121" s="16">
        <v>0.124737</v>
      </c>
      <c r="Y1121" s="16">
        <v>0.8</v>
      </c>
      <c r="Z1121" s="16">
        <v>0.48364600000000002</v>
      </c>
      <c r="AA1121" s="37"/>
    </row>
    <row r="1122" spans="1:27">
      <c r="A1122" s="16" t="s">
        <v>107</v>
      </c>
      <c r="B1122" s="16" t="s">
        <v>3831</v>
      </c>
      <c r="C1122" s="16" t="s">
        <v>3832</v>
      </c>
      <c r="D1122" s="16" t="s">
        <v>3833</v>
      </c>
      <c r="E1122" s="16" t="s">
        <v>3817</v>
      </c>
      <c r="F1122" s="16" t="s">
        <v>3818</v>
      </c>
      <c r="G1122" s="16" t="s">
        <v>3684</v>
      </c>
      <c r="H1122" s="16" t="s">
        <v>3685</v>
      </c>
      <c r="I1122" s="16" t="s">
        <v>198</v>
      </c>
      <c r="J1122" s="16" t="s">
        <v>199</v>
      </c>
      <c r="K1122" s="16">
        <v>2.1240380000000001</v>
      </c>
      <c r="L1122" s="36">
        <v>1925</v>
      </c>
      <c r="M1122" s="16">
        <v>375</v>
      </c>
      <c r="N1122" s="16">
        <v>335</v>
      </c>
      <c r="O1122" s="16">
        <v>565</v>
      </c>
      <c r="P1122" s="16">
        <v>480</v>
      </c>
      <c r="Q1122" s="16">
        <v>170</v>
      </c>
      <c r="R1122" s="16">
        <v>2</v>
      </c>
      <c r="S1122" s="16">
        <v>20.046800000000001</v>
      </c>
      <c r="T1122" s="16">
        <v>0</v>
      </c>
      <c r="U1122" s="16">
        <v>0.85189861899999997</v>
      </c>
      <c r="V1122" s="16">
        <v>7</v>
      </c>
      <c r="W1122" s="16">
        <v>0.902756</v>
      </c>
      <c r="X1122" s="16">
        <v>3.3610000000000001E-2</v>
      </c>
      <c r="Y1122" s="16">
        <v>0.8</v>
      </c>
      <c r="Z1122" s="16">
        <v>0.38630799999999998</v>
      </c>
      <c r="AA1122" s="37"/>
    </row>
    <row r="1123" spans="1:27">
      <c r="A1123" s="16" t="s">
        <v>107</v>
      </c>
      <c r="B1123" s="16" t="s">
        <v>3834</v>
      </c>
      <c r="C1123" s="16" t="s">
        <v>3835</v>
      </c>
      <c r="D1123" s="16" t="s">
        <v>3836</v>
      </c>
      <c r="E1123" s="16" t="s">
        <v>3837</v>
      </c>
      <c r="F1123" s="16" t="s">
        <v>3838</v>
      </c>
      <c r="G1123" s="16" t="s">
        <v>3684</v>
      </c>
      <c r="H1123" s="16" t="s">
        <v>3685</v>
      </c>
      <c r="I1123" s="16" t="s">
        <v>198</v>
      </c>
      <c r="J1123" s="16" t="s">
        <v>199</v>
      </c>
      <c r="K1123" s="16">
        <v>2.5816460000000001</v>
      </c>
      <c r="L1123" s="36">
        <v>1721</v>
      </c>
      <c r="M1123" s="16">
        <v>408</v>
      </c>
      <c r="N1123" s="16">
        <v>268</v>
      </c>
      <c r="O1123" s="16">
        <v>525</v>
      </c>
      <c r="P1123" s="16">
        <v>374</v>
      </c>
      <c r="Q1123" s="16">
        <v>146</v>
      </c>
      <c r="R1123" s="16">
        <v>4</v>
      </c>
      <c r="S1123" s="16">
        <v>27.702400000000001</v>
      </c>
      <c r="T1123" s="16">
        <v>10.8688</v>
      </c>
      <c r="U1123" s="16">
        <v>0.56743755399999996</v>
      </c>
      <c r="V1123" s="16">
        <v>8</v>
      </c>
      <c r="W1123" s="16">
        <v>0.91392399999999996</v>
      </c>
      <c r="X1123" s="16">
        <v>0.18044199999999999</v>
      </c>
      <c r="Y1123" s="16">
        <v>0.8</v>
      </c>
      <c r="Z1123" s="16">
        <v>0.696855</v>
      </c>
      <c r="AA1123" s="37"/>
    </row>
    <row r="1124" spans="1:27">
      <c r="A1124" s="16" t="s">
        <v>107</v>
      </c>
      <c r="B1124" s="16" t="s">
        <v>3839</v>
      </c>
      <c r="C1124" s="16" t="s">
        <v>3840</v>
      </c>
      <c r="D1124" s="16" t="s">
        <v>3841</v>
      </c>
      <c r="E1124" s="16" t="s">
        <v>3842</v>
      </c>
      <c r="F1124" s="16" t="s">
        <v>3843</v>
      </c>
      <c r="G1124" s="16" t="s">
        <v>3684</v>
      </c>
      <c r="H1124" s="16" t="s">
        <v>3685</v>
      </c>
      <c r="I1124" s="16" t="s">
        <v>198</v>
      </c>
      <c r="J1124" s="16" t="s">
        <v>199</v>
      </c>
      <c r="K1124" s="16">
        <v>2.2215259999999999</v>
      </c>
      <c r="L1124" s="36">
        <v>1500</v>
      </c>
      <c r="M1124" s="16">
        <v>285</v>
      </c>
      <c r="N1124" s="16">
        <v>378</v>
      </c>
      <c r="O1124" s="16">
        <v>387</v>
      </c>
      <c r="P1124" s="16">
        <v>263</v>
      </c>
      <c r="Q1124" s="16">
        <v>187</v>
      </c>
      <c r="R1124" s="16">
        <v>4</v>
      </c>
      <c r="S1124" s="16">
        <v>20.8215</v>
      </c>
      <c r="T1124" s="16">
        <v>10.324199999999999</v>
      </c>
      <c r="U1124" s="16">
        <v>0.80391559300000004</v>
      </c>
      <c r="V1124" s="16">
        <v>7</v>
      </c>
      <c r="W1124" s="16">
        <v>0.9</v>
      </c>
      <c r="X1124" s="16">
        <v>1.7486000000000002E-2</v>
      </c>
      <c r="Y1124" s="16">
        <v>0.8</v>
      </c>
      <c r="Z1124" s="16">
        <v>0.49945899999999999</v>
      </c>
      <c r="AA1124" s="37"/>
    </row>
    <row r="1125" spans="1:27">
      <c r="A1125" s="16" t="s">
        <v>107</v>
      </c>
      <c r="B1125" s="16" t="s">
        <v>3844</v>
      </c>
      <c r="C1125" s="16" t="s">
        <v>3845</v>
      </c>
      <c r="D1125" s="16" t="s">
        <v>3846</v>
      </c>
      <c r="E1125" s="16" t="s">
        <v>3847</v>
      </c>
      <c r="F1125" s="16" t="s">
        <v>3848</v>
      </c>
      <c r="G1125" s="16" t="s">
        <v>3684</v>
      </c>
      <c r="H1125" s="16" t="s">
        <v>3685</v>
      </c>
      <c r="I1125" s="16" t="s">
        <v>198</v>
      </c>
      <c r="J1125" s="16" t="s">
        <v>199</v>
      </c>
      <c r="K1125" s="16">
        <v>2.3889710000000002</v>
      </c>
      <c r="L1125" s="36">
        <v>1458</v>
      </c>
      <c r="M1125" s="16">
        <v>337</v>
      </c>
      <c r="N1125" s="16">
        <v>293</v>
      </c>
      <c r="O1125" s="16">
        <v>291</v>
      </c>
      <c r="P1125" s="16">
        <v>427</v>
      </c>
      <c r="Q1125" s="16">
        <v>110</v>
      </c>
      <c r="R1125" s="16">
        <v>2</v>
      </c>
      <c r="S1125" s="16">
        <v>16.029599999999999</v>
      </c>
      <c r="T1125" s="16">
        <v>0</v>
      </c>
      <c r="U1125" s="16">
        <v>0.70284996099999997</v>
      </c>
      <c r="V1125" s="16">
        <v>7</v>
      </c>
      <c r="W1125" s="16">
        <v>0.90434499999999995</v>
      </c>
      <c r="X1125" s="16">
        <v>0.258768</v>
      </c>
      <c r="Y1125" s="16">
        <v>0.8</v>
      </c>
      <c r="Z1125" s="16">
        <v>0.41861199999999998</v>
      </c>
      <c r="AA1125" s="37"/>
    </row>
    <row r="1126" spans="1:27">
      <c r="A1126" s="16" t="s">
        <v>107</v>
      </c>
      <c r="B1126" s="16" t="s">
        <v>3849</v>
      </c>
      <c r="C1126" s="16" t="s">
        <v>3850</v>
      </c>
      <c r="D1126" s="16" t="s">
        <v>3851</v>
      </c>
      <c r="E1126" s="16" t="s">
        <v>3837</v>
      </c>
      <c r="F1126" s="16" t="s">
        <v>3838</v>
      </c>
      <c r="G1126" s="16" t="s">
        <v>3684</v>
      </c>
      <c r="H1126" s="16" t="s">
        <v>3685</v>
      </c>
      <c r="I1126" s="16" t="s">
        <v>198</v>
      </c>
      <c r="J1126" s="16" t="s">
        <v>199</v>
      </c>
      <c r="K1126" s="16">
        <v>2.6582940000000002</v>
      </c>
      <c r="L1126" s="36">
        <v>1687</v>
      </c>
      <c r="M1126" s="16">
        <v>327</v>
      </c>
      <c r="N1126" s="16">
        <v>326</v>
      </c>
      <c r="O1126" s="16">
        <v>487</v>
      </c>
      <c r="P1126" s="16">
        <v>390</v>
      </c>
      <c r="Q1126" s="16">
        <v>157</v>
      </c>
      <c r="R1126" s="16">
        <v>3</v>
      </c>
      <c r="S1126" s="16">
        <v>58.139000000000003</v>
      </c>
      <c r="T1126" s="16">
        <v>0</v>
      </c>
      <c r="U1126" s="16">
        <v>0.61678602299999996</v>
      </c>
      <c r="V1126" s="16">
        <v>6</v>
      </c>
      <c r="W1126" s="16">
        <v>0.91169</v>
      </c>
      <c r="X1126" s="16">
        <v>0.32613199999999998</v>
      </c>
      <c r="Y1126" s="16">
        <v>0.8</v>
      </c>
      <c r="Z1126" s="16">
        <v>0.62370700000000001</v>
      </c>
      <c r="AA1126" s="37"/>
    </row>
    <row r="1127" spans="1:27">
      <c r="A1127" s="16" t="s">
        <v>107</v>
      </c>
      <c r="B1127" s="16" t="s">
        <v>3852</v>
      </c>
      <c r="C1127" s="16" t="s">
        <v>3853</v>
      </c>
      <c r="D1127" s="16" t="s">
        <v>3854</v>
      </c>
      <c r="E1127" s="16" t="s">
        <v>3855</v>
      </c>
      <c r="F1127" s="16" t="s">
        <v>3856</v>
      </c>
      <c r="G1127" s="16" t="s">
        <v>3684</v>
      </c>
      <c r="H1127" s="16" t="s">
        <v>3685</v>
      </c>
      <c r="I1127" s="16" t="s">
        <v>198</v>
      </c>
      <c r="J1127" s="16" t="s">
        <v>199</v>
      </c>
      <c r="K1127" s="16">
        <v>2.4857619999999998</v>
      </c>
      <c r="L1127" s="36">
        <v>2163</v>
      </c>
      <c r="M1127" s="16">
        <v>220</v>
      </c>
      <c r="N1127" s="16">
        <v>483</v>
      </c>
      <c r="O1127" s="16">
        <v>834</v>
      </c>
      <c r="P1127" s="16">
        <v>480</v>
      </c>
      <c r="Q1127" s="16">
        <v>146</v>
      </c>
      <c r="R1127" s="16" t="s">
        <v>225</v>
      </c>
      <c r="S1127" s="16">
        <v>4.6304499999999997</v>
      </c>
      <c r="T1127" s="16">
        <v>0</v>
      </c>
      <c r="U1127" s="16">
        <v>0.77888225799999999</v>
      </c>
      <c r="V1127" s="16">
        <v>5</v>
      </c>
      <c r="W1127" s="16">
        <v>0.90737000000000001</v>
      </c>
      <c r="X1127" s="16">
        <v>0.240201</v>
      </c>
      <c r="Y1127" s="16">
        <v>0.8</v>
      </c>
      <c r="Z1127" s="16">
        <v>0.54500000000000004</v>
      </c>
      <c r="AA1127" s="37"/>
    </row>
    <row r="1128" spans="1:27">
      <c r="A1128" s="16" t="s">
        <v>107</v>
      </c>
      <c r="B1128" s="16" t="s">
        <v>3857</v>
      </c>
      <c r="C1128" s="16" t="s">
        <v>3858</v>
      </c>
      <c r="D1128" s="16" t="s">
        <v>3859</v>
      </c>
      <c r="E1128" s="16" t="s">
        <v>3817</v>
      </c>
      <c r="F1128" s="16" t="s">
        <v>3818</v>
      </c>
      <c r="G1128" s="16" t="s">
        <v>3684</v>
      </c>
      <c r="H1128" s="16" t="s">
        <v>3685</v>
      </c>
      <c r="I1128" s="16" t="s">
        <v>198</v>
      </c>
      <c r="J1128" s="16" t="s">
        <v>199</v>
      </c>
      <c r="K1128" s="16">
        <v>2.1414939999999998</v>
      </c>
      <c r="L1128" s="36">
        <v>1422</v>
      </c>
      <c r="M1128" s="16">
        <v>352</v>
      </c>
      <c r="N1128" s="16">
        <v>174</v>
      </c>
      <c r="O1128" s="16">
        <v>239</v>
      </c>
      <c r="P1128" s="16">
        <v>419</v>
      </c>
      <c r="Q1128" s="16">
        <v>238</v>
      </c>
      <c r="R1128" s="16" t="s">
        <v>225</v>
      </c>
      <c r="S1128" s="16">
        <v>15.3529</v>
      </c>
      <c r="T1128" s="16">
        <v>1.90984</v>
      </c>
      <c r="U1128" s="16">
        <v>0.74104969499999995</v>
      </c>
      <c r="V1128" s="16">
        <v>9</v>
      </c>
      <c r="W1128" s="16">
        <v>0.90331899999999998</v>
      </c>
      <c r="X1128" s="16">
        <v>8.9693999999999996E-2</v>
      </c>
      <c r="Y1128" s="16">
        <v>0.8</v>
      </c>
      <c r="Z1128" s="16">
        <v>0.35048800000000002</v>
      </c>
      <c r="AA1128" s="37"/>
    </row>
    <row r="1129" spans="1:27">
      <c r="A1129" s="16"/>
      <c r="B1129" s="16"/>
      <c r="C1129" s="16"/>
      <c r="D1129" s="16"/>
      <c r="E1129" s="16"/>
      <c r="F1129" s="16"/>
      <c r="G1129" s="16"/>
      <c r="H1129" s="16"/>
      <c r="I1129" s="16"/>
      <c r="J1129" s="16"/>
      <c r="K1129" s="16">
        <f>MEDIAN(K1117:K1128)</f>
        <v>2.3507530000000001</v>
      </c>
      <c r="L1129" s="36">
        <f>AVERAGE(L1117:L1128)</f>
        <v>1677.5</v>
      </c>
      <c r="M1129" s="36">
        <f t="shared" ref="M1129:Q1129" si="89">SUM(M1117:M1128)</f>
        <v>3655</v>
      </c>
      <c r="N1129" s="36">
        <f t="shared" si="89"/>
        <v>4128</v>
      </c>
      <c r="O1129" s="36">
        <f t="shared" si="89"/>
        <v>5763</v>
      </c>
      <c r="P1129" s="36">
        <f t="shared" si="89"/>
        <v>4540</v>
      </c>
      <c r="Q1129" s="36">
        <f t="shared" si="89"/>
        <v>2044</v>
      </c>
      <c r="R1129" s="16"/>
      <c r="S1129" s="16"/>
      <c r="T1129" s="16"/>
      <c r="U1129" s="16"/>
      <c r="V1129" s="16">
        <f>MEDIAN(V1117:V1128)</f>
        <v>7</v>
      </c>
      <c r="W1129" s="16"/>
      <c r="X1129" s="16"/>
      <c r="Y1129" s="16"/>
      <c r="Z1129" s="16"/>
      <c r="AA1129" s="37"/>
    </row>
    <row r="1130" spans="1:27">
      <c r="A1130" s="16" t="s">
        <v>108</v>
      </c>
      <c r="B1130" s="16" t="s">
        <v>3660</v>
      </c>
      <c r="C1130" s="16" t="s">
        <v>3661</v>
      </c>
      <c r="D1130" s="16" t="s">
        <v>3662</v>
      </c>
      <c r="E1130" s="16" t="s">
        <v>3663</v>
      </c>
      <c r="F1130" s="16" t="s">
        <v>3664</v>
      </c>
      <c r="G1130" s="16" t="s">
        <v>1232</v>
      </c>
      <c r="H1130" s="16" t="s">
        <v>1233</v>
      </c>
      <c r="I1130" s="16" t="s">
        <v>198</v>
      </c>
      <c r="J1130" s="16" t="s">
        <v>199</v>
      </c>
      <c r="K1130" s="16">
        <v>2.5460229999999999</v>
      </c>
      <c r="L1130" s="36">
        <v>1747</v>
      </c>
      <c r="M1130" s="16">
        <v>237</v>
      </c>
      <c r="N1130" s="16">
        <v>485</v>
      </c>
      <c r="O1130" s="16">
        <v>451</v>
      </c>
      <c r="P1130" s="16">
        <v>354</v>
      </c>
      <c r="Q1130" s="16">
        <v>220</v>
      </c>
      <c r="R1130" s="16" t="s">
        <v>302</v>
      </c>
      <c r="S1130" s="16">
        <v>41.878300000000003</v>
      </c>
      <c r="T1130" s="16">
        <v>19.754200000000001</v>
      </c>
      <c r="U1130" s="16">
        <v>0.96388614500000003</v>
      </c>
      <c r="V1130" s="16">
        <v>3</v>
      </c>
      <c r="W1130" s="16">
        <v>0.92234799999999995</v>
      </c>
      <c r="X1130" s="16">
        <v>0.279026</v>
      </c>
      <c r="Y1130" s="16">
        <v>0.72732399999999997</v>
      </c>
      <c r="Z1130" s="16">
        <v>0.64037699999999997</v>
      </c>
      <c r="AA1130" s="37"/>
    </row>
    <row r="1131" spans="1:27">
      <c r="A1131" s="16" t="s">
        <v>108</v>
      </c>
      <c r="B1131" s="16" t="s">
        <v>3860</v>
      </c>
      <c r="C1131" s="16" t="s">
        <v>3861</v>
      </c>
      <c r="D1131" s="16" t="s">
        <v>3862</v>
      </c>
      <c r="E1131" s="16" t="s">
        <v>3671</v>
      </c>
      <c r="F1131" s="16" t="s">
        <v>3672</v>
      </c>
      <c r="G1131" s="16" t="s">
        <v>1232</v>
      </c>
      <c r="H1131" s="16" t="s">
        <v>1233</v>
      </c>
      <c r="I1131" s="16" t="s">
        <v>198</v>
      </c>
      <c r="J1131" s="16" t="s">
        <v>199</v>
      </c>
      <c r="K1131" s="16">
        <v>2.4571130000000001</v>
      </c>
      <c r="L1131" s="36">
        <v>1291</v>
      </c>
      <c r="M1131" s="16">
        <v>195</v>
      </c>
      <c r="N1131" s="16">
        <v>292</v>
      </c>
      <c r="O1131" s="16">
        <v>409</v>
      </c>
      <c r="P1131" s="16">
        <v>261</v>
      </c>
      <c r="Q1131" s="16">
        <v>134</v>
      </c>
      <c r="R1131" s="16">
        <v>5</v>
      </c>
      <c r="S1131" s="16">
        <v>28.613900000000001</v>
      </c>
      <c r="T1131" s="16">
        <v>12.8126</v>
      </c>
      <c r="U1131" s="16">
        <v>0.77961463900000005</v>
      </c>
      <c r="V1131" s="16">
        <v>5</v>
      </c>
      <c r="W1131" s="16">
        <v>0.91528699999999996</v>
      </c>
      <c r="X1131" s="16">
        <v>0.12853999999999999</v>
      </c>
      <c r="Y1131" s="16">
        <v>0.78749999999999998</v>
      </c>
      <c r="Z1131" s="16">
        <v>0.60851500000000003</v>
      </c>
      <c r="AA1131" s="37"/>
    </row>
    <row r="1132" spans="1:27">
      <c r="A1132" s="16" t="s">
        <v>108</v>
      </c>
      <c r="B1132" s="16" t="s">
        <v>3863</v>
      </c>
      <c r="C1132" s="16" t="s">
        <v>3864</v>
      </c>
      <c r="D1132" s="16" t="s">
        <v>3865</v>
      </c>
      <c r="E1132" s="16" t="s">
        <v>3671</v>
      </c>
      <c r="F1132" s="16" t="s">
        <v>3672</v>
      </c>
      <c r="G1132" s="16" t="s">
        <v>1232</v>
      </c>
      <c r="H1132" s="16" t="s">
        <v>1233</v>
      </c>
      <c r="I1132" s="16" t="s">
        <v>198</v>
      </c>
      <c r="J1132" s="16" t="s">
        <v>199</v>
      </c>
      <c r="K1132" s="16">
        <v>2.513684</v>
      </c>
      <c r="L1132" s="36">
        <v>1117</v>
      </c>
      <c r="M1132" s="16">
        <v>139</v>
      </c>
      <c r="N1132" s="16">
        <v>327</v>
      </c>
      <c r="O1132" s="16">
        <v>325</v>
      </c>
      <c r="P1132" s="16">
        <v>228</v>
      </c>
      <c r="Q1132" s="16">
        <v>98</v>
      </c>
      <c r="R1132" s="16">
        <v>4</v>
      </c>
      <c r="S1132" s="16">
        <v>25.693999999999999</v>
      </c>
      <c r="T1132" s="16">
        <v>13.7836</v>
      </c>
      <c r="U1132" s="16">
        <v>0.93239368099999997</v>
      </c>
      <c r="V1132" s="16">
        <v>4</v>
      </c>
      <c r="W1132" s="16">
        <v>0.91333299999999995</v>
      </c>
      <c r="X1132" s="16">
        <v>0.28028199999999998</v>
      </c>
      <c r="Y1132" s="16">
        <v>0.79257999999999995</v>
      </c>
      <c r="Z1132" s="16">
        <v>0.51792099999999996</v>
      </c>
      <c r="AA1132" s="37"/>
    </row>
    <row r="1133" spans="1:27">
      <c r="A1133" s="16" t="s">
        <v>108</v>
      </c>
      <c r="B1133" s="16" t="s">
        <v>3866</v>
      </c>
      <c r="C1133" s="16" t="s">
        <v>3867</v>
      </c>
      <c r="D1133" s="16" t="s">
        <v>3868</v>
      </c>
      <c r="E1133" s="16" t="s">
        <v>3869</v>
      </c>
      <c r="F1133" s="16" t="s">
        <v>3870</v>
      </c>
      <c r="G1133" s="16" t="s">
        <v>3684</v>
      </c>
      <c r="H1133" s="16" t="s">
        <v>3685</v>
      </c>
      <c r="I1133" s="16" t="s">
        <v>198</v>
      </c>
      <c r="J1133" s="16" t="s">
        <v>199</v>
      </c>
      <c r="K1133" s="16">
        <v>2.5596079999999999</v>
      </c>
      <c r="L1133" s="36">
        <v>2053</v>
      </c>
      <c r="M1133" s="16">
        <v>251</v>
      </c>
      <c r="N1133" s="16">
        <v>592</v>
      </c>
      <c r="O1133" s="16">
        <v>815</v>
      </c>
      <c r="P1133" s="16">
        <v>306</v>
      </c>
      <c r="Q1133" s="16">
        <v>89</v>
      </c>
      <c r="R1133" s="16" t="s">
        <v>668</v>
      </c>
      <c r="S1133" s="16">
        <v>72.185000000000002</v>
      </c>
      <c r="T1133" s="16">
        <v>53.004800000000003</v>
      </c>
      <c r="U1133" s="16">
        <v>0.59712697599999998</v>
      </c>
      <c r="V1133" s="16">
        <v>8</v>
      </c>
      <c r="W1133" s="16">
        <v>0.91411799999999999</v>
      </c>
      <c r="X1133" s="16">
        <v>0.21615400000000001</v>
      </c>
      <c r="Y1133" s="16">
        <v>0.8</v>
      </c>
      <c r="Z1133" s="16">
        <v>0.626054</v>
      </c>
      <c r="AA1133" s="37"/>
    </row>
    <row r="1134" spans="1:27">
      <c r="A1134" s="16" t="s">
        <v>108</v>
      </c>
      <c r="B1134" s="16" t="s">
        <v>3871</v>
      </c>
      <c r="C1134" s="16" t="s">
        <v>3872</v>
      </c>
      <c r="D1134" s="16" t="s">
        <v>3873</v>
      </c>
      <c r="E1134" s="16" t="s">
        <v>3869</v>
      </c>
      <c r="F1134" s="16" t="s">
        <v>3870</v>
      </c>
      <c r="G1134" s="16" t="s">
        <v>3684</v>
      </c>
      <c r="H1134" s="16" t="s">
        <v>3685</v>
      </c>
      <c r="I1134" s="16" t="s">
        <v>198</v>
      </c>
      <c r="J1134" s="16" t="s">
        <v>199</v>
      </c>
      <c r="K1134" s="16">
        <v>2.2627389999999998</v>
      </c>
      <c r="L1134" s="36">
        <v>2004</v>
      </c>
      <c r="M1134" s="16">
        <v>370</v>
      </c>
      <c r="N1134" s="16">
        <v>453</v>
      </c>
      <c r="O1134" s="16">
        <v>676</v>
      </c>
      <c r="P1134" s="16">
        <v>373</v>
      </c>
      <c r="Q1134" s="16">
        <v>132</v>
      </c>
      <c r="R1134" s="16">
        <v>3</v>
      </c>
      <c r="S1134" s="16">
        <v>14.658300000000001</v>
      </c>
      <c r="T1134" s="16">
        <v>7.9081200000000003</v>
      </c>
      <c r="U1134" s="16">
        <v>0.71127246300000002</v>
      </c>
      <c r="V1134" s="16">
        <v>9</v>
      </c>
      <c r="W1134" s="16">
        <v>0.90286599999999995</v>
      </c>
      <c r="X1134" s="16">
        <v>0.114103</v>
      </c>
      <c r="Y1134" s="16">
        <v>0.8</v>
      </c>
      <c r="Z1134" s="16">
        <v>0.44145600000000002</v>
      </c>
      <c r="AA1134" s="37"/>
    </row>
    <row r="1135" spans="1:27">
      <c r="A1135" s="16" t="s">
        <v>108</v>
      </c>
      <c r="B1135" s="16" t="s">
        <v>3874</v>
      </c>
      <c r="C1135" s="16" t="s">
        <v>3875</v>
      </c>
      <c r="D1135" s="16" t="s">
        <v>3876</v>
      </c>
      <c r="E1135" s="16" t="s">
        <v>3869</v>
      </c>
      <c r="F1135" s="16" t="s">
        <v>3870</v>
      </c>
      <c r="G1135" s="16" t="s">
        <v>3684</v>
      </c>
      <c r="H1135" s="16" t="s">
        <v>3685</v>
      </c>
      <c r="I1135" s="16" t="s">
        <v>198</v>
      </c>
      <c r="J1135" s="16" t="s">
        <v>199</v>
      </c>
      <c r="K1135" s="16">
        <v>2.387629</v>
      </c>
      <c r="L1135" s="36">
        <v>1918</v>
      </c>
      <c r="M1135" s="16">
        <v>300</v>
      </c>
      <c r="N1135" s="16">
        <v>486</v>
      </c>
      <c r="O1135" s="16">
        <v>701</v>
      </c>
      <c r="P1135" s="16">
        <v>314</v>
      </c>
      <c r="Q1135" s="16">
        <v>117</v>
      </c>
      <c r="R1135" s="16">
        <v>5</v>
      </c>
      <c r="S1135" s="16">
        <v>57.458100000000002</v>
      </c>
      <c r="T1135" s="16">
        <v>9.4562600000000003</v>
      </c>
      <c r="U1135" s="16">
        <v>0.66083908300000005</v>
      </c>
      <c r="V1135" s="16">
        <v>9</v>
      </c>
      <c r="W1135" s="16">
        <v>0.90927800000000003</v>
      </c>
      <c r="X1135" s="16">
        <v>0.177703</v>
      </c>
      <c r="Y1135" s="16">
        <v>0.8</v>
      </c>
      <c r="Z1135" s="16">
        <v>0.50652900000000001</v>
      </c>
      <c r="AA1135" s="37"/>
    </row>
    <row r="1136" spans="1:27">
      <c r="A1136" s="16" t="s">
        <v>108</v>
      </c>
      <c r="B1136" s="16" t="s">
        <v>3877</v>
      </c>
      <c r="C1136" s="16" t="s">
        <v>3878</v>
      </c>
      <c r="D1136" s="16" t="s">
        <v>3879</v>
      </c>
      <c r="E1136" s="16" t="s">
        <v>3880</v>
      </c>
      <c r="F1136" s="16" t="s">
        <v>3881</v>
      </c>
      <c r="G1136" s="16" t="s">
        <v>3684</v>
      </c>
      <c r="H1136" s="16" t="s">
        <v>3685</v>
      </c>
      <c r="I1136" s="16" t="s">
        <v>198</v>
      </c>
      <c r="J1136" s="16" t="s">
        <v>199</v>
      </c>
      <c r="K1136" s="16">
        <v>2.5525859999999998</v>
      </c>
      <c r="L1136" s="36">
        <v>2338</v>
      </c>
      <c r="M1136" s="16">
        <v>237</v>
      </c>
      <c r="N1136" s="16">
        <v>801</v>
      </c>
      <c r="O1136" s="16">
        <v>954</v>
      </c>
      <c r="P1136" s="16">
        <v>240</v>
      </c>
      <c r="Q1136" s="16">
        <v>106</v>
      </c>
      <c r="R1136" s="16" t="s">
        <v>668</v>
      </c>
      <c r="S1136" s="16">
        <v>78.627899999999997</v>
      </c>
      <c r="T1136" s="16">
        <v>57.495899999999999</v>
      </c>
      <c r="U1136" s="16">
        <v>0.59440446599999996</v>
      </c>
      <c r="V1136" s="16">
        <v>8</v>
      </c>
      <c r="W1136" s="16">
        <v>0.91522999999999999</v>
      </c>
      <c r="X1136" s="16">
        <v>0.140571</v>
      </c>
      <c r="Y1136" s="16">
        <v>0.8</v>
      </c>
      <c r="Z1136" s="16">
        <v>0.70429799999999998</v>
      </c>
      <c r="AA1136" s="37"/>
    </row>
    <row r="1137" spans="1:27">
      <c r="A1137" s="16" t="s">
        <v>108</v>
      </c>
      <c r="B1137" s="16" t="s">
        <v>3882</v>
      </c>
      <c r="C1137" s="16" t="s">
        <v>3883</v>
      </c>
      <c r="D1137" s="16" t="s">
        <v>3884</v>
      </c>
      <c r="E1137" s="16" t="s">
        <v>3847</v>
      </c>
      <c r="F1137" s="16" t="s">
        <v>3848</v>
      </c>
      <c r="G1137" s="16" t="s">
        <v>3684</v>
      </c>
      <c r="H1137" s="16" t="s">
        <v>3685</v>
      </c>
      <c r="I1137" s="16" t="s">
        <v>198</v>
      </c>
      <c r="J1137" s="16" t="s">
        <v>199</v>
      </c>
      <c r="K1137" s="16">
        <v>2.512391</v>
      </c>
      <c r="L1137" s="36">
        <v>1896</v>
      </c>
      <c r="M1137" s="16">
        <v>318</v>
      </c>
      <c r="N1137" s="16">
        <v>377</v>
      </c>
      <c r="O1137" s="16">
        <v>703</v>
      </c>
      <c r="P1137" s="16">
        <v>374</v>
      </c>
      <c r="Q1137" s="16">
        <v>124</v>
      </c>
      <c r="R1137" s="16" t="s">
        <v>668</v>
      </c>
      <c r="S1137" s="16">
        <v>72.874399999999994</v>
      </c>
      <c r="T1137" s="16">
        <v>2.0834800000000002</v>
      </c>
      <c r="U1137" s="16">
        <v>0.63575651</v>
      </c>
      <c r="V1137" s="16">
        <v>8</v>
      </c>
      <c r="W1137" s="16">
        <v>0.90698100000000004</v>
      </c>
      <c r="X1137" s="16">
        <v>0.19300700000000001</v>
      </c>
      <c r="Y1137" s="16">
        <v>0.8</v>
      </c>
      <c r="Z1137" s="16">
        <v>0.62705100000000003</v>
      </c>
      <c r="AA1137" s="37"/>
    </row>
    <row r="1138" spans="1:27">
      <c r="A1138" s="16" t="s">
        <v>108</v>
      </c>
      <c r="B1138" s="16" t="s">
        <v>3885</v>
      </c>
      <c r="C1138" s="16" t="s">
        <v>3886</v>
      </c>
      <c r="D1138" s="16" t="s">
        <v>3887</v>
      </c>
      <c r="E1138" s="16" t="s">
        <v>3869</v>
      </c>
      <c r="F1138" s="16" t="s">
        <v>3870</v>
      </c>
      <c r="G1138" s="16" t="s">
        <v>3684</v>
      </c>
      <c r="H1138" s="16" t="s">
        <v>3685</v>
      </c>
      <c r="I1138" s="16" t="s">
        <v>198</v>
      </c>
      <c r="J1138" s="16" t="s">
        <v>199</v>
      </c>
      <c r="K1138" s="16">
        <v>2.5339770000000001</v>
      </c>
      <c r="L1138" s="36">
        <v>1813</v>
      </c>
      <c r="M1138" s="16">
        <v>391</v>
      </c>
      <c r="N1138" s="16">
        <v>315</v>
      </c>
      <c r="O1138" s="16">
        <v>623</v>
      </c>
      <c r="P1138" s="16">
        <v>355</v>
      </c>
      <c r="Q1138" s="16">
        <v>129</v>
      </c>
      <c r="R1138" s="16">
        <v>4</v>
      </c>
      <c r="S1138" s="16">
        <v>60.457799999999999</v>
      </c>
      <c r="T1138" s="16">
        <v>0</v>
      </c>
      <c r="U1138" s="16">
        <v>0.54568514199999996</v>
      </c>
      <c r="V1138" s="16">
        <v>9</v>
      </c>
      <c r="W1138" s="16">
        <v>0.91176500000000005</v>
      </c>
      <c r="X1138" s="16">
        <v>0.36604799999999998</v>
      </c>
      <c r="Y1138" s="16">
        <v>0.8</v>
      </c>
      <c r="Z1138" s="16">
        <v>0.46403899999999998</v>
      </c>
      <c r="AA1138" s="37"/>
    </row>
    <row r="1139" spans="1:27">
      <c r="A1139" s="16" t="s">
        <v>108</v>
      </c>
      <c r="B1139" s="16" t="s">
        <v>3888</v>
      </c>
      <c r="C1139" s="16" t="s">
        <v>3889</v>
      </c>
      <c r="D1139" s="16" t="s">
        <v>3890</v>
      </c>
      <c r="E1139" s="16" t="s">
        <v>3891</v>
      </c>
      <c r="F1139" s="16" t="s">
        <v>3892</v>
      </c>
      <c r="G1139" s="16" t="s">
        <v>3684</v>
      </c>
      <c r="H1139" s="16" t="s">
        <v>3685</v>
      </c>
      <c r="I1139" s="16" t="s">
        <v>198</v>
      </c>
      <c r="J1139" s="16" t="s">
        <v>199</v>
      </c>
      <c r="K1139" s="16">
        <v>2.9383840000000001</v>
      </c>
      <c r="L1139" s="36">
        <v>1773</v>
      </c>
      <c r="M1139" s="16">
        <v>276</v>
      </c>
      <c r="N1139" s="16">
        <v>352</v>
      </c>
      <c r="O1139" s="16">
        <v>675</v>
      </c>
      <c r="P1139" s="16">
        <v>329</v>
      </c>
      <c r="Q1139" s="16">
        <v>141</v>
      </c>
      <c r="R1139" s="16">
        <v>5</v>
      </c>
      <c r="S1139" s="16">
        <v>30.166699999999999</v>
      </c>
      <c r="T1139" s="16">
        <v>13.902699999999999</v>
      </c>
      <c r="U1139" s="16">
        <v>0.375018254</v>
      </c>
      <c r="V1139" s="16">
        <v>8</v>
      </c>
      <c r="W1139" s="16">
        <v>0.91858600000000001</v>
      </c>
      <c r="X1139" s="16">
        <v>0.27704899999999999</v>
      </c>
      <c r="Y1139" s="16">
        <v>0.8</v>
      </c>
      <c r="Z1139" s="16">
        <v>0.94898000000000005</v>
      </c>
      <c r="AA1139" s="37"/>
    </row>
    <row r="1140" spans="1:27">
      <c r="A1140" s="16" t="s">
        <v>108</v>
      </c>
      <c r="B1140" s="16" t="s">
        <v>3893</v>
      </c>
      <c r="C1140" s="16" t="s">
        <v>3894</v>
      </c>
      <c r="D1140" s="16" t="s">
        <v>3895</v>
      </c>
      <c r="E1140" s="16" t="s">
        <v>3891</v>
      </c>
      <c r="F1140" s="16" t="s">
        <v>3892</v>
      </c>
      <c r="G1140" s="16" t="s">
        <v>3684</v>
      </c>
      <c r="H1140" s="16" t="s">
        <v>3685</v>
      </c>
      <c r="I1140" s="16" t="s">
        <v>198</v>
      </c>
      <c r="J1140" s="16" t="s">
        <v>199</v>
      </c>
      <c r="K1140" s="16">
        <v>2.780929</v>
      </c>
      <c r="L1140" s="36">
        <v>2449</v>
      </c>
      <c r="M1140" s="16">
        <v>240</v>
      </c>
      <c r="N1140" s="16">
        <v>702</v>
      </c>
      <c r="O1140" s="16">
        <v>945</v>
      </c>
      <c r="P1140" s="16">
        <v>373</v>
      </c>
      <c r="Q1140" s="16">
        <v>189</v>
      </c>
      <c r="R1140" s="16" t="s">
        <v>668</v>
      </c>
      <c r="S1140" s="16">
        <v>76.810699999999997</v>
      </c>
      <c r="T1140" s="16">
        <v>56.821199999999997</v>
      </c>
      <c r="U1140" s="16">
        <v>0.47628219900000002</v>
      </c>
      <c r="V1140" s="16">
        <v>8</v>
      </c>
      <c r="W1140" s="16">
        <v>0.91222499999999995</v>
      </c>
      <c r="X1140" s="16">
        <v>0.20535300000000001</v>
      </c>
      <c r="Y1140" s="16">
        <v>0.8</v>
      </c>
      <c r="Z1140" s="16">
        <v>0.85955899999999996</v>
      </c>
      <c r="AA1140" s="37"/>
    </row>
    <row r="1141" spans="1:27">
      <c r="A1141" s="16" t="s">
        <v>108</v>
      </c>
      <c r="B1141" s="16" t="s">
        <v>3896</v>
      </c>
      <c r="C1141" s="16" t="s">
        <v>3897</v>
      </c>
      <c r="D1141" s="16" t="s">
        <v>3898</v>
      </c>
      <c r="E1141" s="16" t="s">
        <v>3891</v>
      </c>
      <c r="F1141" s="16" t="s">
        <v>3892</v>
      </c>
      <c r="G1141" s="16" t="s">
        <v>3684</v>
      </c>
      <c r="H1141" s="16" t="s">
        <v>3685</v>
      </c>
      <c r="I1141" s="16" t="s">
        <v>198</v>
      </c>
      <c r="J1141" s="16" t="s">
        <v>199</v>
      </c>
      <c r="K1141" s="16">
        <v>2.97193</v>
      </c>
      <c r="L1141" s="36">
        <v>2231</v>
      </c>
      <c r="M1141" s="16">
        <v>289</v>
      </c>
      <c r="N1141" s="16">
        <v>550</v>
      </c>
      <c r="O1141" s="16">
        <v>838</v>
      </c>
      <c r="P1141" s="16">
        <v>383</v>
      </c>
      <c r="Q1141" s="16">
        <v>171</v>
      </c>
      <c r="R1141" s="16" t="s">
        <v>302</v>
      </c>
      <c r="S1141" s="16">
        <v>61.245800000000003</v>
      </c>
      <c r="T1141" s="16">
        <v>9.2352299999999996</v>
      </c>
      <c r="U1141" s="16">
        <v>0.36382644600000003</v>
      </c>
      <c r="V1141" s="16">
        <v>8</v>
      </c>
      <c r="W1141" s="16">
        <v>0.92261199999999999</v>
      </c>
      <c r="X1141" s="16">
        <v>0.41183399999999998</v>
      </c>
      <c r="Y1141" s="16">
        <v>0.8</v>
      </c>
      <c r="Z1141" s="16">
        <v>0.83091999999999999</v>
      </c>
      <c r="AA1141" s="37"/>
    </row>
    <row r="1142" spans="1:27">
      <c r="A1142" s="16"/>
      <c r="B1142" s="16"/>
      <c r="C1142" s="16"/>
      <c r="D1142" s="16"/>
      <c r="E1142" s="16"/>
      <c r="F1142" s="16"/>
      <c r="G1142" s="16"/>
      <c r="H1142" s="16"/>
      <c r="I1142" s="16"/>
      <c r="J1142" s="16"/>
      <c r="K1142" s="16">
        <f>MEDIAN(K1130:K1141)</f>
        <v>2.54</v>
      </c>
      <c r="L1142" s="36">
        <f>AVERAGE(L1130:L1141)</f>
        <v>1885.8333333333333</v>
      </c>
      <c r="M1142" s="36">
        <f t="shared" ref="M1142:Q1142" si="90">SUM(M1130:M1141)</f>
        <v>3243</v>
      </c>
      <c r="N1142" s="36">
        <f t="shared" si="90"/>
        <v>5732</v>
      </c>
      <c r="O1142" s="36">
        <f t="shared" si="90"/>
        <v>8115</v>
      </c>
      <c r="P1142" s="36">
        <f t="shared" si="90"/>
        <v>3890</v>
      </c>
      <c r="Q1142" s="36">
        <f t="shared" si="90"/>
        <v>1650</v>
      </c>
      <c r="R1142" s="16"/>
      <c r="S1142" s="16"/>
      <c r="T1142" s="16"/>
      <c r="U1142" s="16"/>
      <c r="V1142" s="16">
        <f>MEDIAN(V1130:V1141)</f>
        <v>8</v>
      </c>
      <c r="W1142" s="16"/>
      <c r="X1142" s="16"/>
      <c r="Y1142" s="16"/>
      <c r="Z1142" s="16"/>
      <c r="AA1142" s="37"/>
    </row>
    <row r="1143" spans="1:27">
      <c r="A1143" s="16" t="s">
        <v>109</v>
      </c>
      <c r="B1143" s="16" t="s">
        <v>3899</v>
      </c>
      <c r="C1143" s="16" t="s">
        <v>3900</v>
      </c>
      <c r="D1143" s="16" t="s">
        <v>3901</v>
      </c>
      <c r="E1143" s="16" t="s">
        <v>3715</v>
      </c>
      <c r="F1143" s="16" t="s">
        <v>3716</v>
      </c>
      <c r="G1143" s="16" t="s">
        <v>3684</v>
      </c>
      <c r="H1143" s="16" t="s">
        <v>3685</v>
      </c>
      <c r="I1143" s="16" t="s">
        <v>198</v>
      </c>
      <c r="J1143" s="16" t="s">
        <v>199</v>
      </c>
      <c r="K1143" s="16">
        <v>2.500292</v>
      </c>
      <c r="L1143" s="36">
        <v>2048</v>
      </c>
      <c r="M1143" s="16">
        <v>318</v>
      </c>
      <c r="N1143" s="16">
        <v>492</v>
      </c>
      <c r="O1143" s="16">
        <v>546</v>
      </c>
      <c r="P1143" s="16">
        <v>461</v>
      </c>
      <c r="Q1143" s="16">
        <v>231</v>
      </c>
      <c r="R1143" s="16">
        <v>3</v>
      </c>
      <c r="S1143" s="16">
        <v>15.2348</v>
      </c>
      <c r="T1143" s="16">
        <v>8.7587700000000002</v>
      </c>
      <c r="U1143" s="16">
        <v>0.69591568400000003</v>
      </c>
      <c r="V1143" s="16">
        <v>6</v>
      </c>
      <c r="W1143" s="16">
        <v>0.92361499999999996</v>
      </c>
      <c r="X1143" s="16">
        <v>0.25697700000000001</v>
      </c>
      <c r="Y1143" s="16">
        <v>0.73323499999999997</v>
      </c>
      <c r="Z1143" s="16">
        <v>0.57352899999999996</v>
      </c>
      <c r="AA1143" s="37"/>
    </row>
    <row r="1144" spans="1:27">
      <c r="A1144" s="16" t="s">
        <v>109</v>
      </c>
      <c r="B1144" s="16" t="s">
        <v>3902</v>
      </c>
      <c r="C1144" s="16" t="s">
        <v>3903</v>
      </c>
      <c r="D1144" s="16" t="s">
        <v>3904</v>
      </c>
      <c r="E1144" s="16" t="s">
        <v>3905</v>
      </c>
      <c r="F1144" s="16" t="s">
        <v>3906</v>
      </c>
      <c r="G1144" s="16" t="s">
        <v>3684</v>
      </c>
      <c r="H1144" s="16" t="s">
        <v>3685</v>
      </c>
      <c r="I1144" s="16" t="s">
        <v>198</v>
      </c>
      <c r="J1144" s="16" t="s">
        <v>199</v>
      </c>
      <c r="K1144" s="16">
        <v>2.4449860000000001</v>
      </c>
      <c r="L1144" s="36">
        <v>1740</v>
      </c>
      <c r="M1144" s="16">
        <v>280</v>
      </c>
      <c r="N1144" s="16">
        <v>321</v>
      </c>
      <c r="O1144" s="16">
        <v>470</v>
      </c>
      <c r="P1144" s="16">
        <v>460</v>
      </c>
      <c r="Q1144" s="16">
        <v>209</v>
      </c>
      <c r="R1144" s="16">
        <v>3</v>
      </c>
      <c r="S1144" s="16">
        <v>12.875</v>
      </c>
      <c r="T1144" s="16">
        <v>7.3413300000000001</v>
      </c>
      <c r="U1144" s="16">
        <v>0.76705678099999997</v>
      </c>
      <c r="V1144" s="16">
        <v>5</v>
      </c>
      <c r="W1144" s="16">
        <v>0.90401100000000001</v>
      </c>
      <c r="X1144" s="16">
        <v>9.0449000000000002E-2</v>
      </c>
      <c r="Y1144" s="16">
        <v>0.78728799999999999</v>
      </c>
      <c r="Z1144" s="16">
        <v>0.65814600000000001</v>
      </c>
      <c r="AA1144" s="37"/>
    </row>
    <row r="1145" spans="1:27">
      <c r="A1145" s="16" t="s">
        <v>109</v>
      </c>
      <c r="B1145" s="16" t="s">
        <v>3907</v>
      </c>
      <c r="C1145" s="16" t="s">
        <v>3908</v>
      </c>
      <c r="D1145" s="16" t="s">
        <v>3909</v>
      </c>
      <c r="E1145" s="16" t="s">
        <v>3695</v>
      </c>
      <c r="F1145" s="16" t="s">
        <v>3696</v>
      </c>
      <c r="G1145" s="16" t="s">
        <v>3684</v>
      </c>
      <c r="H1145" s="16" t="s">
        <v>3685</v>
      </c>
      <c r="I1145" s="16" t="s">
        <v>198</v>
      </c>
      <c r="J1145" s="16" t="s">
        <v>199</v>
      </c>
      <c r="K1145" s="16">
        <v>2.3190840000000001</v>
      </c>
      <c r="L1145" s="36">
        <v>2337</v>
      </c>
      <c r="M1145" s="16">
        <v>340</v>
      </c>
      <c r="N1145" s="16">
        <v>460</v>
      </c>
      <c r="O1145" s="16">
        <v>581</v>
      </c>
      <c r="P1145" s="16">
        <v>555</v>
      </c>
      <c r="Q1145" s="16">
        <v>401</v>
      </c>
      <c r="R1145" s="16">
        <v>2</v>
      </c>
      <c r="S1145" s="16">
        <v>12.071999999999999</v>
      </c>
      <c r="T1145" s="16">
        <v>7.2546999999999997</v>
      </c>
      <c r="U1145" s="16">
        <v>0.66692182099999997</v>
      </c>
      <c r="V1145" s="16">
        <v>8</v>
      </c>
      <c r="W1145" s="16">
        <v>0.90992399999999996</v>
      </c>
      <c r="X1145" s="16">
        <v>0.15431500000000001</v>
      </c>
      <c r="Y1145" s="16">
        <v>0.70152300000000001</v>
      </c>
      <c r="Z1145" s="16">
        <v>0.54390899999999998</v>
      </c>
      <c r="AA1145" s="37"/>
    </row>
    <row r="1146" spans="1:27">
      <c r="A1146" s="16" t="s">
        <v>109</v>
      </c>
      <c r="B1146" s="16" t="s">
        <v>3910</v>
      </c>
      <c r="C1146" s="16" t="s">
        <v>3911</v>
      </c>
      <c r="D1146" s="16" t="s">
        <v>3912</v>
      </c>
      <c r="E1146" s="16" t="s">
        <v>3695</v>
      </c>
      <c r="F1146" s="16" t="s">
        <v>3696</v>
      </c>
      <c r="G1146" s="16" t="s">
        <v>3684</v>
      </c>
      <c r="H1146" s="16" t="s">
        <v>3685</v>
      </c>
      <c r="I1146" s="16" t="s">
        <v>198</v>
      </c>
      <c r="J1146" s="16" t="s">
        <v>199</v>
      </c>
      <c r="K1146" s="16">
        <v>2.574398</v>
      </c>
      <c r="L1146" s="36">
        <v>1937</v>
      </c>
      <c r="M1146" s="16">
        <v>272</v>
      </c>
      <c r="N1146" s="16">
        <v>316</v>
      </c>
      <c r="O1146" s="16">
        <v>509</v>
      </c>
      <c r="P1146" s="16">
        <v>437</v>
      </c>
      <c r="Q1146" s="16">
        <v>403</v>
      </c>
      <c r="R1146" s="16">
        <v>3</v>
      </c>
      <c r="S1146" s="16">
        <v>14.591100000000001</v>
      </c>
      <c r="T1146" s="16">
        <v>8.0054099999999995</v>
      </c>
      <c r="U1146" s="16">
        <v>0.63135556500000001</v>
      </c>
      <c r="V1146" s="16">
        <v>7</v>
      </c>
      <c r="W1146" s="16">
        <v>0.92341399999999996</v>
      </c>
      <c r="X1146" s="16">
        <v>0.121875</v>
      </c>
      <c r="Y1146" s="16">
        <v>0.77734199999999998</v>
      </c>
      <c r="Z1146" s="16">
        <v>0.75601700000000005</v>
      </c>
      <c r="AA1146" s="37"/>
    </row>
    <row r="1147" spans="1:27">
      <c r="A1147" s="16" t="s">
        <v>109</v>
      </c>
      <c r="B1147" s="16" t="s">
        <v>3913</v>
      </c>
      <c r="C1147" s="16" t="s">
        <v>3914</v>
      </c>
      <c r="D1147" s="16" t="s">
        <v>3915</v>
      </c>
      <c r="E1147" s="16" t="s">
        <v>3715</v>
      </c>
      <c r="F1147" s="16" t="s">
        <v>3716</v>
      </c>
      <c r="G1147" s="16" t="s">
        <v>3684</v>
      </c>
      <c r="H1147" s="16" t="s">
        <v>3685</v>
      </c>
      <c r="I1147" s="16" t="s">
        <v>198</v>
      </c>
      <c r="J1147" s="16" t="s">
        <v>199</v>
      </c>
      <c r="K1147" s="16">
        <v>2.3794119999999999</v>
      </c>
      <c r="L1147" s="36">
        <v>1802</v>
      </c>
      <c r="M1147" s="16">
        <v>415</v>
      </c>
      <c r="N1147" s="16">
        <v>371</v>
      </c>
      <c r="O1147" s="16">
        <v>453</v>
      </c>
      <c r="P1147" s="16">
        <v>424</v>
      </c>
      <c r="Q1147" s="16">
        <v>139</v>
      </c>
      <c r="R1147" s="16">
        <v>2</v>
      </c>
      <c r="S1147" s="16">
        <v>12.0258</v>
      </c>
      <c r="T1147" s="16">
        <v>5.4942200000000003</v>
      </c>
      <c r="U1147" s="16">
        <v>1.1530909540000001</v>
      </c>
      <c r="V1147" s="16">
        <v>3</v>
      </c>
      <c r="W1147" s="16">
        <v>0.90470600000000001</v>
      </c>
      <c r="X1147" s="16">
        <v>2.5149999999999999E-2</v>
      </c>
      <c r="Y1147" s="16">
        <v>0.75389200000000001</v>
      </c>
      <c r="Z1147" s="16">
        <v>0.68698199999999998</v>
      </c>
      <c r="AA1147" s="37"/>
    </row>
    <row r="1148" spans="1:27">
      <c r="A1148" s="16" t="s">
        <v>109</v>
      </c>
      <c r="B1148" s="16" t="s">
        <v>3916</v>
      </c>
      <c r="C1148" s="16" t="s">
        <v>3917</v>
      </c>
      <c r="D1148" s="16" t="s">
        <v>3918</v>
      </c>
      <c r="E1148" s="16" t="s">
        <v>3880</v>
      </c>
      <c r="F1148" s="16" t="s">
        <v>3881</v>
      </c>
      <c r="G1148" s="16" t="s">
        <v>3684</v>
      </c>
      <c r="H1148" s="16" t="s">
        <v>3685</v>
      </c>
      <c r="I1148" s="16" t="s">
        <v>198</v>
      </c>
      <c r="J1148" s="16" t="s">
        <v>199</v>
      </c>
      <c r="K1148" s="16">
        <v>2.4837699999999998</v>
      </c>
      <c r="L1148" s="36">
        <v>2034</v>
      </c>
      <c r="M1148" s="16">
        <v>212</v>
      </c>
      <c r="N1148" s="16">
        <v>631</v>
      </c>
      <c r="O1148" s="16">
        <v>683</v>
      </c>
      <c r="P1148" s="16">
        <v>352</v>
      </c>
      <c r="Q1148" s="16">
        <v>156</v>
      </c>
      <c r="R1148" s="16" t="s">
        <v>668</v>
      </c>
      <c r="S1148" s="16">
        <v>74.831900000000005</v>
      </c>
      <c r="T1148" s="16">
        <v>7.0981899999999998</v>
      </c>
      <c r="U1148" s="16">
        <v>0.63727441600000001</v>
      </c>
      <c r="V1148" s="16">
        <v>8</v>
      </c>
      <c r="W1148" s="16">
        <v>0.91282700000000006</v>
      </c>
      <c r="X1148" s="16">
        <v>0.26911000000000002</v>
      </c>
      <c r="Y1148" s="16">
        <v>0.8</v>
      </c>
      <c r="Z1148" s="16">
        <v>0.51020900000000002</v>
      </c>
      <c r="AA1148" s="37"/>
    </row>
    <row r="1149" spans="1:27">
      <c r="A1149" s="16" t="s">
        <v>109</v>
      </c>
      <c r="B1149" s="16" t="s">
        <v>3866</v>
      </c>
      <c r="C1149" s="16" t="s">
        <v>3867</v>
      </c>
      <c r="D1149" s="16" t="s">
        <v>3868</v>
      </c>
      <c r="E1149" s="16" t="s">
        <v>3869</v>
      </c>
      <c r="F1149" s="16" t="s">
        <v>3870</v>
      </c>
      <c r="G1149" s="16" t="s">
        <v>3684</v>
      </c>
      <c r="H1149" s="16" t="s">
        <v>3685</v>
      </c>
      <c r="I1149" s="16" t="s">
        <v>198</v>
      </c>
      <c r="J1149" s="16" t="s">
        <v>199</v>
      </c>
      <c r="K1149" s="16">
        <v>2.5596079999999999</v>
      </c>
      <c r="L1149" s="36">
        <v>2053</v>
      </c>
      <c r="M1149" s="16">
        <v>251</v>
      </c>
      <c r="N1149" s="16">
        <v>592</v>
      </c>
      <c r="O1149" s="16">
        <v>815</v>
      </c>
      <c r="P1149" s="16">
        <v>306</v>
      </c>
      <c r="Q1149" s="16">
        <v>89</v>
      </c>
      <c r="R1149" s="16" t="s">
        <v>668</v>
      </c>
      <c r="S1149" s="16">
        <v>72.185000000000002</v>
      </c>
      <c r="T1149" s="16">
        <v>53.004800000000003</v>
      </c>
      <c r="U1149" s="16">
        <v>0.59712697599999998</v>
      </c>
      <c r="V1149" s="16">
        <v>8</v>
      </c>
      <c r="W1149" s="16">
        <v>0.91411799999999999</v>
      </c>
      <c r="X1149" s="16">
        <v>0.21615400000000001</v>
      </c>
      <c r="Y1149" s="16">
        <v>0.8</v>
      </c>
      <c r="Z1149" s="16">
        <v>0.626054</v>
      </c>
      <c r="AA1149" s="37"/>
    </row>
    <row r="1150" spans="1:27">
      <c r="A1150" s="16" t="s">
        <v>109</v>
      </c>
      <c r="B1150" s="16" t="s">
        <v>3919</v>
      </c>
      <c r="C1150" s="16" t="s">
        <v>3920</v>
      </c>
      <c r="D1150" s="16" t="s">
        <v>3921</v>
      </c>
      <c r="E1150" s="16" t="s">
        <v>3880</v>
      </c>
      <c r="F1150" s="16" t="s">
        <v>3881</v>
      </c>
      <c r="G1150" s="16" t="s">
        <v>3684</v>
      </c>
      <c r="H1150" s="16" t="s">
        <v>3685</v>
      </c>
      <c r="I1150" s="16" t="s">
        <v>198</v>
      </c>
      <c r="J1150" s="16" t="s">
        <v>199</v>
      </c>
      <c r="K1150" s="16">
        <v>2.6663199999999998</v>
      </c>
      <c r="L1150" s="36">
        <v>2021</v>
      </c>
      <c r="M1150" s="16">
        <v>259</v>
      </c>
      <c r="N1150" s="16">
        <v>593</v>
      </c>
      <c r="O1150" s="16">
        <v>743</v>
      </c>
      <c r="P1150" s="16">
        <v>304</v>
      </c>
      <c r="Q1150" s="16">
        <v>122</v>
      </c>
      <c r="R1150" s="16" t="s">
        <v>668</v>
      </c>
      <c r="S1150" s="16">
        <v>83.807900000000004</v>
      </c>
      <c r="T1150" s="16">
        <v>54.010800000000003</v>
      </c>
      <c r="U1150" s="16">
        <v>0.56620842500000002</v>
      </c>
      <c r="V1150" s="16">
        <v>7</v>
      </c>
      <c r="W1150" s="16">
        <v>0.90810800000000003</v>
      </c>
      <c r="X1150" s="16">
        <v>0.28536099999999998</v>
      </c>
      <c r="Y1150" s="16">
        <v>0.8</v>
      </c>
      <c r="Z1150" s="16">
        <v>0.67500000000000004</v>
      </c>
      <c r="AA1150" s="37"/>
    </row>
    <row r="1151" spans="1:27">
      <c r="A1151" s="16" t="s">
        <v>109</v>
      </c>
      <c r="B1151" s="16" t="s">
        <v>3922</v>
      </c>
      <c r="C1151" s="16" t="s">
        <v>3923</v>
      </c>
      <c r="D1151" s="16" t="s">
        <v>3924</v>
      </c>
      <c r="E1151" s="16" t="s">
        <v>3880</v>
      </c>
      <c r="F1151" s="16" t="s">
        <v>3881</v>
      </c>
      <c r="G1151" s="16" t="s">
        <v>3684</v>
      </c>
      <c r="H1151" s="16" t="s">
        <v>3685</v>
      </c>
      <c r="I1151" s="16" t="s">
        <v>198</v>
      </c>
      <c r="J1151" s="16" t="s">
        <v>199</v>
      </c>
      <c r="K1151" s="16">
        <v>2.702823</v>
      </c>
      <c r="L1151" s="36">
        <v>1883</v>
      </c>
      <c r="M1151" s="16">
        <v>303</v>
      </c>
      <c r="N1151" s="16">
        <v>555</v>
      </c>
      <c r="O1151" s="16">
        <v>572</v>
      </c>
      <c r="P1151" s="16">
        <v>301</v>
      </c>
      <c r="Q1151" s="16">
        <v>152</v>
      </c>
      <c r="R1151" s="16" t="s">
        <v>302</v>
      </c>
      <c r="S1151" s="16">
        <v>66.569299999999998</v>
      </c>
      <c r="T1151" s="16">
        <v>2.1332</v>
      </c>
      <c r="U1151" s="16">
        <v>0.57075707899999994</v>
      </c>
      <c r="V1151" s="16">
        <v>7</v>
      </c>
      <c r="W1151" s="16">
        <v>0.91182799999999997</v>
      </c>
      <c r="X1151" s="16">
        <v>0.40485199999999999</v>
      </c>
      <c r="Y1151" s="16">
        <v>0.8</v>
      </c>
      <c r="Z1151" s="16">
        <v>0.589113</v>
      </c>
      <c r="AA1151" s="37"/>
    </row>
    <row r="1152" spans="1:27">
      <c r="A1152" s="38" t="s">
        <v>109</v>
      </c>
      <c r="B1152" s="16" t="s">
        <v>3717</v>
      </c>
      <c r="C1152" s="16" t="s">
        <v>3718</v>
      </c>
      <c r="D1152" s="16" t="s">
        <v>3719</v>
      </c>
      <c r="E1152" s="16" t="s">
        <v>3715</v>
      </c>
      <c r="F1152" s="16" t="s">
        <v>3716</v>
      </c>
      <c r="G1152" s="16" t="s">
        <v>3684</v>
      </c>
      <c r="H1152" s="16" t="s">
        <v>3685</v>
      </c>
      <c r="I1152" s="16" t="s">
        <v>198</v>
      </c>
      <c r="J1152" s="16" t="s">
        <v>199</v>
      </c>
      <c r="K1152" s="16">
        <v>2.491546</v>
      </c>
      <c r="L1152" s="36">
        <v>2080</v>
      </c>
      <c r="M1152" s="16">
        <v>307</v>
      </c>
      <c r="N1152" s="16">
        <v>436</v>
      </c>
      <c r="O1152" s="16">
        <v>681</v>
      </c>
      <c r="P1152" s="16">
        <v>456</v>
      </c>
      <c r="Q1152" s="16">
        <v>200</v>
      </c>
      <c r="R1152" s="16">
        <v>2</v>
      </c>
      <c r="S1152" s="16">
        <v>13.706899999999999</v>
      </c>
      <c r="T1152" s="16">
        <v>0</v>
      </c>
      <c r="U1152" s="16">
        <v>0.90425399900000003</v>
      </c>
      <c r="V1152" s="16">
        <v>4</v>
      </c>
      <c r="W1152" s="16">
        <v>0.92391299999999998</v>
      </c>
      <c r="X1152" s="16">
        <v>0.25060199999999999</v>
      </c>
      <c r="Y1152" s="16">
        <v>0.79951799999999995</v>
      </c>
      <c r="Z1152" s="16">
        <v>0.51853700000000003</v>
      </c>
      <c r="AA1152" s="37"/>
    </row>
    <row r="1153" spans="1:27">
      <c r="A1153" s="16"/>
      <c r="B1153" s="16"/>
      <c r="C1153" s="16"/>
      <c r="D1153" s="16"/>
      <c r="E1153" s="16"/>
      <c r="F1153" s="16"/>
      <c r="G1153" s="16"/>
      <c r="H1153" s="16"/>
      <c r="I1153" s="16"/>
      <c r="J1153" s="16"/>
      <c r="K1153" s="16">
        <f>MEDIAN(K1143:K1152)</f>
        <v>2.4959189999999998</v>
      </c>
      <c r="L1153" s="36">
        <f>AVERAGEA(L1143:L1152)</f>
        <v>1993.5</v>
      </c>
      <c r="M1153" s="36">
        <f t="shared" ref="M1153:Q1153" si="91">SUM(M1143:M1152)</f>
        <v>2957</v>
      </c>
      <c r="N1153" s="36">
        <f t="shared" si="91"/>
        <v>4767</v>
      </c>
      <c r="O1153" s="36">
        <f t="shared" si="91"/>
        <v>6053</v>
      </c>
      <c r="P1153" s="36">
        <f t="shared" si="91"/>
        <v>4056</v>
      </c>
      <c r="Q1153" s="36">
        <f t="shared" si="91"/>
        <v>2102</v>
      </c>
      <c r="R1153" s="16"/>
      <c r="S1153" s="16"/>
      <c r="T1153" s="16"/>
      <c r="U1153" s="16"/>
      <c r="V1153" s="16">
        <f>MEDIAN(V1143:V1152)</f>
        <v>7</v>
      </c>
      <c r="W1153" s="16"/>
      <c r="X1153" s="16"/>
      <c r="Y1153" s="16"/>
      <c r="Z1153" s="16"/>
      <c r="AA1153" s="37"/>
    </row>
    <row r="1154" spans="1:27">
      <c r="A1154" s="16" t="s">
        <v>110</v>
      </c>
      <c r="B1154" s="16" t="s">
        <v>3925</v>
      </c>
      <c r="C1154" s="16" t="s">
        <v>3926</v>
      </c>
      <c r="D1154" s="16" t="s">
        <v>3927</v>
      </c>
      <c r="E1154" s="16" t="s">
        <v>3905</v>
      </c>
      <c r="F1154" s="16" t="s">
        <v>3906</v>
      </c>
      <c r="G1154" s="16" t="s">
        <v>3684</v>
      </c>
      <c r="H1154" s="16" t="s">
        <v>3685</v>
      </c>
      <c r="I1154" s="16" t="s">
        <v>198</v>
      </c>
      <c r="J1154" s="16" t="s">
        <v>199</v>
      </c>
      <c r="K1154" s="16">
        <v>2.9161290000000002</v>
      </c>
      <c r="L1154" s="36">
        <v>1562</v>
      </c>
      <c r="M1154" s="16">
        <v>210</v>
      </c>
      <c r="N1154" s="16">
        <v>428</v>
      </c>
      <c r="O1154" s="16">
        <v>563</v>
      </c>
      <c r="P1154" s="16">
        <v>265</v>
      </c>
      <c r="Q1154" s="16">
        <v>96</v>
      </c>
      <c r="R1154" s="16">
        <v>5</v>
      </c>
      <c r="S1154" s="16">
        <v>55.709200000000003</v>
      </c>
      <c r="T1154" s="16">
        <v>9.2171400000000006</v>
      </c>
      <c r="U1154" s="16">
        <v>0.62933678100000001</v>
      </c>
      <c r="V1154" s="16">
        <v>5</v>
      </c>
      <c r="W1154" s="16">
        <v>0.91231700000000004</v>
      </c>
      <c r="X1154" s="16">
        <v>0.34226200000000001</v>
      </c>
      <c r="Y1154" s="16">
        <v>0.8</v>
      </c>
      <c r="Z1154" s="16">
        <v>0.84505799999999998</v>
      </c>
      <c r="AA1154" s="37"/>
    </row>
    <row r="1155" spans="1:27">
      <c r="A1155" s="16" t="s">
        <v>110</v>
      </c>
      <c r="B1155" s="16" t="s">
        <v>3928</v>
      </c>
      <c r="C1155" s="16" t="s">
        <v>3929</v>
      </c>
      <c r="D1155" s="16" t="s">
        <v>3930</v>
      </c>
      <c r="E1155" s="16" t="s">
        <v>3905</v>
      </c>
      <c r="F1155" s="16" t="s">
        <v>3906</v>
      </c>
      <c r="G1155" s="16" t="s">
        <v>3684</v>
      </c>
      <c r="H1155" s="16" t="s">
        <v>3685</v>
      </c>
      <c r="I1155" s="16" t="s">
        <v>198</v>
      </c>
      <c r="J1155" s="16" t="s">
        <v>199</v>
      </c>
      <c r="K1155" s="16">
        <v>2.97356</v>
      </c>
      <c r="L1155" s="36">
        <v>2499</v>
      </c>
      <c r="M1155" s="16">
        <v>386</v>
      </c>
      <c r="N1155" s="16">
        <v>506</v>
      </c>
      <c r="O1155" s="16">
        <v>906</v>
      </c>
      <c r="P1155" s="16">
        <v>490</v>
      </c>
      <c r="Q1155" s="16">
        <v>211</v>
      </c>
      <c r="R1155" s="16">
        <v>3</v>
      </c>
      <c r="S1155" s="16">
        <v>17.036899999999999</v>
      </c>
      <c r="T1155" s="16">
        <v>7.4407500000000004</v>
      </c>
      <c r="U1155" s="16">
        <v>0.31250420000000001</v>
      </c>
      <c r="V1155" s="16">
        <v>9</v>
      </c>
      <c r="W1155" s="16">
        <v>0.91282700000000006</v>
      </c>
      <c r="X1155" s="16">
        <v>0.34845399999999999</v>
      </c>
      <c r="Y1155" s="16">
        <v>0.8</v>
      </c>
      <c r="Z1155" s="16">
        <v>0.906806</v>
      </c>
      <c r="AA1155" s="37"/>
    </row>
    <row r="1156" spans="1:27">
      <c r="A1156" s="16" t="s">
        <v>110</v>
      </c>
      <c r="B1156" s="16" t="s">
        <v>3931</v>
      </c>
      <c r="C1156" s="16" t="s">
        <v>3932</v>
      </c>
      <c r="D1156" s="16" t="s">
        <v>3933</v>
      </c>
      <c r="E1156" s="16" t="s">
        <v>3905</v>
      </c>
      <c r="F1156" s="16" t="s">
        <v>3906</v>
      </c>
      <c r="G1156" s="16" t="s">
        <v>3684</v>
      </c>
      <c r="H1156" s="16" t="s">
        <v>3685</v>
      </c>
      <c r="I1156" s="16" t="s">
        <v>198</v>
      </c>
      <c r="J1156" s="16" t="s">
        <v>199</v>
      </c>
      <c r="K1156" s="16">
        <v>2.7809759999999999</v>
      </c>
      <c r="L1156" s="36">
        <v>1483</v>
      </c>
      <c r="M1156" s="16">
        <v>217</v>
      </c>
      <c r="N1156" s="16">
        <v>295</v>
      </c>
      <c r="O1156" s="16">
        <v>594</v>
      </c>
      <c r="P1156" s="16">
        <v>273</v>
      </c>
      <c r="Q1156" s="16">
        <v>104</v>
      </c>
      <c r="R1156" s="16">
        <v>5</v>
      </c>
      <c r="S1156" s="16">
        <v>56.968000000000004</v>
      </c>
      <c r="T1156" s="16">
        <v>7.6090799999999996</v>
      </c>
      <c r="U1156" s="16">
        <v>0.48353885000000002</v>
      </c>
      <c r="V1156" s="16">
        <v>7</v>
      </c>
      <c r="W1156" s="16">
        <v>0.90975600000000001</v>
      </c>
      <c r="X1156" s="16">
        <v>0.18190500000000001</v>
      </c>
      <c r="Y1156" s="16">
        <v>0.8</v>
      </c>
      <c r="Z1156" s="16">
        <v>0.87343000000000004</v>
      </c>
      <c r="AA1156" s="37"/>
    </row>
    <row r="1157" spans="1:27">
      <c r="A1157" s="16" t="s">
        <v>110</v>
      </c>
      <c r="B1157" s="16" t="s">
        <v>3902</v>
      </c>
      <c r="C1157" s="16" t="s">
        <v>3903</v>
      </c>
      <c r="D1157" s="16" t="s">
        <v>3904</v>
      </c>
      <c r="E1157" s="16" t="s">
        <v>3905</v>
      </c>
      <c r="F1157" s="16" t="s">
        <v>3906</v>
      </c>
      <c r="G1157" s="16" t="s">
        <v>3684</v>
      </c>
      <c r="H1157" s="16" t="s">
        <v>3685</v>
      </c>
      <c r="I1157" s="16" t="s">
        <v>198</v>
      </c>
      <c r="J1157" s="16" t="s">
        <v>199</v>
      </c>
      <c r="K1157" s="16">
        <v>2.4449860000000001</v>
      </c>
      <c r="L1157" s="36">
        <v>1740</v>
      </c>
      <c r="M1157" s="16">
        <v>280</v>
      </c>
      <c r="N1157" s="16">
        <v>321</v>
      </c>
      <c r="O1157" s="16">
        <v>470</v>
      </c>
      <c r="P1157" s="16">
        <v>460</v>
      </c>
      <c r="Q1157" s="16">
        <v>209</v>
      </c>
      <c r="R1157" s="16">
        <v>3</v>
      </c>
      <c r="S1157" s="16">
        <v>12.875</v>
      </c>
      <c r="T1157" s="16">
        <v>7.3413300000000001</v>
      </c>
      <c r="U1157" s="16">
        <v>0.76705678099999997</v>
      </c>
      <c r="V1157" s="16">
        <v>5</v>
      </c>
      <c r="W1157" s="16">
        <v>0.90401100000000001</v>
      </c>
      <c r="X1157" s="16">
        <v>9.0449000000000002E-2</v>
      </c>
      <c r="Y1157" s="16">
        <v>0.78728799999999999</v>
      </c>
      <c r="Z1157" s="16">
        <v>0.65814600000000001</v>
      </c>
      <c r="AA1157" s="37"/>
    </row>
    <row r="1158" spans="1:27">
      <c r="A1158" s="16" t="s">
        <v>110</v>
      </c>
      <c r="B1158" s="16" t="s">
        <v>3934</v>
      </c>
      <c r="C1158" s="16" t="s">
        <v>3935</v>
      </c>
      <c r="D1158" s="16" t="s">
        <v>3936</v>
      </c>
      <c r="E1158" s="16" t="s">
        <v>3905</v>
      </c>
      <c r="F1158" s="16" t="s">
        <v>3906</v>
      </c>
      <c r="G1158" s="16" t="s">
        <v>3684</v>
      </c>
      <c r="H1158" s="16" t="s">
        <v>3685</v>
      </c>
      <c r="I1158" s="16" t="s">
        <v>198</v>
      </c>
      <c r="J1158" s="16" t="s">
        <v>199</v>
      </c>
      <c r="K1158" s="16">
        <v>2.666458</v>
      </c>
      <c r="L1158" s="36">
        <v>2161</v>
      </c>
      <c r="M1158" s="16">
        <v>331</v>
      </c>
      <c r="N1158" s="16">
        <v>637</v>
      </c>
      <c r="O1158" s="16">
        <v>644</v>
      </c>
      <c r="P1158" s="16">
        <v>370</v>
      </c>
      <c r="Q1158" s="16">
        <v>179</v>
      </c>
      <c r="R1158" s="16" t="s">
        <v>302</v>
      </c>
      <c r="S1158" s="16">
        <v>65.776600000000002</v>
      </c>
      <c r="T1158" s="16">
        <v>7.87439</v>
      </c>
      <c r="U1158" s="16">
        <v>0.72126526800000001</v>
      </c>
      <c r="V1158" s="16">
        <v>5</v>
      </c>
      <c r="W1158" s="16">
        <v>0.90564299999999998</v>
      </c>
      <c r="X1158" s="16">
        <v>0.21630099999999999</v>
      </c>
      <c r="Y1158" s="16">
        <v>0.8</v>
      </c>
      <c r="Z1158" s="16">
        <v>0.72955999999999999</v>
      </c>
      <c r="AA1158" s="37"/>
    </row>
    <row r="1159" spans="1:27">
      <c r="A1159" s="16" t="s">
        <v>110</v>
      </c>
      <c r="B1159" s="16" t="s">
        <v>3922</v>
      </c>
      <c r="C1159" s="16" t="s">
        <v>3923</v>
      </c>
      <c r="D1159" s="16" t="s">
        <v>3924</v>
      </c>
      <c r="E1159" s="16" t="s">
        <v>3880</v>
      </c>
      <c r="F1159" s="16" t="s">
        <v>3881</v>
      </c>
      <c r="G1159" s="16" t="s">
        <v>3684</v>
      </c>
      <c r="H1159" s="16" t="s">
        <v>3685</v>
      </c>
      <c r="I1159" s="16" t="s">
        <v>198</v>
      </c>
      <c r="J1159" s="16" t="s">
        <v>199</v>
      </c>
      <c r="K1159" s="16">
        <v>2.702823</v>
      </c>
      <c r="L1159" s="36">
        <v>1883</v>
      </c>
      <c r="M1159" s="16">
        <v>303</v>
      </c>
      <c r="N1159" s="16">
        <v>555</v>
      </c>
      <c r="O1159" s="16">
        <v>572</v>
      </c>
      <c r="P1159" s="16">
        <v>301</v>
      </c>
      <c r="Q1159" s="16">
        <v>152</v>
      </c>
      <c r="R1159" s="16" t="s">
        <v>302</v>
      </c>
      <c r="S1159" s="16">
        <v>66.569299999999998</v>
      </c>
      <c r="T1159" s="16">
        <v>2.1332</v>
      </c>
      <c r="U1159" s="16">
        <v>0.57075707899999994</v>
      </c>
      <c r="V1159" s="16">
        <v>7</v>
      </c>
      <c r="W1159" s="16">
        <v>0.91182799999999997</v>
      </c>
      <c r="X1159" s="16">
        <v>0.40485199999999999</v>
      </c>
      <c r="Y1159" s="16">
        <v>0.8</v>
      </c>
      <c r="Z1159" s="16">
        <v>0.589113</v>
      </c>
      <c r="AA1159" s="37"/>
    </row>
    <row r="1160" spans="1:27">
      <c r="A1160" s="16" t="s">
        <v>110</v>
      </c>
      <c r="B1160" s="16" t="s">
        <v>3937</v>
      </c>
      <c r="C1160" s="16" t="s">
        <v>3938</v>
      </c>
      <c r="D1160" s="16" t="s">
        <v>3939</v>
      </c>
      <c r="E1160" s="16" t="s">
        <v>3940</v>
      </c>
      <c r="F1160" s="16" t="s">
        <v>3941</v>
      </c>
      <c r="G1160" s="16" t="s">
        <v>3684</v>
      </c>
      <c r="H1160" s="16" t="s">
        <v>3685</v>
      </c>
      <c r="I1160" s="16" t="s">
        <v>198</v>
      </c>
      <c r="J1160" s="16" t="s">
        <v>199</v>
      </c>
      <c r="K1160" s="16">
        <v>2.8078189999999998</v>
      </c>
      <c r="L1160" s="36">
        <v>1781</v>
      </c>
      <c r="M1160" s="16">
        <v>558</v>
      </c>
      <c r="N1160" s="16">
        <v>336</v>
      </c>
      <c r="O1160" s="16">
        <v>452</v>
      </c>
      <c r="P1160" s="16">
        <v>331</v>
      </c>
      <c r="Q1160" s="16">
        <v>104</v>
      </c>
      <c r="R1160" s="16" t="s">
        <v>668</v>
      </c>
      <c r="S1160" s="16">
        <v>64.858199999999997</v>
      </c>
      <c r="T1160" s="16">
        <v>58.158799999999999</v>
      </c>
      <c r="U1160" s="16">
        <v>0.93079596499999995</v>
      </c>
      <c r="V1160" s="16">
        <v>2</v>
      </c>
      <c r="W1160" s="16">
        <v>0.91069999999999995</v>
      </c>
      <c r="X1160" s="16">
        <v>0.13500000000000001</v>
      </c>
      <c r="Y1160" s="16">
        <v>0.8</v>
      </c>
      <c r="Z1160" s="16">
        <v>0.97941199999999995</v>
      </c>
      <c r="AA1160" s="37"/>
    </row>
    <row r="1161" spans="1:27">
      <c r="A1161" s="16" t="s">
        <v>110</v>
      </c>
      <c r="B1161" s="16" t="s">
        <v>3942</v>
      </c>
      <c r="C1161" s="16" t="s">
        <v>3943</v>
      </c>
      <c r="D1161" s="16" t="s">
        <v>3944</v>
      </c>
      <c r="E1161" s="16" t="s">
        <v>3940</v>
      </c>
      <c r="F1161" s="16" t="s">
        <v>3941</v>
      </c>
      <c r="G1161" s="16" t="s">
        <v>3684</v>
      </c>
      <c r="H1161" s="16" t="s">
        <v>3685</v>
      </c>
      <c r="I1161" s="16" t="s">
        <v>198</v>
      </c>
      <c r="J1161" s="16" t="s">
        <v>199</v>
      </c>
      <c r="K1161" s="16">
        <v>2.9407220000000001</v>
      </c>
      <c r="L1161" s="36">
        <v>1905</v>
      </c>
      <c r="M1161" s="16">
        <v>352</v>
      </c>
      <c r="N1161" s="16">
        <v>460</v>
      </c>
      <c r="O1161" s="16">
        <v>513</v>
      </c>
      <c r="P1161" s="16">
        <v>411</v>
      </c>
      <c r="Q1161" s="16">
        <v>169</v>
      </c>
      <c r="R1161" s="16" t="s">
        <v>668</v>
      </c>
      <c r="S1161" s="16">
        <v>87.410399999999996</v>
      </c>
      <c r="T1161" s="16">
        <v>6.4502300000000004</v>
      </c>
      <c r="U1161" s="16">
        <v>0.77637521899999995</v>
      </c>
      <c r="V1161" s="16">
        <v>2</v>
      </c>
      <c r="W1161" s="16">
        <v>0.91056700000000002</v>
      </c>
      <c r="X1161" s="16">
        <v>0.25670100000000001</v>
      </c>
      <c r="Y1161" s="16">
        <v>0.8</v>
      </c>
      <c r="Z1161" s="16">
        <v>0.96105300000000005</v>
      </c>
      <c r="AA1161" s="37"/>
    </row>
    <row r="1162" spans="1:27">
      <c r="A1162" s="16" t="s">
        <v>110</v>
      </c>
      <c r="B1162" s="16" t="s">
        <v>3945</v>
      </c>
      <c r="C1162" s="16" t="s">
        <v>3946</v>
      </c>
      <c r="D1162" s="16" t="s">
        <v>3947</v>
      </c>
      <c r="E1162" s="16" t="s">
        <v>3940</v>
      </c>
      <c r="F1162" s="16" t="s">
        <v>3941</v>
      </c>
      <c r="G1162" s="16" t="s">
        <v>3684</v>
      </c>
      <c r="H1162" s="16" t="s">
        <v>3685</v>
      </c>
      <c r="I1162" s="16" t="s">
        <v>198</v>
      </c>
      <c r="J1162" s="16" t="s">
        <v>199</v>
      </c>
      <c r="K1162" s="16">
        <v>2.9954290000000001</v>
      </c>
      <c r="L1162" s="36">
        <v>2223</v>
      </c>
      <c r="M1162" s="16">
        <v>418</v>
      </c>
      <c r="N1162" s="16">
        <v>477</v>
      </c>
      <c r="O1162" s="16">
        <v>711</v>
      </c>
      <c r="P1162" s="16">
        <v>410</v>
      </c>
      <c r="Q1162" s="16">
        <v>207</v>
      </c>
      <c r="R1162" s="16">
        <v>4</v>
      </c>
      <c r="S1162" s="16">
        <v>56.460900000000002</v>
      </c>
      <c r="T1162" s="16">
        <v>7.4967100000000002</v>
      </c>
      <c r="U1162" s="16">
        <v>0.59597701599999997</v>
      </c>
      <c r="V1162" s="16">
        <v>4</v>
      </c>
      <c r="W1162" s="16">
        <v>0.92657100000000003</v>
      </c>
      <c r="X1162" s="16">
        <v>0.294767</v>
      </c>
      <c r="Y1162" s="16">
        <v>0.8</v>
      </c>
      <c r="Z1162" s="16">
        <v>0.98150300000000001</v>
      </c>
      <c r="AA1162" s="37"/>
    </row>
    <row r="1163" spans="1:27">
      <c r="A1163" s="16" t="s">
        <v>110</v>
      </c>
      <c r="B1163" s="16" t="s">
        <v>3948</v>
      </c>
      <c r="C1163" s="16" t="s">
        <v>3949</v>
      </c>
      <c r="D1163" s="16" t="s">
        <v>3950</v>
      </c>
      <c r="E1163" s="16" t="s">
        <v>3940</v>
      </c>
      <c r="F1163" s="16" t="s">
        <v>3941</v>
      </c>
      <c r="G1163" s="16" t="s">
        <v>3684</v>
      </c>
      <c r="H1163" s="16" t="s">
        <v>3685</v>
      </c>
      <c r="I1163" s="16" t="s">
        <v>198</v>
      </c>
      <c r="J1163" s="16" t="s">
        <v>199</v>
      </c>
      <c r="K1163" s="16">
        <v>2.8400699999999999</v>
      </c>
      <c r="L1163" s="36">
        <v>1599</v>
      </c>
      <c r="M1163" s="16">
        <v>248</v>
      </c>
      <c r="N1163" s="16">
        <v>341</v>
      </c>
      <c r="O1163" s="16">
        <v>413</v>
      </c>
      <c r="P1163" s="16">
        <v>323</v>
      </c>
      <c r="Q1163" s="16">
        <v>274</v>
      </c>
      <c r="R1163" s="16" t="s">
        <v>668</v>
      </c>
      <c r="S1163" s="16">
        <v>74.306899999999999</v>
      </c>
      <c r="T1163" s="16">
        <v>8.5765899999999995</v>
      </c>
      <c r="U1163" s="16">
        <v>0.97590449800000001</v>
      </c>
      <c r="V1163" s="16">
        <v>2</v>
      </c>
      <c r="W1163" s="16">
        <v>0.92613199999999996</v>
      </c>
      <c r="X1163" s="16">
        <v>0.279443</v>
      </c>
      <c r="Y1163" s="16">
        <v>0.8</v>
      </c>
      <c r="Z1163" s="16">
        <v>0.86192199999999997</v>
      </c>
      <c r="AA1163" s="37"/>
    </row>
    <row r="1164" spans="1:27">
      <c r="A1164" s="16" t="s">
        <v>110</v>
      </c>
      <c r="B1164" s="16" t="s">
        <v>3888</v>
      </c>
      <c r="C1164" s="16" t="s">
        <v>3889</v>
      </c>
      <c r="D1164" s="16" t="s">
        <v>3890</v>
      </c>
      <c r="E1164" s="16" t="s">
        <v>3891</v>
      </c>
      <c r="F1164" s="16" t="s">
        <v>3892</v>
      </c>
      <c r="G1164" s="16" t="s">
        <v>3684</v>
      </c>
      <c r="H1164" s="16" t="s">
        <v>3685</v>
      </c>
      <c r="I1164" s="16" t="s">
        <v>198</v>
      </c>
      <c r="J1164" s="16" t="s">
        <v>199</v>
      </c>
      <c r="K1164" s="16">
        <v>2.9383840000000001</v>
      </c>
      <c r="L1164" s="36">
        <v>1773</v>
      </c>
      <c r="M1164" s="16">
        <v>276</v>
      </c>
      <c r="N1164" s="16">
        <v>352</v>
      </c>
      <c r="O1164" s="16">
        <v>675</v>
      </c>
      <c r="P1164" s="16">
        <v>329</v>
      </c>
      <c r="Q1164" s="16">
        <v>141</v>
      </c>
      <c r="R1164" s="16">
        <v>5</v>
      </c>
      <c r="S1164" s="16">
        <v>30.166699999999999</v>
      </c>
      <c r="T1164" s="16">
        <v>13.902699999999999</v>
      </c>
      <c r="U1164" s="16">
        <v>0.375018254</v>
      </c>
      <c r="V1164" s="16">
        <v>8</v>
      </c>
      <c r="W1164" s="16">
        <v>0.91858600000000001</v>
      </c>
      <c r="X1164" s="16">
        <v>0.27704899999999999</v>
      </c>
      <c r="Y1164" s="16">
        <v>0.8</v>
      </c>
      <c r="Z1164" s="16">
        <v>0.94898000000000005</v>
      </c>
      <c r="AA1164" s="37"/>
    </row>
    <row r="1165" spans="1:27">
      <c r="A1165" s="16" t="s">
        <v>110</v>
      </c>
      <c r="B1165" s="16" t="s">
        <v>3951</v>
      </c>
      <c r="C1165" s="16" t="s">
        <v>3952</v>
      </c>
      <c r="D1165" s="16" t="s">
        <v>3953</v>
      </c>
      <c r="E1165" s="16" t="s">
        <v>3954</v>
      </c>
      <c r="F1165" s="16" t="s">
        <v>3955</v>
      </c>
      <c r="G1165" s="16" t="s">
        <v>3684</v>
      </c>
      <c r="H1165" s="16" t="s">
        <v>3685</v>
      </c>
      <c r="I1165" s="16" t="s">
        <v>198</v>
      </c>
      <c r="J1165" s="16" t="s">
        <v>199</v>
      </c>
      <c r="K1165" s="16">
        <v>2.9978120000000001</v>
      </c>
      <c r="L1165" s="36">
        <v>2549</v>
      </c>
      <c r="M1165" s="16">
        <v>291</v>
      </c>
      <c r="N1165" s="16">
        <v>684</v>
      </c>
      <c r="O1165" s="36">
        <v>1044</v>
      </c>
      <c r="P1165" s="16">
        <v>370</v>
      </c>
      <c r="Q1165" s="16">
        <v>160</v>
      </c>
      <c r="R1165" s="16">
        <v>5</v>
      </c>
      <c r="S1165" s="16">
        <v>28.5562</v>
      </c>
      <c r="T1165" s="16">
        <v>11.606999999999999</v>
      </c>
      <c r="U1165" s="16">
        <v>0.44392597</v>
      </c>
      <c r="V1165" s="16">
        <v>6</v>
      </c>
      <c r="W1165" s="16">
        <v>0.92096599999999995</v>
      </c>
      <c r="X1165" s="16">
        <v>0.40364299999999997</v>
      </c>
      <c r="Y1165" s="16">
        <v>0.79753399999999997</v>
      </c>
      <c r="Z1165" s="16">
        <v>0.87207999999999997</v>
      </c>
      <c r="AA1165" s="37"/>
    </row>
    <row r="1166" spans="1:27">
      <c r="A1166" s="16" t="s">
        <v>110</v>
      </c>
      <c r="B1166" s="39" t="s">
        <v>3956</v>
      </c>
      <c r="C1166" s="39" t="s">
        <v>3957</v>
      </c>
      <c r="D1166" s="39" t="s">
        <v>3958</v>
      </c>
      <c r="E1166" s="39" t="s">
        <v>3954</v>
      </c>
      <c r="F1166" s="39" t="s">
        <v>3955</v>
      </c>
      <c r="G1166" s="39" t="s">
        <v>3684</v>
      </c>
      <c r="H1166" s="39" t="s">
        <v>3685</v>
      </c>
      <c r="I1166" s="39" t="s">
        <v>198</v>
      </c>
      <c r="J1166" s="39" t="s">
        <v>199</v>
      </c>
      <c r="K1166" s="39">
        <v>2.6867220000000001</v>
      </c>
      <c r="L1166" s="40">
        <v>1517</v>
      </c>
      <c r="M1166" s="39">
        <v>229</v>
      </c>
      <c r="N1166" s="39">
        <v>357</v>
      </c>
      <c r="O1166" s="39">
        <v>544</v>
      </c>
      <c r="P1166" s="39">
        <v>285</v>
      </c>
      <c r="Q1166" s="39">
        <v>102</v>
      </c>
      <c r="R1166" s="39">
        <v>4</v>
      </c>
      <c r="S1166" s="39">
        <v>22.912800000000001</v>
      </c>
      <c r="T1166" s="39">
        <v>9.1468600000000002</v>
      </c>
      <c r="U1166" s="39">
        <v>0.47568243300000002</v>
      </c>
      <c r="V1166" s="39">
        <v>9</v>
      </c>
      <c r="W1166" s="39">
        <v>0.90456400000000003</v>
      </c>
      <c r="X1166" s="39">
        <v>0.22791700000000001</v>
      </c>
      <c r="Y1166" s="39">
        <v>0.74604199999999998</v>
      </c>
      <c r="Z1166" s="39">
        <v>0.81226600000000004</v>
      </c>
      <c r="AA1166" s="41"/>
    </row>
    <row r="1167" spans="1:27">
      <c r="A1167" s="16"/>
      <c r="B1167" s="16"/>
      <c r="C1167" s="16"/>
      <c r="D1167" s="16"/>
      <c r="E1167" s="16"/>
      <c r="F1167" s="16"/>
      <c r="G1167" s="16"/>
      <c r="H1167" s="16"/>
      <c r="I1167" s="16"/>
      <c r="J1167" s="16"/>
      <c r="K1167" s="16">
        <f>MEDIAN(K1154:K1166)</f>
        <v>2.8400699999999999</v>
      </c>
      <c r="L1167" s="36">
        <f t="shared" ref="L1167:Q1167" si="92">SUM(L1154:L1166)</f>
        <v>24675</v>
      </c>
      <c r="M1167" s="36">
        <f t="shared" si="92"/>
        <v>4099</v>
      </c>
      <c r="N1167" s="36">
        <f t="shared" si="92"/>
        <v>5749</v>
      </c>
      <c r="O1167" s="36">
        <f t="shared" si="92"/>
        <v>8101</v>
      </c>
      <c r="P1167" s="36">
        <f t="shared" si="92"/>
        <v>4618</v>
      </c>
      <c r="Q1167" s="36">
        <f t="shared" si="92"/>
        <v>2108</v>
      </c>
      <c r="R1167" s="16"/>
      <c r="S1167" s="16"/>
      <c r="T1167" s="16"/>
      <c r="U1167" s="16"/>
      <c r="V1167" s="16">
        <f>MEDIAN(V1154:V1166)</f>
        <v>5</v>
      </c>
      <c r="W1167" s="16"/>
      <c r="X1167" s="16"/>
      <c r="Y1167" s="16"/>
      <c r="Z1167" s="16"/>
      <c r="AA1167" s="37"/>
    </row>
    <row r="1168" spans="1:27">
      <c r="A1168" s="16" t="s">
        <v>111</v>
      </c>
      <c r="B1168" s="16" t="s">
        <v>3728</v>
      </c>
      <c r="C1168" s="16" t="s">
        <v>3729</v>
      </c>
      <c r="D1168" s="16" t="s">
        <v>3730</v>
      </c>
      <c r="E1168" s="16" t="s">
        <v>3726</v>
      </c>
      <c r="F1168" s="16" t="s">
        <v>3727</v>
      </c>
      <c r="G1168" s="16" t="s">
        <v>1232</v>
      </c>
      <c r="H1168" s="16" t="s">
        <v>1233</v>
      </c>
      <c r="I1168" s="16" t="s">
        <v>198</v>
      </c>
      <c r="J1168" s="16" t="s">
        <v>199</v>
      </c>
      <c r="K1168" s="16">
        <v>2.5474999999999999</v>
      </c>
      <c r="L1168" s="36">
        <v>2032</v>
      </c>
      <c r="M1168" s="16">
        <v>279</v>
      </c>
      <c r="N1168" s="16">
        <v>632</v>
      </c>
      <c r="O1168" s="16">
        <v>744</v>
      </c>
      <c r="P1168" s="16">
        <v>263</v>
      </c>
      <c r="Q1168" s="16">
        <v>114</v>
      </c>
      <c r="R1168" s="16">
        <v>4</v>
      </c>
      <c r="S1168" s="16">
        <v>26.7164</v>
      </c>
      <c r="T1168" s="16">
        <v>15.256500000000001</v>
      </c>
      <c r="U1168" s="16">
        <v>0.65292214500000001</v>
      </c>
      <c r="V1168" s="16">
        <v>6</v>
      </c>
      <c r="W1168" s="16">
        <v>0.91625000000000001</v>
      </c>
      <c r="X1168" s="16">
        <v>0.29431600000000002</v>
      </c>
      <c r="Y1168" s="16">
        <v>0.8</v>
      </c>
      <c r="Z1168" s="16">
        <v>0.53592399999999996</v>
      </c>
      <c r="AA1168" s="37"/>
    </row>
    <row r="1169" spans="1:27">
      <c r="A1169" s="16" t="s">
        <v>111</v>
      </c>
      <c r="B1169" s="16" t="s">
        <v>3660</v>
      </c>
      <c r="C1169" s="16" t="s">
        <v>3661</v>
      </c>
      <c r="D1169" s="16" t="s">
        <v>3662</v>
      </c>
      <c r="E1169" s="16" t="s">
        <v>3663</v>
      </c>
      <c r="F1169" s="16" t="s">
        <v>3664</v>
      </c>
      <c r="G1169" s="16" t="s">
        <v>1232</v>
      </c>
      <c r="H1169" s="16" t="s">
        <v>1233</v>
      </c>
      <c r="I1169" s="16" t="s">
        <v>198</v>
      </c>
      <c r="J1169" s="16" t="s">
        <v>199</v>
      </c>
      <c r="K1169" s="16">
        <v>2.5460229999999999</v>
      </c>
      <c r="L1169" s="36">
        <v>1747</v>
      </c>
      <c r="M1169" s="16">
        <v>237</v>
      </c>
      <c r="N1169" s="16">
        <v>485</v>
      </c>
      <c r="O1169" s="16">
        <v>451</v>
      </c>
      <c r="P1169" s="16">
        <v>354</v>
      </c>
      <c r="Q1169" s="16">
        <v>220</v>
      </c>
      <c r="R1169" s="16" t="s">
        <v>302</v>
      </c>
      <c r="S1169" s="16">
        <v>41.878300000000003</v>
      </c>
      <c r="T1169" s="16">
        <v>19.754200000000001</v>
      </c>
      <c r="U1169" s="16">
        <v>0.96388614500000003</v>
      </c>
      <c r="V1169" s="16">
        <v>3</v>
      </c>
      <c r="W1169" s="16">
        <v>0.92234799999999995</v>
      </c>
      <c r="X1169" s="16">
        <v>0.279026</v>
      </c>
      <c r="Y1169" s="16">
        <v>0.72732399999999997</v>
      </c>
      <c r="Z1169" s="16">
        <v>0.64037699999999997</v>
      </c>
      <c r="AA1169" s="37"/>
    </row>
    <row r="1170" spans="1:27">
      <c r="A1170" s="16" t="s">
        <v>111</v>
      </c>
      <c r="B1170" s="16" t="s">
        <v>3959</v>
      </c>
      <c r="C1170" s="16" t="s">
        <v>3960</v>
      </c>
      <c r="D1170" s="16" t="s">
        <v>3961</v>
      </c>
      <c r="E1170" s="16" t="s">
        <v>3726</v>
      </c>
      <c r="F1170" s="16" t="s">
        <v>3727</v>
      </c>
      <c r="G1170" s="16" t="s">
        <v>1232</v>
      </c>
      <c r="H1170" s="16" t="s">
        <v>1233</v>
      </c>
      <c r="I1170" s="16" t="s">
        <v>198</v>
      </c>
      <c r="J1170" s="16" t="s">
        <v>199</v>
      </c>
      <c r="K1170" s="16">
        <v>2.2393329999999998</v>
      </c>
      <c r="L1170" s="36">
        <v>1604</v>
      </c>
      <c r="M1170" s="16">
        <v>345</v>
      </c>
      <c r="N1170" s="16">
        <v>344</v>
      </c>
      <c r="O1170" s="16">
        <v>419</v>
      </c>
      <c r="P1170" s="16">
        <v>363</v>
      </c>
      <c r="Q1170" s="16">
        <v>133</v>
      </c>
      <c r="R1170" s="16">
        <v>3</v>
      </c>
      <c r="S1170" s="16">
        <v>23.96</v>
      </c>
      <c r="T1170" s="16">
        <v>0</v>
      </c>
      <c r="U1170" s="16">
        <v>0.80186103200000003</v>
      </c>
      <c r="V1170" s="16">
        <v>6</v>
      </c>
      <c r="W1170" s="16">
        <v>0.90200000000000002</v>
      </c>
      <c r="X1170" s="16">
        <v>1.3216E-2</v>
      </c>
      <c r="Y1170" s="16">
        <v>0.72617399999999999</v>
      </c>
      <c r="Z1170" s="16">
        <v>0.6</v>
      </c>
      <c r="AA1170" s="37"/>
    </row>
    <row r="1171" spans="1:27">
      <c r="A1171" s="16" t="s">
        <v>111</v>
      </c>
      <c r="B1171" s="16" t="s">
        <v>3962</v>
      </c>
      <c r="C1171" s="16" t="s">
        <v>3963</v>
      </c>
      <c r="D1171" s="16" t="s">
        <v>3964</v>
      </c>
      <c r="E1171" s="16" t="s">
        <v>3726</v>
      </c>
      <c r="F1171" s="16" t="s">
        <v>3727</v>
      </c>
      <c r="G1171" s="16" t="s">
        <v>1232</v>
      </c>
      <c r="H1171" s="16" t="s">
        <v>1233</v>
      </c>
      <c r="I1171" s="16" t="s">
        <v>198</v>
      </c>
      <c r="J1171" s="16" t="s">
        <v>199</v>
      </c>
      <c r="K1171" s="16">
        <v>2.471079</v>
      </c>
      <c r="L1171" s="36">
        <v>1572</v>
      </c>
      <c r="M1171" s="16">
        <v>205</v>
      </c>
      <c r="N1171" s="16">
        <v>434</v>
      </c>
      <c r="O1171" s="16">
        <v>562</v>
      </c>
      <c r="P1171" s="16">
        <v>262</v>
      </c>
      <c r="Q1171" s="16">
        <v>109</v>
      </c>
      <c r="R1171" s="16">
        <v>4</v>
      </c>
      <c r="S1171" s="16">
        <v>26.675799999999999</v>
      </c>
      <c r="T1171" s="16">
        <v>8.49573</v>
      </c>
      <c r="U1171" s="16">
        <v>0.71288078600000004</v>
      </c>
      <c r="V1171" s="16">
        <v>6</v>
      </c>
      <c r="W1171" s="16">
        <v>0.90804499999999999</v>
      </c>
      <c r="X1171" s="16">
        <v>0.24252799999999999</v>
      </c>
      <c r="Y1171" s="16">
        <v>0.79287099999999999</v>
      </c>
      <c r="Z1171" s="16">
        <v>0.54140699999999997</v>
      </c>
      <c r="AA1171" s="37"/>
    </row>
    <row r="1172" spans="1:27">
      <c r="A1172" s="16" t="s">
        <v>111</v>
      </c>
      <c r="B1172" s="16" t="s">
        <v>3965</v>
      </c>
      <c r="C1172" s="16" t="s">
        <v>3966</v>
      </c>
      <c r="D1172" s="16" t="s">
        <v>3967</v>
      </c>
      <c r="E1172" s="16" t="s">
        <v>3817</v>
      </c>
      <c r="F1172" s="16" t="s">
        <v>3818</v>
      </c>
      <c r="G1172" s="16" t="s">
        <v>3684</v>
      </c>
      <c r="H1172" s="16" t="s">
        <v>3685</v>
      </c>
      <c r="I1172" s="16" t="s">
        <v>198</v>
      </c>
      <c r="J1172" s="16" t="s">
        <v>199</v>
      </c>
      <c r="K1172" s="16">
        <v>2.5970520000000001</v>
      </c>
      <c r="L1172" s="36">
        <v>1731</v>
      </c>
      <c r="M1172" s="16">
        <v>161</v>
      </c>
      <c r="N1172" s="16">
        <v>514</v>
      </c>
      <c r="O1172" s="16">
        <v>673</v>
      </c>
      <c r="P1172" s="16">
        <v>245</v>
      </c>
      <c r="Q1172" s="16">
        <v>138</v>
      </c>
      <c r="R1172" s="16" t="s">
        <v>302</v>
      </c>
      <c r="S1172" s="16">
        <v>38.532899999999998</v>
      </c>
      <c r="T1172" s="16">
        <v>16.622800000000002</v>
      </c>
      <c r="U1172" s="16">
        <v>0.59257544799999995</v>
      </c>
      <c r="V1172" s="16">
        <v>8</v>
      </c>
      <c r="W1172" s="16">
        <v>0.90498900000000004</v>
      </c>
      <c r="X1172" s="16">
        <v>0.29797800000000002</v>
      </c>
      <c r="Y1172" s="16">
        <v>0.8</v>
      </c>
      <c r="Z1172" s="16">
        <v>0.59009</v>
      </c>
      <c r="AA1172" s="37"/>
    </row>
    <row r="1173" spans="1:27">
      <c r="A1173" s="16" t="s">
        <v>111</v>
      </c>
      <c r="B1173" s="16" t="s">
        <v>3825</v>
      </c>
      <c r="C1173" s="16" t="s">
        <v>3826</v>
      </c>
      <c r="D1173" s="16" t="s">
        <v>3827</v>
      </c>
      <c r="E1173" s="16" t="s">
        <v>3772</v>
      </c>
      <c r="F1173" s="16" t="s">
        <v>3773</v>
      </c>
      <c r="G1173" s="16" t="s">
        <v>3684</v>
      </c>
      <c r="H1173" s="16" t="s">
        <v>3685</v>
      </c>
      <c r="I1173" s="16" t="s">
        <v>198</v>
      </c>
      <c r="J1173" s="16" t="s">
        <v>199</v>
      </c>
      <c r="K1173" s="16">
        <v>2.5173649999999999</v>
      </c>
      <c r="L1173" s="36">
        <v>1992</v>
      </c>
      <c r="M1173" s="16">
        <v>249</v>
      </c>
      <c r="N1173" s="16">
        <v>520</v>
      </c>
      <c r="O1173" s="16">
        <v>714</v>
      </c>
      <c r="P1173" s="16">
        <v>359</v>
      </c>
      <c r="Q1173" s="16">
        <v>150</v>
      </c>
      <c r="R1173" s="16">
        <v>5</v>
      </c>
      <c r="S1173" s="16">
        <v>29.417100000000001</v>
      </c>
      <c r="T1173" s="16">
        <v>15.6076</v>
      </c>
      <c r="U1173" s="16">
        <v>0.73343423100000005</v>
      </c>
      <c r="V1173" s="16">
        <v>6</v>
      </c>
      <c r="W1173" s="16">
        <v>0.90459100000000003</v>
      </c>
      <c r="X1173" s="16">
        <v>0.232596</v>
      </c>
      <c r="Y1173" s="16">
        <v>0.8</v>
      </c>
      <c r="Z1173" s="16">
        <v>0.55835000000000001</v>
      </c>
      <c r="AA1173" s="37"/>
    </row>
    <row r="1174" spans="1:27">
      <c r="A1174" s="16" t="s">
        <v>111</v>
      </c>
      <c r="B1174" s="16" t="s">
        <v>3751</v>
      </c>
      <c r="C1174" s="16" t="s">
        <v>3752</v>
      </c>
      <c r="D1174" s="16" t="s">
        <v>3753</v>
      </c>
      <c r="E1174" s="16" t="s">
        <v>3754</v>
      </c>
      <c r="F1174" s="16" t="s">
        <v>3755</v>
      </c>
      <c r="G1174" s="16" t="s">
        <v>3684</v>
      </c>
      <c r="H1174" s="16" t="s">
        <v>3685</v>
      </c>
      <c r="I1174" s="16" t="s">
        <v>198</v>
      </c>
      <c r="J1174" s="16" t="s">
        <v>199</v>
      </c>
      <c r="K1174" s="16">
        <v>2.3656899999999998</v>
      </c>
      <c r="L1174" s="36">
        <v>1819</v>
      </c>
      <c r="M1174" s="16">
        <v>261</v>
      </c>
      <c r="N1174" s="16">
        <v>609</v>
      </c>
      <c r="O1174" s="16">
        <v>626</v>
      </c>
      <c r="P1174" s="16">
        <v>191</v>
      </c>
      <c r="Q1174" s="16">
        <v>132</v>
      </c>
      <c r="R1174" s="16">
        <v>4</v>
      </c>
      <c r="S1174" s="16">
        <v>28.601800000000001</v>
      </c>
      <c r="T1174" s="16">
        <v>13.776</v>
      </c>
      <c r="U1174" s="16">
        <v>0.63265961800000003</v>
      </c>
      <c r="V1174" s="16">
        <v>9</v>
      </c>
      <c r="W1174" s="16">
        <v>0.90460200000000002</v>
      </c>
      <c r="X1174" s="16">
        <v>5.2941000000000002E-2</v>
      </c>
      <c r="Y1174" s="16">
        <v>0.8</v>
      </c>
      <c r="Z1174" s="16">
        <v>0.61548099999999994</v>
      </c>
      <c r="AA1174" s="37"/>
    </row>
    <row r="1175" spans="1:27">
      <c r="A1175" s="16" t="s">
        <v>111</v>
      </c>
      <c r="B1175" s="16" t="s">
        <v>3769</v>
      </c>
      <c r="C1175" s="16" t="s">
        <v>3770</v>
      </c>
      <c r="D1175" s="16" t="s">
        <v>3771</v>
      </c>
      <c r="E1175" s="16" t="s">
        <v>3772</v>
      </c>
      <c r="F1175" s="16" t="s">
        <v>3773</v>
      </c>
      <c r="G1175" s="16" t="s">
        <v>3684</v>
      </c>
      <c r="H1175" s="16" t="s">
        <v>3685</v>
      </c>
      <c r="I1175" s="16" t="s">
        <v>198</v>
      </c>
      <c r="J1175" s="16" t="s">
        <v>199</v>
      </c>
      <c r="K1175" s="16">
        <v>2.3839229999999998</v>
      </c>
      <c r="L1175" s="36">
        <v>1557</v>
      </c>
      <c r="M1175" s="16">
        <v>200</v>
      </c>
      <c r="N1175" s="16">
        <v>463</v>
      </c>
      <c r="O1175" s="16">
        <v>561</v>
      </c>
      <c r="P1175" s="16">
        <v>229</v>
      </c>
      <c r="Q1175" s="16">
        <v>104</v>
      </c>
      <c r="R1175" s="16">
        <v>5</v>
      </c>
      <c r="S1175" s="16">
        <v>31.2087</v>
      </c>
      <c r="T1175" s="16">
        <v>17.764399999999998</v>
      </c>
      <c r="U1175" s="16">
        <v>0.75950752399999999</v>
      </c>
      <c r="V1175" s="16">
        <v>6</v>
      </c>
      <c r="W1175" s="16">
        <v>0.909968</v>
      </c>
      <c r="X1175" s="16">
        <v>0.18274799999999999</v>
      </c>
      <c r="Y1175" s="16">
        <v>0.79967600000000005</v>
      </c>
      <c r="Z1175" s="16">
        <v>0.52443700000000004</v>
      </c>
      <c r="AA1175" s="37"/>
    </row>
    <row r="1176" spans="1:27">
      <c r="A1176" s="16" t="s">
        <v>111</v>
      </c>
      <c r="B1176" s="16" t="s">
        <v>3968</v>
      </c>
      <c r="C1176" s="16" t="s">
        <v>3969</v>
      </c>
      <c r="D1176" s="16" t="s">
        <v>3970</v>
      </c>
      <c r="E1176" s="16" t="s">
        <v>3777</v>
      </c>
      <c r="F1176" s="16" t="s">
        <v>3778</v>
      </c>
      <c r="G1176" s="16" t="s">
        <v>3684</v>
      </c>
      <c r="H1176" s="16" t="s">
        <v>3685</v>
      </c>
      <c r="I1176" s="16" t="s">
        <v>198</v>
      </c>
      <c r="J1176" s="16" t="s">
        <v>199</v>
      </c>
      <c r="K1176" s="16">
        <v>2.3446189999999998</v>
      </c>
      <c r="L1176" s="36">
        <v>1597</v>
      </c>
      <c r="M1176" s="16">
        <v>246</v>
      </c>
      <c r="N1176" s="16">
        <v>422</v>
      </c>
      <c r="O1176" s="16">
        <v>425</v>
      </c>
      <c r="P1176" s="16">
        <v>316</v>
      </c>
      <c r="Q1176" s="16">
        <v>188</v>
      </c>
      <c r="R1176" s="16">
        <v>5</v>
      </c>
      <c r="S1176" s="16">
        <v>29.762799999999999</v>
      </c>
      <c r="T1176" s="16">
        <v>20.513400000000001</v>
      </c>
      <c r="U1176" s="16">
        <v>0.776423007</v>
      </c>
      <c r="V1176" s="16">
        <v>6</v>
      </c>
      <c r="W1176" s="16">
        <v>0.90583000000000002</v>
      </c>
      <c r="X1176" s="16">
        <v>0.10609499999999999</v>
      </c>
      <c r="Y1176" s="16">
        <v>0.77937199999999995</v>
      </c>
      <c r="Z1176" s="16">
        <v>0.58306999999999998</v>
      </c>
      <c r="AA1176" s="37"/>
    </row>
    <row r="1177" spans="1:27">
      <c r="A1177" s="16" t="s">
        <v>111</v>
      </c>
      <c r="B1177" s="16" t="s">
        <v>3971</v>
      </c>
      <c r="C1177" s="16" t="s">
        <v>3972</v>
      </c>
      <c r="D1177" s="16" t="s">
        <v>3973</v>
      </c>
      <c r="E1177" s="16" t="s">
        <v>3772</v>
      </c>
      <c r="F1177" s="16" t="s">
        <v>3773</v>
      </c>
      <c r="G1177" s="16" t="s">
        <v>3684</v>
      </c>
      <c r="H1177" s="16" t="s">
        <v>3685</v>
      </c>
      <c r="I1177" s="16" t="s">
        <v>198</v>
      </c>
      <c r="J1177" s="16" t="s">
        <v>199</v>
      </c>
      <c r="K1177" s="16">
        <v>2.1649389999999999</v>
      </c>
      <c r="L1177" s="36">
        <v>1409</v>
      </c>
      <c r="M1177" s="16">
        <v>299</v>
      </c>
      <c r="N1177" s="16">
        <v>309</v>
      </c>
      <c r="O1177" s="16">
        <v>333</v>
      </c>
      <c r="P1177" s="16">
        <v>361</v>
      </c>
      <c r="Q1177" s="16">
        <v>107</v>
      </c>
      <c r="R1177" s="16">
        <v>4</v>
      </c>
      <c r="S1177" s="16">
        <v>27.915900000000001</v>
      </c>
      <c r="T1177" s="16">
        <v>10.292299999999999</v>
      </c>
      <c r="U1177" s="16">
        <v>0.91445102599999994</v>
      </c>
      <c r="V1177" s="16">
        <v>6</v>
      </c>
      <c r="W1177" s="16">
        <v>0.90304899999999999</v>
      </c>
      <c r="X1177" s="16">
        <v>5.1076999999999997E-2</v>
      </c>
      <c r="Y1177" s="16">
        <v>0.72830799999999996</v>
      </c>
      <c r="Z1177" s="16">
        <v>0.493313</v>
      </c>
      <c r="AA1177" s="37"/>
    </row>
    <row r="1178" spans="1:27">
      <c r="A1178" s="16" t="s">
        <v>111</v>
      </c>
      <c r="B1178" s="16" t="s">
        <v>3974</v>
      </c>
      <c r="C1178" s="16" t="s">
        <v>3975</v>
      </c>
      <c r="D1178" s="16" t="s">
        <v>3976</v>
      </c>
      <c r="E1178" s="16" t="s">
        <v>3977</v>
      </c>
      <c r="F1178" s="16" t="s">
        <v>3978</v>
      </c>
      <c r="G1178" s="16" t="s">
        <v>3684</v>
      </c>
      <c r="H1178" s="16" t="s">
        <v>3685</v>
      </c>
      <c r="I1178" s="16" t="s">
        <v>198</v>
      </c>
      <c r="J1178" s="16" t="s">
        <v>199</v>
      </c>
      <c r="K1178" s="16">
        <v>2.277094</v>
      </c>
      <c r="L1178" s="36">
        <v>1852</v>
      </c>
      <c r="M1178" s="16">
        <v>278</v>
      </c>
      <c r="N1178" s="16">
        <v>445</v>
      </c>
      <c r="O1178" s="16">
        <v>618</v>
      </c>
      <c r="P1178" s="16">
        <v>352</v>
      </c>
      <c r="Q1178" s="16">
        <v>159</v>
      </c>
      <c r="R1178" s="16">
        <v>5</v>
      </c>
      <c r="S1178" s="16">
        <v>25.357399999999998</v>
      </c>
      <c r="T1178" s="16">
        <v>12.399100000000001</v>
      </c>
      <c r="U1178" s="16">
        <v>0.70324114000000004</v>
      </c>
      <c r="V1178" s="16">
        <v>8</v>
      </c>
      <c r="W1178" s="16">
        <v>0.90073899999999996</v>
      </c>
      <c r="X1178" s="16">
        <v>2.6499999999999999E-2</v>
      </c>
      <c r="Y1178" s="16">
        <v>0.8</v>
      </c>
      <c r="Z1178" s="16">
        <v>0.53777799999999998</v>
      </c>
      <c r="AA1178" s="37"/>
    </row>
    <row r="1179" spans="1:27">
      <c r="A1179" s="16" t="s">
        <v>111</v>
      </c>
      <c r="B1179" s="16" t="s">
        <v>3979</v>
      </c>
      <c r="C1179" s="16" t="s">
        <v>3980</v>
      </c>
      <c r="D1179" s="16" t="s">
        <v>3981</v>
      </c>
      <c r="E1179" s="16" t="s">
        <v>3754</v>
      </c>
      <c r="F1179" s="16" t="s">
        <v>3755</v>
      </c>
      <c r="G1179" s="16" t="s">
        <v>3684</v>
      </c>
      <c r="H1179" s="16" t="s">
        <v>3685</v>
      </c>
      <c r="I1179" s="16" t="s">
        <v>198</v>
      </c>
      <c r="J1179" s="16" t="s">
        <v>199</v>
      </c>
      <c r="K1179" s="16">
        <v>2.3975230000000001</v>
      </c>
      <c r="L1179" s="36">
        <v>1815</v>
      </c>
      <c r="M1179" s="16">
        <v>284</v>
      </c>
      <c r="N1179" s="16">
        <v>439</v>
      </c>
      <c r="O1179" s="16">
        <v>651</v>
      </c>
      <c r="P1179" s="16">
        <v>272</v>
      </c>
      <c r="Q1179" s="16">
        <v>169</v>
      </c>
      <c r="R1179" s="16">
        <v>5</v>
      </c>
      <c r="S1179" s="16">
        <v>27.584299999999999</v>
      </c>
      <c r="T1179" s="16">
        <v>21.803699999999999</v>
      </c>
      <c r="U1179" s="16">
        <v>0.698117392</v>
      </c>
      <c r="V1179" s="16">
        <v>7</v>
      </c>
      <c r="W1179" s="16">
        <v>0.90247699999999997</v>
      </c>
      <c r="X1179" s="16">
        <v>4.2900000000000001E-2</v>
      </c>
      <c r="Y1179" s="16">
        <v>0.8</v>
      </c>
      <c r="Z1179" s="16">
        <v>0.67492300000000005</v>
      </c>
      <c r="AA1179" s="37"/>
    </row>
    <row r="1180" spans="1:27">
      <c r="A1180" s="16" t="s">
        <v>111</v>
      </c>
      <c r="B1180" s="16" t="s">
        <v>3982</v>
      </c>
      <c r="C1180" s="16" t="s">
        <v>3983</v>
      </c>
      <c r="D1180" s="16" t="s">
        <v>3984</v>
      </c>
      <c r="E1180" s="16" t="s">
        <v>3977</v>
      </c>
      <c r="F1180" s="16" t="s">
        <v>3978</v>
      </c>
      <c r="G1180" s="16" t="s">
        <v>3684</v>
      </c>
      <c r="H1180" s="16" t="s">
        <v>3685</v>
      </c>
      <c r="I1180" s="16" t="s">
        <v>198</v>
      </c>
      <c r="J1180" s="16" t="s">
        <v>199</v>
      </c>
      <c r="K1180" s="16">
        <v>2.6181030000000001</v>
      </c>
      <c r="L1180" s="36">
        <v>1947</v>
      </c>
      <c r="M1180" s="16">
        <v>257</v>
      </c>
      <c r="N1180" s="16">
        <v>597</v>
      </c>
      <c r="O1180" s="16">
        <v>775</v>
      </c>
      <c r="P1180" s="16">
        <v>228</v>
      </c>
      <c r="Q1180" s="16">
        <v>90</v>
      </c>
      <c r="R1180" s="16" t="s">
        <v>302</v>
      </c>
      <c r="S1180" s="16">
        <v>35.394599999999997</v>
      </c>
      <c r="T1180" s="16">
        <v>25.338699999999999</v>
      </c>
      <c r="U1180" s="16">
        <v>0.63325199899999995</v>
      </c>
      <c r="V1180" s="16">
        <v>6</v>
      </c>
      <c r="W1180" s="16">
        <v>0.91077600000000003</v>
      </c>
      <c r="X1180" s="16">
        <v>0.24061099999999999</v>
      </c>
      <c r="Y1180" s="16">
        <v>0.8</v>
      </c>
      <c r="Z1180" s="16">
        <v>0.67084200000000005</v>
      </c>
      <c r="AA1180" s="37"/>
    </row>
    <row r="1181" spans="1:27">
      <c r="A1181" s="16" t="s">
        <v>111</v>
      </c>
      <c r="B1181" s="16" t="s">
        <v>3985</v>
      </c>
      <c r="C1181" s="16" t="s">
        <v>3986</v>
      </c>
      <c r="D1181" s="16" t="s">
        <v>3987</v>
      </c>
      <c r="E1181" s="16" t="s">
        <v>3977</v>
      </c>
      <c r="F1181" s="16" t="s">
        <v>3978</v>
      </c>
      <c r="G1181" s="16" t="s">
        <v>3684</v>
      </c>
      <c r="H1181" s="16" t="s">
        <v>3685</v>
      </c>
      <c r="I1181" s="16" t="s">
        <v>198</v>
      </c>
      <c r="J1181" s="16" t="s">
        <v>199</v>
      </c>
      <c r="K1181" s="16">
        <v>2.5187940000000002</v>
      </c>
      <c r="L1181" s="36">
        <v>1978</v>
      </c>
      <c r="M1181" s="16">
        <v>203</v>
      </c>
      <c r="N1181" s="16">
        <v>635</v>
      </c>
      <c r="O1181" s="16">
        <v>702</v>
      </c>
      <c r="P1181" s="16">
        <v>297</v>
      </c>
      <c r="Q1181" s="16">
        <v>141</v>
      </c>
      <c r="R1181" s="16">
        <v>4</v>
      </c>
      <c r="S1181" s="16">
        <v>28.587</v>
      </c>
      <c r="T1181" s="16">
        <v>13.7925</v>
      </c>
      <c r="U1181" s="16">
        <v>0.664966061</v>
      </c>
      <c r="V1181" s="16">
        <v>7</v>
      </c>
      <c r="W1181" s="16">
        <v>0.91028399999999998</v>
      </c>
      <c r="X1181" s="16">
        <v>0.26783200000000001</v>
      </c>
      <c r="Y1181" s="16">
        <v>0.8</v>
      </c>
      <c r="Z1181" s="16">
        <v>0.535273</v>
      </c>
      <c r="AA1181" s="37"/>
    </row>
    <row r="1182" spans="1:27">
      <c r="A1182" s="16"/>
      <c r="B1182" s="16"/>
      <c r="C1182" s="16"/>
      <c r="D1182" s="16"/>
      <c r="E1182" s="16"/>
      <c r="F1182" s="16"/>
      <c r="G1182" s="16"/>
      <c r="H1182" s="16"/>
      <c r="I1182" s="16"/>
      <c r="J1182" s="16"/>
      <c r="K1182" s="16">
        <f>MEDIAN(K1168:K1181)</f>
        <v>2.434301</v>
      </c>
      <c r="L1182" s="36">
        <f>AVERAGE(L1168:L1181)</f>
        <v>1760.8571428571429</v>
      </c>
      <c r="M1182" s="36">
        <f t="shared" ref="M1182:Q1182" si="93">SUM(M1168:M1181)</f>
        <v>3504</v>
      </c>
      <c r="N1182" s="36">
        <f t="shared" si="93"/>
        <v>6848</v>
      </c>
      <c r="O1182" s="36">
        <f t="shared" si="93"/>
        <v>8254</v>
      </c>
      <c r="P1182" s="36">
        <f t="shared" si="93"/>
        <v>4092</v>
      </c>
      <c r="Q1182" s="36">
        <f t="shared" si="93"/>
        <v>1954</v>
      </c>
      <c r="R1182" s="16"/>
      <c r="S1182" s="16"/>
      <c r="T1182" s="16"/>
      <c r="U1182" s="16"/>
      <c r="V1182" s="16">
        <f>MEDIAN(V1168:V1181)</f>
        <v>6</v>
      </c>
      <c r="W1182" s="16"/>
      <c r="X1182" s="16"/>
      <c r="Y1182" s="16"/>
      <c r="Z1182" s="16"/>
      <c r="AA1182" s="37"/>
    </row>
    <row r="1183" spans="1:27">
      <c r="A1183" s="16" t="s">
        <v>112</v>
      </c>
      <c r="B1183" s="16" t="s">
        <v>3988</v>
      </c>
      <c r="C1183" s="16" t="s">
        <v>3989</v>
      </c>
      <c r="D1183" s="16" t="s">
        <v>3990</v>
      </c>
      <c r="E1183" s="16" t="s">
        <v>3991</v>
      </c>
      <c r="F1183" s="16" t="s">
        <v>3992</v>
      </c>
      <c r="G1183" s="16" t="s">
        <v>3993</v>
      </c>
      <c r="H1183" s="16" t="s">
        <v>3994</v>
      </c>
      <c r="I1183" s="16" t="s">
        <v>198</v>
      </c>
      <c r="J1183" s="16" t="s">
        <v>199</v>
      </c>
      <c r="K1183" s="16">
        <v>2.3788</v>
      </c>
      <c r="L1183" s="36">
        <v>1942</v>
      </c>
      <c r="M1183" s="16">
        <v>276</v>
      </c>
      <c r="N1183" s="16">
        <v>459</v>
      </c>
      <c r="O1183" s="16">
        <v>730</v>
      </c>
      <c r="P1183" s="16">
        <v>326</v>
      </c>
      <c r="Q1183" s="16">
        <v>151</v>
      </c>
      <c r="R1183" s="16">
        <v>4</v>
      </c>
      <c r="S1183" s="16">
        <v>27.530999999999999</v>
      </c>
      <c r="T1183" s="16">
        <v>12.837899999999999</v>
      </c>
      <c r="U1183" s="16">
        <v>0.69914547699999996</v>
      </c>
      <c r="V1183" s="16">
        <v>7</v>
      </c>
      <c r="W1183" s="16">
        <v>0.90539999999999998</v>
      </c>
      <c r="X1183" s="16">
        <v>0.17915800000000001</v>
      </c>
      <c r="Y1183" s="16">
        <v>0.8</v>
      </c>
      <c r="Z1183" s="16">
        <v>0.493788</v>
      </c>
      <c r="AA1183" s="37"/>
    </row>
    <row r="1184" spans="1:27">
      <c r="A1184" s="16" t="s">
        <v>112</v>
      </c>
      <c r="B1184" s="16" t="s">
        <v>3995</v>
      </c>
      <c r="C1184" s="16" t="s">
        <v>3996</v>
      </c>
      <c r="D1184" s="16" t="s">
        <v>3997</v>
      </c>
      <c r="E1184" s="16" t="s">
        <v>3991</v>
      </c>
      <c r="F1184" s="16" t="s">
        <v>3992</v>
      </c>
      <c r="G1184" s="16" t="s">
        <v>3993</v>
      </c>
      <c r="H1184" s="16" t="s">
        <v>3994</v>
      </c>
      <c r="I1184" s="16" t="s">
        <v>198</v>
      </c>
      <c r="J1184" s="16" t="s">
        <v>199</v>
      </c>
      <c r="K1184" s="16">
        <v>2.1859039999999998</v>
      </c>
      <c r="L1184" s="36">
        <v>1515</v>
      </c>
      <c r="M1184" s="16">
        <v>213</v>
      </c>
      <c r="N1184" s="16">
        <v>302</v>
      </c>
      <c r="O1184" s="16">
        <v>485</v>
      </c>
      <c r="P1184" s="16">
        <v>313</v>
      </c>
      <c r="Q1184" s="16">
        <v>202</v>
      </c>
      <c r="R1184" s="16">
        <v>3</v>
      </c>
      <c r="S1184" s="16">
        <v>22.009</v>
      </c>
      <c r="T1184" s="16">
        <v>7.6868600000000002</v>
      </c>
      <c r="U1184" s="16">
        <v>0.78452112799999996</v>
      </c>
      <c r="V1184" s="16">
        <v>7</v>
      </c>
      <c r="W1184" s="16">
        <v>0.90079799999999999</v>
      </c>
      <c r="X1184" s="16">
        <v>5.3049999999999998E-3</v>
      </c>
      <c r="Y1184" s="16">
        <v>0.8</v>
      </c>
      <c r="Z1184" s="16">
        <v>0.48499999999999999</v>
      </c>
      <c r="AA1184" s="37"/>
    </row>
    <row r="1185" spans="1:27">
      <c r="A1185" s="16" t="s">
        <v>112</v>
      </c>
      <c r="B1185" s="16" t="s">
        <v>3998</v>
      </c>
      <c r="C1185" s="16" t="s">
        <v>3999</v>
      </c>
      <c r="D1185" s="16" t="s">
        <v>4000</v>
      </c>
      <c r="E1185" s="16" t="s">
        <v>4001</v>
      </c>
      <c r="F1185" s="16" t="s">
        <v>4002</v>
      </c>
      <c r="G1185" s="16" t="s">
        <v>3993</v>
      </c>
      <c r="H1185" s="16" t="s">
        <v>3994</v>
      </c>
      <c r="I1185" s="16" t="s">
        <v>198</v>
      </c>
      <c r="J1185" s="16" t="s">
        <v>199</v>
      </c>
      <c r="K1185" s="16">
        <v>2.3307570000000002</v>
      </c>
      <c r="L1185" s="36">
        <v>1859</v>
      </c>
      <c r="M1185" s="16">
        <v>380</v>
      </c>
      <c r="N1185" s="16">
        <v>333</v>
      </c>
      <c r="O1185" s="16">
        <v>508</v>
      </c>
      <c r="P1185" s="16">
        <v>433</v>
      </c>
      <c r="Q1185" s="16">
        <v>205</v>
      </c>
      <c r="R1185" s="16">
        <v>3</v>
      </c>
      <c r="S1185" s="16">
        <v>41.267499999999998</v>
      </c>
      <c r="T1185" s="16">
        <v>2.0101499999999999</v>
      </c>
      <c r="U1185" s="16">
        <v>0.62860429799999995</v>
      </c>
      <c r="V1185" s="16">
        <v>9</v>
      </c>
      <c r="W1185" s="16">
        <v>0.90318699999999996</v>
      </c>
      <c r="X1185" s="16">
        <v>0.114444</v>
      </c>
      <c r="Y1185" s="16">
        <v>0.8</v>
      </c>
      <c r="Z1185" s="16">
        <v>0.51897899999999997</v>
      </c>
      <c r="AA1185" s="37"/>
    </row>
    <row r="1186" spans="1:27">
      <c r="A1186" s="16" t="s">
        <v>112</v>
      </c>
      <c r="B1186" s="16" t="s">
        <v>4003</v>
      </c>
      <c r="C1186" s="16" t="s">
        <v>4004</v>
      </c>
      <c r="D1186" s="16" t="s">
        <v>4005</v>
      </c>
      <c r="E1186" s="16" t="s">
        <v>4006</v>
      </c>
      <c r="F1186" s="16" t="s">
        <v>4007</v>
      </c>
      <c r="G1186" s="16" t="s">
        <v>3993</v>
      </c>
      <c r="H1186" s="16" t="s">
        <v>3994</v>
      </c>
      <c r="I1186" s="16" t="s">
        <v>198</v>
      </c>
      <c r="J1186" s="16" t="s">
        <v>199</v>
      </c>
      <c r="K1186" s="16">
        <v>2.4994519999999998</v>
      </c>
      <c r="L1186" s="36">
        <v>1794</v>
      </c>
      <c r="M1186" s="16">
        <v>415</v>
      </c>
      <c r="N1186" s="16">
        <v>360</v>
      </c>
      <c r="O1186" s="16">
        <v>442</v>
      </c>
      <c r="P1186" s="16">
        <v>396</v>
      </c>
      <c r="Q1186" s="16">
        <v>181</v>
      </c>
      <c r="R1186" s="16">
        <v>4</v>
      </c>
      <c r="S1186" s="16">
        <v>27.648900000000001</v>
      </c>
      <c r="T1186" s="16">
        <v>4.2085900000000001</v>
      </c>
      <c r="U1186" s="16">
        <v>0.84168906300000002</v>
      </c>
      <c r="V1186" s="16">
        <v>3</v>
      </c>
      <c r="W1186" s="16">
        <v>0.90690800000000005</v>
      </c>
      <c r="X1186" s="16">
        <v>0.204009</v>
      </c>
      <c r="Y1186" s="16">
        <v>0.8</v>
      </c>
      <c r="Z1186" s="16">
        <v>0.60230499999999998</v>
      </c>
      <c r="AA1186" s="37"/>
    </row>
    <row r="1187" spans="1:27">
      <c r="A1187" s="16" t="s">
        <v>112</v>
      </c>
      <c r="B1187" s="16" t="s">
        <v>4008</v>
      </c>
      <c r="C1187" s="16" t="s">
        <v>4009</v>
      </c>
      <c r="D1187" s="16" t="s">
        <v>4010</v>
      </c>
      <c r="E1187" s="16" t="s">
        <v>4011</v>
      </c>
      <c r="F1187" s="16" t="s">
        <v>4012</v>
      </c>
      <c r="G1187" s="16" t="s">
        <v>3993</v>
      </c>
      <c r="H1187" s="16" t="s">
        <v>3994</v>
      </c>
      <c r="I1187" s="16" t="s">
        <v>198</v>
      </c>
      <c r="J1187" s="16" t="s">
        <v>199</v>
      </c>
      <c r="K1187" s="16">
        <v>2.3823780000000001</v>
      </c>
      <c r="L1187" s="36">
        <v>1841</v>
      </c>
      <c r="M1187" s="16">
        <v>297</v>
      </c>
      <c r="N1187" s="16">
        <v>357</v>
      </c>
      <c r="O1187" s="16">
        <v>574</v>
      </c>
      <c r="P1187" s="16">
        <v>400</v>
      </c>
      <c r="Q1187" s="16">
        <v>213</v>
      </c>
      <c r="R1187" s="16">
        <v>3</v>
      </c>
      <c r="S1187" s="16">
        <v>20.995799999999999</v>
      </c>
      <c r="T1187" s="16">
        <v>12.2918</v>
      </c>
      <c r="U1187" s="16">
        <v>0.80860908799999998</v>
      </c>
      <c r="V1187" s="16">
        <v>6</v>
      </c>
      <c r="W1187" s="16">
        <v>0.904034</v>
      </c>
      <c r="X1187" s="16">
        <v>0.120588</v>
      </c>
      <c r="Y1187" s="16">
        <v>0.8</v>
      </c>
      <c r="Z1187" s="16">
        <v>0.55137999999999998</v>
      </c>
      <c r="AA1187" s="37"/>
    </row>
    <row r="1188" spans="1:27">
      <c r="A1188" s="16" t="s">
        <v>112</v>
      </c>
      <c r="B1188" s="16" t="s">
        <v>4013</v>
      </c>
      <c r="C1188" s="16" t="s">
        <v>4014</v>
      </c>
      <c r="D1188" s="16" t="s">
        <v>4015</v>
      </c>
      <c r="E1188" s="16" t="s">
        <v>3991</v>
      </c>
      <c r="F1188" s="16" t="s">
        <v>3992</v>
      </c>
      <c r="G1188" s="16" t="s">
        <v>3993</v>
      </c>
      <c r="H1188" s="16" t="s">
        <v>3994</v>
      </c>
      <c r="I1188" s="16" t="s">
        <v>198</v>
      </c>
      <c r="J1188" s="16" t="s">
        <v>199</v>
      </c>
      <c r="K1188" s="16">
        <v>2.3864779999999999</v>
      </c>
      <c r="L1188" s="36">
        <v>2718</v>
      </c>
      <c r="M1188" s="16">
        <v>433</v>
      </c>
      <c r="N1188" s="16">
        <v>611</v>
      </c>
      <c r="O1188" s="16">
        <v>986</v>
      </c>
      <c r="P1188" s="16">
        <v>430</v>
      </c>
      <c r="Q1188" s="16">
        <v>258</v>
      </c>
      <c r="R1188" s="16">
        <v>4</v>
      </c>
      <c r="S1188" s="16">
        <v>24.393999999999998</v>
      </c>
      <c r="T1188" s="16">
        <v>0</v>
      </c>
      <c r="U1188" s="16">
        <v>0.72712992799999998</v>
      </c>
      <c r="V1188" s="16">
        <v>6</v>
      </c>
      <c r="W1188" s="16">
        <v>0.90496600000000005</v>
      </c>
      <c r="X1188" s="16">
        <v>0.17249800000000001</v>
      </c>
      <c r="Y1188" s="16">
        <v>0.8</v>
      </c>
      <c r="Z1188" s="16">
        <v>0.51411099999999998</v>
      </c>
      <c r="AA1188" s="37"/>
    </row>
    <row r="1189" spans="1:27">
      <c r="A1189" s="16" t="s">
        <v>112</v>
      </c>
      <c r="B1189" s="16" t="s">
        <v>4016</v>
      </c>
      <c r="C1189" s="16" t="s">
        <v>4017</v>
      </c>
      <c r="D1189" s="16" t="s">
        <v>4018</v>
      </c>
      <c r="E1189" s="16" t="s">
        <v>3991</v>
      </c>
      <c r="F1189" s="16" t="s">
        <v>3992</v>
      </c>
      <c r="G1189" s="16" t="s">
        <v>3993</v>
      </c>
      <c r="H1189" s="16" t="s">
        <v>3994</v>
      </c>
      <c r="I1189" s="16" t="s">
        <v>198</v>
      </c>
      <c r="J1189" s="16" t="s">
        <v>199</v>
      </c>
      <c r="K1189" s="16">
        <v>2.294845</v>
      </c>
      <c r="L1189" s="36">
        <v>1675</v>
      </c>
      <c r="M1189" s="16">
        <v>219</v>
      </c>
      <c r="N1189" s="16">
        <v>350</v>
      </c>
      <c r="O1189" s="16">
        <v>635</v>
      </c>
      <c r="P1189" s="16">
        <v>325</v>
      </c>
      <c r="Q1189" s="16">
        <v>146</v>
      </c>
      <c r="R1189" s="16">
        <v>4</v>
      </c>
      <c r="S1189" s="16">
        <v>23.089600000000001</v>
      </c>
      <c r="T1189" s="16">
        <v>15.238300000000001</v>
      </c>
      <c r="U1189" s="16">
        <v>0.75344814400000004</v>
      </c>
      <c r="V1189" s="16">
        <v>7</v>
      </c>
      <c r="W1189" s="16">
        <v>0.9</v>
      </c>
      <c r="X1189" s="16">
        <v>8.3447999999999994E-2</v>
      </c>
      <c r="Y1189" s="16">
        <v>0.8</v>
      </c>
      <c r="Z1189" s="16">
        <v>0.5</v>
      </c>
      <c r="AA1189" s="37"/>
    </row>
    <row r="1190" spans="1:27">
      <c r="A1190" s="16" t="s">
        <v>112</v>
      </c>
      <c r="B1190" s="16" t="s">
        <v>4019</v>
      </c>
      <c r="C1190" s="16" t="s">
        <v>4020</v>
      </c>
      <c r="D1190" s="16" t="s">
        <v>4021</v>
      </c>
      <c r="E1190" s="16" t="s">
        <v>4022</v>
      </c>
      <c r="F1190" s="16" t="s">
        <v>4023</v>
      </c>
      <c r="G1190" s="16" t="s">
        <v>3993</v>
      </c>
      <c r="H1190" s="16" t="s">
        <v>3994</v>
      </c>
      <c r="I1190" s="16" t="s">
        <v>198</v>
      </c>
      <c r="J1190" s="16" t="s">
        <v>199</v>
      </c>
      <c r="K1190" s="16">
        <v>2.3323019999999999</v>
      </c>
      <c r="L1190" s="36">
        <v>1736</v>
      </c>
      <c r="M1190" s="16">
        <v>316</v>
      </c>
      <c r="N1190" s="16">
        <v>292</v>
      </c>
      <c r="O1190" s="16">
        <v>436</v>
      </c>
      <c r="P1190" s="16">
        <v>395</v>
      </c>
      <c r="Q1190" s="16">
        <v>297</v>
      </c>
      <c r="R1190" s="16">
        <v>4</v>
      </c>
      <c r="S1190" s="16">
        <v>30.3432</v>
      </c>
      <c r="T1190" s="16">
        <v>5.1363599999999998</v>
      </c>
      <c r="U1190" s="16">
        <v>0.68800009399999995</v>
      </c>
      <c r="V1190" s="16">
        <v>8</v>
      </c>
      <c r="W1190" s="16">
        <v>0.90354900000000005</v>
      </c>
      <c r="X1190" s="16">
        <v>0.123862</v>
      </c>
      <c r="Y1190" s="16">
        <v>0.8</v>
      </c>
      <c r="Z1190" s="16">
        <v>0.50226199999999999</v>
      </c>
      <c r="AA1190" s="37"/>
    </row>
    <row r="1191" spans="1:27">
      <c r="A1191" s="16" t="s">
        <v>112</v>
      </c>
      <c r="B1191" s="16" t="s">
        <v>4024</v>
      </c>
      <c r="C1191" s="16" t="s">
        <v>4025</v>
      </c>
      <c r="D1191" s="16" t="s">
        <v>4026</v>
      </c>
      <c r="E1191" s="16" t="s">
        <v>4027</v>
      </c>
      <c r="F1191" s="16" t="s">
        <v>4028</v>
      </c>
      <c r="G1191" s="16" t="s">
        <v>3684</v>
      </c>
      <c r="H1191" s="16" t="s">
        <v>3685</v>
      </c>
      <c r="I1191" s="16" t="s">
        <v>198</v>
      </c>
      <c r="J1191" s="16" t="s">
        <v>199</v>
      </c>
      <c r="K1191" s="16">
        <v>2.2921320000000001</v>
      </c>
      <c r="L1191" s="36">
        <v>1867</v>
      </c>
      <c r="M1191" s="16">
        <v>295</v>
      </c>
      <c r="N1191" s="16">
        <v>383</v>
      </c>
      <c r="O1191" s="16">
        <v>593</v>
      </c>
      <c r="P1191" s="16">
        <v>399</v>
      </c>
      <c r="Q1191" s="16">
        <v>197</v>
      </c>
      <c r="R1191" s="16">
        <v>5</v>
      </c>
      <c r="S1191" s="16">
        <v>28.003799999999998</v>
      </c>
      <c r="T1191" s="16">
        <v>13.173999999999999</v>
      </c>
      <c r="U1191" s="16">
        <v>0.77440230799999998</v>
      </c>
      <c r="V1191" s="16">
        <v>6</v>
      </c>
      <c r="W1191" s="16">
        <v>0.90126899999999999</v>
      </c>
      <c r="X1191" s="16">
        <v>6.6165000000000002E-2</v>
      </c>
      <c r="Y1191" s="16">
        <v>0.8</v>
      </c>
      <c r="Z1191" s="16">
        <v>0.52722599999999997</v>
      </c>
      <c r="AA1191" s="37"/>
    </row>
    <row r="1192" spans="1:27">
      <c r="A1192" s="16" t="s">
        <v>112</v>
      </c>
      <c r="B1192" s="16" t="s">
        <v>4029</v>
      </c>
      <c r="C1192" s="16" t="s">
        <v>4030</v>
      </c>
      <c r="D1192" s="16" t="s">
        <v>4031</v>
      </c>
      <c r="E1192" s="16" t="s">
        <v>4027</v>
      </c>
      <c r="F1192" s="16" t="s">
        <v>4028</v>
      </c>
      <c r="G1192" s="16" t="s">
        <v>3684</v>
      </c>
      <c r="H1192" s="16" t="s">
        <v>3685</v>
      </c>
      <c r="I1192" s="16" t="s">
        <v>198</v>
      </c>
      <c r="J1192" s="16" t="s">
        <v>199</v>
      </c>
      <c r="K1192" s="16">
        <v>2.4433180000000001</v>
      </c>
      <c r="L1192" s="36">
        <v>1940</v>
      </c>
      <c r="M1192" s="16">
        <v>329</v>
      </c>
      <c r="N1192" s="16">
        <v>559</v>
      </c>
      <c r="O1192" s="16">
        <v>635</v>
      </c>
      <c r="P1192" s="16">
        <v>294</v>
      </c>
      <c r="Q1192" s="16">
        <v>123</v>
      </c>
      <c r="R1192" s="16" t="s">
        <v>302</v>
      </c>
      <c r="S1192" s="16">
        <v>45.901200000000003</v>
      </c>
      <c r="T1192" s="16">
        <v>28.272600000000001</v>
      </c>
      <c r="U1192" s="16">
        <v>0.85989348600000004</v>
      </c>
      <c r="V1192" s="16">
        <v>4</v>
      </c>
      <c r="W1192" s="16">
        <v>0.90829499999999996</v>
      </c>
      <c r="X1192" s="16">
        <v>0.168349</v>
      </c>
      <c r="Y1192" s="16">
        <v>0.8</v>
      </c>
      <c r="Z1192" s="16">
        <v>0.58104999999999996</v>
      </c>
      <c r="AA1192" s="37"/>
    </row>
    <row r="1193" spans="1:27">
      <c r="A1193" s="16" t="s">
        <v>112</v>
      </c>
      <c r="B1193" s="16" t="s">
        <v>4032</v>
      </c>
      <c r="C1193" s="16" t="s">
        <v>4033</v>
      </c>
      <c r="D1193" s="16" t="s">
        <v>4034</v>
      </c>
      <c r="E1193" s="16" t="s">
        <v>4027</v>
      </c>
      <c r="F1193" s="16" t="s">
        <v>4028</v>
      </c>
      <c r="G1193" s="16" t="s">
        <v>3684</v>
      </c>
      <c r="H1193" s="16" t="s">
        <v>3685</v>
      </c>
      <c r="I1193" s="16" t="s">
        <v>198</v>
      </c>
      <c r="J1193" s="16" t="s">
        <v>199</v>
      </c>
      <c r="K1193" s="16">
        <v>2.3818440000000001</v>
      </c>
      <c r="L1193" s="36">
        <v>1863</v>
      </c>
      <c r="M1193" s="16">
        <v>328</v>
      </c>
      <c r="N1193" s="16">
        <v>462</v>
      </c>
      <c r="O1193" s="16">
        <v>670</v>
      </c>
      <c r="P1193" s="16">
        <v>278</v>
      </c>
      <c r="Q1193" s="16">
        <v>125</v>
      </c>
      <c r="R1193" s="16" t="s">
        <v>302</v>
      </c>
      <c r="S1193" s="16">
        <v>36.793199999999999</v>
      </c>
      <c r="T1193" s="16">
        <v>24.610600000000002</v>
      </c>
      <c r="U1193" s="16">
        <v>0.90823150500000005</v>
      </c>
      <c r="V1193" s="16">
        <v>4</v>
      </c>
      <c r="W1193" s="16">
        <v>0.90720500000000004</v>
      </c>
      <c r="X1193" s="16">
        <v>0.108671</v>
      </c>
      <c r="Y1193" s="16">
        <v>0.8</v>
      </c>
      <c r="Z1193" s="16">
        <v>0.59367800000000004</v>
      </c>
      <c r="AA1193" s="37"/>
    </row>
    <row r="1194" spans="1:27">
      <c r="A1194" s="16" t="s">
        <v>112</v>
      </c>
      <c r="B1194" s="16" t="s">
        <v>3769</v>
      </c>
      <c r="C1194" s="16" t="s">
        <v>3770</v>
      </c>
      <c r="D1194" s="16" t="s">
        <v>3771</v>
      </c>
      <c r="E1194" s="16" t="s">
        <v>3772</v>
      </c>
      <c r="F1194" s="16" t="s">
        <v>3773</v>
      </c>
      <c r="G1194" s="16" t="s">
        <v>3684</v>
      </c>
      <c r="H1194" s="16" t="s">
        <v>3685</v>
      </c>
      <c r="I1194" s="16" t="s">
        <v>198</v>
      </c>
      <c r="J1194" s="16" t="s">
        <v>199</v>
      </c>
      <c r="K1194" s="16">
        <v>2.3839229999999998</v>
      </c>
      <c r="L1194" s="36">
        <v>1557</v>
      </c>
      <c r="M1194" s="16">
        <v>200</v>
      </c>
      <c r="N1194" s="16">
        <v>463</v>
      </c>
      <c r="O1194" s="16">
        <v>561</v>
      </c>
      <c r="P1194" s="16">
        <v>229</v>
      </c>
      <c r="Q1194" s="16">
        <v>104</v>
      </c>
      <c r="R1194" s="16">
        <v>5</v>
      </c>
      <c r="S1194" s="16">
        <v>31.2087</v>
      </c>
      <c r="T1194" s="16">
        <v>17.764399999999998</v>
      </c>
      <c r="U1194" s="16">
        <v>0.75950752399999999</v>
      </c>
      <c r="V1194" s="16">
        <v>6</v>
      </c>
      <c r="W1194" s="16">
        <v>0.909968</v>
      </c>
      <c r="X1194" s="16">
        <v>0.18274799999999999</v>
      </c>
      <c r="Y1194" s="16">
        <v>0.79967600000000005</v>
      </c>
      <c r="Z1194" s="16">
        <v>0.52443700000000004</v>
      </c>
      <c r="AA1194" s="37"/>
    </row>
    <row r="1195" spans="1:27">
      <c r="A1195" s="16" t="s">
        <v>112</v>
      </c>
      <c r="B1195" s="16" t="s">
        <v>4035</v>
      </c>
      <c r="C1195" s="16" t="s">
        <v>4036</v>
      </c>
      <c r="D1195" s="16" t="s">
        <v>4037</v>
      </c>
      <c r="E1195" s="16" t="s">
        <v>3842</v>
      </c>
      <c r="F1195" s="16" t="s">
        <v>3843</v>
      </c>
      <c r="G1195" s="16" t="s">
        <v>3684</v>
      </c>
      <c r="H1195" s="16" t="s">
        <v>3685</v>
      </c>
      <c r="I1195" s="16" t="s">
        <v>198</v>
      </c>
      <c r="J1195" s="16" t="s">
        <v>199</v>
      </c>
      <c r="K1195" s="16">
        <v>2.256948</v>
      </c>
      <c r="L1195" s="36">
        <v>1583</v>
      </c>
      <c r="M1195" s="16">
        <v>291</v>
      </c>
      <c r="N1195" s="16">
        <v>343</v>
      </c>
      <c r="O1195" s="16">
        <v>474</v>
      </c>
      <c r="P1195" s="16">
        <v>274</v>
      </c>
      <c r="Q1195" s="16">
        <v>201</v>
      </c>
      <c r="R1195" s="16">
        <v>3</v>
      </c>
      <c r="S1195" s="16">
        <v>19.248999999999999</v>
      </c>
      <c r="T1195" s="16">
        <v>4.0947100000000001</v>
      </c>
      <c r="U1195" s="16">
        <v>0.90245101999999999</v>
      </c>
      <c r="V1195" s="16">
        <v>6</v>
      </c>
      <c r="W1195" s="16">
        <v>0.90245200000000003</v>
      </c>
      <c r="X1195" s="16">
        <v>6.1622000000000003E-2</v>
      </c>
      <c r="Y1195" s="16">
        <v>0.8</v>
      </c>
      <c r="Z1195" s="16">
        <v>0.49811800000000001</v>
      </c>
      <c r="AA1195" s="37"/>
    </row>
    <row r="1196" spans="1:27">
      <c r="A1196" s="16" t="s">
        <v>112</v>
      </c>
      <c r="B1196" s="16" t="s">
        <v>4038</v>
      </c>
      <c r="C1196" s="16" t="s">
        <v>4039</v>
      </c>
      <c r="D1196" s="16" t="s">
        <v>4040</v>
      </c>
      <c r="E1196" s="16" t="s">
        <v>3842</v>
      </c>
      <c r="F1196" s="16" t="s">
        <v>3843</v>
      </c>
      <c r="G1196" s="16" t="s">
        <v>3684</v>
      </c>
      <c r="H1196" s="16" t="s">
        <v>3685</v>
      </c>
      <c r="I1196" s="16" t="s">
        <v>198</v>
      </c>
      <c r="J1196" s="16" t="s">
        <v>199</v>
      </c>
      <c r="K1196" s="16">
        <v>2.3324250000000002</v>
      </c>
      <c r="L1196" s="36">
        <v>1667</v>
      </c>
      <c r="M1196" s="16">
        <v>306</v>
      </c>
      <c r="N1196" s="16">
        <v>400</v>
      </c>
      <c r="O1196" s="16">
        <v>465</v>
      </c>
      <c r="P1196" s="16">
        <v>301</v>
      </c>
      <c r="Q1196" s="16">
        <v>195</v>
      </c>
      <c r="R1196" s="16">
        <v>4</v>
      </c>
      <c r="S1196" s="16">
        <v>27.2715</v>
      </c>
      <c r="T1196" s="16">
        <v>11.8134</v>
      </c>
      <c r="U1196" s="16">
        <v>0.86798074800000002</v>
      </c>
      <c r="V1196" s="16">
        <v>5</v>
      </c>
      <c r="W1196" s="16">
        <v>0.90299700000000005</v>
      </c>
      <c r="X1196" s="16">
        <v>0.102466</v>
      </c>
      <c r="Y1196" s="16">
        <v>0.8</v>
      </c>
      <c r="Z1196" s="16">
        <v>0.51178100000000004</v>
      </c>
      <c r="AA1196" s="37"/>
    </row>
    <row r="1197" spans="1:27">
      <c r="A1197" s="16" t="s">
        <v>112</v>
      </c>
      <c r="B1197" s="16" t="s">
        <v>4041</v>
      </c>
      <c r="C1197" s="16" t="s">
        <v>4042</v>
      </c>
      <c r="D1197" s="16" t="s">
        <v>4043</v>
      </c>
      <c r="E1197" s="16" t="s">
        <v>4044</v>
      </c>
      <c r="F1197" s="16" t="s">
        <v>4045</v>
      </c>
      <c r="G1197" s="16" t="s">
        <v>3684</v>
      </c>
      <c r="H1197" s="16" t="s">
        <v>3685</v>
      </c>
      <c r="I1197" s="16" t="s">
        <v>198</v>
      </c>
      <c r="J1197" s="16" t="s">
        <v>199</v>
      </c>
      <c r="K1197" s="16">
        <v>2.3908260000000001</v>
      </c>
      <c r="L1197" s="36">
        <v>1522</v>
      </c>
      <c r="M1197" s="16">
        <v>281</v>
      </c>
      <c r="N1197" s="16">
        <v>367</v>
      </c>
      <c r="O1197" s="16">
        <v>408</v>
      </c>
      <c r="P1197" s="16">
        <v>290</v>
      </c>
      <c r="Q1197" s="16">
        <v>176</v>
      </c>
      <c r="R1197" s="16" t="s">
        <v>302</v>
      </c>
      <c r="S1197" s="16">
        <v>33.848799999999997</v>
      </c>
      <c r="T1197" s="16">
        <v>12.373200000000001</v>
      </c>
      <c r="U1197" s="16">
        <v>1.111980051</v>
      </c>
      <c r="V1197" s="16">
        <v>3</v>
      </c>
      <c r="W1197" s="16">
        <v>0.905505</v>
      </c>
      <c r="X1197" s="16">
        <v>0.14321</v>
      </c>
      <c r="Y1197" s="16">
        <v>0.8</v>
      </c>
      <c r="Z1197" s="16">
        <v>0.54783999999999999</v>
      </c>
      <c r="AA1197" s="37"/>
    </row>
    <row r="1198" spans="1:27">
      <c r="A1198" s="16" t="s">
        <v>112</v>
      </c>
      <c r="B1198" s="16" t="s">
        <v>4046</v>
      </c>
      <c r="C1198" s="16" t="s">
        <v>4047</v>
      </c>
      <c r="D1198" s="16" t="s">
        <v>4048</v>
      </c>
      <c r="E1198" s="16" t="s">
        <v>4049</v>
      </c>
      <c r="F1198" s="16" t="s">
        <v>4050</v>
      </c>
      <c r="G1198" s="16" t="s">
        <v>3684</v>
      </c>
      <c r="H1198" s="16" t="s">
        <v>3685</v>
      </c>
      <c r="I1198" s="16" t="s">
        <v>198</v>
      </c>
      <c r="J1198" s="16" t="s">
        <v>199</v>
      </c>
      <c r="K1198" s="16">
        <v>2.4078369999999998</v>
      </c>
      <c r="L1198" s="36">
        <v>2258</v>
      </c>
      <c r="M1198" s="16">
        <v>307</v>
      </c>
      <c r="N1198" s="16">
        <v>807</v>
      </c>
      <c r="O1198" s="16">
        <v>712</v>
      </c>
      <c r="P1198" s="16">
        <v>288</v>
      </c>
      <c r="Q1198" s="16">
        <v>144</v>
      </c>
      <c r="R1198" s="16" t="s">
        <v>302</v>
      </c>
      <c r="S1198" s="16">
        <v>39.595799999999997</v>
      </c>
      <c r="T1198" s="16">
        <v>19.664999999999999</v>
      </c>
      <c r="U1198" s="16">
        <v>0.78758502399999997</v>
      </c>
      <c r="V1198" s="16">
        <v>6</v>
      </c>
      <c r="W1198" s="16">
        <v>0.90344800000000003</v>
      </c>
      <c r="X1198" s="16">
        <v>9.7516000000000005E-2</v>
      </c>
      <c r="Y1198" s="16">
        <v>0.8</v>
      </c>
      <c r="Z1198" s="16">
        <v>0.59371099999999999</v>
      </c>
      <c r="AA1198" s="37"/>
    </row>
    <row r="1199" spans="1:27">
      <c r="A1199" s="16" t="s">
        <v>112</v>
      </c>
      <c r="B1199" s="16" t="s">
        <v>4051</v>
      </c>
      <c r="C1199" s="16" t="s">
        <v>4052</v>
      </c>
      <c r="D1199" s="16" t="s">
        <v>4053</v>
      </c>
      <c r="E1199" s="16" t="s">
        <v>4049</v>
      </c>
      <c r="F1199" s="16" t="s">
        <v>4050</v>
      </c>
      <c r="G1199" s="16" t="s">
        <v>3684</v>
      </c>
      <c r="H1199" s="16" t="s">
        <v>3685</v>
      </c>
      <c r="I1199" s="16" t="s">
        <v>198</v>
      </c>
      <c r="J1199" s="16" t="s">
        <v>199</v>
      </c>
      <c r="K1199" s="16">
        <v>2.3418679999999998</v>
      </c>
      <c r="L1199" s="36">
        <v>1992</v>
      </c>
      <c r="M1199" s="16">
        <v>265</v>
      </c>
      <c r="N1199" s="16">
        <v>707</v>
      </c>
      <c r="O1199" s="16">
        <v>581</v>
      </c>
      <c r="P1199" s="16">
        <v>299</v>
      </c>
      <c r="Q1199" s="16">
        <v>140</v>
      </c>
      <c r="R1199" s="16">
        <v>3</v>
      </c>
      <c r="S1199" s="16">
        <v>36.405999999999999</v>
      </c>
      <c r="T1199" s="16">
        <v>0</v>
      </c>
      <c r="U1199" s="16">
        <v>0.93533906200000005</v>
      </c>
      <c r="V1199" s="16">
        <v>4</v>
      </c>
      <c r="W1199" s="16">
        <v>0.90175099999999997</v>
      </c>
      <c r="X1199" s="16">
        <v>8.0595E-2</v>
      </c>
      <c r="Y1199" s="16">
        <v>0.8</v>
      </c>
      <c r="Z1199" s="16">
        <v>0.55385899999999999</v>
      </c>
      <c r="AA1199" s="37"/>
    </row>
    <row r="1200" spans="1:27">
      <c r="A1200" s="16" t="s">
        <v>112</v>
      </c>
      <c r="B1200" s="16" t="s">
        <v>3839</v>
      </c>
      <c r="C1200" s="16" t="s">
        <v>3840</v>
      </c>
      <c r="D1200" s="16" t="s">
        <v>3841</v>
      </c>
      <c r="E1200" s="16" t="s">
        <v>3842</v>
      </c>
      <c r="F1200" s="16" t="s">
        <v>3843</v>
      </c>
      <c r="G1200" s="16" t="s">
        <v>3684</v>
      </c>
      <c r="H1200" s="16" t="s">
        <v>3685</v>
      </c>
      <c r="I1200" s="16" t="s">
        <v>198</v>
      </c>
      <c r="J1200" s="16" t="s">
        <v>199</v>
      </c>
      <c r="K1200" s="16">
        <v>2.2215259999999999</v>
      </c>
      <c r="L1200" s="36">
        <v>1500</v>
      </c>
      <c r="M1200" s="16">
        <v>285</v>
      </c>
      <c r="N1200" s="16">
        <v>378</v>
      </c>
      <c r="O1200" s="16">
        <v>387</v>
      </c>
      <c r="P1200" s="16">
        <v>263</v>
      </c>
      <c r="Q1200" s="16">
        <v>187</v>
      </c>
      <c r="R1200" s="16">
        <v>4</v>
      </c>
      <c r="S1200" s="16">
        <v>20.8215</v>
      </c>
      <c r="T1200" s="16">
        <v>10.324199999999999</v>
      </c>
      <c r="U1200" s="16">
        <v>0.80391559300000004</v>
      </c>
      <c r="V1200" s="16">
        <v>7</v>
      </c>
      <c r="W1200" s="16">
        <v>0.9</v>
      </c>
      <c r="X1200" s="16">
        <v>1.7486000000000002E-2</v>
      </c>
      <c r="Y1200" s="16">
        <v>0.8</v>
      </c>
      <c r="Z1200" s="16">
        <v>0.49945899999999999</v>
      </c>
      <c r="AA1200" s="37"/>
    </row>
    <row r="1201" spans="1:27">
      <c r="A1201" s="16"/>
      <c r="B1201" s="16"/>
      <c r="C1201" s="16"/>
      <c r="D1201" s="16"/>
      <c r="E1201" s="16"/>
      <c r="F1201" s="16"/>
      <c r="G1201" s="16"/>
      <c r="H1201" s="16"/>
      <c r="I1201" s="16"/>
      <c r="J1201" s="16"/>
      <c r="K1201" s="16">
        <f>MEDIAN(K1183:K1200)</f>
        <v>2.3603339999999999</v>
      </c>
      <c r="L1201" s="36">
        <f>AVERAGE(L1183:L1200)</f>
        <v>1823.8333333333333</v>
      </c>
      <c r="M1201" s="36">
        <f t="shared" ref="M1201:Q1201" si="94">SUM(M1183:M1200)</f>
        <v>5436</v>
      </c>
      <c r="N1201" s="36">
        <f t="shared" si="94"/>
        <v>7933</v>
      </c>
      <c r="O1201" s="36">
        <f t="shared" si="94"/>
        <v>10282</v>
      </c>
      <c r="P1201" s="36">
        <f t="shared" si="94"/>
        <v>5933</v>
      </c>
      <c r="Q1201" s="36">
        <f t="shared" si="94"/>
        <v>3245</v>
      </c>
      <c r="R1201" s="16"/>
      <c r="S1201" s="16"/>
      <c r="T1201" s="16"/>
      <c r="U1201" s="16"/>
      <c r="V1201" s="16">
        <f>MEDIAN(V1183:V1200)</f>
        <v>6</v>
      </c>
      <c r="W1201" s="16"/>
      <c r="X1201" s="16"/>
      <c r="Y1201" s="16"/>
      <c r="Z1201" s="16"/>
      <c r="AA1201" s="37"/>
    </row>
    <row r="1202" spans="1:27">
      <c r="A1202" s="16" t="s">
        <v>113</v>
      </c>
      <c r="B1202" s="16" t="s">
        <v>4054</v>
      </c>
      <c r="C1202" s="16" t="s">
        <v>4055</v>
      </c>
      <c r="D1202" s="16" t="s">
        <v>4056</v>
      </c>
      <c r="E1202" s="16" t="s">
        <v>4057</v>
      </c>
      <c r="F1202" s="16" t="s">
        <v>4058</v>
      </c>
      <c r="G1202" s="16" t="s">
        <v>4059</v>
      </c>
      <c r="H1202" s="16" t="s">
        <v>4060</v>
      </c>
      <c r="I1202" s="16" t="s">
        <v>198</v>
      </c>
      <c r="J1202" s="16" t="s">
        <v>199</v>
      </c>
      <c r="K1202" s="16">
        <v>2.1431819999999999</v>
      </c>
      <c r="L1202" s="36">
        <v>1904</v>
      </c>
      <c r="M1202" s="16">
        <v>418</v>
      </c>
      <c r="N1202" s="16">
        <v>269</v>
      </c>
      <c r="O1202" s="16">
        <v>490</v>
      </c>
      <c r="P1202" s="16">
        <v>442</v>
      </c>
      <c r="Q1202" s="16">
        <v>285</v>
      </c>
      <c r="R1202" s="16">
        <v>2</v>
      </c>
      <c r="S1202" s="16">
        <v>12.013400000000001</v>
      </c>
      <c r="T1202" s="16">
        <v>5.88225</v>
      </c>
      <c r="U1202" s="16">
        <v>0.72533489900000003</v>
      </c>
      <c r="V1202" s="16">
        <v>9</v>
      </c>
      <c r="W1202" s="16">
        <v>0.85269899999999998</v>
      </c>
      <c r="X1202" s="16">
        <v>0.15720400000000001</v>
      </c>
      <c r="Y1202" s="16">
        <v>0.8</v>
      </c>
      <c r="Z1202" s="16">
        <v>0.32244299999999998</v>
      </c>
      <c r="AA1202" s="37"/>
    </row>
    <row r="1203" spans="1:27">
      <c r="A1203" s="16" t="s">
        <v>113</v>
      </c>
      <c r="B1203" s="16" t="s">
        <v>4061</v>
      </c>
      <c r="C1203" s="16" t="s">
        <v>4062</v>
      </c>
      <c r="D1203" s="16" t="s">
        <v>4063</v>
      </c>
      <c r="E1203" s="16" t="s">
        <v>4057</v>
      </c>
      <c r="F1203" s="16" t="s">
        <v>4058</v>
      </c>
      <c r="G1203" s="16" t="s">
        <v>4059</v>
      </c>
      <c r="H1203" s="16" t="s">
        <v>4060</v>
      </c>
      <c r="I1203" s="16" t="s">
        <v>198</v>
      </c>
      <c r="J1203" s="16" t="s">
        <v>199</v>
      </c>
      <c r="K1203" s="16">
        <v>1.9665570000000001</v>
      </c>
      <c r="L1203" s="36">
        <v>1620</v>
      </c>
      <c r="M1203" s="16">
        <v>355</v>
      </c>
      <c r="N1203" s="16">
        <v>222</v>
      </c>
      <c r="O1203" s="16">
        <v>401</v>
      </c>
      <c r="P1203" s="16">
        <v>392</v>
      </c>
      <c r="Q1203" s="16">
        <v>250</v>
      </c>
      <c r="R1203" s="16" t="s">
        <v>225</v>
      </c>
      <c r="S1203" s="16">
        <v>7.96814</v>
      </c>
      <c r="T1203" s="16">
        <v>1.54301</v>
      </c>
      <c r="U1203" s="16">
        <v>0.86687431699999995</v>
      </c>
      <c r="V1203" s="16">
        <v>8</v>
      </c>
      <c r="W1203" s="16">
        <v>0.81114799999999998</v>
      </c>
      <c r="X1203" s="16">
        <v>4.7775999999999999E-2</v>
      </c>
      <c r="Y1203" s="16">
        <v>0.80081999999999998</v>
      </c>
      <c r="Z1203" s="16">
        <v>0.30149300000000001</v>
      </c>
      <c r="AA1203" s="37"/>
    </row>
    <row r="1204" spans="1:27">
      <c r="A1204" s="16" t="s">
        <v>113</v>
      </c>
      <c r="B1204" s="16" t="s">
        <v>4064</v>
      </c>
      <c r="C1204" s="16" t="s">
        <v>4065</v>
      </c>
      <c r="D1204" s="16" t="s">
        <v>4066</v>
      </c>
      <c r="E1204" s="16" t="s">
        <v>4067</v>
      </c>
      <c r="F1204" s="16" t="s">
        <v>4068</v>
      </c>
      <c r="G1204" s="16" t="s">
        <v>4059</v>
      </c>
      <c r="H1204" s="16" t="s">
        <v>4060</v>
      </c>
      <c r="I1204" s="16" t="s">
        <v>198</v>
      </c>
      <c r="J1204" s="16" t="s">
        <v>199</v>
      </c>
      <c r="K1204" s="16">
        <v>2.178855</v>
      </c>
      <c r="L1204" s="36">
        <v>1834</v>
      </c>
      <c r="M1204" s="16">
        <v>412</v>
      </c>
      <c r="N1204" s="16">
        <v>308</v>
      </c>
      <c r="O1204" s="16">
        <v>398</v>
      </c>
      <c r="P1204" s="16">
        <v>477</v>
      </c>
      <c r="Q1204" s="16">
        <v>239</v>
      </c>
      <c r="R1204" s="16">
        <v>2</v>
      </c>
      <c r="S1204" s="16">
        <v>7.6849400000000001</v>
      </c>
      <c r="T1204" s="16">
        <v>2.8815200000000001</v>
      </c>
      <c r="U1204" s="16">
        <v>0.73841375799999998</v>
      </c>
      <c r="V1204" s="16">
        <v>8</v>
      </c>
      <c r="W1204" s="16">
        <v>0.90381599999999995</v>
      </c>
      <c r="X1204" s="16">
        <v>7.6433000000000001E-2</v>
      </c>
      <c r="Y1204" s="16">
        <v>0.8</v>
      </c>
      <c r="Z1204" s="16">
        <v>0.41544599999999998</v>
      </c>
      <c r="AA1204" s="37"/>
    </row>
    <row r="1205" spans="1:27">
      <c r="A1205" s="16" t="s">
        <v>113</v>
      </c>
      <c r="B1205" s="16" t="s">
        <v>4069</v>
      </c>
      <c r="C1205" s="16" t="s">
        <v>4070</v>
      </c>
      <c r="D1205" s="16" t="s">
        <v>4071</v>
      </c>
      <c r="E1205" s="16" t="s">
        <v>4072</v>
      </c>
      <c r="F1205" s="16" t="s">
        <v>4073</v>
      </c>
      <c r="G1205" s="16" t="s">
        <v>4059</v>
      </c>
      <c r="H1205" s="16" t="s">
        <v>4060</v>
      </c>
      <c r="I1205" s="16" t="s">
        <v>198</v>
      </c>
      <c r="J1205" s="16" t="s">
        <v>199</v>
      </c>
      <c r="K1205" s="16">
        <v>2.092292</v>
      </c>
      <c r="L1205" s="36">
        <v>1510</v>
      </c>
      <c r="M1205" s="16">
        <v>332</v>
      </c>
      <c r="N1205" s="16">
        <v>234</v>
      </c>
      <c r="O1205" s="16">
        <v>290</v>
      </c>
      <c r="P1205" s="16">
        <v>448</v>
      </c>
      <c r="Q1205" s="16">
        <v>206</v>
      </c>
      <c r="R1205" s="16" t="s">
        <v>225</v>
      </c>
      <c r="S1205" s="16">
        <v>8.1032700000000002</v>
      </c>
      <c r="T1205" s="16">
        <v>1.93709</v>
      </c>
      <c r="U1205" s="16">
        <v>0.73185874200000001</v>
      </c>
      <c r="V1205" s="16">
        <v>9</v>
      </c>
      <c r="W1205" s="16">
        <v>0.87964399999999998</v>
      </c>
      <c r="X1205" s="16">
        <v>1.6174000000000001E-2</v>
      </c>
      <c r="Y1205" s="16">
        <v>0.8</v>
      </c>
      <c r="Z1205" s="16">
        <v>0.39960200000000001</v>
      </c>
      <c r="AA1205" s="37"/>
    </row>
    <row r="1206" spans="1:27">
      <c r="A1206" s="16" t="s">
        <v>113</v>
      </c>
      <c r="B1206" s="16" t="s">
        <v>4074</v>
      </c>
      <c r="C1206" s="16" t="s">
        <v>4075</v>
      </c>
      <c r="D1206" s="16" t="s">
        <v>4076</v>
      </c>
      <c r="E1206" s="16" t="s">
        <v>4067</v>
      </c>
      <c r="F1206" s="16" t="s">
        <v>4068</v>
      </c>
      <c r="G1206" s="16" t="s">
        <v>4059</v>
      </c>
      <c r="H1206" s="16" t="s">
        <v>4060</v>
      </c>
      <c r="I1206" s="16" t="s">
        <v>198</v>
      </c>
      <c r="J1206" s="16" t="s">
        <v>199</v>
      </c>
      <c r="K1206" s="16">
        <v>2.1743860000000002</v>
      </c>
      <c r="L1206" s="36">
        <v>1538</v>
      </c>
      <c r="M1206" s="16">
        <v>311</v>
      </c>
      <c r="N1206" s="16">
        <v>227</v>
      </c>
      <c r="O1206" s="16">
        <v>355</v>
      </c>
      <c r="P1206" s="16">
        <v>410</v>
      </c>
      <c r="Q1206" s="16">
        <v>235</v>
      </c>
      <c r="R1206" s="16">
        <v>2</v>
      </c>
      <c r="S1206" s="16">
        <v>8.9933599999999991</v>
      </c>
      <c r="T1206" s="16">
        <v>5.2355</v>
      </c>
      <c r="U1206" s="16">
        <v>0.81389238900000005</v>
      </c>
      <c r="V1206" s="16">
        <v>7</v>
      </c>
      <c r="W1206" s="16">
        <v>0.90444800000000003</v>
      </c>
      <c r="X1206" s="16">
        <v>0.17984700000000001</v>
      </c>
      <c r="Y1206" s="16">
        <v>0.80724200000000002</v>
      </c>
      <c r="Z1206" s="16">
        <v>0.29583999999999999</v>
      </c>
      <c r="AA1206" s="37"/>
    </row>
    <row r="1207" spans="1:27">
      <c r="A1207" s="16" t="s">
        <v>113</v>
      </c>
      <c r="B1207" s="16" t="s">
        <v>4077</v>
      </c>
      <c r="C1207" s="16" t="s">
        <v>4078</v>
      </c>
      <c r="D1207" s="16" t="s">
        <v>4079</v>
      </c>
      <c r="E1207" s="16" t="s">
        <v>4057</v>
      </c>
      <c r="F1207" s="16" t="s">
        <v>4058</v>
      </c>
      <c r="G1207" s="16" t="s">
        <v>4059</v>
      </c>
      <c r="H1207" s="16" t="s">
        <v>4060</v>
      </c>
      <c r="I1207" s="16" t="s">
        <v>198</v>
      </c>
      <c r="J1207" s="16" t="s">
        <v>199</v>
      </c>
      <c r="K1207" s="16">
        <v>1.9825809999999999</v>
      </c>
      <c r="L1207" s="36">
        <v>1651</v>
      </c>
      <c r="M1207" s="16">
        <v>256</v>
      </c>
      <c r="N1207" s="16">
        <v>206</v>
      </c>
      <c r="O1207" s="16">
        <v>260</v>
      </c>
      <c r="P1207" s="16">
        <v>439</v>
      </c>
      <c r="Q1207" s="16">
        <v>490</v>
      </c>
      <c r="R1207" s="16" t="s">
        <v>225</v>
      </c>
      <c r="S1207" s="16">
        <v>8.1021000000000001</v>
      </c>
      <c r="T1207" s="16">
        <v>0</v>
      </c>
      <c r="U1207" s="16">
        <v>0.79615459200000005</v>
      </c>
      <c r="V1207" s="16">
        <v>9</v>
      </c>
      <c r="W1207" s="16">
        <v>0.80871000000000004</v>
      </c>
      <c r="X1207" s="16">
        <v>6.5166000000000002E-2</v>
      </c>
      <c r="Y1207" s="16">
        <v>0.86631000000000002</v>
      </c>
      <c r="Z1207" s="16">
        <v>0.236961</v>
      </c>
      <c r="AA1207" s="37"/>
    </row>
    <row r="1208" spans="1:27">
      <c r="A1208" s="16" t="s">
        <v>113</v>
      </c>
      <c r="B1208" s="16" t="s">
        <v>4080</v>
      </c>
      <c r="C1208" s="16" t="s">
        <v>4081</v>
      </c>
      <c r="D1208" s="16" t="s">
        <v>4082</v>
      </c>
      <c r="E1208" s="16" t="s">
        <v>4072</v>
      </c>
      <c r="F1208" s="16" t="s">
        <v>4073</v>
      </c>
      <c r="G1208" s="16" t="s">
        <v>4059</v>
      </c>
      <c r="H1208" s="16" t="s">
        <v>4060</v>
      </c>
      <c r="I1208" s="16" t="s">
        <v>198</v>
      </c>
      <c r="J1208" s="16" t="s">
        <v>199</v>
      </c>
      <c r="K1208" s="16">
        <v>2.0973679999999999</v>
      </c>
      <c r="L1208" s="36">
        <v>1899</v>
      </c>
      <c r="M1208" s="16">
        <v>365</v>
      </c>
      <c r="N1208" s="16">
        <v>350</v>
      </c>
      <c r="O1208" s="16">
        <v>389</v>
      </c>
      <c r="P1208" s="16">
        <v>491</v>
      </c>
      <c r="Q1208" s="16">
        <v>304</v>
      </c>
      <c r="R1208" s="16">
        <v>2</v>
      </c>
      <c r="S1208" s="16">
        <v>11.9697</v>
      </c>
      <c r="T1208" s="16">
        <v>3.7704200000000001</v>
      </c>
      <c r="U1208" s="16">
        <v>0.76836948400000005</v>
      </c>
      <c r="V1208" s="16">
        <v>8</v>
      </c>
      <c r="W1208" s="16">
        <v>0.83909800000000001</v>
      </c>
      <c r="X1208" s="16">
        <v>0.15662899999999999</v>
      </c>
      <c r="Y1208" s="16">
        <v>0.8</v>
      </c>
      <c r="Z1208" s="16">
        <v>0.31364199999999998</v>
      </c>
      <c r="AA1208" s="37"/>
    </row>
    <row r="1209" spans="1:27">
      <c r="A1209" s="16" t="s">
        <v>113</v>
      </c>
      <c r="B1209" s="16" t="s">
        <v>4083</v>
      </c>
      <c r="C1209" s="16" t="s">
        <v>4084</v>
      </c>
      <c r="D1209" s="16" t="s">
        <v>4085</v>
      </c>
      <c r="E1209" s="16" t="s">
        <v>4072</v>
      </c>
      <c r="F1209" s="16" t="s">
        <v>4073</v>
      </c>
      <c r="G1209" s="16" t="s">
        <v>4059</v>
      </c>
      <c r="H1209" s="16" t="s">
        <v>4060</v>
      </c>
      <c r="I1209" s="16" t="s">
        <v>198</v>
      </c>
      <c r="J1209" s="16" t="s">
        <v>199</v>
      </c>
      <c r="K1209" s="16">
        <v>2.074697</v>
      </c>
      <c r="L1209" s="36">
        <v>1408</v>
      </c>
      <c r="M1209" s="16">
        <v>304</v>
      </c>
      <c r="N1209" s="16">
        <v>199</v>
      </c>
      <c r="O1209" s="16">
        <v>275</v>
      </c>
      <c r="P1209" s="16">
        <v>418</v>
      </c>
      <c r="Q1209" s="16">
        <v>212</v>
      </c>
      <c r="R1209" s="16">
        <v>2</v>
      </c>
      <c r="S1209" s="16">
        <v>11.0183</v>
      </c>
      <c r="T1209" s="16">
        <v>1.74387</v>
      </c>
      <c r="U1209" s="16">
        <v>0.79502852599999996</v>
      </c>
      <c r="V1209" s="16">
        <v>8</v>
      </c>
      <c r="W1209" s="16">
        <v>0.84508700000000003</v>
      </c>
      <c r="X1209" s="16">
        <v>6.1022E-2</v>
      </c>
      <c r="Y1209" s="16">
        <v>0.8</v>
      </c>
      <c r="Z1209" s="16">
        <v>0.38013400000000003</v>
      </c>
      <c r="AA1209" s="37"/>
    </row>
    <row r="1210" spans="1:27">
      <c r="A1210" s="16" t="s">
        <v>113</v>
      </c>
      <c r="B1210" s="16" t="s">
        <v>4086</v>
      </c>
      <c r="C1210" s="16" t="s">
        <v>4087</v>
      </c>
      <c r="D1210" s="16" t="s">
        <v>4088</v>
      </c>
      <c r="E1210" s="16" t="s">
        <v>4089</v>
      </c>
      <c r="F1210" s="16" t="s">
        <v>4090</v>
      </c>
      <c r="G1210" s="16" t="s">
        <v>4059</v>
      </c>
      <c r="H1210" s="16" t="s">
        <v>4060</v>
      </c>
      <c r="I1210" s="16" t="s">
        <v>198</v>
      </c>
      <c r="J1210" s="16" t="s">
        <v>199</v>
      </c>
      <c r="K1210" s="16">
        <v>1.950472</v>
      </c>
      <c r="L1210" s="36">
        <v>1544</v>
      </c>
      <c r="M1210" s="16">
        <v>284</v>
      </c>
      <c r="N1210" s="16">
        <v>205</v>
      </c>
      <c r="O1210" s="16">
        <v>239</v>
      </c>
      <c r="P1210" s="16">
        <v>498</v>
      </c>
      <c r="Q1210" s="16">
        <v>318</v>
      </c>
      <c r="R1210" s="16">
        <v>2</v>
      </c>
      <c r="S1210" s="16">
        <v>7.6818400000000002</v>
      </c>
      <c r="T1210" s="16">
        <v>1.68594</v>
      </c>
      <c r="U1210" s="16">
        <v>0.78861001600000002</v>
      </c>
      <c r="V1210" s="16">
        <v>10</v>
      </c>
      <c r="W1210" s="16">
        <v>0.80955200000000005</v>
      </c>
      <c r="X1210" s="16">
        <v>6.2810000000000005E-2</v>
      </c>
      <c r="Y1210" s="16">
        <v>0.82066099999999997</v>
      </c>
      <c r="Z1210" s="16">
        <v>0.26198300000000002</v>
      </c>
      <c r="AA1210" s="37"/>
    </row>
    <row r="1211" spans="1:27">
      <c r="A1211" s="16" t="s">
        <v>113</v>
      </c>
      <c r="B1211" s="16" t="s">
        <v>4091</v>
      </c>
      <c r="C1211" s="16" t="s">
        <v>4092</v>
      </c>
      <c r="D1211" s="16" t="s">
        <v>4093</v>
      </c>
      <c r="E1211" s="16" t="s">
        <v>4094</v>
      </c>
      <c r="F1211" s="16" t="s">
        <v>4095</v>
      </c>
      <c r="G1211" s="16" t="s">
        <v>3993</v>
      </c>
      <c r="H1211" s="16" t="s">
        <v>3994</v>
      </c>
      <c r="I1211" s="16" t="s">
        <v>198</v>
      </c>
      <c r="J1211" s="16" t="s">
        <v>199</v>
      </c>
      <c r="K1211" s="16">
        <v>2.3491599999999999</v>
      </c>
      <c r="L1211" s="36">
        <v>1380</v>
      </c>
      <c r="M1211" s="16">
        <v>247</v>
      </c>
      <c r="N1211" s="16">
        <v>195</v>
      </c>
      <c r="O1211" s="16">
        <v>264</v>
      </c>
      <c r="P1211" s="16">
        <v>390</v>
      </c>
      <c r="Q1211" s="16">
        <v>284</v>
      </c>
      <c r="R1211" s="16">
        <v>3</v>
      </c>
      <c r="S1211" s="16">
        <v>20.603200000000001</v>
      </c>
      <c r="T1211" s="16">
        <v>6.2177899999999999</v>
      </c>
      <c r="U1211" s="16">
        <v>0.60636369599999995</v>
      </c>
      <c r="V1211" s="16">
        <v>9</v>
      </c>
      <c r="W1211" s="16">
        <v>0.88340300000000005</v>
      </c>
      <c r="X1211" s="16">
        <v>0.113361</v>
      </c>
      <c r="Y1211" s="16">
        <v>0.9</v>
      </c>
      <c r="Z1211" s="16">
        <v>0.44550299999999998</v>
      </c>
      <c r="AA1211" s="37"/>
    </row>
    <row r="1212" spans="1:27">
      <c r="A1212" s="16" t="s">
        <v>113</v>
      </c>
      <c r="B1212" s="16" t="s">
        <v>4096</v>
      </c>
      <c r="C1212" s="16" t="s">
        <v>4097</v>
      </c>
      <c r="D1212" s="16" t="s">
        <v>4098</v>
      </c>
      <c r="E1212" s="16" t="s">
        <v>4099</v>
      </c>
      <c r="F1212" s="16" t="s">
        <v>4100</v>
      </c>
      <c r="G1212" s="16" t="s">
        <v>3993</v>
      </c>
      <c r="H1212" s="16" t="s">
        <v>3994</v>
      </c>
      <c r="I1212" s="16" t="s">
        <v>198</v>
      </c>
      <c r="J1212" s="16" t="s">
        <v>199</v>
      </c>
      <c r="K1212" s="16">
        <v>2.1452059999999999</v>
      </c>
      <c r="L1212" s="36">
        <v>1642</v>
      </c>
      <c r="M1212" s="16">
        <v>289</v>
      </c>
      <c r="N1212" s="16">
        <v>227</v>
      </c>
      <c r="O1212" s="16">
        <v>303</v>
      </c>
      <c r="P1212" s="16">
        <v>485</v>
      </c>
      <c r="Q1212" s="16">
        <v>338</v>
      </c>
      <c r="R1212" s="16">
        <v>2</v>
      </c>
      <c r="S1212" s="16">
        <v>12.1509</v>
      </c>
      <c r="T1212" s="16">
        <v>0</v>
      </c>
      <c r="U1212" s="16">
        <v>0.80936484099999995</v>
      </c>
      <c r="V1212" s="16">
        <v>7</v>
      </c>
      <c r="W1212" s="16">
        <v>0.832762</v>
      </c>
      <c r="X1212" s="16">
        <v>0.116067</v>
      </c>
      <c r="Y1212" s="16">
        <v>0.88879600000000003</v>
      </c>
      <c r="Z1212" s="16">
        <v>0.30659399999999998</v>
      </c>
      <c r="AA1212" s="37"/>
    </row>
    <row r="1213" spans="1:27">
      <c r="A1213" s="16" t="s">
        <v>113</v>
      </c>
      <c r="B1213" s="16" t="s">
        <v>4101</v>
      </c>
      <c r="C1213" s="16" t="s">
        <v>4102</v>
      </c>
      <c r="D1213" s="16" t="s">
        <v>4103</v>
      </c>
      <c r="E1213" s="16" t="s">
        <v>4099</v>
      </c>
      <c r="F1213" s="16" t="s">
        <v>4100</v>
      </c>
      <c r="G1213" s="16" t="s">
        <v>3993</v>
      </c>
      <c r="H1213" s="16" t="s">
        <v>3994</v>
      </c>
      <c r="I1213" s="16" t="s">
        <v>198</v>
      </c>
      <c r="J1213" s="16" t="s">
        <v>199</v>
      </c>
      <c r="K1213" s="16">
        <v>2.212237</v>
      </c>
      <c r="L1213" s="36">
        <v>2019</v>
      </c>
      <c r="M1213" s="16">
        <v>449</v>
      </c>
      <c r="N1213" s="16">
        <v>341</v>
      </c>
      <c r="O1213" s="16">
        <v>440</v>
      </c>
      <c r="P1213" s="16">
        <v>541</v>
      </c>
      <c r="Q1213" s="16">
        <v>248</v>
      </c>
      <c r="R1213" s="16">
        <v>2</v>
      </c>
      <c r="S1213" s="16">
        <v>12.2691</v>
      </c>
      <c r="T1213" s="16">
        <v>3.6670699999999998</v>
      </c>
      <c r="U1213" s="16">
        <v>0.99375011899999999</v>
      </c>
      <c r="V1213" s="16">
        <v>3</v>
      </c>
      <c r="W1213" s="16">
        <v>0.84704100000000004</v>
      </c>
      <c r="X1213" s="16">
        <v>0.12250999999999999</v>
      </c>
      <c r="Y1213" s="16">
        <v>0.84661399999999998</v>
      </c>
      <c r="Z1213" s="16">
        <v>0.40669300000000003</v>
      </c>
      <c r="AA1213" s="37"/>
    </row>
    <row r="1214" spans="1:27">
      <c r="A1214" s="16" t="s">
        <v>113</v>
      </c>
      <c r="B1214" s="16" t="s">
        <v>4104</v>
      </c>
      <c r="C1214" s="16" t="s">
        <v>4105</v>
      </c>
      <c r="D1214" s="16" t="s">
        <v>4106</v>
      </c>
      <c r="E1214" s="16" t="s">
        <v>4099</v>
      </c>
      <c r="F1214" s="16" t="s">
        <v>4100</v>
      </c>
      <c r="G1214" s="16" t="s">
        <v>3993</v>
      </c>
      <c r="H1214" s="16" t="s">
        <v>3994</v>
      </c>
      <c r="I1214" s="16" t="s">
        <v>198</v>
      </c>
      <c r="J1214" s="16" t="s">
        <v>199</v>
      </c>
      <c r="K1214" s="16">
        <v>2.4827819999999998</v>
      </c>
      <c r="L1214" s="36">
        <v>1776</v>
      </c>
      <c r="M1214" s="16">
        <v>372</v>
      </c>
      <c r="N1214" s="16">
        <v>328</v>
      </c>
      <c r="O1214" s="16">
        <v>425</v>
      </c>
      <c r="P1214" s="16">
        <v>413</v>
      </c>
      <c r="Q1214" s="16">
        <v>238</v>
      </c>
      <c r="R1214" s="16">
        <v>2</v>
      </c>
      <c r="S1214" s="16">
        <v>13.9955</v>
      </c>
      <c r="T1214" s="16">
        <v>1.38876</v>
      </c>
      <c r="U1214" s="16">
        <v>0.685173315</v>
      </c>
      <c r="V1214" s="16">
        <v>5</v>
      </c>
      <c r="W1214" s="16">
        <v>0.86499400000000004</v>
      </c>
      <c r="X1214" s="16">
        <v>0.14357200000000001</v>
      </c>
      <c r="Y1214" s="16">
        <v>0.818388</v>
      </c>
      <c r="Z1214" s="16">
        <v>0.663636</v>
      </c>
      <c r="AA1214" s="37"/>
    </row>
    <row r="1215" spans="1:27">
      <c r="A1215" s="16" t="s">
        <v>113</v>
      </c>
      <c r="B1215" s="16" t="s">
        <v>4107</v>
      </c>
      <c r="C1215" s="16" t="s">
        <v>4108</v>
      </c>
      <c r="D1215" s="16" t="s">
        <v>4109</v>
      </c>
      <c r="E1215" s="16" t="s">
        <v>4110</v>
      </c>
      <c r="F1215" s="16" t="s">
        <v>4111</v>
      </c>
      <c r="G1215" s="16" t="s">
        <v>3993</v>
      </c>
      <c r="H1215" s="16" t="s">
        <v>3994</v>
      </c>
      <c r="I1215" s="16" t="s">
        <v>198</v>
      </c>
      <c r="J1215" s="16" t="s">
        <v>199</v>
      </c>
      <c r="K1215" s="16">
        <v>1.9172130000000001</v>
      </c>
      <c r="L1215" s="36">
        <v>1372</v>
      </c>
      <c r="M1215" s="16">
        <v>232</v>
      </c>
      <c r="N1215" s="16">
        <v>214</v>
      </c>
      <c r="O1215" s="16">
        <v>223</v>
      </c>
      <c r="P1215" s="16">
        <v>418</v>
      </c>
      <c r="Q1215" s="16">
        <v>285</v>
      </c>
      <c r="R1215" s="16" t="s">
        <v>225</v>
      </c>
      <c r="S1215" s="16">
        <v>5.8902000000000001</v>
      </c>
      <c r="T1215" s="16">
        <v>0</v>
      </c>
      <c r="U1215" s="16">
        <v>0.84037864799999995</v>
      </c>
      <c r="V1215" s="16">
        <v>9</v>
      </c>
      <c r="W1215" s="16">
        <v>0.83053299999999997</v>
      </c>
      <c r="X1215" s="16">
        <v>5.3499999999999997E-3</v>
      </c>
      <c r="Y1215" s="16">
        <v>0.833951</v>
      </c>
      <c r="Z1215" s="16">
        <v>0.24273900000000001</v>
      </c>
      <c r="AA1215" s="37"/>
    </row>
    <row r="1216" spans="1:27">
      <c r="A1216" s="16" t="s">
        <v>113</v>
      </c>
      <c r="B1216" s="16" t="s">
        <v>4112</v>
      </c>
      <c r="C1216" s="16" t="s">
        <v>4113</v>
      </c>
      <c r="D1216" s="16" t="s">
        <v>4114</v>
      </c>
      <c r="E1216" s="16" t="s">
        <v>4110</v>
      </c>
      <c r="F1216" s="16" t="s">
        <v>4111</v>
      </c>
      <c r="G1216" s="16" t="s">
        <v>3993</v>
      </c>
      <c r="H1216" s="16" t="s">
        <v>3994</v>
      </c>
      <c r="I1216" s="16" t="s">
        <v>198</v>
      </c>
      <c r="J1216" s="16" t="s">
        <v>199</v>
      </c>
      <c r="K1216" s="16">
        <v>2.0080789999999999</v>
      </c>
      <c r="L1216" s="36">
        <v>1330</v>
      </c>
      <c r="M1216" s="16">
        <v>315</v>
      </c>
      <c r="N1216" s="16">
        <v>173</v>
      </c>
      <c r="O1216" s="16">
        <v>286</v>
      </c>
      <c r="P1216" s="16">
        <v>367</v>
      </c>
      <c r="Q1216" s="16">
        <v>189</v>
      </c>
      <c r="R1216" s="16" t="s">
        <v>225</v>
      </c>
      <c r="S1216" s="16">
        <v>8.9431799999999999</v>
      </c>
      <c r="T1216" s="16">
        <v>0</v>
      </c>
      <c r="U1216" s="16">
        <v>0.84918603800000003</v>
      </c>
      <c r="V1216" s="16">
        <v>8</v>
      </c>
      <c r="W1216" s="16">
        <v>0.83105899999999999</v>
      </c>
      <c r="X1216" s="16">
        <v>6.2342000000000002E-2</v>
      </c>
      <c r="Y1216" s="16">
        <v>0.8</v>
      </c>
      <c r="Z1216" s="16">
        <v>0.30194700000000002</v>
      </c>
      <c r="AA1216" s="37"/>
    </row>
    <row r="1217" spans="1:27">
      <c r="A1217" s="16" t="s">
        <v>113</v>
      </c>
      <c r="B1217" s="16" t="s">
        <v>4115</v>
      </c>
      <c r="C1217" s="16" t="s">
        <v>4116</v>
      </c>
      <c r="D1217" s="16" t="s">
        <v>4117</v>
      </c>
      <c r="E1217" s="16" t="s">
        <v>4118</v>
      </c>
      <c r="F1217" s="16" t="s">
        <v>4119</v>
      </c>
      <c r="G1217" s="16" t="s">
        <v>3993</v>
      </c>
      <c r="H1217" s="16" t="s">
        <v>3994</v>
      </c>
      <c r="I1217" s="16" t="s">
        <v>198</v>
      </c>
      <c r="J1217" s="16" t="s">
        <v>199</v>
      </c>
      <c r="K1217" s="16">
        <v>2.6123249999999998</v>
      </c>
      <c r="L1217" s="36">
        <v>1911</v>
      </c>
      <c r="M1217" s="16">
        <v>374</v>
      </c>
      <c r="N1217" s="16">
        <v>291</v>
      </c>
      <c r="O1217" s="16">
        <v>573</v>
      </c>
      <c r="P1217" s="16">
        <v>443</v>
      </c>
      <c r="Q1217" s="16">
        <v>230</v>
      </c>
      <c r="R1217" s="16">
        <v>5</v>
      </c>
      <c r="S1217" s="16">
        <v>38.947000000000003</v>
      </c>
      <c r="T1217" s="16">
        <v>5.99979</v>
      </c>
      <c r="U1217" s="16">
        <v>0.59534712300000003</v>
      </c>
      <c r="V1217" s="16">
        <v>7</v>
      </c>
      <c r="W1217" s="16">
        <v>0.90410800000000002</v>
      </c>
      <c r="X1217" s="16">
        <v>0.19112899999999999</v>
      </c>
      <c r="Y1217" s="16">
        <v>0.83785100000000001</v>
      </c>
      <c r="Z1217" s="16">
        <v>0.67517400000000005</v>
      </c>
      <c r="AA1217" s="37"/>
    </row>
    <row r="1218" spans="1:27">
      <c r="A1218" s="16" t="s">
        <v>113</v>
      </c>
      <c r="B1218" s="16" t="s">
        <v>4120</v>
      </c>
      <c r="C1218" s="16" t="s">
        <v>4121</v>
      </c>
      <c r="D1218" s="16" t="s">
        <v>4122</v>
      </c>
      <c r="E1218" s="16" t="s">
        <v>4110</v>
      </c>
      <c r="F1218" s="16" t="s">
        <v>4111</v>
      </c>
      <c r="G1218" s="16" t="s">
        <v>3993</v>
      </c>
      <c r="H1218" s="16" t="s">
        <v>3994</v>
      </c>
      <c r="I1218" s="16" t="s">
        <v>198</v>
      </c>
      <c r="J1218" s="16" t="s">
        <v>199</v>
      </c>
      <c r="K1218" s="16">
        <v>2.0756299999999999</v>
      </c>
      <c r="L1218" s="36">
        <v>1531</v>
      </c>
      <c r="M1218" s="16">
        <v>338</v>
      </c>
      <c r="N1218" s="16">
        <v>181</v>
      </c>
      <c r="O1218" s="16">
        <v>337</v>
      </c>
      <c r="P1218" s="16">
        <v>394</v>
      </c>
      <c r="Q1218" s="16">
        <v>281</v>
      </c>
      <c r="R1218" s="16">
        <v>2</v>
      </c>
      <c r="S1218" s="16">
        <v>11.9436</v>
      </c>
      <c r="T1218" s="16">
        <v>0</v>
      </c>
      <c r="U1218" s="16">
        <v>0.79303765400000004</v>
      </c>
      <c r="V1218" s="16">
        <v>8</v>
      </c>
      <c r="W1218" s="16">
        <v>0.86494599999999999</v>
      </c>
      <c r="X1218" s="16">
        <v>0.107986</v>
      </c>
      <c r="Y1218" s="16">
        <v>0.85119</v>
      </c>
      <c r="Z1218" s="16">
        <v>0.239952</v>
      </c>
      <c r="AA1218" s="37"/>
    </row>
    <row r="1219" spans="1:27">
      <c r="A1219" s="16" t="s">
        <v>113</v>
      </c>
      <c r="B1219" s="16" t="s">
        <v>4123</v>
      </c>
      <c r="C1219" s="16" t="s">
        <v>4124</v>
      </c>
      <c r="D1219" s="16" t="s">
        <v>4125</v>
      </c>
      <c r="E1219" s="16" t="s">
        <v>4057</v>
      </c>
      <c r="F1219" s="16" t="s">
        <v>4058</v>
      </c>
      <c r="G1219" s="16" t="s">
        <v>4059</v>
      </c>
      <c r="H1219" s="16" t="s">
        <v>4060</v>
      </c>
      <c r="I1219" s="16" t="s">
        <v>198</v>
      </c>
      <c r="J1219" s="16" t="s">
        <v>199</v>
      </c>
      <c r="K1219" s="16">
        <v>2.0190410000000001</v>
      </c>
      <c r="L1219" s="36">
        <v>1584</v>
      </c>
      <c r="M1219" s="16">
        <v>284</v>
      </c>
      <c r="N1219" s="16">
        <v>218</v>
      </c>
      <c r="O1219" s="16">
        <v>349</v>
      </c>
      <c r="P1219" s="16">
        <v>391</v>
      </c>
      <c r="Q1219" s="16">
        <v>342</v>
      </c>
      <c r="R1219" s="16">
        <v>2</v>
      </c>
      <c r="S1219" s="16">
        <v>9.2282299999999999</v>
      </c>
      <c r="T1219" s="16">
        <v>0</v>
      </c>
      <c r="U1219" s="16">
        <v>0.76699227699999994</v>
      </c>
      <c r="V1219" s="16">
        <v>10</v>
      </c>
      <c r="W1219" s="16">
        <v>0.82747099999999996</v>
      </c>
      <c r="X1219" s="16">
        <v>6.1046999999999997E-2</v>
      </c>
      <c r="Y1219" s="16">
        <v>0.8</v>
      </c>
      <c r="Z1219" s="16">
        <v>0.32230300000000001</v>
      </c>
      <c r="AA1219" s="37"/>
    </row>
    <row r="1220" spans="1:27">
      <c r="A1220" s="16"/>
      <c r="B1220" s="16"/>
      <c r="C1220" s="16"/>
      <c r="D1220" s="16"/>
      <c r="E1220" s="16"/>
      <c r="F1220" s="16"/>
      <c r="G1220" s="16"/>
      <c r="H1220" s="16"/>
      <c r="I1220" s="16"/>
      <c r="J1220" s="16"/>
      <c r="K1220" s="16">
        <f>MAX(K1202:K1219)</f>
        <v>2.6123249999999998</v>
      </c>
      <c r="L1220" s="36">
        <f>AVERAGE(L1202:L1219)</f>
        <v>1636.2777777777778</v>
      </c>
      <c r="M1220" s="16">
        <f>SUM(M1202:M1219)</f>
        <v>5937</v>
      </c>
      <c r="N1220" s="16">
        <f t="shared" ref="N1220:P1220" si="95">MEDIAN(N1202:N1219)</f>
        <v>224.5</v>
      </c>
      <c r="O1220" s="16">
        <f t="shared" si="95"/>
        <v>343</v>
      </c>
      <c r="P1220" s="16">
        <f t="shared" si="95"/>
        <v>428.5</v>
      </c>
      <c r="Q1220" s="16">
        <f>SUM(Q1202:Q1219)</f>
        <v>4974</v>
      </c>
      <c r="R1220" s="16">
        <f t="shared" ref="R1220:U1220" si="96">MEDIAN(R1202:R1219)</f>
        <v>2</v>
      </c>
      <c r="S1220" s="16">
        <f t="shared" si="96"/>
        <v>10.123265</v>
      </c>
      <c r="T1220" s="16">
        <f t="shared" si="96"/>
        <v>1.7149049999999999</v>
      </c>
      <c r="U1220" s="16">
        <f t="shared" si="96"/>
        <v>0.79082383500000009</v>
      </c>
      <c r="V1220" s="16">
        <f>MAX(V1202:V1219)</f>
        <v>10</v>
      </c>
      <c r="W1220" s="16"/>
      <c r="X1220" s="16"/>
      <c r="Y1220" s="16"/>
      <c r="Z1220" s="16"/>
      <c r="AA1220" s="37"/>
    </row>
    <row r="1221" spans="1:27">
      <c r="A1221" s="16" t="s">
        <v>114</v>
      </c>
      <c r="B1221" s="16" t="s">
        <v>4126</v>
      </c>
      <c r="C1221" s="16" t="s">
        <v>4127</v>
      </c>
      <c r="D1221" s="16" t="s">
        <v>4128</v>
      </c>
      <c r="E1221" s="16" t="s">
        <v>4129</v>
      </c>
      <c r="F1221" s="16" t="s">
        <v>4130</v>
      </c>
      <c r="G1221" s="16" t="s">
        <v>4059</v>
      </c>
      <c r="H1221" s="16" t="s">
        <v>4060</v>
      </c>
      <c r="I1221" s="16" t="s">
        <v>198</v>
      </c>
      <c r="J1221" s="16" t="s">
        <v>199</v>
      </c>
      <c r="K1221" s="16">
        <v>2.1896200000000001</v>
      </c>
      <c r="L1221" s="36">
        <v>1837</v>
      </c>
      <c r="M1221" s="16">
        <v>517</v>
      </c>
      <c r="N1221" s="16">
        <v>249</v>
      </c>
      <c r="O1221" s="16">
        <v>399</v>
      </c>
      <c r="P1221" s="16">
        <v>424</v>
      </c>
      <c r="Q1221" s="16">
        <v>248</v>
      </c>
      <c r="R1221" s="16">
        <v>2</v>
      </c>
      <c r="S1221" s="16">
        <v>20.198</v>
      </c>
      <c r="T1221" s="16">
        <v>4.5897600000000001</v>
      </c>
      <c r="U1221" s="16">
        <v>0.94115232000000004</v>
      </c>
      <c r="V1221" s="16">
        <v>4</v>
      </c>
      <c r="W1221" s="16">
        <v>0.83040899999999995</v>
      </c>
      <c r="X1221" s="16">
        <v>6.9005999999999998E-2</v>
      </c>
      <c r="Y1221" s="16">
        <v>0.81114399999999998</v>
      </c>
      <c r="Z1221" s="16">
        <v>0.48452600000000001</v>
      </c>
      <c r="AA1221" s="37"/>
    </row>
    <row r="1222" spans="1:27">
      <c r="A1222" s="16" t="s">
        <v>114</v>
      </c>
      <c r="B1222" s="16" t="s">
        <v>4131</v>
      </c>
      <c r="C1222" s="16" t="s">
        <v>4132</v>
      </c>
      <c r="D1222" s="16" t="s">
        <v>4133</v>
      </c>
      <c r="E1222" s="16" t="s">
        <v>4129</v>
      </c>
      <c r="F1222" s="16" t="s">
        <v>4130</v>
      </c>
      <c r="G1222" s="16" t="s">
        <v>4059</v>
      </c>
      <c r="H1222" s="16" t="s">
        <v>4060</v>
      </c>
      <c r="I1222" s="16" t="s">
        <v>198</v>
      </c>
      <c r="J1222" s="16" t="s">
        <v>199</v>
      </c>
      <c r="K1222" s="16">
        <v>2.1938029999999999</v>
      </c>
      <c r="L1222" s="36">
        <v>1606</v>
      </c>
      <c r="M1222" s="16">
        <v>338</v>
      </c>
      <c r="N1222" s="16">
        <v>207</v>
      </c>
      <c r="O1222" s="16">
        <v>403</v>
      </c>
      <c r="P1222" s="16">
        <v>384</v>
      </c>
      <c r="Q1222" s="16">
        <v>274</v>
      </c>
      <c r="R1222" s="16">
        <v>2</v>
      </c>
      <c r="S1222" s="16">
        <v>16.206399999999999</v>
      </c>
      <c r="T1222" s="16">
        <v>4.6688700000000001</v>
      </c>
      <c r="U1222" s="16">
        <v>0.80952585200000005</v>
      </c>
      <c r="V1222" s="16">
        <v>7</v>
      </c>
      <c r="W1222" s="16">
        <v>0.84086099999999997</v>
      </c>
      <c r="X1222" s="16">
        <v>8.1723000000000004E-2</v>
      </c>
      <c r="Y1222" s="16">
        <v>0.87382199999999999</v>
      </c>
      <c r="Z1222" s="16">
        <v>0.41307500000000003</v>
      </c>
      <c r="AA1222" s="37"/>
    </row>
    <row r="1223" spans="1:27">
      <c r="A1223" s="16" t="s">
        <v>114</v>
      </c>
      <c r="B1223" s="16" t="s">
        <v>4134</v>
      </c>
      <c r="C1223" s="16" t="s">
        <v>4135</v>
      </c>
      <c r="D1223" s="16" t="s">
        <v>4136</v>
      </c>
      <c r="E1223" s="16" t="s">
        <v>4129</v>
      </c>
      <c r="F1223" s="16" t="s">
        <v>4130</v>
      </c>
      <c r="G1223" s="16" t="s">
        <v>4059</v>
      </c>
      <c r="H1223" s="16" t="s">
        <v>4060</v>
      </c>
      <c r="I1223" s="16" t="s">
        <v>198</v>
      </c>
      <c r="J1223" s="16" t="s">
        <v>199</v>
      </c>
      <c r="K1223" s="16">
        <v>2.1389849999999999</v>
      </c>
      <c r="L1223" s="36">
        <v>1554</v>
      </c>
      <c r="M1223" s="16">
        <v>322</v>
      </c>
      <c r="N1223" s="16">
        <v>239</v>
      </c>
      <c r="O1223" s="16">
        <v>399</v>
      </c>
      <c r="P1223" s="16">
        <v>376</v>
      </c>
      <c r="Q1223" s="16">
        <v>218</v>
      </c>
      <c r="R1223" s="16">
        <v>2</v>
      </c>
      <c r="S1223" s="16">
        <v>10.9063</v>
      </c>
      <c r="T1223" s="16">
        <v>0</v>
      </c>
      <c r="U1223" s="16">
        <v>0.74240633899999997</v>
      </c>
      <c r="V1223" s="16">
        <v>9</v>
      </c>
      <c r="W1223" s="16">
        <v>0.82418999999999998</v>
      </c>
      <c r="X1223" s="16">
        <v>0.131435</v>
      </c>
      <c r="Y1223" s="16">
        <v>0.89748399999999995</v>
      </c>
      <c r="Z1223" s="16">
        <v>0.30163200000000001</v>
      </c>
      <c r="AA1223" s="37"/>
    </row>
    <row r="1224" spans="1:27">
      <c r="A1224" s="16" t="s">
        <v>114</v>
      </c>
      <c r="B1224" s="16" t="s">
        <v>4137</v>
      </c>
      <c r="C1224" s="16" t="s">
        <v>4138</v>
      </c>
      <c r="D1224" s="16" t="s">
        <v>4139</v>
      </c>
      <c r="E1224" s="16" t="s">
        <v>4140</v>
      </c>
      <c r="F1224" s="16" t="s">
        <v>4141</v>
      </c>
      <c r="G1224" s="16" t="s">
        <v>4059</v>
      </c>
      <c r="H1224" s="16" t="s">
        <v>4060</v>
      </c>
      <c r="I1224" s="16" t="s">
        <v>198</v>
      </c>
      <c r="J1224" s="16" t="s">
        <v>199</v>
      </c>
      <c r="K1224" s="16">
        <v>2.140612</v>
      </c>
      <c r="L1224" s="36">
        <v>2312</v>
      </c>
      <c r="M1224" s="16">
        <v>545</v>
      </c>
      <c r="N1224" s="16">
        <v>310</v>
      </c>
      <c r="O1224" s="16">
        <v>524</v>
      </c>
      <c r="P1224" s="16">
        <v>628</v>
      </c>
      <c r="Q1224" s="16">
        <v>305</v>
      </c>
      <c r="R1224" s="16">
        <v>2</v>
      </c>
      <c r="S1224" s="16">
        <v>13.9733</v>
      </c>
      <c r="T1224" s="16">
        <v>0</v>
      </c>
      <c r="U1224" s="16">
        <v>0.84296595799999996</v>
      </c>
      <c r="V1224" s="16">
        <v>7</v>
      </c>
      <c r="W1224" s="16">
        <v>0.87236100000000005</v>
      </c>
      <c r="X1224" s="16">
        <v>0.174011</v>
      </c>
      <c r="Y1224" s="16">
        <v>0.8</v>
      </c>
      <c r="Z1224" s="16">
        <v>0.31292399999999998</v>
      </c>
      <c r="AA1224" s="37"/>
    </row>
    <row r="1225" spans="1:27">
      <c r="A1225" s="16" t="s">
        <v>114</v>
      </c>
      <c r="B1225" s="16" t="s">
        <v>4142</v>
      </c>
      <c r="C1225" s="16" t="s">
        <v>4143</v>
      </c>
      <c r="D1225" s="16" t="s">
        <v>4144</v>
      </c>
      <c r="E1225" s="16" t="s">
        <v>4140</v>
      </c>
      <c r="F1225" s="16" t="s">
        <v>4141</v>
      </c>
      <c r="G1225" s="16" t="s">
        <v>4059</v>
      </c>
      <c r="H1225" s="16" t="s">
        <v>4060</v>
      </c>
      <c r="I1225" s="16" t="s">
        <v>198</v>
      </c>
      <c r="J1225" s="16" t="s">
        <v>199</v>
      </c>
      <c r="K1225" s="16">
        <v>2.0525980000000001</v>
      </c>
      <c r="L1225" s="36">
        <v>1920</v>
      </c>
      <c r="M1225" s="16">
        <v>462</v>
      </c>
      <c r="N1225" s="16">
        <v>243</v>
      </c>
      <c r="O1225" s="16">
        <v>458</v>
      </c>
      <c r="P1225" s="16">
        <v>476</v>
      </c>
      <c r="Q1225" s="16">
        <v>281</v>
      </c>
      <c r="R1225" s="16">
        <v>4</v>
      </c>
      <c r="S1225" s="16">
        <v>24.464400000000001</v>
      </c>
      <c r="T1225" s="16">
        <v>5.7540800000000001</v>
      </c>
      <c r="U1225" s="16">
        <v>0.89156045299999997</v>
      </c>
      <c r="V1225" s="16">
        <v>7</v>
      </c>
      <c r="W1225" s="16">
        <v>0.82220499999999996</v>
      </c>
      <c r="X1225" s="16">
        <v>5.1713000000000002E-2</v>
      </c>
      <c r="Y1225" s="16">
        <v>0.8</v>
      </c>
      <c r="Z1225" s="16">
        <v>0.384434</v>
      </c>
      <c r="AA1225" s="37"/>
    </row>
    <row r="1226" spans="1:27">
      <c r="A1226" s="16" t="s">
        <v>114</v>
      </c>
      <c r="B1226" s="16" t="s">
        <v>4145</v>
      </c>
      <c r="C1226" s="16" t="s">
        <v>4146</v>
      </c>
      <c r="D1226" s="16" t="s">
        <v>4147</v>
      </c>
      <c r="E1226" s="16" t="s">
        <v>4072</v>
      </c>
      <c r="F1226" s="16" t="s">
        <v>4073</v>
      </c>
      <c r="G1226" s="16" t="s">
        <v>4059</v>
      </c>
      <c r="H1226" s="16" t="s">
        <v>4060</v>
      </c>
      <c r="I1226" s="16" t="s">
        <v>198</v>
      </c>
      <c r="J1226" s="16" t="s">
        <v>199</v>
      </c>
      <c r="K1226" s="16">
        <v>2.159707</v>
      </c>
      <c r="L1226" s="36">
        <v>1805</v>
      </c>
      <c r="M1226" s="16">
        <v>395</v>
      </c>
      <c r="N1226" s="16">
        <v>266</v>
      </c>
      <c r="O1226" s="16">
        <v>351</v>
      </c>
      <c r="P1226" s="16">
        <v>512</v>
      </c>
      <c r="Q1226" s="16">
        <v>281</v>
      </c>
      <c r="R1226" s="16" t="s">
        <v>225</v>
      </c>
      <c r="S1226" s="16">
        <v>6.9186300000000003</v>
      </c>
      <c r="T1226" s="16">
        <v>0</v>
      </c>
      <c r="U1226" s="16">
        <v>0.71898820500000005</v>
      </c>
      <c r="V1226" s="16">
        <v>9</v>
      </c>
      <c r="W1226" s="16">
        <v>0.83297900000000002</v>
      </c>
      <c r="X1226" s="16">
        <v>0.151194</v>
      </c>
      <c r="Y1226" s="16">
        <v>0.82529600000000003</v>
      </c>
      <c r="Z1226" s="16">
        <v>0.33601599999999998</v>
      </c>
      <c r="AA1226" s="37"/>
    </row>
    <row r="1227" spans="1:27">
      <c r="A1227" s="16" t="s">
        <v>114</v>
      </c>
      <c r="B1227" s="16" t="s">
        <v>4148</v>
      </c>
      <c r="C1227" s="16" t="s">
        <v>4149</v>
      </c>
      <c r="D1227" s="16" t="s">
        <v>4150</v>
      </c>
      <c r="E1227" s="16" t="s">
        <v>4151</v>
      </c>
      <c r="F1227" s="16" t="s">
        <v>4152</v>
      </c>
      <c r="G1227" s="16" t="s">
        <v>4059</v>
      </c>
      <c r="H1227" s="16" t="s">
        <v>4060</v>
      </c>
      <c r="I1227" s="16" t="s">
        <v>198</v>
      </c>
      <c r="J1227" s="16" t="s">
        <v>199</v>
      </c>
      <c r="K1227" s="16">
        <v>2.0220880000000001</v>
      </c>
      <c r="L1227" s="36">
        <v>2307</v>
      </c>
      <c r="M1227" s="16">
        <v>561</v>
      </c>
      <c r="N1227" s="16">
        <v>430</v>
      </c>
      <c r="O1227" s="16">
        <v>592</v>
      </c>
      <c r="P1227" s="16">
        <v>546</v>
      </c>
      <c r="Q1227" s="16">
        <v>178</v>
      </c>
      <c r="R1227" s="16">
        <v>2</v>
      </c>
      <c r="S1227" s="16">
        <v>12.348699999999999</v>
      </c>
      <c r="T1227" s="16">
        <v>1.30494</v>
      </c>
      <c r="U1227" s="16">
        <v>1.179757328</v>
      </c>
      <c r="V1227" s="16">
        <v>3</v>
      </c>
      <c r="W1227" s="16">
        <v>0.85892999999999997</v>
      </c>
      <c r="X1227" s="16">
        <v>4.5811999999999999E-2</v>
      </c>
      <c r="Y1227" s="16">
        <v>0.8</v>
      </c>
      <c r="Z1227" s="16">
        <v>0.32188</v>
      </c>
      <c r="AA1227" s="37"/>
    </row>
    <row r="1228" spans="1:27">
      <c r="A1228" s="16" t="s">
        <v>114</v>
      </c>
      <c r="B1228" s="16" t="s">
        <v>4153</v>
      </c>
      <c r="C1228" s="16" t="s">
        <v>4154</v>
      </c>
      <c r="D1228" s="16" t="s">
        <v>4155</v>
      </c>
      <c r="E1228" s="16" t="s">
        <v>4151</v>
      </c>
      <c r="F1228" s="16" t="s">
        <v>4152</v>
      </c>
      <c r="G1228" s="16" t="s">
        <v>4059</v>
      </c>
      <c r="H1228" s="16" t="s">
        <v>4060</v>
      </c>
      <c r="I1228" s="16" t="s">
        <v>198</v>
      </c>
      <c r="J1228" s="16" t="s">
        <v>199</v>
      </c>
      <c r="K1228" s="16">
        <v>2.0718930000000002</v>
      </c>
      <c r="L1228" s="36">
        <v>1998</v>
      </c>
      <c r="M1228" s="16">
        <v>495</v>
      </c>
      <c r="N1228" s="16">
        <v>283</v>
      </c>
      <c r="O1228" s="16">
        <v>516</v>
      </c>
      <c r="P1228" s="16">
        <v>470</v>
      </c>
      <c r="Q1228" s="16">
        <v>234</v>
      </c>
      <c r="R1228" s="16" t="s">
        <v>225</v>
      </c>
      <c r="S1228" s="16">
        <v>9.1814400000000003</v>
      </c>
      <c r="T1228" s="16">
        <v>1.26044</v>
      </c>
      <c r="U1228" s="16">
        <v>1.0145259129999999</v>
      </c>
      <c r="V1228" s="16">
        <v>4</v>
      </c>
      <c r="W1228" s="16">
        <v>0.833843</v>
      </c>
      <c r="X1228" s="16">
        <v>0.129412</v>
      </c>
      <c r="Y1228" s="16">
        <v>0.8</v>
      </c>
      <c r="Z1228" s="16">
        <v>0.3</v>
      </c>
      <c r="AA1228" s="37"/>
    </row>
    <row r="1229" spans="1:27">
      <c r="A1229" s="16" t="s">
        <v>114</v>
      </c>
      <c r="B1229" s="16" t="s">
        <v>4156</v>
      </c>
      <c r="C1229" s="16" t="s">
        <v>4157</v>
      </c>
      <c r="D1229" s="16" t="s">
        <v>4158</v>
      </c>
      <c r="E1229" s="16" t="s">
        <v>4151</v>
      </c>
      <c r="F1229" s="16" t="s">
        <v>4152</v>
      </c>
      <c r="G1229" s="16" t="s">
        <v>4059</v>
      </c>
      <c r="H1229" s="16" t="s">
        <v>4060</v>
      </c>
      <c r="I1229" s="16" t="s">
        <v>198</v>
      </c>
      <c r="J1229" s="16" t="s">
        <v>199</v>
      </c>
      <c r="K1229" s="16">
        <v>2.160841</v>
      </c>
      <c r="L1229" s="36">
        <v>1974</v>
      </c>
      <c r="M1229" s="16">
        <v>440</v>
      </c>
      <c r="N1229" s="16">
        <v>326</v>
      </c>
      <c r="O1229" s="16">
        <v>435</v>
      </c>
      <c r="P1229" s="16">
        <v>505</v>
      </c>
      <c r="Q1229" s="16">
        <v>268</v>
      </c>
      <c r="R1229" s="16">
        <v>2</v>
      </c>
      <c r="S1229" s="16">
        <v>15.335800000000001</v>
      </c>
      <c r="T1229" s="16">
        <v>3.42862</v>
      </c>
      <c r="U1229" s="16">
        <v>1.1655722850000001</v>
      </c>
      <c r="V1229" s="16">
        <v>2</v>
      </c>
      <c r="W1229" s="16">
        <v>0.88488800000000001</v>
      </c>
      <c r="X1229" s="16">
        <v>0.17067399999999999</v>
      </c>
      <c r="Y1229" s="16">
        <v>0.8</v>
      </c>
      <c r="Z1229" s="16">
        <v>0.31140600000000002</v>
      </c>
      <c r="AA1229" s="37"/>
    </row>
    <row r="1230" spans="1:27">
      <c r="A1230" s="16" t="s">
        <v>114</v>
      </c>
      <c r="B1230" s="16" t="s">
        <v>4159</v>
      </c>
      <c r="C1230" s="16" t="s">
        <v>4160</v>
      </c>
      <c r="D1230" s="16" t="s">
        <v>4161</v>
      </c>
      <c r="E1230" s="16" t="s">
        <v>4067</v>
      </c>
      <c r="F1230" s="16" t="s">
        <v>4068</v>
      </c>
      <c r="G1230" s="16" t="s">
        <v>4059</v>
      </c>
      <c r="H1230" s="16" t="s">
        <v>4060</v>
      </c>
      <c r="I1230" s="16" t="s">
        <v>198</v>
      </c>
      <c r="J1230" s="16" t="s">
        <v>199</v>
      </c>
      <c r="K1230" s="16">
        <v>2.2059169999999999</v>
      </c>
      <c r="L1230" s="36">
        <v>1607</v>
      </c>
      <c r="M1230" s="16">
        <v>289</v>
      </c>
      <c r="N1230" s="16">
        <v>235</v>
      </c>
      <c r="O1230" s="16">
        <v>333</v>
      </c>
      <c r="P1230" s="16">
        <v>445</v>
      </c>
      <c r="Q1230" s="16">
        <v>305</v>
      </c>
      <c r="R1230" s="16" t="s">
        <v>225</v>
      </c>
      <c r="S1230" s="16">
        <v>8.7946299999999997</v>
      </c>
      <c r="T1230" s="16">
        <v>0</v>
      </c>
      <c r="U1230" s="16">
        <v>0.77171443200000001</v>
      </c>
      <c r="V1230" s="16">
        <v>8</v>
      </c>
      <c r="W1230" s="16">
        <v>0.86992400000000003</v>
      </c>
      <c r="X1230" s="16">
        <v>0.12656200000000001</v>
      </c>
      <c r="Y1230" s="16">
        <v>0.8</v>
      </c>
      <c r="Z1230" s="16">
        <v>0.39697500000000002</v>
      </c>
      <c r="AA1230" s="37"/>
    </row>
    <row r="1231" spans="1:27">
      <c r="A1231" s="16" t="s">
        <v>114</v>
      </c>
      <c r="B1231" s="16" t="s">
        <v>3998</v>
      </c>
      <c r="C1231" s="16" t="s">
        <v>3999</v>
      </c>
      <c r="D1231" s="16" t="s">
        <v>4000</v>
      </c>
      <c r="E1231" s="16" t="s">
        <v>4001</v>
      </c>
      <c r="F1231" s="16" t="s">
        <v>4002</v>
      </c>
      <c r="G1231" s="16" t="s">
        <v>3993</v>
      </c>
      <c r="H1231" s="16" t="s">
        <v>3994</v>
      </c>
      <c r="I1231" s="16" t="s">
        <v>198</v>
      </c>
      <c r="J1231" s="16" t="s">
        <v>199</v>
      </c>
      <c r="K1231" s="16">
        <v>2.3307570000000002</v>
      </c>
      <c r="L1231" s="36">
        <v>1859</v>
      </c>
      <c r="M1231" s="16">
        <v>380</v>
      </c>
      <c r="N1231" s="16">
        <v>333</v>
      </c>
      <c r="O1231" s="16">
        <v>508</v>
      </c>
      <c r="P1231" s="16">
        <v>433</v>
      </c>
      <c r="Q1231" s="16">
        <v>205</v>
      </c>
      <c r="R1231" s="16">
        <v>3</v>
      </c>
      <c r="S1231" s="16">
        <v>41.267499999999998</v>
      </c>
      <c r="T1231" s="16">
        <v>2.0101499999999999</v>
      </c>
      <c r="U1231" s="16">
        <v>0.62860429799999995</v>
      </c>
      <c r="V1231" s="16">
        <v>9</v>
      </c>
      <c r="W1231" s="16">
        <v>0.90318699999999996</v>
      </c>
      <c r="X1231" s="16">
        <v>0.114444</v>
      </c>
      <c r="Y1231" s="16">
        <v>0.8</v>
      </c>
      <c r="Z1231" s="16">
        <v>0.51897899999999997</v>
      </c>
      <c r="AA1231" s="37"/>
    </row>
    <row r="1232" spans="1:27">
      <c r="A1232" s="16" t="s">
        <v>114</v>
      </c>
      <c r="B1232" s="16" t="s">
        <v>4162</v>
      </c>
      <c r="C1232" s="16" t="s">
        <v>4163</v>
      </c>
      <c r="D1232" s="16" t="s">
        <v>4164</v>
      </c>
      <c r="E1232" s="16" t="s">
        <v>4099</v>
      </c>
      <c r="F1232" s="16" t="s">
        <v>4100</v>
      </c>
      <c r="G1232" s="16" t="s">
        <v>3993</v>
      </c>
      <c r="H1232" s="16" t="s">
        <v>3994</v>
      </c>
      <c r="I1232" s="16" t="s">
        <v>198</v>
      </c>
      <c r="J1232" s="16" t="s">
        <v>199</v>
      </c>
      <c r="K1232" s="16">
        <v>2.0940279999999998</v>
      </c>
      <c r="L1232" s="36">
        <v>1613</v>
      </c>
      <c r="M1232" s="16">
        <v>445</v>
      </c>
      <c r="N1232" s="16">
        <v>236</v>
      </c>
      <c r="O1232" s="16">
        <v>354</v>
      </c>
      <c r="P1232" s="16">
        <v>392</v>
      </c>
      <c r="Q1232" s="16">
        <v>186</v>
      </c>
      <c r="R1232" s="16">
        <v>2</v>
      </c>
      <c r="S1232" s="16">
        <v>12.605700000000001</v>
      </c>
      <c r="T1232" s="16">
        <v>6.6253700000000002</v>
      </c>
      <c r="U1232" s="16">
        <v>1.0501243520000001</v>
      </c>
      <c r="V1232" s="16">
        <v>3</v>
      </c>
      <c r="W1232" s="16">
        <v>0.85712100000000002</v>
      </c>
      <c r="X1232" s="16">
        <v>6.3678999999999999E-2</v>
      </c>
      <c r="Y1232" s="16">
        <v>0.8</v>
      </c>
      <c r="Z1232" s="16">
        <v>0.36156199999999999</v>
      </c>
      <c r="AA1232" s="37"/>
    </row>
    <row r="1233" spans="1:27">
      <c r="A1233" s="16" t="s">
        <v>114</v>
      </c>
      <c r="B1233" s="16" t="s">
        <v>4165</v>
      </c>
      <c r="C1233" s="16" t="s">
        <v>4166</v>
      </c>
      <c r="D1233" s="16" t="s">
        <v>4167</v>
      </c>
      <c r="E1233" s="16" t="s">
        <v>4118</v>
      </c>
      <c r="F1233" s="16" t="s">
        <v>4119</v>
      </c>
      <c r="G1233" s="16" t="s">
        <v>3993</v>
      </c>
      <c r="H1233" s="16" t="s">
        <v>3994</v>
      </c>
      <c r="I1233" s="16" t="s">
        <v>198</v>
      </c>
      <c r="J1233" s="16" t="s">
        <v>199</v>
      </c>
      <c r="K1233" s="16">
        <v>2.4414910000000001</v>
      </c>
      <c r="L1233" s="36">
        <v>1763</v>
      </c>
      <c r="M1233" s="16">
        <v>407</v>
      </c>
      <c r="N1233" s="16">
        <v>279</v>
      </c>
      <c r="O1233" s="16">
        <v>471</v>
      </c>
      <c r="P1233" s="16">
        <v>424</v>
      </c>
      <c r="Q1233" s="16">
        <v>182</v>
      </c>
      <c r="R1233" s="16">
        <v>3</v>
      </c>
      <c r="S1233" s="16">
        <v>30.891999999999999</v>
      </c>
      <c r="T1233" s="16">
        <v>1.4137299999999999</v>
      </c>
      <c r="U1233" s="16">
        <v>0.84450779300000001</v>
      </c>
      <c r="V1233" s="16">
        <v>4</v>
      </c>
      <c r="W1233" s="16">
        <v>0.89254500000000003</v>
      </c>
      <c r="X1233" s="16">
        <v>0.111147</v>
      </c>
      <c r="Y1233" s="16">
        <v>0.8</v>
      </c>
      <c r="Z1233" s="16">
        <v>0.63161299999999998</v>
      </c>
      <c r="AA1233" s="37"/>
    </row>
    <row r="1234" spans="1:27">
      <c r="A1234" s="16" t="s">
        <v>114</v>
      </c>
      <c r="B1234" s="16" t="s">
        <v>4168</v>
      </c>
      <c r="C1234" s="16" t="s">
        <v>4169</v>
      </c>
      <c r="D1234" s="16" t="s">
        <v>4170</v>
      </c>
      <c r="E1234" s="16" t="s">
        <v>4118</v>
      </c>
      <c r="F1234" s="16" t="s">
        <v>4119</v>
      </c>
      <c r="G1234" s="16" t="s">
        <v>3993</v>
      </c>
      <c r="H1234" s="16" t="s">
        <v>3994</v>
      </c>
      <c r="I1234" s="16" t="s">
        <v>198</v>
      </c>
      <c r="J1234" s="16" t="s">
        <v>199</v>
      </c>
      <c r="K1234" s="16">
        <v>2.0525370000000001</v>
      </c>
      <c r="L1234" s="36">
        <v>1537</v>
      </c>
      <c r="M1234" s="16">
        <v>321</v>
      </c>
      <c r="N1234" s="16">
        <v>240</v>
      </c>
      <c r="O1234" s="16">
        <v>374</v>
      </c>
      <c r="P1234" s="16">
        <v>414</v>
      </c>
      <c r="Q1234" s="16">
        <v>188</v>
      </c>
      <c r="R1234" s="16">
        <v>2</v>
      </c>
      <c r="S1234" s="16">
        <v>12.5747</v>
      </c>
      <c r="T1234" s="16">
        <v>0</v>
      </c>
      <c r="U1234" s="16">
        <v>1.0490414619999999</v>
      </c>
      <c r="V1234" s="16">
        <v>4</v>
      </c>
      <c r="W1234" s="16">
        <v>0.89459900000000003</v>
      </c>
      <c r="X1234" s="16">
        <v>7.2875999999999996E-2</v>
      </c>
      <c r="Y1234" s="16">
        <v>0.8</v>
      </c>
      <c r="Z1234" s="16">
        <v>0.3</v>
      </c>
      <c r="AA1234" s="37"/>
    </row>
    <row r="1235" spans="1:27">
      <c r="A1235" s="16" t="s">
        <v>114</v>
      </c>
      <c r="B1235" s="16" t="s">
        <v>4171</v>
      </c>
      <c r="C1235" s="16" t="s">
        <v>4172</v>
      </c>
      <c r="D1235" s="16" t="s">
        <v>4173</v>
      </c>
      <c r="E1235" s="16" t="s">
        <v>4174</v>
      </c>
      <c r="F1235" s="16" t="s">
        <v>4175</v>
      </c>
      <c r="G1235" s="16" t="s">
        <v>3993</v>
      </c>
      <c r="H1235" s="16" t="s">
        <v>3994</v>
      </c>
      <c r="I1235" s="16" t="s">
        <v>198</v>
      </c>
      <c r="J1235" s="16" t="s">
        <v>199</v>
      </c>
      <c r="K1235" s="16">
        <v>2.0614560000000002</v>
      </c>
      <c r="L1235" s="36">
        <v>1896</v>
      </c>
      <c r="M1235" s="16">
        <v>342</v>
      </c>
      <c r="N1235" s="16">
        <v>317</v>
      </c>
      <c r="O1235" s="16">
        <v>394</v>
      </c>
      <c r="P1235" s="16">
        <v>485</v>
      </c>
      <c r="Q1235" s="16">
        <v>358</v>
      </c>
      <c r="R1235" s="16">
        <v>2</v>
      </c>
      <c r="S1235" s="16">
        <v>10.222799999999999</v>
      </c>
      <c r="T1235" s="16">
        <v>2.9230900000000002</v>
      </c>
      <c r="U1235" s="16">
        <v>0.90902385900000005</v>
      </c>
      <c r="V1235" s="16">
        <v>6</v>
      </c>
      <c r="W1235" s="16">
        <v>0.85669399999999996</v>
      </c>
      <c r="X1235" s="16">
        <v>0.10514900000000001</v>
      </c>
      <c r="Y1235" s="16">
        <v>0.8</v>
      </c>
      <c r="Z1235" s="16">
        <v>0.29882900000000001</v>
      </c>
      <c r="AA1235" s="37"/>
    </row>
    <row r="1236" spans="1:27">
      <c r="A1236" s="16" t="s">
        <v>114</v>
      </c>
      <c r="B1236" s="16" t="s">
        <v>4176</v>
      </c>
      <c r="C1236" s="16" t="s">
        <v>4177</v>
      </c>
      <c r="D1236" s="16" t="s">
        <v>4178</v>
      </c>
      <c r="E1236" s="16" t="s">
        <v>4099</v>
      </c>
      <c r="F1236" s="16" t="s">
        <v>4100</v>
      </c>
      <c r="G1236" s="16" t="s">
        <v>3993</v>
      </c>
      <c r="H1236" s="16" t="s">
        <v>3994</v>
      </c>
      <c r="I1236" s="16" t="s">
        <v>198</v>
      </c>
      <c r="J1236" s="16" t="s">
        <v>199</v>
      </c>
      <c r="K1236" s="16">
        <v>2.1953740000000002</v>
      </c>
      <c r="L1236" s="36">
        <v>1720</v>
      </c>
      <c r="M1236" s="16">
        <v>410</v>
      </c>
      <c r="N1236" s="16">
        <v>271</v>
      </c>
      <c r="O1236" s="16">
        <v>372</v>
      </c>
      <c r="P1236" s="16">
        <v>490</v>
      </c>
      <c r="Q1236" s="16">
        <v>177</v>
      </c>
      <c r="R1236" s="16">
        <v>2</v>
      </c>
      <c r="S1236" s="16">
        <v>12.9651</v>
      </c>
      <c r="T1236" s="16">
        <v>5.2089699999999999</v>
      </c>
      <c r="U1236" s="16">
        <v>1.045992421</v>
      </c>
      <c r="V1236" s="16">
        <v>3</v>
      </c>
      <c r="W1236" s="16">
        <v>0.90249100000000004</v>
      </c>
      <c r="X1236" s="16">
        <v>0.19040899999999999</v>
      </c>
      <c r="Y1236" s="16">
        <v>0.8</v>
      </c>
      <c r="Z1236" s="16">
        <v>0.29234900000000003</v>
      </c>
      <c r="AA1236" s="37"/>
    </row>
    <row r="1237" spans="1:27">
      <c r="A1237" s="16" t="s">
        <v>114</v>
      </c>
      <c r="B1237" s="16" t="s">
        <v>4179</v>
      </c>
      <c r="C1237" s="16" t="s">
        <v>4180</v>
      </c>
      <c r="D1237" s="16" t="s">
        <v>4181</v>
      </c>
      <c r="E1237" s="16" t="s">
        <v>4118</v>
      </c>
      <c r="F1237" s="16" t="s">
        <v>4119</v>
      </c>
      <c r="G1237" s="16" t="s">
        <v>3993</v>
      </c>
      <c r="H1237" s="16" t="s">
        <v>3994</v>
      </c>
      <c r="I1237" s="16" t="s">
        <v>198</v>
      </c>
      <c r="J1237" s="16" t="s">
        <v>199</v>
      </c>
      <c r="K1237" s="16">
        <v>2.2767050000000002</v>
      </c>
      <c r="L1237" s="36">
        <v>1540</v>
      </c>
      <c r="M1237" s="16">
        <v>361</v>
      </c>
      <c r="N1237" s="16">
        <v>228</v>
      </c>
      <c r="O1237" s="16">
        <v>431</v>
      </c>
      <c r="P1237" s="16">
        <v>378</v>
      </c>
      <c r="Q1237" s="16">
        <v>142</v>
      </c>
      <c r="R1237" s="16">
        <v>4</v>
      </c>
      <c r="S1237" s="16">
        <v>35.227699999999999</v>
      </c>
      <c r="T1237" s="16">
        <v>5.3932099999999998</v>
      </c>
      <c r="U1237" s="16">
        <v>0.99749108099999995</v>
      </c>
      <c r="V1237" s="16">
        <v>3</v>
      </c>
      <c r="W1237" s="16">
        <v>0.90738600000000003</v>
      </c>
      <c r="X1237" s="16">
        <v>0.21731700000000001</v>
      </c>
      <c r="Y1237" s="16">
        <v>0.8</v>
      </c>
      <c r="Z1237" s="16">
        <v>0.35736000000000001</v>
      </c>
      <c r="AA1237" s="37"/>
    </row>
    <row r="1238" spans="1:27">
      <c r="A1238" s="16" t="s">
        <v>114</v>
      </c>
      <c r="B1238" s="16" t="s">
        <v>4182</v>
      </c>
      <c r="C1238" s="16" t="s">
        <v>4183</v>
      </c>
      <c r="D1238" s="16" t="s">
        <v>4184</v>
      </c>
      <c r="E1238" s="16" t="s">
        <v>4118</v>
      </c>
      <c r="F1238" s="16" t="s">
        <v>4119</v>
      </c>
      <c r="G1238" s="16" t="s">
        <v>3993</v>
      </c>
      <c r="H1238" s="16" t="s">
        <v>3994</v>
      </c>
      <c r="I1238" s="16" t="s">
        <v>198</v>
      </c>
      <c r="J1238" s="16" t="s">
        <v>199</v>
      </c>
      <c r="K1238" s="16">
        <v>2.1886399999999999</v>
      </c>
      <c r="L1238" s="36">
        <v>2106</v>
      </c>
      <c r="M1238" s="16">
        <v>480</v>
      </c>
      <c r="N1238" s="16">
        <v>375</v>
      </c>
      <c r="O1238" s="16">
        <v>581</v>
      </c>
      <c r="P1238" s="16">
        <v>483</v>
      </c>
      <c r="Q1238" s="16">
        <v>187</v>
      </c>
      <c r="R1238" s="16">
        <v>2</v>
      </c>
      <c r="S1238" s="16">
        <v>12.290900000000001</v>
      </c>
      <c r="T1238" s="16">
        <v>4.7129700000000003</v>
      </c>
      <c r="U1238" s="16">
        <v>1.0000088</v>
      </c>
      <c r="V1238" s="16">
        <v>4</v>
      </c>
      <c r="W1238" s="16">
        <v>0.87297800000000003</v>
      </c>
      <c r="X1238" s="16">
        <v>0.161775</v>
      </c>
      <c r="Y1238" s="16">
        <v>0.8</v>
      </c>
      <c r="Z1238" s="16">
        <v>0.34475</v>
      </c>
      <c r="AA1238" s="37"/>
    </row>
    <row r="1239" spans="1:27">
      <c r="A1239" s="16" t="s">
        <v>114</v>
      </c>
      <c r="B1239" s="16" t="s">
        <v>4019</v>
      </c>
      <c r="C1239" s="16" t="s">
        <v>4020</v>
      </c>
      <c r="D1239" s="16" t="s">
        <v>4021</v>
      </c>
      <c r="E1239" s="16" t="s">
        <v>4022</v>
      </c>
      <c r="F1239" s="16" t="s">
        <v>4023</v>
      </c>
      <c r="G1239" s="16" t="s">
        <v>3993</v>
      </c>
      <c r="H1239" s="16" t="s">
        <v>3994</v>
      </c>
      <c r="I1239" s="16" t="s">
        <v>198</v>
      </c>
      <c r="J1239" s="16" t="s">
        <v>199</v>
      </c>
      <c r="K1239" s="16">
        <v>2.3323019999999999</v>
      </c>
      <c r="L1239" s="36">
        <v>1736</v>
      </c>
      <c r="M1239" s="16">
        <v>316</v>
      </c>
      <c r="N1239" s="16">
        <v>292</v>
      </c>
      <c r="O1239" s="16">
        <v>436</v>
      </c>
      <c r="P1239" s="16">
        <v>395</v>
      </c>
      <c r="Q1239" s="16">
        <v>297</v>
      </c>
      <c r="R1239" s="16">
        <v>4</v>
      </c>
      <c r="S1239" s="16">
        <v>30.3432</v>
      </c>
      <c r="T1239" s="16">
        <v>5.1363599999999998</v>
      </c>
      <c r="U1239" s="16">
        <v>0.68800009399999995</v>
      </c>
      <c r="V1239" s="16">
        <v>8</v>
      </c>
      <c r="W1239" s="16">
        <v>0.90354900000000005</v>
      </c>
      <c r="X1239" s="16">
        <v>0.123862</v>
      </c>
      <c r="Y1239" s="16">
        <v>0.8</v>
      </c>
      <c r="Z1239" s="16">
        <v>0.50226199999999999</v>
      </c>
      <c r="AA1239" s="37"/>
    </row>
    <row r="1240" spans="1:27">
      <c r="A1240" s="16"/>
      <c r="B1240" s="16"/>
      <c r="C1240" s="16"/>
      <c r="D1240" s="16"/>
      <c r="E1240" s="16"/>
      <c r="F1240" s="16"/>
      <c r="G1240" s="16"/>
      <c r="H1240" s="16"/>
      <c r="I1240" s="16"/>
      <c r="J1240" s="16"/>
      <c r="K1240" s="16">
        <f>MEDIAN(K1221:K1239)</f>
        <v>2.160841</v>
      </c>
      <c r="L1240" s="36">
        <f>AVERAGE(L1221:L1239)</f>
        <v>1825.7894736842106</v>
      </c>
      <c r="M1240" s="16">
        <f t="shared" ref="M1240:Q1240" si="97">SUM(M1221:M1239)</f>
        <v>7826</v>
      </c>
      <c r="N1240" s="16">
        <f t="shared" si="97"/>
        <v>5359</v>
      </c>
      <c r="O1240" s="16">
        <f t="shared" si="97"/>
        <v>8331</v>
      </c>
      <c r="P1240" s="16">
        <f t="shared" si="97"/>
        <v>8660</v>
      </c>
      <c r="Q1240" s="16">
        <f t="shared" si="97"/>
        <v>4514</v>
      </c>
      <c r="R1240" s="16"/>
      <c r="S1240" s="16"/>
      <c r="T1240" s="16"/>
      <c r="U1240" s="16"/>
      <c r="V1240" s="16">
        <f>MEDIAN(V1221:V1239)</f>
        <v>4</v>
      </c>
      <c r="W1240" s="16"/>
      <c r="X1240" s="16"/>
      <c r="Y1240" s="16"/>
      <c r="Z1240" s="16"/>
      <c r="AA1240" s="37"/>
    </row>
    <row r="1241" spans="1:27">
      <c r="A1241" s="16" t="s">
        <v>115</v>
      </c>
      <c r="B1241" s="16" t="s">
        <v>2988</v>
      </c>
      <c r="C1241" s="16" t="s">
        <v>2989</v>
      </c>
      <c r="D1241" s="16" t="s">
        <v>2990</v>
      </c>
      <c r="E1241" s="16" t="s">
        <v>2807</v>
      </c>
      <c r="F1241" s="16" t="s">
        <v>2808</v>
      </c>
      <c r="G1241" s="16" t="s">
        <v>2759</v>
      </c>
      <c r="H1241" s="16" t="s">
        <v>2760</v>
      </c>
      <c r="I1241" s="16" t="s">
        <v>198</v>
      </c>
      <c r="J1241" s="16" t="s">
        <v>199</v>
      </c>
      <c r="K1241" s="16">
        <v>2.3784670000000001</v>
      </c>
      <c r="L1241" s="36">
        <v>2184</v>
      </c>
      <c r="M1241" s="16">
        <v>485</v>
      </c>
      <c r="N1241" s="16">
        <v>359</v>
      </c>
      <c r="O1241" s="16">
        <v>520</v>
      </c>
      <c r="P1241" s="16">
        <v>576</v>
      </c>
      <c r="Q1241" s="16">
        <v>244</v>
      </c>
      <c r="R1241" s="16">
        <v>3</v>
      </c>
      <c r="S1241" s="16">
        <v>17.1327</v>
      </c>
      <c r="T1241" s="16">
        <v>0</v>
      </c>
      <c r="U1241" s="16">
        <v>0.83863745300000003</v>
      </c>
      <c r="V1241" s="16">
        <v>4</v>
      </c>
      <c r="W1241" s="16">
        <v>0.85395799999999999</v>
      </c>
      <c r="X1241" s="16">
        <v>0.232847</v>
      </c>
      <c r="Y1241" s="16">
        <v>0.7</v>
      </c>
      <c r="Z1241" s="16">
        <v>0.59393200000000002</v>
      </c>
      <c r="AA1241" s="37"/>
    </row>
    <row r="1242" spans="1:27">
      <c r="A1242" s="16" t="s">
        <v>115</v>
      </c>
      <c r="B1242" s="16" t="s">
        <v>4185</v>
      </c>
      <c r="C1242" s="16" t="s">
        <v>4186</v>
      </c>
      <c r="D1242" s="16" t="s">
        <v>4187</v>
      </c>
      <c r="E1242" s="16" t="s">
        <v>4188</v>
      </c>
      <c r="F1242" s="16" t="s">
        <v>4189</v>
      </c>
      <c r="G1242" s="16" t="s">
        <v>4059</v>
      </c>
      <c r="H1242" s="16" t="s">
        <v>4060</v>
      </c>
      <c r="I1242" s="16" t="s">
        <v>198</v>
      </c>
      <c r="J1242" s="16" t="s">
        <v>199</v>
      </c>
      <c r="K1242" s="16">
        <v>1.966043</v>
      </c>
      <c r="L1242" s="36">
        <v>1572</v>
      </c>
      <c r="M1242" s="16">
        <v>338</v>
      </c>
      <c r="N1242" s="16">
        <v>198</v>
      </c>
      <c r="O1242" s="16">
        <v>297</v>
      </c>
      <c r="P1242" s="16">
        <v>433</v>
      </c>
      <c r="Q1242" s="16">
        <v>306</v>
      </c>
      <c r="R1242" s="16">
        <v>2</v>
      </c>
      <c r="S1242" s="16">
        <v>10.729900000000001</v>
      </c>
      <c r="T1242" s="16">
        <v>0</v>
      </c>
      <c r="U1242" s="16">
        <v>0.84433875899999999</v>
      </c>
      <c r="V1242" s="16">
        <v>9</v>
      </c>
      <c r="W1242" s="16">
        <v>0.82048600000000005</v>
      </c>
      <c r="X1242" s="16">
        <v>0.18251899999999999</v>
      </c>
      <c r="Y1242" s="16">
        <v>0.7</v>
      </c>
      <c r="Z1242" s="16">
        <v>0.25344499999999998</v>
      </c>
      <c r="AA1242" s="37"/>
    </row>
    <row r="1243" spans="1:27">
      <c r="A1243" s="16" t="s">
        <v>115</v>
      </c>
      <c r="B1243" s="16" t="s">
        <v>4190</v>
      </c>
      <c r="C1243" s="16" t="s">
        <v>4191</v>
      </c>
      <c r="D1243" s="16" t="s">
        <v>4192</v>
      </c>
      <c r="E1243" s="16" t="s">
        <v>4188</v>
      </c>
      <c r="F1243" s="16" t="s">
        <v>4189</v>
      </c>
      <c r="G1243" s="16" t="s">
        <v>4059</v>
      </c>
      <c r="H1243" s="16" t="s">
        <v>4060</v>
      </c>
      <c r="I1243" s="16" t="s">
        <v>198</v>
      </c>
      <c r="J1243" s="16" t="s">
        <v>199</v>
      </c>
      <c r="K1243" s="16">
        <v>1.983616</v>
      </c>
      <c r="L1243" s="36">
        <v>1752</v>
      </c>
      <c r="M1243" s="16">
        <v>377</v>
      </c>
      <c r="N1243" s="16">
        <v>272</v>
      </c>
      <c r="O1243" s="16">
        <v>443</v>
      </c>
      <c r="P1243" s="16">
        <v>444</v>
      </c>
      <c r="Q1243" s="16">
        <v>216</v>
      </c>
      <c r="R1243" s="16">
        <v>3</v>
      </c>
      <c r="S1243" s="16">
        <v>16.584</v>
      </c>
      <c r="T1243" s="16">
        <v>7.0428499999999996</v>
      </c>
      <c r="U1243" s="16">
        <v>1.052503862</v>
      </c>
      <c r="V1243" s="16">
        <v>5</v>
      </c>
      <c r="W1243" s="16">
        <v>0.82730700000000001</v>
      </c>
      <c r="X1243" s="16">
        <v>0.16068099999999999</v>
      </c>
      <c r="Y1243" s="16">
        <v>0.7</v>
      </c>
      <c r="Z1243" s="16">
        <v>0.31147200000000003</v>
      </c>
      <c r="AA1243" s="37"/>
    </row>
    <row r="1244" spans="1:27">
      <c r="A1244" s="16" t="s">
        <v>115</v>
      </c>
      <c r="B1244" s="16" t="s">
        <v>4193</v>
      </c>
      <c r="C1244" s="16" t="s">
        <v>4194</v>
      </c>
      <c r="D1244" s="16" t="s">
        <v>4195</v>
      </c>
      <c r="E1244" s="16" t="s">
        <v>4188</v>
      </c>
      <c r="F1244" s="16" t="s">
        <v>4189</v>
      </c>
      <c r="G1244" s="16" t="s">
        <v>4059</v>
      </c>
      <c r="H1244" s="16" t="s">
        <v>4060</v>
      </c>
      <c r="I1244" s="16" t="s">
        <v>198</v>
      </c>
      <c r="J1244" s="16" t="s">
        <v>199</v>
      </c>
      <c r="K1244" s="16">
        <v>1.8359049999999999</v>
      </c>
      <c r="L1244" s="36">
        <v>1356</v>
      </c>
      <c r="M1244" s="16">
        <v>233</v>
      </c>
      <c r="N1244" s="16">
        <v>178</v>
      </c>
      <c r="O1244" s="16">
        <v>280</v>
      </c>
      <c r="P1244" s="16">
        <v>376</v>
      </c>
      <c r="Q1244" s="16">
        <v>289</v>
      </c>
      <c r="R1244" s="16">
        <v>2</v>
      </c>
      <c r="S1244" s="16">
        <v>12.2682</v>
      </c>
      <c r="T1244" s="16">
        <v>0</v>
      </c>
      <c r="U1244" s="16">
        <v>1.0077670160000001</v>
      </c>
      <c r="V1244" s="16">
        <v>7</v>
      </c>
      <c r="W1244" s="16">
        <v>0.80661400000000005</v>
      </c>
      <c r="X1244" s="16">
        <v>2.75E-2</v>
      </c>
      <c r="Y1244" s="16">
        <v>0.7</v>
      </c>
      <c r="Z1244" s="16">
        <v>0.305363</v>
      </c>
      <c r="AA1244" s="37"/>
    </row>
    <row r="1245" spans="1:27">
      <c r="A1245" s="16" t="s">
        <v>115</v>
      </c>
      <c r="B1245" s="16" t="s">
        <v>4196</v>
      </c>
      <c r="C1245" s="16" t="s">
        <v>4197</v>
      </c>
      <c r="D1245" s="16" t="s">
        <v>4198</v>
      </c>
      <c r="E1245" s="16" t="s">
        <v>4188</v>
      </c>
      <c r="F1245" s="16" t="s">
        <v>4189</v>
      </c>
      <c r="G1245" s="16" t="s">
        <v>4059</v>
      </c>
      <c r="H1245" s="16" t="s">
        <v>4060</v>
      </c>
      <c r="I1245" s="16" t="s">
        <v>198</v>
      </c>
      <c r="J1245" s="16" t="s">
        <v>199</v>
      </c>
      <c r="K1245" s="16">
        <v>1.930485</v>
      </c>
      <c r="L1245" s="36">
        <v>1597</v>
      </c>
      <c r="M1245" s="16">
        <v>342</v>
      </c>
      <c r="N1245" s="16">
        <v>234</v>
      </c>
      <c r="O1245" s="16">
        <v>425</v>
      </c>
      <c r="P1245" s="16">
        <v>420</v>
      </c>
      <c r="Q1245" s="16">
        <v>176</v>
      </c>
      <c r="R1245" s="16">
        <v>2</v>
      </c>
      <c r="S1245" s="16">
        <v>17.330100000000002</v>
      </c>
      <c r="T1245" s="16">
        <v>2.3161100000000001</v>
      </c>
      <c r="U1245" s="16">
        <v>0.95965247099999995</v>
      </c>
      <c r="V1245" s="16">
        <v>7</v>
      </c>
      <c r="W1245" s="16">
        <v>0.81747599999999998</v>
      </c>
      <c r="X1245" s="16">
        <v>6.5625000000000003E-2</v>
      </c>
      <c r="Y1245" s="16">
        <v>0.7</v>
      </c>
      <c r="Z1245" s="16">
        <v>0.34368900000000002</v>
      </c>
      <c r="AA1245" s="37"/>
    </row>
    <row r="1246" spans="1:27">
      <c r="A1246" s="16" t="s">
        <v>115</v>
      </c>
      <c r="B1246" s="16" t="s">
        <v>4199</v>
      </c>
      <c r="C1246" s="16" t="s">
        <v>4200</v>
      </c>
      <c r="D1246" s="16" t="s">
        <v>4201</v>
      </c>
      <c r="E1246" s="16" t="s">
        <v>4202</v>
      </c>
      <c r="F1246" s="16" t="s">
        <v>4203</v>
      </c>
      <c r="G1246" s="16" t="s">
        <v>4059</v>
      </c>
      <c r="H1246" s="16" t="s">
        <v>4060</v>
      </c>
      <c r="I1246" s="16" t="s">
        <v>198</v>
      </c>
      <c r="J1246" s="16" t="s">
        <v>199</v>
      </c>
      <c r="K1246" s="16">
        <v>2.2081249999999999</v>
      </c>
      <c r="L1246" s="36">
        <v>1816</v>
      </c>
      <c r="M1246" s="16">
        <v>315</v>
      </c>
      <c r="N1246" s="16">
        <v>305</v>
      </c>
      <c r="O1246" s="16">
        <v>492</v>
      </c>
      <c r="P1246" s="16">
        <v>365</v>
      </c>
      <c r="Q1246" s="16">
        <v>339</v>
      </c>
      <c r="R1246" s="16">
        <v>5</v>
      </c>
      <c r="S1246" s="16">
        <v>29.773599999999998</v>
      </c>
      <c r="T1246" s="16">
        <v>3.5329799999999998</v>
      </c>
      <c r="U1246" s="16">
        <v>0.95486427799999996</v>
      </c>
      <c r="V1246" s="16">
        <v>4</v>
      </c>
      <c r="W1246" s="16">
        <v>0.80666700000000002</v>
      </c>
      <c r="X1246" s="16">
        <v>4.8319000000000001E-2</v>
      </c>
      <c r="Y1246" s="16">
        <v>0.78742299999999998</v>
      </c>
      <c r="Z1246" s="16">
        <v>0.57270799999999999</v>
      </c>
      <c r="AA1246" s="37"/>
    </row>
    <row r="1247" spans="1:27">
      <c r="A1247" s="16" t="s">
        <v>115</v>
      </c>
      <c r="B1247" s="16" t="s">
        <v>4204</v>
      </c>
      <c r="C1247" s="16" t="s">
        <v>4205</v>
      </c>
      <c r="D1247" s="16" t="s">
        <v>4206</v>
      </c>
      <c r="E1247" s="16" t="s">
        <v>4202</v>
      </c>
      <c r="F1247" s="16" t="s">
        <v>4203</v>
      </c>
      <c r="G1247" s="16" t="s">
        <v>4059</v>
      </c>
      <c r="H1247" s="16" t="s">
        <v>4060</v>
      </c>
      <c r="I1247" s="16" t="s">
        <v>198</v>
      </c>
      <c r="J1247" s="16" t="s">
        <v>199</v>
      </c>
      <c r="K1247" s="16">
        <v>1.9544010000000001</v>
      </c>
      <c r="L1247" s="36">
        <v>1934</v>
      </c>
      <c r="M1247" s="16">
        <v>316</v>
      </c>
      <c r="N1247" s="16">
        <v>319</v>
      </c>
      <c r="O1247" s="16">
        <v>610</v>
      </c>
      <c r="P1247" s="16">
        <v>423</v>
      </c>
      <c r="Q1247" s="16">
        <v>266</v>
      </c>
      <c r="R1247" s="16">
        <v>2</v>
      </c>
      <c r="S1247" s="16">
        <v>18.0944</v>
      </c>
      <c r="T1247" s="16">
        <v>0</v>
      </c>
      <c r="U1247" s="16">
        <v>0.95084302600000004</v>
      </c>
      <c r="V1247" s="16">
        <v>6</v>
      </c>
      <c r="W1247" s="16">
        <v>0.8</v>
      </c>
      <c r="X1247" s="16">
        <v>4.1843999999999999E-2</v>
      </c>
      <c r="Y1247" s="16">
        <v>0.71873900000000002</v>
      </c>
      <c r="Z1247" s="16">
        <v>0.39822400000000002</v>
      </c>
      <c r="AA1247" s="37"/>
    </row>
    <row r="1248" spans="1:27">
      <c r="A1248" s="16" t="s">
        <v>115</v>
      </c>
      <c r="B1248" s="16" t="s">
        <v>4207</v>
      </c>
      <c r="C1248" s="16" t="s">
        <v>4208</v>
      </c>
      <c r="D1248" s="16" t="s">
        <v>4209</v>
      </c>
      <c r="E1248" s="16" t="s">
        <v>4210</v>
      </c>
      <c r="F1248" s="16" t="s">
        <v>4211</v>
      </c>
      <c r="G1248" s="16" t="s">
        <v>4059</v>
      </c>
      <c r="H1248" s="16" t="s">
        <v>4060</v>
      </c>
      <c r="I1248" s="16" t="s">
        <v>198</v>
      </c>
      <c r="J1248" s="16" t="s">
        <v>199</v>
      </c>
      <c r="K1248" s="16">
        <v>2.355556</v>
      </c>
      <c r="L1248" s="36">
        <v>1882</v>
      </c>
      <c r="M1248" s="16">
        <v>362</v>
      </c>
      <c r="N1248" s="16">
        <v>213</v>
      </c>
      <c r="O1248" s="16">
        <v>619</v>
      </c>
      <c r="P1248" s="16">
        <v>423</v>
      </c>
      <c r="Q1248" s="16">
        <v>265</v>
      </c>
      <c r="R1248" s="16">
        <v>5</v>
      </c>
      <c r="S1248" s="16">
        <v>33.342399999999998</v>
      </c>
      <c r="T1248" s="16">
        <v>12.9711</v>
      </c>
      <c r="U1248" s="16">
        <v>0.68398464400000003</v>
      </c>
      <c r="V1248" s="16">
        <v>8</v>
      </c>
      <c r="W1248" s="16">
        <v>0.811581</v>
      </c>
      <c r="X1248" s="16">
        <v>0.15615100000000001</v>
      </c>
      <c r="Y1248" s="16">
        <v>0.8</v>
      </c>
      <c r="Z1248" s="16">
        <v>0.59591799999999995</v>
      </c>
      <c r="AA1248" s="37"/>
    </row>
    <row r="1249" spans="1:27">
      <c r="A1249" s="16" t="s">
        <v>115</v>
      </c>
      <c r="B1249" s="16" t="s">
        <v>4212</v>
      </c>
      <c r="C1249" s="16" t="s">
        <v>4213</v>
      </c>
      <c r="D1249" s="16" t="s">
        <v>4214</v>
      </c>
      <c r="E1249" s="16" t="s">
        <v>4089</v>
      </c>
      <c r="F1249" s="16" t="s">
        <v>4090</v>
      </c>
      <c r="G1249" s="16" t="s">
        <v>4059</v>
      </c>
      <c r="H1249" s="16" t="s">
        <v>4060</v>
      </c>
      <c r="I1249" s="16" t="s">
        <v>198</v>
      </c>
      <c r="J1249" s="16" t="s">
        <v>199</v>
      </c>
      <c r="K1249" s="16">
        <v>2.1276959999999998</v>
      </c>
      <c r="L1249" s="36">
        <v>1229</v>
      </c>
      <c r="M1249" s="16">
        <v>214</v>
      </c>
      <c r="N1249" s="16">
        <v>174</v>
      </c>
      <c r="O1249" s="16">
        <v>215</v>
      </c>
      <c r="P1249" s="16">
        <v>408</v>
      </c>
      <c r="Q1249" s="16">
        <v>218</v>
      </c>
      <c r="R1249" s="16">
        <v>3</v>
      </c>
      <c r="S1249" s="16">
        <v>13.199</v>
      </c>
      <c r="T1249" s="16">
        <v>5.4095899999999997</v>
      </c>
      <c r="U1249" s="16">
        <v>0.66572120800000001</v>
      </c>
      <c r="V1249" s="16">
        <v>10</v>
      </c>
      <c r="W1249" s="16">
        <v>0.82436799999999999</v>
      </c>
      <c r="X1249" s="16">
        <v>0.204794</v>
      </c>
      <c r="Y1249" s="16">
        <v>0.80725599999999997</v>
      </c>
      <c r="Z1249" s="16">
        <v>0.3</v>
      </c>
      <c r="AA1249" s="37"/>
    </row>
    <row r="1250" spans="1:27">
      <c r="A1250" s="16" t="s">
        <v>115</v>
      </c>
      <c r="B1250" s="16" t="s">
        <v>4215</v>
      </c>
      <c r="C1250" s="16" t="s">
        <v>4216</v>
      </c>
      <c r="D1250" s="16" t="s">
        <v>4217</v>
      </c>
      <c r="E1250" s="16" t="s">
        <v>4210</v>
      </c>
      <c r="F1250" s="16" t="s">
        <v>4211</v>
      </c>
      <c r="G1250" s="16" t="s">
        <v>4059</v>
      </c>
      <c r="H1250" s="16" t="s">
        <v>4060</v>
      </c>
      <c r="I1250" s="16" t="s">
        <v>198</v>
      </c>
      <c r="J1250" s="16" t="s">
        <v>199</v>
      </c>
      <c r="K1250" s="16">
        <v>2.0447829999999998</v>
      </c>
      <c r="L1250" s="36">
        <v>1615</v>
      </c>
      <c r="M1250" s="16">
        <v>283</v>
      </c>
      <c r="N1250" s="16">
        <v>229</v>
      </c>
      <c r="O1250" s="36">
        <v>399</v>
      </c>
      <c r="P1250" s="16">
        <v>400</v>
      </c>
      <c r="Q1250" s="16">
        <v>304</v>
      </c>
      <c r="R1250" s="16">
        <v>3</v>
      </c>
      <c r="S1250" s="16">
        <v>24.92</v>
      </c>
      <c r="T1250" s="16">
        <v>2.3251900000000001</v>
      </c>
      <c r="U1250" s="16">
        <v>0.804469989</v>
      </c>
      <c r="V1250" s="16">
        <v>9</v>
      </c>
      <c r="W1250" s="16">
        <v>0.810145</v>
      </c>
      <c r="X1250" s="16">
        <v>0.13100400000000001</v>
      </c>
      <c r="Y1250" s="16">
        <v>0.8</v>
      </c>
      <c r="Z1250" s="16">
        <v>0.31898599999999999</v>
      </c>
      <c r="AA1250" s="37"/>
    </row>
    <row r="1251" spans="1:27">
      <c r="A1251" s="16" t="s">
        <v>115</v>
      </c>
      <c r="B1251" s="16" t="s">
        <v>4218</v>
      </c>
      <c r="C1251" s="16" t="s">
        <v>4219</v>
      </c>
      <c r="D1251" s="16" t="s">
        <v>4220</v>
      </c>
      <c r="E1251" s="16" t="s">
        <v>4129</v>
      </c>
      <c r="F1251" s="16" t="s">
        <v>4130</v>
      </c>
      <c r="G1251" s="16" t="s">
        <v>4059</v>
      </c>
      <c r="H1251" s="16" t="s">
        <v>4060</v>
      </c>
      <c r="I1251" s="16" t="s">
        <v>198</v>
      </c>
      <c r="J1251" s="16" t="s">
        <v>199</v>
      </c>
      <c r="K1251" s="16">
        <v>2.1119379999999999</v>
      </c>
      <c r="L1251" s="36">
        <v>1627</v>
      </c>
      <c r="M1251" s="16">
        <v>354</v>
      </c>
      <c r="N1251" s="16">
        <v>246</v>
      </c>
      <c r="O1251" s="16">
        <v>416</v>
      </c>
      <c r="P1251" s="16">
        <v>422</v>
      </c>
      <c r="Q1251" s="16">
        <v>189</v>
      </c>
      <c r="R1251" s="16">
        <v>2</v>
      </c>
      <c r="S1251" s="16">
        <v>15.695399999999999</v>
      </c>
      <c r="T1251" s="16">
        <v>5.1498699999999999</v>
      </c>
      <c r="U1251" s="16">
        <v>0.77261200299999999</v>
      </c>
      <c r="V1251" s="16">
        <v>8</v>
      </c>
      <c r="W1251" s="16">
        <v>0.81007799999999996</v>
      </c>
      <c r="X1251" s="16">
        <v>7.4130000000000001E-2</v>
      </c>
      <c r="Y1251" s="16">
        <v>0.88619599999999998</v>
      </c>
      <c r="Z1251" s="16">
        <v>0.34126699999999999</v>
      </c>
      <c r="AA1251" s="37"/>
    </row>
    <row r="1252" spans="1:27">
      <c r="A1252" s="16" t="s">
        <v>115</v>
      </c>
      <c r="B1252" s="16" t="s">
        <v>4221</v>
      </c>
      <c r="C1252" s="16" t="s">
        <v>4222</v>
      </c>
      <c r="D1252" s="16" t="s">
        <v>4223</v>
      </c>
      <c r="E1252" s="16" t="s">
        <v>4210</v>
      </c>
      <c r="F1252" s="16" t="s">
        <v>4211</v>
      </c>
      <c r="G1252" s="16" t="s">
        <v>4059</v>
      </c>
      <c r="H1252" s="16" t="s">
        <v>4060</v>
      </c>
      <c r="I1252" s="16" t="s">
        <v>198</v>
      </c>
      <c r="J1252" s="16" t="s">
        <v>199</v>
      </c>
      <c r="K1252" s="16">
        <v>2.2714020000000001</v>
      </c>
      <c r="L1252" s="36">
        <v>1583</v>
      </c>
      <c r="M1252" s="16">
        <v>334</v>
      </c>
      <c r="N1252" s="16">
        <v>228</v>
      </c>
      <c r="O1252" s="16">
        <v>472</v>
      </c>
      <c r="P1252" s="16">
        <v>347</v>
      </c>
      <c r="Q1252" s="16">
        <v>202</v>
      </c>
      <c r="R1252" s="16">
        <v>5</v>
      </c>
      <c r="S1252" s="16">
        <v>28.946100000000001</v>
      </c>
      <c r="T1252" s="16">
        <v>10.1594</v>
      </c>
      <c r="U1252" s="16">
        <v>0.74354392899999999</v>
      </c>
      <c r="V1252" s="16">
        <v>7</v>
      </c>
      <c r="W1252" s="16">
        <v>0.81401900000000005</v>
      </c>
      <c r="X1252" s="16">
        <v>9.5880000000000007E-2</v>
      </c>
      <c r="Y1252" s="16">
        <v>0.82420300000000002</v>
      </c>
      <c r="Z1252" s="16">
        <v>0.53872200000000003</v>
      </c>
      <c r="AA1252" s="37"/>
    </row>
    <row r="1253" spans="1:27">
      <c r="A1253" s="16" t="s">
        <v>115</v>
      </c>
      <c r="B1253" s="16" t="s">
        <v>4224</v>
      </c>
      <c r="C1253" s="16" t="s">
        <v>4225</v>
      </c>
      <c r="D1253" s="16" t="s">
        <v>4226</v>
      </c>
      <c r="E1253" s="16" t="s">
        <v>4227</v>
      </c>
      <c r="F1253" s="16" t="s">
        <v>4228</v>
      </c>
      <c r="G1253" s="16" t="s">
        <v>4059</v>
      </c>
      <c r="H1253" s="16" t="s">
        <v>4060</v>
      </c>
      <c r="I1253" s="16" t="s">
        <v>198</v>
      </c>
      <c r="J1253" s="16" t="s">
        <v>199</v>
      </c>
      <c r="K1253" s="16">
        <v>2.3591039999999999</v>
      </c>
      <c r="L1253" s="36">
        <v>1877</v>
      </c>
      <c r="M1253" s="16">
        <v>393</v>
      </c>
      <c r="N1253" s="16">
        <v>274</v>
      </c>
      <c r="O1253" s="16">
        <v>626</v>
      </c>
      <c r="P1253" s="16">
        <v>409</v>
      </c>
      <c r="Q1253" s="16">
        <v>175</v>
      </c>
      <c r="R1253" s="16" t="s">
        <v>302</v>
      </c>
      <c r="S1253" s="16">
        <v>31.331199999999999</v>
      </c>
      <c r="T1253" s="16">
        <v>14.1218</v>
      </c>
      <c r="U1253" s="16">
        <v>0.80010496499999995</v>
      </c>
      <c r="V1253" s="16">
        <v>6</v>
      </c>
      <c r="W1253" s="16">
        <v>0.81546200000000002</v>
      </c>
      <c r="X1253" s="16">
        <v>0.127641</v>
      </c>
      <c r="Y1253" s="16">
        <v>0.79782299999999995</v>
      </c>
      <c r="Z1253" s="16">
        <v>0.61763000000000001</v>
      </c>
      <c r="AA1253" s="37"/>
    </row>
    <row r="1254" spans="1:27">
      <c r="A1254" s="16" t="s">
        <v>115</v>
      </c>
      <c r="B1254" s="16" t="s">
        <v>4229</v>
      </c>
      <c r="C1254" s="16" t="s">
        <v>4230</v>
      </c>
      <c r="D1254" s="16" t="s">
        <v>4231</v>
      </c>
      <c r="E1254" s="16" t="s">
        <v>4232</v>
      </c>
      <c r="F1254" s="16" t="s">
        <v>4233</v>
      </c>
      <c r="G1254" s="16" t="s">
        <v>4059</v>
      </c>
      <c r="H1254" s="16" t="s">
        <v>4060</v>
      </c>
      <c r="I1254" s="16" t="s">
        <v>198</v>
      </c>
      <c r="J1254" s="16" t="s">
        <v>199</v>
      </c>
      <c r="K1254" s="16">
        <v>2.0795149999999998</v>
      </c>
      <c r="L1254" s="36">
        <v>1462</v>
      </c>
      <c r="M1254" s="16">
        <v>313</v>
      </c>
      <c r="N1254" s="16">
        <v>183</v>
      </c>
      <c r="O1254" s="16">
        <v>401</v>
      </c>
      <c r="P1254" s="16">
        <v>388</v>
      </c>
      <c r="Q1254" s="16">
        <v>177</v>
      </c>
      <c r="R1254" s="16">
        <v>3</v>
      </c>
      <c r="S1254" s="16">
        <v>28.104600000000001</v>
      </c>
      <c r="T1254" s="16">
        <v>3.1433900000000001</v>
      </c>
      <c r="U1254" s="16">
        <v>0.83202589000000005</v>
      </c>
      <c r="V1254" s="16">
        <v>8</v>
      </c>
      <c r="W1254" s="16">
        <v>0.82643200000000006</v>
      </c>
      <c r="X1254" s="16">
        <v>0.122637</v>
      </c>
      <c r="Y1254" s="16">
        <v>0.71790399999999999</v>
      </c>
      <c r="Z1254" s="16">
        <v>0.41084599999999999</v>
      </c>
      <c r="AA1254" s="37"/>
    </row>
    <row r="1255" spans="1:27">
      <c r="A1255" s="16" t="s">
        <v>115</v>
      </c>
      <c r="B1255" s="16" t="s">
        <v>4234</v>
      </c>
      <c r="C1255" s="16" t="s">
        <v>4235</v>
      </c>
      <c r="D1255" s="16" t="s">
        <v>4236</v>
      </c>
      <c r="E1255" s="16" t="s">
        <v>4227</v>
      </c>
      <c r="F1255" s="16" t="s">
        <v>4228</v>
      </c>
      <c r="G1255" s="16" t="s">
        <v>4059</v>
      </c>
      <c r="H1255" s="16" t="s">
        <v>4060</v>
      </c>
      <c r="I1255" s="16" t="s">
        <v>198</v>
      </c>
      <c r="J1255" s="16" t="s">
        <v>199</v>
      </c>
      <c r="K1255" s="16">
        <v>2.3897270000000002</v>
      </c>
      <c r="L1255" s="36">
        <v>3133</v>
      </c>
      <c r="M1255" s="16">
        <v>699</v>
      </c>
      <c r="N1255" s="16">
        <v>592</v>
      </c>
      <c r="O1255" s="36">
        <v>1007</v>
      </c>
      <c r="P1255" s="16">
        <v>563</v>
      </c>
      <c r="Q1255" s="16">
        <v>272</v>
      </c>
      <c r="R1255" s="16" t="s">
        <v>302</v>
      </c>
      <c r="S1255" s="16">
        <v>33.250599999999999</v>
      </c>
      <c r="T1255" s="16">
        <v>15.213699999999999</v>
      </c>
      <c r="U1255" s="16">
        <v>0.90187955600000003</v>
      </c>
      <c r="V1255" s="16">
        <v>4</v>
      </c>
      <c r="W1255" s="16">
        <v>0.82645500000000005</v>
      </c>
      <c r="X1255" s="16">
        <v>0.121019</v>
      </c>
      <c r="Y1255" s="16">
        <v>0.80462</v>
      </c>
      <c r="Z1255" s="16">
        <v>0.63412199999999996</v>
      </c>
      <c r="AA1255" s="37"/>
    </row>
    <row r="1256" spans="1:27">
      <c r="A1256" s="16" t="s">
        <v>115</v>
      </c>
      <c r="B1256" s="16" t="s">
        <v>4237</v>
      </c>
      <c r="C1256" s="16" t="s">
        <v>4238</v>
      </c>
      <c r="D1256" s="16" t="s">
        <v>4239</v>
      </c>
      <c r="E1256" s="16" t="s">
        <v>4240</v>
      </c>
      <c r="F1256" s="16" t="s">
        <v>4241</v>
      </c>
      <c r="G1256" s="16" t="s">
        <v>4059</v>
      </c>
      <c r="H1256" s="16" t="s">
        <v>4060</v>
      </c>
      <c r="I1256" s="16" t="s">
        <v>198</v>
      </c>
      <c r="J1256" s="16" t="s">
        <v>199</v>
      </c>
      <c r="K1256" s="16">
        <v>1.8447659999999999</v>
      </c>
      <c r="L1256" s="36">
        <v>1283</v>
      </c>
      <c r="M1256" s="16">
        <v>245</v>
      </c>
      <c r="N1256" s="16">
        <v>175</v>
      </c>
      <c r="O1256" s="16">
        <v>260</v>
      </c>
      <c r="P1256" s="16">
        <v>386</v>
      </c>
      <c r="Q1256" s="16">
        <v>217</v>
      </c>
      <c r="R1256" s="16">
        <v>2</v>
      </c>
      <c r="S1256" s="16">
        <v>14.6068</v>
      </c>
      <c r="T1256" s="16">
        <v>6.4695</v>
      </c>
      <c r="U1256" s="16">
        <v>0.89448793800000004</v>
      </c>
      <c r="V1256" s="16">
        <v>9</v>
      </c>
      <c r="W1256" s="16">
        <v>0.81578099999999998</v>
      </c>
      <c r="X1256" s="16">
        <v>2.5641000000000001E-2</v>
      </c>
      <c r="Y1256" s="16">
        <v>0.7</v>
      </c>
      <c r="Z1256" s="16">
        <v>0.3</v>
      </c>
      <c r="AA1256" s="37"/>
    </row>
    <row r="1257" spans="1:27">
      <c r="A1257" s="16" t="s">
        <v>115</v>
      </c>
      <c r="B1257" s="16" t="s">
        <v>4242</v>
      </c>
      <c r="C1257" s="16" t="s">
        <v>4243</v>
      </c>
      <c r="D1257" s="16" t="s">
        <v>4244</v>
      </c>
      <c r="E1257" s="16" t="s">
        <v>4240</v>
      </c>
      <c r="F1257" s="16" t="s">
        <v>4241</v>
      </c>
      <c r="G1257" s="16" t="s">
        <v>4059</v>
      </c>
      <c r="H1257" s="16" t="s">
        <v>4060</v>
      </c>
      <c r="I1257" s="16" t="s">
        <v>198</v>
      </c>
      <c r="J1257" s="16" t="s">
        <v>199</v>
      </c>
      <c r="K1257" s="16">
        <v>2.0163739999999999</v>
      </c>
      <c r="L1257" s="36">
        <v>1566</v>
      </c>
      <c r="M1257" s="16">
        <v>296</v>
      </c>
      <c r="N1257" s="16">
        <v>193</v>
      </c>
      <c r="O1257" s="16">
        <v>482</v>
      </c>
      <c r="P1257" s="16">
        <v>359</v>
      </c>
      <c r="Q1257" s="16">
        <v>236</v>
      </c>
      <c r="R1257" s="16">
        <v>3</v>
      </c>
      <c r="S1257" s="16">
        <v>15.837899999999999</v>
      </c>
      <c r="T1257" s="16">
        <v>1.5515399999999999</v>
      </c>
      <c r="U1257" s="16">
        <v>1.0221999319999999</v>
      </c>
      <c r="V1257" s="16">
        <v>5</v>
      </c>
      <c r="W1257" s="16">
        <v>0.82081400000000004</v>
      </c>
      <c r="X1257" s="16">
        <v>0.11944200000000001</v>
      </c>
      <c r="Y1257" s="16">
        <v>0.7</v>
      </c>
      <c r="Z1257" s="16">
        <v>0.38209599999999999</v>
      </c>
      <c r="AA1257" s="37"/>
    </row>
    <row r="1258" spans="1:27">
      <c r="A1258" s="16" t="s">
        <v>115</v>
      </c>
      <c r="B1258" s="16" t="s">
        <v>4245</v>
      </c>
      <c r="C1258" s="16" t="s">
        <v>4246</v>
      </c>
      <c r="D1258" s="16" t="s">
        <v>4247</v>
      </c>
      <c r="E1258" s="16" t="s">
        <v>4240</v>
      </c>
      <c r="F1258" s="16" t="s">
        <v>4241</v>
      </c>
      <c r="G1258" s="16" t="s">
        <v>4059</v>
      </c>
      <c r="H1258" s="16" t="s">
        <v>4060</v>
      </c>
      <c r="I1258" s="16" t="s">
        <v>198</v>
      </c>
      <c r="J1258" s="16" t="s">
        <v>199</v>
      </c>
      <c r="K1258" s="16">
        <v>1.930294</v>
      </c>
      <c r="L1258" s="36">
        <v>1494</v>
      </c>
      <c r="M1258" s="16">
        <v>320</v>
      </c>
      <c r="N1258" s="16">
        <v>169</v>
      </c>
      <c r="O1258" s="16">
        <v>375</v>
      </c>
      <c r="P1258" s="16">
        <v>381</v>
      </c>
      <c r="Q1258" s="16">
        <v>249</v>
      </c>
      <c r="R1258" s="16">
        <v>2</v>
      </c>
      <c r="S1258" s="16">
        <v>14.328200000000001</v>
      </c>
      <c r="T1258" s="16">
        <v>3.7747000000000002</v>
      </c>
      <c r="U1258" s="16">
        <v>0.84147716900000002</v>
      </c>
      <c r="V1258" s="16">
        <v>9</v>
      </c>
      <c r="W1258" s="16">
        <v>0.81352899999999995</v>
      </c>
      <c r="X1258" s="16">
        <v>9.7147999999999998E-2</v>
      </c>
      <c r="Y1258" s="16">
        <v>0.71087199999999995</v>
      </c>
      <c r="Z1258" s="16">
        <v>0.302838</v>
      </c>
      <c r="AA1258" s="37"/>
    </row>
    <row r="1259" spans="1:27">
      <c r="A1259" s="16" t="s">
        <v>115</v>
      </c>
      <c r="B1259" s="16" t="s">
        <v>4248</v>
      </c>
      <c r="C1259" s="16" t="s">
        <v>4249</v>
      </c>
      <c r="D1259" s="16" t="s">
        <v>4250</v>
      </c>
      <c r="E1259" s="16" t="s">
        <v>4240</v>
      </c>
      <c r="F1259" s="16" t="s">
        <v>4241</v>
      </c>
      <c r="G1259" s="16" t="s">
        <v>4059</v>
      </c>
      <c r="H1259" s="16" t="s">
        <v>4060</v>
      </c>
      <c r="I1259" s="16" t="s">
        <v>198</v>
      </c>
      <c r="J1259" s="16" t="s">
        <v>199</v>
      </c>
      <c r="K1259" s="16">
        <v>1.905632</v>
      </c>
      <c r="L1259" s="36">
        <v>1532</v>
      </c>
      <c r="M1259" s="16">
        <v>303</v>
      </c>
      <c r="N1259" s="16">
        <v>172</v>
      </c>
      <c r="O1259" s="16">
        <v>370</v>
      </c>
      <c r="P1259" s="16">
        <v>452</v>
      </c>
      <c r="Q1259" s="16">
        <v>235</v>
      </c>
      <c r="R1259" s="16">
        <v>2</v>
      </c>
      <c r="S1259" s="16">
        <v>16.923100000000002</v>
      </c>
      <c r="T1259" s="16">
        <v>1.9101300000000001</v>
      </c>
      <c r="U1259" s="16">
        <v>0.91953472800000002</v>
      </c>
      <c r="V1259" s="16">
        <v>8</v>
      </c>
      <c r="W1259" s="16">
        <v>0.82991700000000002</v>
      </c>
      <c r="X1259" s="16">
        <v>7.8372999999999998E-2</v>
      </c>
      <c r="Y1259" s="16">
        <v>0.7</v>
      </c>
      <c r="Z1259" s="16">
        <v>0.30963299999999999</v>
      </c>
      <c r="AA1259" s="37"/>
    </row>
    <row r="1260" spans="1:27">
      <c r="A1260" s="16" t="s">
        <v>115</v>
      </c>
      <c r="B1260" s="16" t="s">
        <v>4251</v>
      </c>
      <c r="C1260" s="16" t="s">
        <v>4252</v>
      </c>
      <c r="D1260" s="16" t="s">
        <v>4253</v>
      </c>
      <c r="E1260" s="16" t="s">
        <v>4232</v>
      </c>
      <c r="F1260" s="16" t="s">
        <v>4233</v>
      </c>
      <c r="G1260" s="16" t="s">
        <v>4059</v>
      </c>
      <c r="H1260" s="16" t="s">
        <v>4060</v>
      </c>
      <c r="I1260" s="16" t="s">
        <v>198</v>
      </c>
      <c r="J1260" s="16" t="s">
        <v>199</v>
      </c>
      <c r="K1260" s="16">
        <v>1.9161900000000001</v>
      </c>
      <c r="L1260" s="36">
        <v>1765</v>
      </c>
      <c r="M1260" s="16">
        <v>377</v>
      </c>
      <c r="N1260" s="16">
        <v>266</v>
      </c>
      <c r="O1260" s="16">
        <v>475</v>
      </c>
      <c r="P1260" s="16">
        <v>458</v>
      </c>
      <c r="Q1260" s="16">
        <v>189</v>
      </c>
      <c r="R1260" s="16">
        <v>2</v>
      </c>
      <c r="S1260" s="16">
        <v>7.7797499999999999</v>
      </c>
      <c r="T1260" s="16">
        <v>4.1520599999999996</v>
      </c>
      <c r="U1260" s="16">
        <v>0.89498487299999996</v>
      </c>
      <c r="V1260" s="16">
        <v>9</v>
      </c>
      <c r="W1260" s="16">
        <v>0.81657100000000005</v>
      </c>
      <c r="X1260" s="16">
        <v>8.8511999999999993E-2</v>
      </c>
      <c r="Y1260" s="16">
        <v>0.7</v>
      </c>
      <c r="Z1260" s="16">
        <v>0.30306499999999997</v>
      </c>
      <c r="AA1260" s="37"/>
    </row>
    <row r="1261" spans="1:27">
      <c r="A1261" s="16" t="s">
        <v>115</v>
      </c>
      <c r="B1261" s="16" t="s">
        <v>4254</v>
      </c>
      <c r="C1261" s="16" t="s">
        <v>4255</v>
      </c>
      <c r="D1261" s="16" t="s">
        <v>4256</v>
      </c>
      <c r="E1261" s="16" t="s">
        <v>4240</v>
      </c>
      <c r="F1261" s="16" t="s">
        <v>4241</v>
      </c>
      <c r="G1261" s="16" t="s">
        <v>4059</v>
      </c>
      <c r="H1261" s="16" t="s">
        <v>4060</v>
      </c>
      <c r="I1261" s="16" t="s">
        <v>198</v>
      </c>
      <c r="J1261" s="16" t="s">
        <v>199</v>
      </c>
      <c r="K1261" s="16">
        <v>1.9789669999999999</v>
      </c>
      <c r="L1261" s="36">
        <v>1763</v>
      </c>
      <c r="M1261" s="16">
        <v>381</v>
      </c>
      <c r="N1261" s="16">
        <v>268</v>
      </c>
      <c r="O1261" s="16">
        <v>351</v>
      </c>
      <c r="P1261" s="16">
        <v>504</v>
      </c>
      <c r="Q1261" s="16">
        <v>259</v>
      </c>
      <c r="R1261" s="16">
        <v>2</v>
      </c>
      <c r="S1261" s="16">
        <v>24.285399999999999</v>
      </c>
      <c r="T1261" s="16">
        <v>3.1506500000000002</v>
      </c>
      <c r="U1261" s="16">
        <v>0.79653532999999999</v>
      </c>
      <c r="V1261" s="16">
        <v>10</v>
      </c>
      <c r="W1261" s="16">
        <v>0.80984</v>
      </c>
      <c r="X1261" s="16">
        <v>0.15679000000000001</v>
      </c>
      <c r="Y1261" s="16">
        <v>0.70283899999999999</v>
      </c>
      <c r="Z1261" s="16">
        <v>0.31372100000000003</v>
      </c>
      <c r="AA1261" s="37"/>
    </row>
    <row r="1262" spans="1:27">
      <c r="A1262" s="16" t="s">
        <v>115</v>
      </c>
      <c r="B1262" s="16" t="s">
        <v>4257</v>
      </c>
      <c r="C1262" s="16" t="s">
        <v>4258</v>
      </c>
      <c r="D1262" s="16" t="s">
        <v>4259</v>
      </c>
      <c r="E1262" s="16" t="s">
        <v>4260</v>
      </c>
      <c r="F1262" s="16" t="s">
        <v>4261</v>
      </c>
      <c r="G1262" s="16" t="s">
        <v>4059</v>
      </c>
      <c r="H1262" s="16" t="s">
        <v>4060</v>
      </c>
      <c r="I1262" s="16" t="s">
        <v>198</v>
      </c>
      <c r="J1262" s="16" t="s">
        <v>199</v>
      </c>
      <c r="K1262" s="16">
        <v>2.063612</v>
      </c>
      <c r="L1262" s="36">
        <v>1629</v>
      </c>
      <c r="M1262" s="16">
        <v>329</v>
      </c>
      <c r="N1262" s="16">
        <v>229</v>
      </c>
      <c r="O1262" s="16">
        <v>326</v>
      </c>
      <c r="P1262" s="16">
        <v>443</v>
      </c>
      <c r="Q1262" s="16">
        <v>302</v>
      </c>
      <c r="R1262" s="16">
        <v>2</v>
      </c>
      <c r="S1262" s="16">
        <v>12.153700000000001</v>
      </c>
      <c r="T1262" s="16">
        <v>2.3789400000000001</v>
      </c>
      <c r="U1262" s="16">
        <v>0.905931025</v>
      </c>
      <c r="V1262" s="16">
        <v>7</v>
      </c>
      <c r="W1262" s="16">
        <v>0.83519299999999996</v>
      </c>
      <c r="X1262" s="16">
        <v>0.122793</v>
      </c>
      <c r="Y1262" s="16">
        <v>0.7</v>
      </c>
      <c r="Z1262" s="16">
        <v>0.40422200000000003</v>
      </c>
      <c r="AA1262" s="37"/>
    </row>
    <row r="1263" spans="1:27">
      <c r="A1263" s="16" t="s">
        <v>115</v>
      </c>
      <c r="B1263" s="16" t="s">
        <v>4262</v>
      </c>
      <c r="C1263" s="16" t="s">
        <v>4263</v>
      </c>
      <c r="D1263" s="16" t="s">
        <v>4264</v>
      </c>
      <c r="E1263" s="16" t="s">
        <v>4260</v>
      </c>
      <c r="F1263" s="16" t="s">
        <v>4261</v>
      </c>
      <c r="G1263" s="16" t="s">
        <v>4059</v>
      </c>
      <c r="H1263" s="16" t="s">
        <v>4060</v>
      </c>
      <c r="I1263" s="16" t="s">
        <v>198</v>
      </c>
      <c r="J1263" s="16" t="s">
        <v>199</v>
      </c>
      <c r="K1263" s="16">
        <v>1.870517</v>
      </c>
      <c r="L1263" s="36">
        <v>1394</v>
      </c>
      <c r="M1263" s="16">
        <v>241</v>
      </c>
      <c r="N1263" s="16">
        <v>198</v>
      </c>
      <c r="O1263" s="16">
        <v>258</v>
      </c>
      <c r="P1263" s="16">
        <v>459</v>
      </c>
      <c r="Q1263" s="16">
        <v>238</v>
      </c>
      <c r="R1263" s="16" t="s">
        <v>225</v>
      </c>
      <c r="S1263" s="16">
        <v>7.8791399999999996</v>
      </c>
      <c r="T1263" s="16">
        <v>0</v>
      </c>
      <c r="U1263" s="16">
        <v>0.88870603599999998</v>
      </c>
      <c r="V1263" s="16">
        <v>9</v>
      </c>
      <c r="W1263" s="16">
        <v>0.80198000000000003</v>
      </c>
      <c r="X1263" s="16">
        <v>5.2116000000000003E-2</v>
      </c>
      <c r="Y1263" s="16">
        <v>0.7</v>
      </c>
      <c r="Z1263" s="16">
        <v>0.31149199999999999</v>
      </c>
      <c r="AA1263" s="37"/>
    </row>
    <row r="1264" spans="1:27">
      <c r="A1264" s="16" t="s">
        <v>115</v>
      </c>
      <c r="B1264" s="16" t="s">
        <v>4265</v>
      </c>
      <c r="C1264" s="16" t="s">
        <v>4266</v>
      </c>
      <c r="D1264" s="16" t="s">
        <v>4267</v>
      </c>
      <c r="E1264" s="16" t="s">
        <v>4260</v>
      </c>
      <c r="F1264" s="16" t="s">
        <v>4261</v>
      </c>
      <c r="G1264" s="16" t="s">
        <v>4059</v>
      </c>
      <c r="H1264" s="16" t="s">
        <v>4060</v>
      </c>
      <c r="I1264" s="16" t="s">
        <v>198</v>
      </c>
      <c r="J1264" s="16" t="s">
        <v>199</v>
      </c>
      <c r="K1264" s="16">
        <v>2.173162</v>
      </c>
      <c r="L1264" s="36">
        <v>1334</v>
      </c>
      <c r="M1264" s="16">
        <v>245</v>
      </c>
      <c r="N1264" s="16">
        <v>174</v>
      </c>
      <c r="O1264" s="16">
        <v>232</v>
      </c>
      <c r="P1264" s="16">
        <v>402</v>
      </c>
      <c r="Q1264" s="16">
        <v>281</v>
      </c>
      <c r="R1264" s="16">
        <v>2</v>
      </c>
      <c r="S1264" s="16">
        <v>12.7425</v>
      </c>
      <c r="T1264" s="16">
        <v>0</v>
      </c>
      <c r="U1264" s="16">
        <v>0.70860985099999996</v>
      </c>
      <c r="V1264" s="16">
        <v>8</v>
      </c>
      <c r="W1264" s="16">
        <v>0.81642199999999998</v>
      </c>
      <c r="X1264" s="16">
        <v>0.15215799999999999</v>
      </c>
      <c r="Y1264" s="16">
        <v>0.7</v>
      </c>
      <c r="Z1264" s="16">
        <v>0.50109999999999999</v>
      </c>
      <c r="AA1264" s="37"/>
    </row>
    <row r="1265" spans="1:27">
      <c r="A1265" s="16"/>
      <c r="B1265" s="16"/>
      <c r="C1265" s="16"/>
      <c r="D1265" s="16"/>
      <c r="E1265" s="16"/>
      <c r="F1265" s="16"/>
      <c r="G1265" s="16"/>
      <c r="H1265" s="16"/>
      <c r="I1265" s="16"/>
      <c r="J1265" s="16"/>
      <c r="K1265" s="16">
        <f>MEDIAN(K1241:K1264)</f>
        <v>2.0305784999999998</v>
      </c>
      <c r="L1265" s="36">
        <f>AVERAGE(L1241:L1264)</f>
        <v>1682.4583333333333</v>
      </c>
      <c r="M1265" s="16">
        <f t="shared" ref="M1265:Q1265" si="98">SUM(M1241:M1264)</f>
        <v>8095</v>
      </c>
      <c r="N1265" s="16">
        <f t="shared" si="98"/>
        <v>5848</v>
      </c>
      <c r="O1265" s="16">
        <f t="shared" si="98"/>
        <v>10351</v>
      </c>
      <c r="P1265" s="16">
        <f t="shared" si="98"/>
        <v>10241</v>
      </c>
      <c r="Q1265" s="16">
        <f t="shared" si="98"/>
        <v>5844</v>
      </c>
      <c r="R1265" s="16"/>
      <c r="S1265" s="16">
        <f t="shared" ref="S1265:U1265" si="99">MIN(S1241:S1264)</f>
        <v>7.7797499999999999</v>
      </c>
      <c r="T1265" s="16">
        <f t="shared" si="99"/>
        <v>0</v>
      </c>
      <c r="U1265" s="16">
        <f t="shared" si="99"/>
        <v>0.66572120800000001</v>
      </c>
      <c r="V1265" s="16">
        <f>MEDIAN(V1241:V1264)</f>
        <v>8</v>
      </c>
      <c r="W1265" s="16"/>
      <c r="X1265" s="16"/>
      <c r="Y1265" s="16"/>
      <c r="Z1265" s="16"/>
      <c r="AA1265" s="37"/>
    </row>
    <row r="1266" spans="1:27">
      <c r="A1266" s="16" t="s">
        <v>116</v>
      </c>
      <c r="B1266" s="16" t="s">
        <v>4212</v>
      </c>
      <c r="C1266" s="16" t="s">
        <v>4213</v>
      </c>
      <c r="D1266" s="16" t="s">
        <v>4214</v>
      </c>
      <c r="E1266" s="16" t="s">
        <v>4089</v>
      </c>
      <c r="F1266" s="16" t="s">
        <v>4090</v>
      </c>
      <c r="G1266" s="16" t="s">
        <v>4059</v>
      </c>
      <c r="H1266" s="16" t="s">
        <v>4060</v>
      </c>
      <c r="I1266" s="16" t="s">
        <v>198</v>
      </c>
      <c r="J1266" s="16" t="s">
        <v>199</v>
      </c>
      <c r="K1266" s="16">
        <v>2.1276959999999998</v>
      </c>
      <c r="L1266" s="36">
        <v>1229</v>
      </c>
      <c r="M1266" s="16">
        <v>214</v>
      </c>
      <c r="N1266" s="16">
        <v>174</v>
      </c>
      <c r="O1266" s="16">
        <v>215</v>
      </c>
      <c r="P1266" s="16">
        <v>408</v>
      </c>
      <c r="Q1266" s="16">
        <v>218</v>
      </c>
      <c r="R1266" s="16">
        <v>3</v>
      </c>
      <c r="S1266" s="16">
        <v>13.199</v>
      </c>
      <c r="T1266" s="16">
        <v>5.4095899999999997</v>
      </c>
      <c r="U1266" s="16">
        <v>0.66572120800000001</v>
      </c>
      <c r="V1266" s="16">
        <v>10</v>
      </c>
      <c r="W1266" s="16">
        <v>0.82436799999999999</v>
      </c>
      <c r="X1266" s="16">
        <v>0.204794</v>
      </c>
      <c r="Y1266" s="16">
        <v>0.80725599999999997</v>
      </c>
      <c r="Z1266" s="16">
        <v>0.3</v>
      </c>
      <c r="AA1266" s="37"/>
    </row>
    <row r="1267" spans="1:27">
      <c r="A1267" s="16" t="s">
        <v>116</v>
      </c>
      <c r="B1267" s="16" t="s">
        <v>4268</v>
      </c>
      <c r="C1267" s="16" t="s">
        <v>4269</v>
      </c>
      <c r="D1267" s="16" t="s">
        <v>4270</v>
      </c>
      <c r="E1267" s="16" t="s">
        <v>4089</v>
      </c>
      <c r="F1267" s="16" t="s">
        <v>4090</v>
      </c>
      <c r="G1267" s="16" t="s">
        <v>4059</v>
      </c>
      <c r="H1267" s="16" t="s">
        <v>4060</v>
      </c>
      <c r="I1267" s="16" t="s">
        <v>198</v>
      </c>
      <c r="J1267" s="16" t="s">
        <v>199</v>
      </c>
      <c r="K1267" s="16">
        <v>2.179262</v>
      </c>
      <c r="L1267" s="36">
        <v>2035</v>
      </c>
      <c r="M1267" s="16">
        <v>383</v>
      </c>
      <c r="N1267" s="16">
        <v>293</v>
      </c>
      <c r="O1267" s="16">
        <v>469</v>
      </c>
      <c r="P1267" s="16">
        <v>544</v>
      </c>
      <c r="Q1267" s="16">
        <v>346</v>
      </c>
      <c r="R1267" s="16">
        <v>2</v>
      </c>
      <c r="S1267" s="16">
        <v>12.2143</v>
      </c>
      <c r="T1267" s="16">
        <v>4.5429300000000001</v>
      </c>
      <c r="U1267" s="16">
        <v>0.76134117800000001</v>
      </c>
      <c r="V1267" s="16">
        <v>8</v>
      </c>
      <c r="W1267" s="16">
        <v>0.82703599999999999</v>
      </c>
      <c r="X1267" s="16">
        <v>0.239869</v>
      </c>
      <c r="Y1267" s="16">
        <v>0.803813</v>
      </c>
      <c r="Z1267" s="16">
        <v>0.29989100000000002</v>
      </c>
      <c r="AA1267" s="37"/>
    </row>
    <row r="1268" spans="1:27">
      <c r="A1268" s="16" t="s">
        <v>116</v>
      </c>
      <c r="B1268" s="16" t="s">
        <v>4271</v>
      </c>
      <c r="C1268" s="16" t="s">
        <v>4272</v>
      </c>
      <c r="D1268" s="16" t="s">
        <v>4273</v>
      </c>
      <c r="E1268" s="16" t="s">
        <v>4274</v>
      </c>
      <c r="F1268" s="16" t="s">
        <v>4275</v>
      </c>
      <c r="G1268" s="16" t="s">
        <v>4059</v>
      </c>
      <c r="H1268" s="16" t="s">
        <v>4060</v>
      </c>
      <c r="I1268" s="16" t="s">
        <v>198</v>
      </c>
      <c r="J1268" s="16" t="s">
        <v>199</v>
      </c>
      <c r="K1268" s="16">
        <v>2.0046469999999998</v>
      </c>
      <c r="L1268" s="36">
        <v>1652</v>
      </c>
      <c r="M1268" s="16">
        <v>398</v>
      </c>
      <c r="N1268" s="16">
        <v>194</v>
      </c>
      <c r="O1268" s="16">
        <v>350</v>
      </c>
      <c r="P1268" s="16">
        <v>397</v>
      </c>
      <c r="Q1268" s="16">
        <v>313</v>
      </c>
      <c r="R1268" s="16" t="s">
        <v>225</v>
      </c>
      <c r="S1268" s="16">
        <v>9.1562800000000006</v>
      </c>
      <c r="T1268" s="16">
        <v>0</v>
      </c>
      <c r="U1268" s="16">
        <v>0.77584406900000003</v>
      </c>
      <c r="V1268" s="16">
        <v>10</v>
      </c>
      <c r="W1268" s="16">
        <v>0.803396</v>
      </c>
      <c r="X1268" s="16">
        <v>5.1812999999999998E-2</v>
      </c>
      <c r="Y1268" s="16">
        <v>0.8</v>
      </c>
      <c r="Z1268" s="16">
        <v>0.35264099999999998</v>
      </c>
      <c r="AA1268" s="37"/>
    </row>
    <row r="1269" spans="1:27">
      <c r="A1269" s="16" t="s">
        <v>116</v>
      </c>
      <c r="B1269" s="16" t="s">
        <v>4276</v>
      </c>
      <c r="C1269" s="16" t="s">
        <v>4277</v>
      </c>
      <c r="D1269" s="16" t="s">
        <v>4278</v>
      </c>
      <c r="E1269" s="16" t="s">
        <v>4274</v>
      </c>
      <c r="F1269" s="16" t="s">
        <v>4275</v>
      </c>
      <c r="G1269" s="16" t="s">
        <v>4059</v>
      </c>
      <c r="H1269" s="16" t="s">
        <v>4060</v>
      </c>
      <c r="I1269" s="16" t="s">
        <v>198</v>
      </c>
      <c r="J1269" s="16" t="s">
        <v>199</v>
      </c>
      <c r="K1269" s="16">
        <v>2.0477780000000001</v>
      </c>
      <c r="L1269" s="36">
        <v>1807</v>
      </c>
      <c r="M1269" s="16">
        <v>391</v>
      </c>
      <c r="N1269" s="16">
        <v>240</v>
      </c>
      <c r="O1269" s="16">
        <v>453</v>
      </c>
      <c r="P1269" s="16">
        <v>469</v>
      </c>
      <c r="Q1269" s="16">
        <v>254</v>
      </c>
      <c r="R1269" s="16">
        <v>2</v>
      </c>
      <c r="S1269" s="16">
        <v>10.7242</v>
      </c>
      <c r="T1269" s="16">
        <v>1.66476</v>
      </c>
      <c r="U1269" s="16">
        <v>0.76459773799999997</v>
      </c>
      <c r="V1269" s="16">
        <v>10</v>
      </c>
      <c r="W1269" s="16">
        <v>0.80839499999999997</v>
      </c>
      <c r="X1269" s="16">
        <v>0.11031100000000001</v>
      </c>
      <c r="Y1269" s="16">
        <v>0.8</v>
      </c>
      <c r="Z1269" s="16">
        <v>0.33618300000000001</v>
      </c>
      <c r="AA1269" s="37"/>
    </row>
    <row r="1270" spans="1:27">
      <c r="A1270" s="16" t="s">
        <v>116</v>
      </c>
      <c r="B1270" s="16" t="s">
        <v>4279</v>
      </c>
      <c r="C1270" s="16" t="s">
        <v>4280</v>
      </c>
      <c r="D1270" s="16" t="s">
        <v>4281</v>
      </c>
      <c r="E1270" s="16" t="s">
        <v>4274</v>
      </c>
      <c r="F1270" s="16" t="s">
        <v>4275</v>
      </c>
      <c r="G1270" s="16" t="s">
        <v>4059</v>
      </c>
      <c r="H1270" s="16" t="s">
        <v>4060</v>
      </c>
      <c r="I1270" s="16" t="s">
        <v>198</v>
      </c>
      <c r="J1270" s="16" t="s">
        <v>199</v>
      </c>
      <c r="K1270" s="16">
        <v>2.0056470000000002</v>
      </c>
      <c r="L1270" s="36">
        <v>1524</v>
      </c>
      <c r="M1270" s="16">
        <v>271</v>
      </c>
      <c r="N1270" s="16">
        <v>182</v>
      </c>
      <c r="O1270" s="16">
        <v>333</v>
      </c>
      <c r="P1270" s="16">
        <v>417</v>
      </c>
      <c r="Q1270" s="16">
        <v>321</v>
      </c>
      <c r="R1270" s="16" t="s">
        <v>225</v>
      </c>
      <c r="S1270" s="16">
        <v>6.3146800000000001</v>
      </c>
      <c r="T1270" s="16">
        <v>2.1742900000000001</v>
      </c>
      <c r="U1270" s="16">
        <v>0.77943514999999997</v>
      </c>
      <c r="V1270" s="16">
        <v>10</v>
      </c>
      <c r="W1270" s="16">
        <v>0.808118</v>
      </c>
      <c r="X1270" s="16">
        <v>0.104492</v>
      </c>
      <c r="Y1270" s="16">
        <v>0.8</v>
      </c>
      <c r="Z1270" s="16">
        <v>0.30117500000000003</v>
      </c>
      <c r="AA1270" s="37"/>
    </row>
    <row r="1271" spans="1:27">
      <c r="A1271" s="16" t="s">
        <v>116</v>
      </c>
      <c r="B1271" s="16" t="s">
        <v>4282</v>
      </c>
      <c r="C1271" s="16" t="s">
        <v>4283</v>
      </c>
      <c r="D1271" s="16" t="s">
        <v>4284</v>
      </c>
      <c r="E1271" s="16" t="s">
        <v>4274</v>
      </c>
      <c r="F1271" s="16" t="s">
        <v>4275</v>
      </c>
      <c r="G1271" s="16" t="s">
        <v>4059</v>
      </c>
      <c r="H1271" s="16" t="s">
        <v>4060</v>
      </c>
      <c r="I1271" s="16" t="s">
        <v>198</v>
      </c>
      <c r="J1271" s="16" t="s">
        <v>199</v>
      </c>
      <c r="K1271" s="16">
        <v>1.907899</v>
      </c>
      <c r="L1271" s="36">
        <v>1799</v>
      </c>
      <c r="M1271" s="16">
        <v>290</v>
      </c>
      <c r="N1271" s="16">
        <v>232</v>
      </c>
      <c r="O1271" s="16">
        <v>163</v>
      </c>
      <c r="P1271" s="16">
        <v>539</v>
      </c>
      <c r="Q1271" s="16">
        <v>575</v>
      </c>
      <c r="R1271" s="16" t="s">
        <v>225</v>
      </c>
      <c r="S1271" s="16">
        <v>8.8208000000000002</v>
      </c>
      <c r="T1271" s="16">
        <v>0</v>
      </c>
      <c r="U1271" s="16">
        <v>0.79250817799999995</v>
      </c>
      <c r="V1271" s="16">
        <v>10</v>
      </c>
      <c r="W1271" s="16">
        <v>0.80450100000000002</v>
      </c>
      <c r="X1271" s="16">
        <v>7.3327000000000003E-2</v>
      </c>
      <c r="Y1271" s="16">
        <v>0.8</v>
      </c>
      <c r="Z1271" s="16">
        <v>0.22514400000000001</v>
      </c>
      <c r="AA1271" s="37"/>
    </row>
    <row r="1272" spans="1:27">
      <c r="A1272" s="16"/>
      <c r="B1272" s="16"/>
      <c r="C1272" s="16"/>
      <c r="D1272" s="16"/>
      <c r="E1272" s="16"/>
      <c r="F1272" s="16"/>
      <c r="G1272" s="16"/>
      <c r="H1272" s="16"/>
      <c r="I1272" s="16"/>
      <c r="J1272" s="16"/>
      <c r="K1272" s="16">
        <f>MEDIAN(K1266:K1271)</f>
        <v>2.0267125000000004</v>
      </c>
      <c r="L1272" s="36">
        <f>AVERAGE(L1266:L1271)</f>
        <v>1674.3333333333333</v>
      </c>
      <c r="M1272" s="16">
        <f t="shared" ref="M1272:Q1272" si="100">SUM(M1266:M1271)</f>
        <v>1947</v>
      </c>
      <c r="N1272" s="16">
        <f t="shared" si="100"/>
        <v>1315</v>
      </c>
      <c r="O1272" s="16">
        <f t="shared" si="100"/>
        <v>1983</v>
      </c>
      <c r="P1272" s="16">
        <f t="shared" si="100"/>
        <v>2774</v>
      </c>
      <c r="Q1272" s="16">
        <f t="shared" si="100"/>
        <v>2027</v>
      </c>
      <c r="R1272" s="16"/>
      <c r="S1272" s="16">
        <f t="shared" ref="S1272:U1272" si="101">MIN(S1266:S1271)</f>
        <v>6.3146800000000001</v>
      </c>
      <c r="T1272" s="16">
        <f t="shared" si="101"/>
        <v>0</v>
      </c>
      <c r="U1272" s="16">
        <f t="shared" si="101"/>
        <v>0.66572120800000001</v>
      </c>
      <c r="V1272" s="16">
        <f>MEDIAN(V1266:V1271)</f>
        <v>10</v>
      </c>
      <c r="W1272" s="16"/>
      <c r="X1272" s="16"/>
      <c r="Y1272" s="16"/>
      <c r="Z1272" s="16"/>
      <c r="AA1272" s="37"/>
    </row>
    <row r="1273" spans="1:27">
      <c r="A1273" s="16" t="s">
        <v>80</v>
      </c>
      <c r="B1273" s="16" t="s">
        <v>317</v>
      </c>
      <c r="C1273" s="16" t="s">
        <v>318</v>
      </c>
      <c r="D1273" s="16" t="s">
        <v>319</v>
      </c>
      <c r="E1273" s="16" t="s">
        <v>320</v>
      </c>
      <c r="F1273" s="16" t="s">
        <v>321</v>
      </c>
      <c r="G1273" s="16" t="s">
        <v>300</v>
      </c>
      <c r="H1273" s="16" t="s">
        <v>301</v>
      </c>
      <c r="I1273" s="16" t="s">
        <v>198</v>
      </c>
      <c r="J1273" s="16" t="s">
        <v>199</v>
      </c>
      <c r="K1273" s="16">
        <v>2.6460530000000002</v>
      </c>
      <c r="L1273" s="36">
        <v>2653</v>
      </c>
      <c r="M1273" s="16">
        <v>738</v>
      </c>
      <c r="N1273" s="16">
        <v>567</v>
      </c>
      <c r="O1273" s="16">
        <v>714</v>
      </c>
      <c r="P1273" s="16">
        <v>448</v>
      </c>
      <c r="Q1273" s="16">
        <v>186</v>
      </c>
      <c r="R1273" s="16">
        <v>5</v>
      </c>
      <c r="S1273" s="16">
        <v>26.684000000000001</v>
      </c>
      <c r="T1273" s="16">
        <v>18.925799999999999</v>
      </c>
      <c r="U1273" s="16">
        <v>1.0080802310000001</v>
      </c>
      <c r="V1273" s="16">
        <v>3</v>
      </c>
      <c r="W1273" s="16">
        <v>0.91868399999999995</v>
      </c>
      <c r="X1273" s="16">
        <v>0.12052599999999999</v>
      </c>
      <c r="Y1273" s="16">
        <v>0.6</v>
      </c>
      <c r="Z1273" s="16">
        <v>1</v>
      </c>
      <c r="AA1273" s="37"/>
    </row>
    <row r="1274" spans="1:27">
      <c r="A1274" s="16" t="s">
        <v>80</v>
      </c>
      <c r="B1274" s="16" t="s">
        <v>2041</v>
      </c>
      <c r="C1274" s="16" t="s">
        <v>2042</v>
      </c>
      <c r="D1274" s="16" t="s">
        <v>2043</v>
      </c>
      <c r="E1274" s="16" t="s">
        <v>320</v>
      </c>
      <c r="F1274" s="16" t="s">
        <v>321</v>
      </c>
      <c r="G1274" s="16" t="s">
        <v>300</v>
      </c>
      <c r="H1274" s="16" t="s">
        <v>301</v>
      </c>
      <c r="I1274" s="16" t="s">
        <v>198</v>
      </c>
      <c r="J1274" s="16" t="s">
        <v>199</v>
      </c>
      <c r="K1274" s="16">
        <v>2.7711160000000001</v>
      </c>
      <c r="L1274" s="36">
        <v>3342</v>
      </c>
      <c r="M1274" s="16">
        <v>504</v>
      </c>
      <c r="N1274" s="16">
        <v>888</v>
      </c>
      <c r="O1274" s="36">
        <v>1333</v>
      </c>
      <c r="P1274" s="16">
        <v>499</v>
      </c>
      <c r="Q1274" s="16">
        <v>118</v>
      </c>
      <c r="R1274" s="16">
        <v>5</v>
      </c>
      <c r="S1274" s="16">
        <v>28.668900000000001</v>
      </c>
      <c r="T1274" s="16">
        <v>10.766500000000001</v>
      </c>
      <c r="U1274" s="16">
        <v>0.63681730000000003</v>
      </c>
      <c r="V1274" s="16">
        <v>5</v>
      </c>
      <c r="W1274" s="16">
        <v>0.96832700000000005</v>
      </c>
      <c r="X1274" s="16">
        <v>0.20315</v>
      </c>
      <c r="Y1274" s="16">
        <v>0.6</v>
      </c>
      <c r="Z1274" s="16">
        <v>1</v>
      </c>
      <c r="AA1274" s="37"/>
    </row>
    <row r="1275" spans="1:27">
      <c r="A1275" s="16" t="s">
        <v>80</v>
      </c>
      <c r="B1275" s="16" t="s">
        <v>4285</v>
      </c>
      <c r="C1275" s="16" t="s">
        <v>4286</v>
      </c>
      <c r="D1275" s="16" t="s">
        <v>4287</v>
      </c>
      <c r="E1275" s="16" t="s">
        <v>4288</v>
      </c>
      <c r="F1275" s="16" t="s">
        <v>4289</v>
      </c>
      <c r="G1275" s="16" t="s">
        <v>300</v>
      </c>
      <c r="H1275" s="16" t="s">
        <v>301</v>
      </c>
      <c r="I1275" s="16" t="s">
        <v>198</v>
      </c>
      <c r="J1275" s="16" t="s">
        <v>199</v>
      </c>
      <c r="K1275" s="16">
        <v>2.647084</v>
      </c>
      <c r="L1275" s="36">
        <v>2620</v>
      </c>
      <c r="M1275" s="16">
        <v>607</v>
      </c>
      <c r="N1275" s="16">
        <v>537</v>
      </c>
      <c r="O1275" s="16">
        <v>691</v>
      </c>
      <c r="P1275" s="16">
        <v>549</v>
      </c>
      <c r="Q1275" s="16">
        <v>236</v>
      </c>
      <c r="R1275" s="16" t="s">
        <v>302</v>
      </c>
      <c r="S1275" s="16">
        <v>32.674799999999998</v>
      </c>
      <c r="T1275" s="16">
        <v>19.957599999999999</v>
      </c>
      <c r="U1275" s="16">
        <v>1.0688802989999999</v>
      </c>
      <c r="V1275" s="16">
        <v>2</v>
      </c>
      <c r="W1275" s="16">
        <v>0.92829399999999995</v>
      </c>
      <c r="X1275" s="16">
        <v>0.114163</v>
      </c>
      <c r="Y1275" s="16">
        <v>0.6</v>
      </c>
      <c r="Z1275" s="16">
        <v>1</v>
      </c>
      <c r="AA1275" s="37"/>
    </row>
    <row r="1276" spans="1:27">
      <c r="A1276" s="16" t="s">
        <v>80</v>
      </c>
      <c r="B1276" s="16" t="s">
        <v>4290</v>
      </c>
      <c r="C1276" s="16" t="s">
        <v>4291</v>
      </c>
      <c r="D1276" s="16" t="s">
        <v>4292</v>
      </c>
      <c r="E1276" s="16" t="s">
        <v>3789</v>
      </c>
      <c r="F1276" s="16" t="s">
        <v>3790</v>
      </c>
      <c r="G1276" s="16" t="s">
        <v>300</v>
      </c>
      <c r="H1276" s="16" t="s">
        <v>301</v>
      </c>
      <c r="I1276" s="16" t="s">
        <v>198</v>
      </c>
      <c r="J1276" s="16" t="s">
        <v>199</v>
      </c>
      <c r="K1276" s="16">
        <v>2.6662699999999999</v>
      </c>
      <c r="L1276" s="36">
        <v>2426</v>
      </c>
      <c r="M1276" s="16">
        <v>581</v>
      </c>
      <c r="N1276" s="16">
        <v>471</v>
      </c>
      <c r="O1276" s="16">
        <v>674</v>
      </c>
      <c r="P1276" s="16">
        <v>427</v>
      </c>
      <c r="Q1276" s="16">
        <v>273</v>
      </c>
      <c r="R1276" s="16">
        <v>5</v>
      </c>
      <c r="S1276" s="16">
        <v>28.871099999999998</v>
      </c>
      <c r="T1276" s="16">
        <v>17.017099999999999</v>
      </c>
      <c r="U1276" s="16">
        <v>0.94984788099999995</v>
      </c>
      <c r="V1276" s="16">
        <v>3</v>
      </c>
      <c r="W1276" s="16">
        <v>0.91547599999999996</v>
      </c>
      <c r="X1276" s="16">
        <v>0.142292</v>
      </c>
      <c r="Y1276" s="16">
        <v>0.6</v>
      </c>
      <c r="Z1276" s="16">
        <v>1</v>
      </c>
      <c r="AA1276" s="37"/>
    </row>
    <row r="1277" spans="1:27">
      <c r="A1277" s="16" t="s">
        <v>80</v>
      </c>
      <c r="B1277" s="16" t="s">
        <v>4293</v>
      </c>
      <c r="C1277" s="16" t="s">
        <v>4294</v>
      </c>
      <c r="D1277" s="16" t="s">
        <v>4295</v>
      </c>
      <c r="E1277" s="16" t="s">
        <v>4288</v>
      </c>
      <c r="F1277" s="16" t="s">
        <v>4289</v>
      </c>
      <c r="G1277" s="16" t="s">
        <v>300</v>
      </c>
      <c r="H1277" s="16" t="s">
        <v>301</v>
      </c>
      <c r="I1277" s="16" t="s">
        <v>198</v>
      </c>
      <c r="J1277" s="16" t="s">
        <v>199</v>
      </c>
      <c r="K1277" s="16">
        <v>2.5970970000000002</v>
      </c>
      <c r="L1277" s="36">
        <v>1792</v>
      </c>
      <c r="M1277" s="16">
        <v>497</v>
      </c>
      <c r="N1277" s="16">
        <v>333</v>
      </c>
      <c r="O1277" s="16">
        <v>442</v>
      </c>
      <c r="P1277" s="16">
        <v>352</v>
      </c>
      <c r="Q1277" s="16">
        <v>168</v>
      </c>
      <c r="R1277" s="16">
        <v>5</v>
      </c>
      <c r="S1277" s="16">
        <v>27.970600000000001</v>
      </c>
      <c r="T1277" s="16">
        <v>17.703499999999998</v>
      </c>
      <c r="U1277" s="16">
        <v>1.162659195</v>
      </c>
      <c r="V1277" s="16">
        <v>2</v>
      </c>
      <c r="W1277" s="16">
        <v>0.91645200000000004</v>
      </c>
      <c r="X1277" s="16">
        <v>7.9871999999999999E-2</v>
      </c>
      <c r="Y1277" s="16">
        <v>0.6</v>
      </c>
      <c r="Z1277" s="16">
        <v>1</v>
      </c>
      <c r="AA1277" s="37"/>
    </row>
    <row r="1278" spans="1:27">
      <c r="A1278" s="16" t="s">
        <v>80</v>
      </c>
      <c r="B1278" s="16" t="s">
        <v>4296</v>
      </c>
      <c r="C1278" s="16" t="s">
        <v>4297</v>
      </c>
      <c r="D1278" s="16" t="s">
        <v>4298</v>
      </c>
      <c r="E1278" s="16" t="s">
        <v>3789</v>
      </c>
      <c r="F1278" s="16" t="s">
        <v>3790</v>
      </c>
      <c r="G1278" s="16" t="s">
        <v>300</v>
      </c>
      <c r="H1278" s="16" t="s">
        <v>301</v>
      </c>
      <c r="I1278" s="16" t="s">
        <v>198</v>
      </c>
      <c r="J1278" s="16" t="s">
        <v>199</v>
      </c>
      <c r="K1278" s="16">
        <v>2.6875779999999998</v>
      </c>
      <c r="L1278" s="36">
        <v>2165</v>
      </c>
      <c r="M1278" s="16">
        <v>395</v>
      </c>
      <c r="N1278" s="16">
        <v>664</v>
      </c>
      <c r="O1278" s="16">
        <v>472</v>
      </c>
      <c r="P1278" s="16">
        <v>426</v>
      </c>
      <c r="Q1278" s="16">
        <v>208</v>
      </c>
      <c r="R1278" s="16">
        <v>4</v>
      </c>
      <c r="S1278" s="16">
        <v>22.707799999999999</v>
      </c>
      <c r="T1278" s="16">
        <v>17.7041</v>
      </c>
      <c r="U1278" s="16">
        <v>0.96689862900000001</v>
      </c>
      <c r="V1278" s="16">
        <v>2</v>
      </c>
      <c r="W1278" s="16">
        <v>0.91055900000000001</v>
      </c>
      <c r="X1278" s="16">
        <v>0.16594400000000001</v>
      </c>
      <c r="Y1278" s="16">
        <v>0.6</v>
      </c>
      <c r="Z1278" s="16">
        <v>1</v>
      </c>
      <c r="AA1278" s="37"/>
    </row>
    <row r="1279" spans="1:27">
      <c r="A1279" s="16" t="s">
        <v>80</v>
      </c>
      <c r="B1279" s="16" t="s">
        <v>4299</v>
      </c>
      <c r="C1279" s="16" t="s">
        <v>4300</v>
      </c>
      <c r="D1279" s="16" t="s">
        <v>4301</v>
      </c>
      <c r="E1279" s="16" t="s">
        <v>4302</v>
      </c>
      <c r="F1279" s="16" t="s">
        <v>4303</v>
      </c>
      <c r="G1279" s="16" t="s">
        <v>300</v>
      </c>
      <c r="H1279" s="16" t="s">
        <v>301</v>
      </c>
      <c r="I1279" s="16" t="s">
        <v>198</v>
      </c>
      <c r="J1279" s="16" t="s">
        <v>199</v>
      </c>
      <c r="K1279" s="16">
        <v>2.6755469999999999</v>
      </c>
      <c r="L1279" s="36">
        <v>1730</v>
      </c>
      <c r="M1279" s="16">
        <v>401</v>
      </c>
      <c r="N1279" s="16">
        <v>361</v>
      </c>
      <c r="O1279" s="16">
        <v>461</v>
      </c>
      <c r="P1279" s="16">
        <v>349</v>
      </c>
      <c r="Q1279" s="16">
        <v>158</v>
      </c>
      <c r="R1279" s="16" t="s">
        <v>302</v>
      </c>
      <c r="S1279" s="16">
        <v>31.763999999999999</v>
      </c>
      <c r="T1279" s="16">
        <v>20.4909</v>
      </c>
      <c r="U1279" s="16">
        <v>1.1213574289999999</v>
      </c>
      <c r="V1279" s="16">
        <v>2</v>
      </c>
      <c r="W1279" s="16">
        <v>0.92445299999999997</v>
      </c>
      <c r="X1279" s="16">
        <v>0.16581799999999999</v>
      </c>
      <c r="Y1279" s="16">
        <v>0.6</v>
      </c>
      <c r="Z1279" s="16">
        <v>1</v>
      </c>
      <c r="AA1279" s="37"/>
    </row>
    <row r="1280" spans="1:27">
      <c r="A1280" s="16" t="s">
        <v>80</v>
      </c>
      <c r="B1280" s="16" t="s">
        <v>4304</v>
      </c>
      <c r="C1280" s="16" t="s">
        <v>4305</v>
      </c>
      <c r="D1280" s="16" t="s">
        <v>4306</v>
      </c>
      <c r="E1280" s="16" t="s">
        <v>2064</v>
      </c>
      <c r="F1280" s="16" t="s">
        <v>2065</v>
      </c>
      <c r="G1280" s="16" t="s">
        <v>300</v>
      </c>
      <c r="H1280" s="16" t="s">
        <v>301</v>
      </c>
      <c r="I1280" s="16" t="s">
        <v>198</v>
      </c>
      <c r="J1280" s="16" t="s">
        <v>199</v>
      </c>
      <c r="K1280" s="16">
        <v>2.9091719999999999</v>
      </c>
      <c r="L1280" s="36">
        <v>3239</v>
      </c>
      <c r="M1280" s="16">
        <v>706</v>
      </c>
      <c r="N1280" s="16">
        <v>816</v>
      </c>
      <c r="O1280" s="36">
        <v>1001</v>
      </c>
      <c r="P1280" s="16">
        <v>521</v>
      </c>
      <c r="Q1280" s="16">
        <v>195</v>
      </c>
      <c r="R1280" s="16">
        <v>5</v>
      </c>
      <c r="S1280" s="16">
        <v>27.0318</v>
      </c>
      <c r="T1280" s="16">
        <v>9.7125900000000005</v>
      </c>
      <c r="U1280" s="16">
        <v>0.71320222899999997</v>
      </c>
      <c r="V1280" s="16">
        <v>4</v>
      </c>
      <c r="W1280" s="16">
        <v>0.96183399999999997</v>
      </c>
      <c r="X1280" s="16">
        <v>0.318496</v>
      </c>
      <c r="Y1280" s="16">
        <v>0.62343300000000001</v>
      </c>
      <c r="Z1280" s="16">
        <v>1</v>
      </c>
      <c r="AA1280" s="37"/>
    </row>
    <row r="1281" spans="1:27">
      <c r="A1281" s="16" t="s">
        <v>80</v>
      </c>
      <c r="B1281" s="16" t="s">
        <v>4307</v>
      </c>
      <c r="C1281" s="16" t="s">
        <v>4308</v>
      </c>
      <c r="D1281" s="16" t="s">
        <v>4309</v>
      </c>
      <c r="E1281" s="16" t="s">
        <v>4302</v>
      </c>
      <c r="F1281" s="16" t="s">
        <v>4303</v>
      </c>
      <c r="G1281" s="16" t="s">
        <v>300</v>
      </c>
      <c r="H1281" s="16" t="s">
        <v>301</v>
      </c>
      <c r="I1281" s="16" t="s">
        <v>198</v>
      </c>
      <c r="J1281" s="16" t="s">
        <v>199</v>
      </c>
      <c r="K1281" s="16">
        <v>2.6609590000000001</v>
      </c>
      <c r="L1281" s="36">
        <v>2168</v>
      </c>
      <c r="M1281" s="16">
        <v>466</v>
      </c>
      <c r="N1281" s="16">
        <v>530</v>
      </c>
      <c r="O1281" s="16">
        <v>547</v>
      </c>
      <c r="P1281" s="16">
        <v>429</v>
      </c>
      <c r="Q1281" s="16">
        <v>196</v>
      </c>
      <c r="R1281" s="16" t="s">
        <v>302</v>
      </c>
      <c r="S1281" s="16">
        <v>33.657200000000003</v>
      </c>
      <c r="T1281" s="16">
        <v>21.5259</v>
      </c>
      <c r="U1281" s="16">
        <v>1.0990734090000001</v>
      </c>
      <c r="V1281" s="16">
        <v>2</v>
      </c>
      <c r="W1281" s="16">
        <v>0.97671200000000002</v>
      </c>
      <c r="X1281" s="16">
        <v>0.100671</v>
      </c>
      <c r="Y1281" s="16">
        <v>0.6</v>
      </c>
      <c r="Z1281" s="16">
        <v>1</v>
      </c>
      <c r="AA1281" s="37"/>
    </row>
    <row r="1282" spans="1:27">
      <c r="A1282" s="16" t="s">
        <v>80</v>
      </c>
      <c r="B1282" s="16" t="s">
        <v>4310</v>
      </c>
      <c r="C1282" s="16" t="s">
        <v>4311</v>
      </c>
      <c r="D1282" s="16" t="s">
        <v>4312</v>
      </c>
      <c r="E1282" s="16" t="s">
        <v>4302</v>
      </c>
      <c r="F1282" s="16" t="s">
        <v>4303</v>
      </c>
      <c r="G1282" s="16" t="s">
        <v>300</v>
      </c>
      <c r="H1282" s="16" t="s">
        <v>301</v>
      </c>
      <c r="I1282" s="16" t="s">
        <v>198</v>
      </c>
      <c r="J1282" s="16" t="s">
        <v>199</v>
      </c>
      <c r="K1282" s="16">
        <v>2.7162540000000002</v>
      </c>
      <c r="L1282" s="36">
        <v>2209</v>
      </c>
      <c r="M1282" s="16">
        <v>513</v>
      </c>
      <c r="N1282" s="16">
        <v>488</v>
      </c>
      <c r="O1282" s="16">
        <v>620</v>
      </c>
      <c r="P1282" s="16">
        <v>348</v>
      </c>
      <c r="Q1282" s="16">
        <v>240</v>
      </c>
      <c r="R1282" s="16">
        <v>5</v>
      </c>
      <c r="S1282" s="16">
        <v>28.720199999999998</v>
      </c>
      <c r="T1282" s="16">
        <v>15.584899999999999</v>
      </c>
      <c r="U1282" s="16">
        <v>0.971449012</v>
      </c>
      <c r="V1282" s="16">
        <v>3</v>
      </c>
      <c r="W1282" s="16">
        <v>0.92968200000000001</v>
      </c>
      <c r="X1282" s="16">
        <v>0.20714299999999999</v>
      </c>
      <c r="Y1282" s="16">
        <v>0.6</v>
      </c>
      <c r="Z1282" s="16">
        <v>1</v>
      </c>
      <c r="AA1282" s="37"/>
    </row>
    <row r="1283" spans="1:27">
      <c r="A1283" s="16" t="s">
        <v>80</v>
      </c>
      <c r="B1283" s="16" t="s">
        <v>4313</v>
      </c>
      <c r="C1283" s="16" t="s">
        <v>4314</v>
      </c>
      <c r="D1283" s="16" t="s">
        <v>4315</v>
      </c>
      <c r="E1283" s="16" t="s">
        <v>3397</v>
      </c>
      <c r="F1283" s="16" t="s">
        <v>3398</v>
      </c>
      <c r="G1283" s="16" t="s">
        <v>300</v>
      </c>
      <c r="H1283" s="16" t="s">
        <v>301</v>
      </c>
      <c r="I1283" s="16" t="s">
        <v>198</v>
      </c>
      <c r="J1283" s="16" t="s">
        <v>199</v>
      </c>
      <c r="K1283" s="16">
        <v>2.6850299999999998</v>
      </c>
      <c r="L1283" s="36">
        <v>2097</v>
      </c>
      <c r="M1283" s="16">
        <v>434</v>
      </c>
      <c r="N1283" s="16">
        <v>426</v>
      </c>
      <c r="O1283" s="16">
        <v>700</v>
      </c>
      <c r="P1283" s="16">
        <v>363</v>
      </c>
      <c r="Q1283" s="16">
        <v>174</v>
      </c>
      <c r="R1283" s="16" t="s">
        <v>302</v>
      </c>
      <c r="S1283" s="16">
        <v>35.858699999999999</v>
      </c>
      <c r="T1283" s="16">
        <v>28.355399999999999</v>
      </c>
      <c r="U1283" s="16">
        <v>0.99487186999999999</v>
      </c>
      <c r="V1283" s="16">
        <v>2</v>
      </c>
      <c r="W1283" s="16">
        <v>1</v>
      </c>
      <c r="X1283" s="16">
        <v>0.104478</v>
      </c>
      <c r="Y1283" s="16">
        <v>0.6</v>
      </c>
      <c r="Z1283" s="16">
        <v>1</v>
      </c>
      <c r="AA1283" s="37"/>
    </row>
    <row r="1284" spans="1:27">
      <c r="A1284" s="16" t="s">
        <v>80</v>
      </c>
      <c r="B1284" s="16" t="s">
        <v>3394</v>
      </c>
      <c r="C1284" s="16" t="s">
        <v>3395</v>
      </c>
      <c r="D1284" s="16" t="s">
        <v>3396</v>
      </c>
      <c r="E1284" s="16" t="s">
        <v>3397</v>
      </c>
      <c r="F1284" s="16" t="s">
        <v>3398</v>
      </c>
      <c r="G1284" s="16" t="s">
        <v>300</v>
      </c>
      <c r="H1284" s="16" t="s">
        <v>301</v>
      </c>
      <c r="I1284" s="16" t="s">
        <v>198</v>
      </c>
      <c r="J1284" s="16" t="s">
        <v>199</v>
      </c>
      <c r="K1284" s="16">
        <v>2.9446599999999998</v>
      </c>
      <c r="L1284" s="36">
        <v>3802</v>
      </c>
      <c r="M1284" s="16">
        <v>522</v>
      </c>
      <c r="N1284" s="36">
        <v>1643</v>
      </c>
      <c r="O1284" s="36">
        <v>1153</v>
      </c>
      <c r="P1284" s="16">
        <v>351</v>
      </c>
      <c r="Q1284" s="16">
        <v>133</v>
      </c>
      <c r="R1284" s="16" t="s">
        <v>668</v>
      </c>
      <c r="S1284" s="16">
        <v>87.209800000000001</v>
      </c>
      <c r="T1284" s="16">
        <v>23.972999999999999</v>
      </c>
      <c r="U1284" s="16">
        <v>0.66263938099999997</v>
      </c>
      <c r="V1284" s="16">
        <v>4</v>
      </c>
      <c r="W1284" s="16">
        <v>1</v>
      </c>
      <c r="X1284" s="16">
        <v>0.29752499999999998</v>
      </c>
      <c r="Y1284" s="16">
        <v>0.65732000000000002</v>
      </c>
      <c r="Z1284" s="16">
        <v>1</v>
      </c>
      <c r="AA1284" s="37"/>
    </row>
    <row r="1285" spans="1:27">
      <c r="A1285" s="16" t="s">
        <v>80</v>
      </c>
      <c r="B1285" s="16" t="s">
        <v>4316</v>
      </c>
      <c r="C1285" s="16" t="s">
        <v>4317</v>
      </c>
      <c r="D1285" s="16" t="s">
        <v>4318</v>
      </c>
      <c r="E1285" s="16" t="s">
        <v>3812</v>
      </c>
      <c r="F1285" s="16" t="s">
        <v>3813</v>
      </c>
      <c r="G1285" s="16" t="s">
        <v>300</v>
      </c>
      <c r="H1285" s="16" t="s">
        <v>301</v>
      </c>
      <c r="I1285" s="16" t="s">
        <v>198</v>
      </c>
      <c r="J1285" s="16" t="s">
        <v>199</v>
      </c>
      <c r="K1285" s="16">
        <v>2.7718250000000002</v>
      </c>
      <c r="L1285" s="36">
        <v>1999</v>
      </c>
      <c r="M1285" s="16">
        <v>425</v>
      </c>
      <c r="N1285" s="16">
        <v>514</v>
      </c>
      <c r="O1285" s="16">
        <v>640</v>
      </c>
      <c r="P1285" s="16">
        <v>298</v>
      </c>
      <c r="Q1285" s="16">
        <v>122</v>
      </c>
      <c r="R1285" s="16" t="s">
        <v>302</v>
      </c>
      <c r="S1285" s="16">
        <v>32.968000000000004</v>
      </c>
      <c r="T1285" s="16">
        <v>24.6736</v>
      </c>
      <c r="U1285" s="16">
        <v>0.86369986300000001</v>
      </c>
      <c r="V1285" s="16">
        <v>4</v>
      </c>
      <c r="W1285" s="16">
        <v>0.97103200000000001</v>
      </c>
      <c r="X1285" s="16">
        <v>0.190438</v>
      </c>
      <c r="Y1285" s="16">
        <v>0.6</v>
      </c>
      <c r="Z1285" s="16">
        <v>1</v>
      </c>
      <c r="AA1285" s="37"/>
    </row>
    <row r="1286" spans="1:27">
      <c r="A1286" s="16" t="s">
        <v>80</v>
      </c>
      <c r="B1286" s="16" t="s">
        <v>4319</v>
      </c>
      <c r="C1286" s="16" t="s">
        <v>4320</v>
      </c>
      <c r="D1286" s="16" t="s">
        <v>4321</v>
      </c>
      <c r="E1286" s="16" t="s">
        <v>3397</v>
      </c>
      <c r="F1286" s="16" t="s">
        <v>3398</v>
      </c>
      <c r="G1286" s="16" t="s">
        <v>300</v>
      </c>
      <c r="H1286" s="16" t="s">
        <v>301</v>
      </c>
      <c r="I1286" s="16" t="s">
        <v>198</v>
      </c>
      <c r="J1286" s="16" t="s">
        <v>199</v>
      </c>
      <c r="K1286" s="16">
        <v>2.83527</v>
      </c>
      <c r="L1286" s="36">
        <v>2674</v>
      </c>
      <c r="M1286" s="16">
        <v>488</v>
      </c>
      <c r="N1286" s="16">
        <v>935</v>
      </c>
      <c r="O1286" s="16">
        <v>822</v>
      </c>
      <c r="P1286" s="16">
        <v>364</v>
      </c>
      <c r="Q1286" s="16">
        <v>65</v>
      </c>
      <c r="R1286" s="16" t="s">
        <v>302</v>
      </c>
      <c r="S1286" s="16">
        <v>48.259599999999999</v>
      </c>
      <c r="T1286" s="16">
        <v>11.9352</v>
      </c>
      <c r="U1286" s="16">
        <v>0.67045479399999997</v>
      </c>
      <c r="V1286" s="16">
        <v>5</v>
      </c>
      <c r="W1286" s="16">
        <v>1</v>
      </c>
      <c r="X1286" s="16">
        <v>0.158996</v>
      </c>
      <c r="Y1286" s="16">
        <v>0.69535899999999995</v>
      </c>
      <c r="Z1286" s="16">
        <v>1</v>
      </c>
      <c r="AA1286" s="37"/>
    </row>
    <row r="1287" spans="1:27">
      <c r="A1287" s="16" t="s">
        <v>80</v>
      </c>
      <c r="B1287" s="16" t="s">
        <v>2061</v>
      </c>
      <c r="C1287" s="16" t="s">
        <v>2062</v>
      </c>
      <c r="D1287" s="16" t="s">
        <v>2063</v>
      </c>
      <c r="E1287" s="16" t="s">
        <v>2064</v>
      </c>
      <c r="F1287" s="16" t="s">
        <v>2065</v>
      </c>
      <c r="G1287" s="16" t="s">
        <v>300</v>
      </c>
      <c r="H1287" s="16" t="s">
        <v>301</v>
      </c>
      <c r="I1287" s="16" t="s">
        <v>198</v>
      </c>
      <c r="J1287" s="16" t="s">
        <v>199</v>
      </c>
      <c r="K1287" s="16">
        <v>2.6833330000000002</v>
      </c>
      <c r="L1287" s="36">
        <v>1869</v>
      </c>
      <c r="M1287" s="16">
        <v>228</v>
      </c>
      <c r="N1287" s="16">
        <v>447</v>
      </c>
      <c r="O1287" s="16">
        <v>768</v>
      </c>
      <c r="P1287" s="16">
        <v>363</v>
      </c>
      <c r="Q1287" s="16">
        <v>63</v>
      </c>
      <c r="R1287" s="16">
        <v>4</v>
      </c>
      <c r="S1287" s="16">
        <v>22.008900000000001</v>
      </c>
      <c r="T1287" s="16">
        <v>12.4971</v>
      </c>
      <c r="U1287" s="16">
        <v>0.58269889699999999</v>
      </c>
      <c r="V1287" s="16">
        <v>7</v>
      </c>
      <c r="W1287" s="16">
        <v>0.98796300000000004</v>
      </c>
      <c r="X1287" s="16">
        <v>0.114692</v>
      </c>
      <c r="Y1287" s="16">
        <v>0.6</v>
      </c>
      <c r="Z1287" s="16">
        <v>0.99906099999999998</v>
      </c>
      <c r="AA1287" s="37"/>
    </row>
    <row r="1288" spans="1:27">
      <c r="A1288" s="16" t="s">
        <v>80</v>
      </c>
      <c r="B1288" s="16" t="s">
        <v>2066</v>
      </c>
      <c r="C1288" s="16" t="s">
        <v>2067</v>
      </c>
      <c r="D1288" s="16" t="s">
        <v>2068</v>
      </c>
      <c r="E1288" s="16" t="s">
        <v>2064</v>
      </c>
      <c r="F1288" s="16" t="s">
        <v>2065</v>
      </c>
      <c r="G1288" s="16" t="s">
        <v>300</v>
      </c>
      <c r="H1288" s="16" t="s">
        <v>301</v>
      </c>
      <c r="I1288" s="16" t="s">
        <v>198</v>
      </c>
      <c r="J1288" s="16" t="s">
        <v>199</v>
      </c>
      <c r="K1288" s="16">
        <v>3.0197449999999999</v>
      </c>
      <c r="L1288" s="36">
        <v>1564</v>
      </c>
      <c r="M1288" s="16">
        <v>231</v>
      </c>
      <c r="N1288" s="16">
        <v>363</v>
      </c>
      <c r="O1288" s="16">
        <v>538</v>
      </c>
      <c r="P1288" s="16">
        <v>349</v>
      </c>
      <c r="Q1288" s="16">
        <v>83</v>
      </c>
      <c r="R1288" s="16">
        <v>5</v>
      </c>
      <c r="S1288" s="16">
        <v>28.9071</v>
      </c>
      <c r="T1288" s="16">
        <v>18.386299999999999</v>
      </c>
      <c r="U1288" s="16">
        <v>0.51614761099999995</v>
      </c>
      <c r="V1288" s="16">
        <v>5</v>
      </c>
      <c r="W1288" s="16">
        <v>0.99585999999999997</v>
      </c>
      <c r="X1288" s="16">
        <v>0.48580400000000001</v>
      </c>
      <c r="Y1288" s="16">
        <v>0.6</v>
      </c>
      <c r="Z1288" s="16">
        <v>0.98089199999999999</v>
      </c>
      <c r="AA1288" s="37"/>
    </row>
    <row r="1289" spans="1:27">
      <c r="A1289" s="16"/>
      <c r="B1289" s="16"/>
      <c r="C1289" s="16"/>
      <c r="D1289" s="16"/>
      <c r="E1289" s="16"/>
      <c r="F1289" s="16"/>
      <c r="G1289" s="16"/>
      <c r="H1289" s="16"/>
      <c r="I1289" s="16"/>
      <c r="J1289" s="16"/>
      <c r="K1289" s="16">
        <f>MEDIAN(K1273:K1288)</f>
        <v>2.6863039999999998</v>
      </c>
      <c r="L1289" s="36">
        <f>AVERAGE(L1273:L1288)</f>
        <v>2396.8125</v>
      </c>
      <c r="M1289" s="36">
        <f>SUM(M1273:M1288)</f>
        <v>7736</v>
      </c>
      <c r="N1289" s="16"/>
      <c r="O1289" s="16"/>
      <c r="P1289" s="16"/>
      <c r="Q1289" s="36">
        <f>SUM(Q1273:Q1288)</f>
        <v>2618</v>
      </c>
      <c r="R1289" s="16"/>
      <c r="S1289" s="16"/>
      <c r="T1289" s="16"/>
      <c r="U1289" s="16"/>
      <c r="V1289" s="16">
        <f>MAX(V1273:V1288)</f>
        <v>7</v>
      </c>
      <c r="W1289" s="16"/>
      <c r="X1289" s="16"/>
      <c r="Y1289" s="16"/>
      <c r="Z1289" s="16"/>
      <c r="AA1289" s="37"/>
    </row>
    <row r="1290" spans="1:27">
      <c r="A1290" s="16" t="s">
        <v>118</v>
      </c>
      <c r="B1290" s="16" t="s">
        <v>4322</v>
      </c>
      <c r="C1290" s="16" t="s">
        <v>4323</v>
      </c>
      <c r="D1290" s="16" t="s">
        <v>4324</v>
      </c>
      <c r="E1290" s="16" t="s">
        <v>4325</v>
      </c>
      <c r="F1290" s="16" t="s">
        <v>4326</v>
      </c>
      <c r="G1290" s="16" t="s">
        <v>3684</v>
      </c>
      <c r="H1290" s="16" t="s">
        <v>3685</v>
      </c>
      <c r="I1290" s="16" t="s">
        <v>198</v>
      </c>
      <c r="J1290" s="16" t="s">
        <v>199</v>
      </c>
      <c r="K1290" s="16">
        <v>2.3431489999999999</v>
      </c>
      <c r="L1290" s="36">
        <v>1966</v>
      </c>
      <c r="M1290" s="16">
        <v>382</v>
      </c>
      <c r="N1290" s="16">
        <v>515</v>
      </c>
      <c r="O1290" s="16">
        <v>453</v>
      </c>
      <c r="P1290" s="16">
        <v>377</v>
      </c>
      <c r="Q1290" s="16">
        <v>239</v>
      </c>
      <c r="R1290" s="16">
        <v>2</v>
      </c>
      <c r="S1290" s="16">
        <v>18.139800000000001</v>
      </c>
      <c r="T1290" s="16">
        <v>0</v>
      </c>
      <c r="U1290" s="16">
        <v>0.87954210099999997</v>
      </c>
      <c r="V1290" s="16">
        <v>4</v>
      </c>
      <c r="W1290" s="16">
        <v>0.90337800000000001</v>
      </c>
      <c r="X1290" s="16">
        <v>0.239313</v>
      </c>
      <c r="Y1290" s="16">
        <v>0.8</v>
      </c>
      <c r="Z1290" s="16">
        <v>0.38782699999999998</v>
      </c>
      <c r="AA1290" s="37"/>
    </row>
    <row r="1291" spans="1:27">
      <c r="A1291" s="16" t="s">
        <v>118</v>
      </c>
      <c r="B1291" s="16" t="s">
        <v>4327</v>
      </c>
      <c r="C1291" s="16" t="s">
        <v>4328</v>
      </c>
      <c r="D1291" s="16" t="s">
        <v>4329</v>
      </c>
      <c r="E1291" s="16" t="s">
        <v>4330</v>
      </c>
      <c r="F1291" s="16" t="s">
        <v>4331</v>
      </c>
      <c r="G1291" s="16" t="s">
        <v>3684</v>
      </c>
      <c r="H1291" s="16" t="s">
        <v>3685</v>
      </c>
      <c r="I1291" s="16" t="s">
        <v>198</v>
      </c>
      <c r="J1291" s="16" t="s">
        <v>199</v>
      </c>
      <c r="K1291" s="16">
        <v>2.4991089999999998</v>
      </c>
      <c r="L1291" s="36">
        <v>1581</v>
      </c>
      <c r="M1291" s="16">
        <v>244</v>
      </c>
      <c r="N1291" s="16">
        <v>374</v>
      </c>
      <c r="O1291" s="16">
        <v>536</v>
      </c>
      <c r="P1291" s="16">
        <v>282</v>
      </c>
      <c r="Q1291" s="16">
        <v>145</v>
      </c>
      <c r="R1291" s="16">
        <v>3</v>
      </c>
      <c r="S1291" s="16">
        <v>19.1265</v>
      </c>
      <c r="T1291" s="16">
        <v>7.4295099999999996</v>
      </c>
      <c r="U1291" s="16">
        <v>0.64410832200000001</v>
      </c>
      <c r="V1291" s="16">
        <v>7</v>
      </c>
      <c r="W1291" s="16">
        <v>0.91135900000000003</v>
      </c>
      <c r="X1291" s="16">
        <v>0.26116099999999998</v>
      </c>
      <c r="Y1291" s="16">
        <v>0.75619499999999995</v>
      </c>
      <c r="Z1291" s="16">
        <v>0.57130199999999998</v>
      </c>
      <c r="AA1291" s="37"/>
    </row>
    <row r="1292" spans="1:27">
      <c r="A1292" s="16" t="s">
        <v>118</v>
      </c>
      <c r="B1292" s="16" t="s">
        <v>4332</v>
      </c>
      <c r="C1292" s="16" t="s">
        <v>4333</v>
      </c>
      <c r="D1292" s="16" t="s">
        <v>4334</v>
      </c>
      <c r="E1292" s="16" t="s">
        <v>4335</v>
      </c>
      <c r="F1292" s="16" t="s">
        <v>4336</v>
      </c>
      <c r="G1292" s="16" t="s">
        <v>3684</v>
      </c>
      <c r="H1292" s="16" t="s">
        <v>3685</v>
      </c>
      <c r="I1292" s="16" t="s">
        <v>198</v>
      </c>
      <c r="J1292" s="16" t="s">
        <v>199</v>
      </c>
      <c r="K1292" s="16">
        <v>2.4433449999999999</v>
      </c>
      <c r="L1292" s="36">
        <v>1703</v>
      </c>
      <c r="M1292" s="16">
        <v>231</v>
      </c>
      <c r="N1292" s="16">
        <v>316</v>
      </c>
      <c r="O1292" s="16">
        <v>589</v>
      </c>
      <c r="P1292" s="16">
        <v>371</v>
      </c>
      <c r="Q1292" s="16">
        <v>196</v>
      </c>
      <c r="R1292" s="16">
        <v>2</v>
      </c>
      <c r="S1292" s="16">
        <v>16.572399999999998</v>
      </c>
      <c r="T1292" s="16">
        <v>2.5316700000000001</v>
      </c>
      <c r="U1292" s="16">
        <v>0.77953054700000002</v>
      </c>
      <c r="V1292" s="16">
        <v>5</v>
      </c>
      <c r="W1292" s="16">
        <v>0.90358400000000005</v>
      </c>
      <c r="X1292" s="16">
        <v>0.122867</v>
      </c>
      <c r="Y1292" s="16">
        <v>0.78942000000000001</v>
      </c>
      <c r="Z1292" s="16">
        <v>0.61629900000000004</v>
      </c>
      <c r="AA1292" s="37"/>
    </row>
    <row r="1293" spans="1:27">
      <c r="A1293" s="16" t="s">
        <v>118</v>
      </c>
      <c r="B1293" s="16" t="s">
        <v>4337</v>
      </c>
      <c r="C1293" s="16" t="s">
        <v>4338</v>
      </c>
      <c r="D1293" s="16" t="s">
        <v>4339</v>
      </c>
      <c r="E1293" s="16" t="s">
        <v>4330</v>
      </c>
      <c r="F1293" s="16" t="s">
        <v>4331</v>
      </c>
      <c r="G1293" s="16" t="s">
        <v>3684</v>
      </c>
      <c r="H1293" s="16" t="s">
        <v>3685</v>
      </c>
      <c r="I1293" s="16" t="s">
        <v>198</v>
      </c>
      <c r="J1293" s="16" t="s">
        <v>199</v>
      </c>
      <c r="K1293" s="16">
        <v>2.234467</v>
      </c>
      <c r="L1293" s="36">
        <v>1517</v>
      </c>
      <c r="M1293" s="16">
        <v>358</v>
      </c>
      <c r="N1293" s="16">
        <v>243</v>
      </c>
      <c r="O1293" s="16">
        <v>376</v>
      </c>
      <c r="P1293" s="16">
        <v>369</v>
      </c>
      <c r="Q1293" s="16">
        <v>171</v>
      </c>
      <c r="R1293" s="16">
        <v>2</v>
      </c>
      <c r="S1293" s="16">
        <v>10.5121</v>
      </c>
      <c r="T1293" s="16">
        <v>2.6243599999999998</v>
      </c>
      <c r="U1293" s="16">
        <v>0.69716586700000005</v>
      </c>
      <c r="V1293" s="16">
        <v>8</v>
      </c>
      <c r="W1293" s="16">
        <v>0.90154599999999996</v>
      </c>
      <c r="X1293" s="16">
        <v>2.2946000000000001E-2</v>
      </c>
      <c r="Y1293" s="16">
        <v>0.8</v>
      </c>
      <c r="Z1293" s="16">
        <v>0.51550399999999996</v>
      </c>
      <c r="AA1293" s="37"/>
    </row>
    <row r="1294" spans="1:27">
      <c r="A1294" s="16" t="s">
        <v>118</v>
      </c>
      <c r="B1294" s="16" t="s">
        <v>4340</v>
      </c>
      <c r="C1294" s="16" t="s">
        <v>4341</v>
      </c>
      <c r="D1294" s="16" t="s">
        <v>4342</v>
      </c>
      <c r="E1294" s="16" t="s">
        <v>4335</v>
      </c>
      <c r="F1294" s="16" t="s">
        <v>4336</v>
      </c>
      <c r="G1294" s="16" t="s">
        <v>3684</v>
      </c>
      <c r="H1294" s="16" t="s">
        <v>3685</v>
      </c>
      <c r="I1294" s="16" t="s">
        <v>198</v>
      </c>
      <c r="J1294" s="16" t="s">
        <v>199</v>
      </c>
      <c r="K1294" s="16">
        <v>2.5562499999999999</v>
      </c>
      <c r="L1294" s="36">
        <v>1731</v>
      </c>
      <c r="M1294" s="16">
        <v>228</v>
      </c>
      <c r="N1294" s="16">
        <v>289</v>
      </c>
      <c r="O1294" s="16">
        <v>546</v>
      </c>
      <c r="P1294" s="16">
        <v>385</v>
      </c>
      <c r="Q1294" s="16">
        <v>283</v>
      </c>
      <c r="R1294" s="16">
        <v>3</v>
      </c>
      <c r="S1294" s="16">
        <v>22.715299999999999</v>
      </c>
      <c r="T1294" s="16">
        <v>5.6380100000000004</v>
      </c>
      <c r="U1294" s="16">
        <v>0.59843035899999997</v>
      </c>
      <c r="V1294" s="16">
        <v>9</v>
      </c>
      <c r="W1294" s="16">
        <v>0.90902799999999995</v>
      </c>
      <c r="X1294" s="16">
        <v>0.29268300000000003</v>
      </c>
      <c r="Y1294" s="16">
        <v>0.8</v>
      </c>
      <c r="Z1294" s="16">
        <v>0.56202099999999999</v>
      </c>
      <c r="AA1294" s="37"/>
    </row>
    <row r="1295" spans="1:27">
      <c r="A1295" s="16" t="s">
        <v>118</v>
      </c>
      <c r="B1295" s="16" t="s">
        <v>4343</v>
      </c>
      <c r="C1295" s="16" t="s">
        <v>4344</v>
      </c>
      <c r="D1295" s="16" t="s">
        <v>4345</v>
      </c>
      <c r="E1295" s="16" t="s">
        <v>4346</v>
      </c>
      <c r="F1295" s="16" t="s">
        <v>4347</v>
      </c>
      <c r="G1295" s="16" t="s">
        <v>3684</v>
      </c>
      <c r="H1295" s="16" t="s">
        <v>3685</v>
      </c>
      <c r="I1295" s="16" t="s">
        <v>198</v>
      </c>
      <c r="J1295" s="16" t="s">
        <v>199</v>
      </c>
      <c r="K1295" s="16">
        <v>2.3499210000000001</v>
      </c>
      <c r="L1295" s="36">
        <v>2340</v>
      </c>
      <c r="M1295" s="16">
        <v>397</v>
      </c>
      <c r="N1295" s="16">
        <v>367</v>
      </c>
      <c r="O1295" s="16">
        <v>861</v>
      </c>
      <c r="P1295" s="16">
        <v>497</v>
      </c>
      <c r="Q1295" s="16">
        <v>218</v>
      </c>
      <c r="R1295" s="16">
        <v>2</v>
      </c>
      <c r="S1295" s="16">
        <v>10.488899999999999</v>
      </c>
      <c r="T1295" s="16">
        <v>0</v>
      </c>
      <c r="U1295" s="16">
        <v>0.882779066</v>
      </c>
      <c r="V1295" s="16">
        <v>4</v>
      </c>
      <c r="W1295" s="16">
        <v>0.90566899999999995</v>
      </c>
      <c r="X1295" s="16">
        <v>0.13761799999999999</v>
      </c>
      <c r="Y1295" s="16">
        <v>0.8</v>
      </c>
      <c r="Z1295" s="16">
        <v>0.53532199999999996</v>
      </c>
      <c r="AA1295" s="37"/>
    </row>
    <row r="1296" spans="1:27">
      <c r="A1296" s="16" t="s">
        <v>118</v>
      </c>
      <c r="B1296" s="16" t="s">
        <v>4348</v>
      </c>
      <c r="C1296" s="16" t="s">
        <v>4349</v>
      </c>
      <c r="D1296" s="16" t="s">
        <v>4350</v>
      </c>
      <c r="E1296" s="16" t="s">
        <v>4346</v>
      </c>
      <c r="F1296" s="16" t="s">
        <v>4347</v>
      </c>
      <c r="G1296" s="16" t="s">
        <v>3684</v>
      </c>
      <c r="H1296" s="16" t="s">
        <v>3685</v>
      </c>
      <c r="I1296" s="16" t="s">
        <v>198</v>
      </c>
      <c r="J1296" s="16" t="s">
        <v>199</v>
      </c>
      <c r="K1296" s="16">
        <v>2.2627449999999998</v>
      </c>
      <c r="L1296" s="36">
        <v>1807</v>
      </c>
      <c r="M1296" s="16">
        <v>439</v>
      </c>
      <c r="N1296" s="16">
        <v>323</v>
      </c>
      <c r="O1296" s="16">
        <v>510</v>
      </c>
      <c r="P1296" s="16">
        <v>380</v>
      </c>
      <c r="Q1296" s="16">
        <v>155</v>
      </c>
      <c r="R1296" s="16">
        <v>2</v>
      </c>
      <c r="S1296" s="16">
        <v>10.536199999999999</v>
      </c>
      <c r="T1296" s="16">
        <v>7.5094099999999999</v>
      </c>
      <c r="U1296" s="16">
        <v>1.0378335839999999</v>
      </c>
      <c r="V1296" s="16">
        <v>3</v>
      </c>
      <c r="W1296" s="16">
        <v>0.90252100000000002</v>
      </c>
      <c r="X1296" s="16">
        <v>4.8485E-2</v>
      </c>
      <c r="Y1296" s="16">
        <v>0.8</v>
      </c>
      <c r="Z1296" s="16">
        <v>0.51680700000000002</v>
      </c>
      <c r="AA1296" s="37"/>
    </row>
    <row r="1297" spans="1:27">
      <c r="A1297" s="16" t="s">
        <v>118</v>
      </c>
      <c r="B1297" s="16" t="s">
        <v>4351</v>
      </c>
      <c r="C1297" s="16" t="s">
        <v>4352</v>
      </c>
      <c r="D1297" s="16" t="s">
        <v>4353</v>
      </c>
      <c r="E1297" s="16" t="s">
        <v>4346</v>
      </c>
      <c r="F1297" s="16" t="s">
        <v>4347</v>
      </c>
      <c r="G1297" s="16" t="s">
        <v>3684</v>
      </c>
      <c r="H1297" s="16" t="s">
        <v>3685</v>
      </c>
      <c r="I1297" s="16" t="s">
        <v>198</v>
      </c>
      <c r="J1297" s="16" t="s">
        <v>199</v>
      </c>
      <c r="K1297" s="16">
        <v>2.311966</v>
      </c>
      <c r="L1297" s="36">
        <v>1625</v>
      </c>
      <c r="M1297" s="16">
        <v>350</v>
      </c>
      <c r="N1297" s="16">
        <v>288</v>
      </c>
      <c r="O1297" s="16">
        <v>466</v>
      </c>
      <c r="P1297" s="16">
        <v>337</v>
      </c>
      <c r="Q1297" s="16">
        <v>184</v>
      </c>
      <c r="R1297" s="16">
        <v>2</v>
      </c>
      <c r="S1297" s="16">
        <v>13.3667</v>
      </c>
      <c r="T1297" s="16">
        <v>4.7018500000000003</v>
      </c>
      <c r="U1297" s="16">
        <v>0.89985508000000003</v>
      </c>
      <c r="V1297" s="16">
        <v>5</v>
      </c>
      <c r="W1297" s="16">
        <v>0.90448700000000004</v>
      </c>
      <c r="X1297" s="16">
        <v>0.127079</v>
      </c>
      <c r="Y1297" s="16">
        <v>0.8</v>
      </c>
      <c r="Z1297" s="16">
        <v>0.50042299999999995</v>
      </c>
      <c r="AA1297" s="37"/>
    </row>
    <row r="1298" spans="1:27">
      <c r="A1298" s="16"/>
      <c r="B1298" s="16"/>
      <c r="C1298" s="16"/>
      <c r="D1298" s="16"/>
      <c r="E1298" s="16"/>
      <c r="F1298" s="16"/>
      <c r="G1298" s="16"/>
      <c r="H1298" s="16"/>
      <c r="I1298" s="16"/>
      <c r="J1298" s="16"/>
      <c r="K1298" s="16">
        <f>MEDIAN(K1290:K1297)</f>
        <v>2.3465350000000003</v>
      </c>
      <c r="L1298" s="36">
        <f>AVERAGE(L1290:L1297)</f>
        <v>1783.75</v>
      </c>
      <c r="M1298" s="16">
        <f t="shared" ref="M1298:Q1298" si="102">SUM(M1290:M1297)</f>
        <v>2629</v>
      </c>
      <c r="N1298" s="16">
        <f t="shared" si="102"/>
        <v>2715</v>
      </c>
      <c r="O1298" s="16">
        <f t="shared" si="102"/>
        <v>4337</v>
      </c>
      <c r="P1298" s="16">
        <f t="shared" si="102"/>
        <v>2998</v>
      </c>
      <c r="Q1298" s="16">
        <f t="shared" si="102"/>
        <v>1591</v>
      </c>
      <c r="R1298" s="16"/>
      <c r="S1298" s="16">
        <f t="shared" ref="S1298:U1298" si="103">MIN(S1290:S1297)</f>
        <v>10.488899999999999</v>
      </c>
      <c r="T1298" s="16">
        <f t="shared" si="103"/>
        <v>0</v>
      </c>
      <c r="U1298" s="16">
        <f t="shared" si="103"/>
        <v>0.59843035899999997</v>
      </c>
      <c r="V1298" s="16">
        <f>MEDIAN(V1290:V1297)</f>
        <v>5</v>
      </c>
      <c r="W1298" s="16"/>
      <c r="X1298" s="16"/>
      <c r="Y1298" s="16"/>
      <c r="Z1298" s="16"/>
      <c r="AA1298" s="37"/>
    </row>
    <row r="1299" spans="1:27">
      <c r="A1299" s="16" t="s">
        <v>119</v>
      </c>
      <c r="B1299" s="16" t="s">
        <v>4354</v>
      </c>
      <c r="C1299" s="16" t="s">
        <v>4355</v>
      </c>
      <c r="D1299" s="16" t="s">
        <v>4356</v>
      </c>
      <c r="E1299" s="16" t="s">
        <v>4357</v>
      </c>
      <c r="F1299" s="16" t="s">
        <v>4358</v>
      </c>
      <c r="G1299" s="16" t="s">
        <v>4359</v>
      </c>
      <c r="H1299" s="16" t="s">
        <v>4360</v>
      </c>
      <c r="I1299" s="16" t="s">
        <v>198</v>
      </c>
      <c r="J1299" s="16" t="s">
        <v>199</v>
      </c>
      <c r="K1299" s="16">
        <v>2.2511809999999999</v>
      </c>
      <c r="L1299" s="36">
        <v>1615</v>
      </c>
      <c r="M1299" s="16">
        <v>277</v>
      </c>
      <c r="N1299" s="16">
        <v>281</v>
      </c>
      <c r="O1299" s="16">
        <v>277</v>
      </c>
      <c r="P1299" s="16">
        <v>429</v>
      </c>
      <c r="Q1299" s="16">
        <v>351</v>
      </c>
      <c r="R1299" s="16" t="s">
        <v>225</v>
      </c>
      <c r="S1299" s="16">
        <v>9.4197699999999998</v>
      </c>
      <c r="T1299" s="16">
        <v>0</v>
      </c>
      <c r="U1299" s="16">
        <v>0.68052696400000001</v>
      </c>
      <c r="V1299" s="16">
        <v>9</v>
      </c>
      <c r="W1299" s="16">
        <v>0.82979599999999998</v>
      </c>
      <c r="X1299" s="16">
        <v>0.28436099999999997</v>
      </c>
      <c r="Y1299" s="16">
        <v>0.87678599999999995</v>
      </c>
      <c r="Z1299" s="16">
        <v>0.26003900000000002</v>
      </c>
      <c r="AA1299" s="37"/>
    </row>
    <row r="1300" spans="1:27">
      <c r="A1300" s="16" t="s">
        <v>119</v>
      </c>
      <c r="B1300" s="16" t="s">
        <v>4361</v>
      </c>
      <c r="C1300" s="16" t="s">
        <v>4362</v>
      </c>
      <c r="D1300" s="16" t="s">
        <v>4363</v>
      </c>
      <c r="E1300" s="16" t="s">
        <v>4357</v>
      </c>
      <c r="F1300" s="16" t="s">
        <v>4358</v>
      </c>
      <c r="G1300" s="16" t="s">
        <v>4359</v>
      </c>
      <c r="H1300" s="16" t="s">
        <v>4360</v>
      </c>
      <c r="I1300" s="16" t="s">
        <v>198</v>
      </c>
      <c r="J1300" s="16" t="s">
        <v>199</v>
      </c>
      <c r="K1300" s="16">
        <v>2.262527</v>
      </c>
      <c r="L1300" s="36">
        <v>1601</v>
      </c>
      <c r="M1300" s="16">
        <v>276</v>
      </c>
      <c r="N1300" s="16">
        <v>333</v>
      </c>
      <c r="O1300" s="16">
        <v>348</v>
      </c>
      <c r="P1300" s="16">
        <v>385</v>
      </c>
      <c r="Q1300" s="16">
        <v>259</v>
      </c>
      <c r="R1300" s="16" t="s">
        <v>225</v>
      </c>
      <c r="S1300" s="16">
        <v>7.5607699999999998</v>
      </c>
      <c r="T1300" s="16">
        <v>0</v>
      </c>
      <c r="U1300" s="16">
        <v>0.78203434100000002</v>
      </c>
      <c r="V1300" s="16">
        <v>6</v>
      </c>
      <c r="W1300" s="16">
        <v>0.86062799999999995</v>
      </c>
      <c r="X1300" s="16">
        <v>0.391374</v>
      </c>
      <c r="Y1300" s="16">
        <v>0.8</v>
      </c>
      <c r="Z1300" s="16">
        <v>0.20811399999999999</v>
      </c>
      <c r="AA1300" s="37"/>
    </row>
    <row r="1301" spans="1:27">
      <c r="A1301" s="16" t="s">
        <v>119</v>
      </c>
      <c r="B1301" s="16" t="s">
        <v>4364</v>
      </c>
      <c r="C1301" s="16" t="s">
        <v>4365</v>
      </c>
      <c r="D1301" s="16" t="s">
        <v>4366</v>
      </c>
      <c r="E1301" s="16" t="s">
        <v>4367</v>
      </c>
      <c r="F1301" s="16" t="s">
        <v>4368</v>
      </c>
      <c r="G1301" s="16" t="s">
        <v>4359</v>
      </c>
      <c r="H1301" s="16" t="s">
        <v>4360</v>
      </c>
      <c r="I1301" s="16" t="s">
        <v>198</v>
      </c>
      <c r="J1301" s="16" t="s">
        <v>199</v>
      </c>
      <c r="K1301" s="16">
        <v>2.124835</v>
      </c>
      <c r="L1301" s="36">
        <v>1631</v>
      </c>
      <c r="M1301" s="16">
        <v>339</v>
      </c>
      <c r="N1301" s="16">
        <v>187</v>
      </c>
      <c r="O1301" s="16">
        <v>341</v>
      </c>
      <c r="P1301" s="16">
        <v>448</v>
      </c>
      <c r="Q1301" s="16">
        <v>316</v>
      </c>
      <c r="R1301" s="16">
        <v>2</v>
      </c>
      <c r="S1301" s="16">
        <v>16.0518</v>
      </c>
      <c r="T1301" s="16">
        <v>0</v>
      </c>
      <c r="U1301" s="16">
        <v>0.755451557</v>
      </c>
      <c r="V1301" s="16">
        <v>8</v>
      </c>
      <c r="W1301" s="16">
        <v>0.82170799999999999</v>
      </c>
      <c r="X1301" s="16">
        <v>0.125389</v>
      </c>
      <c r="Y1301" s="16">
        <v>0.9</v>
      </c>
      <c r="Z1301" s="16">
        <v>0.272623</v>
      </c>
      <c r="AA1301" s="37"/>
    </row>
    <row r="1302" spans="1:27">
      <c r="A1302" s="16" t="s">
        <v>119</v>
      </c>
      <c r="B1302" s="16" t="s">
        <v>4369</v>
      </c>
      <c r="C1302" s="16" t="s">
        <v>4370</v>
      </c>
      <c r="D1302" s="16" t="s">
        <v>4371</v>
      </c>
      <c r="E1302" s="16" t="s">
        <v>4372</v>
      </c>
      <c r="F1302" s="16" t="s">
        <v>4373</v>
      </c>
      <c r="G1302" s="16" t="s">
        <v>3993</v>
      </c>
      <c r="H1302" s="16" t="s">
        <v>3994</v>
      </c>
      <c r="I1302" s="16" t="s">
        <v>198</v>
      </c>
      <c r="J1302" s="16" t="s">
        <v>199</v>
      </c>
      <c r="K1302" s="16">
        <v>2.0234809999999999</v>
      </c>
      <c r="L1302" s="36">
        <v>1415</v>
      </c>
      <c r="M1302" s="16">
        <v>330</v>
      </c>
      <c r="N1302" s="16">
        <v>180</v>
      </c>
      <c r="O1302" s="16">
        <v>208</v>
      </c>
      <c r="P1302" s="16">
        <v>436</v>
      </c>
      <c r="Q1302" s="16">
        <v>261</v>
      </c>
      <c r="R1302" s="16" t="s">
        <v>225</v>
      </c>
      <c r="S1302" s="16">
        <v>5.4256200000000003</v>
      </c>
      <c r="T1302" s="16">
        <v>0</v>
      </c>
      <c r="U1302" s="16">
        <v>0.71924520700000005</v>
      </c>
      <c r="V1302" s="16">
        <v>10</v>
      </c>
      <c r="W1302" s="16">
        <v>0.83522200000000002</v>
      </c>
      <c r="X1302" s="16">
        <v>0.09</v>
      </c>
      <c r="Y1302" s="16">
        <v>0.89767399999999997</v>
      </c>
      <c r="Z1302" s="16">
        <v>0.20457</v>
      </c>
      <c r="AA1302" s="37"/>
    </row>
    <row r="1303" spans="1:27">
      <c r="A1303" s="16" t="s">
        <v>119</v>
      </c>
      <c r="B1303" s="16" t="s">
        <v>4374</v>
      </c>
      <c r="C1303" s="16" t="s">
        <v>4375</v>
      </c>
      <c r="D1303" s="16" t="s">
        <v>4376</v>
      </c>
      <c r="E1303" s="16" t="s">
        <v>4372</v>
      </c>
      <c r="F1303" s="16" t="s">
        <v>4373</v>
      </c>
      <c r="G1303" s="16" t="s">
        <v>3993</v>
      </c>
      <c r="H1303" s="16" t="s">
        <v>3994</v>
      </c>
      <c r="I1303" s="16" t="s">
        <v>198</v>
      </c>
      <c r="J1303" s="16" t="s">
        <v>199</v>
      </c>
      <c r="K1303" s="16">
        <v>2.2561209999999998</v>
      </c>
      <c r="L1303" s="36">
        <v>1715</v>
      </c>
      <c r="M1303" s="16">
        <v>379</v>
      </c>
      <c r="N1303" s="16">
        <v>189</v>
      </c>
      <c r="O1303" s="16">
        <v>384</v>
      </c>
      <c r="P1303" s="16">
        <v>478</v>
      </c>
      <c r="Q1303" s="16">
        <v>285</v>
      </c>
      <c r="R1303" s="16">
        <v>2</v>
      </c>
      <c r="S1303" s="16">
        <v>16.898199999999999</v>
      </c>
      <c r="T1303" s="16">
        <v>0</v>
      </c>
      <c r="U1303" s="16">
        <v>0.69590524799999998</v>
      </c>
      <c r="V1303" s="16">
        <v>8</v>
      </c>
      <c r="W1303" s="16">
        <v>0.85494099999999995</v>
      </c>
      <c r="X1303" s="16">
        <v>0.29690299999999997</v>
      </c>
      <c r="Y1303" s="16">
        <v>0.83855199999999996</v>
      </c>
      <c r="Z1303" s="16">
        <v>0.265704</v>
      </c>
      <c r="AA1303" s="37"/>
    </row>
    <row r="1304" spans="1:27">
      <c r="A1304" s="16" t="s">
        <v>119</v>
      </c>
      <c r="B1304" s="16" t="s">
        <v>4377</v>
      </c>
      <c r="C1304" s="16" t="s">
        <v>4378</v>
      </c>
      <c r="D1304" s="16" t="s">
        <v>4379</v>
      </c>
      <c r="E1304" s="16" t="s">
        <v>4380</v>
      </c>
      <c r="F1304" s="16" t="s">
        <v>4381</v>
      </c>
      <c r="G1304" s="16" t="s">
        <v>3993</v>
      </c>
      <c r="H1304" s="16" t="s">
        <v>3994</v>
      </c>
      <c r="I1304" s="16" t="s">
        <v>198</v>
      </c>
      <c r="J1304" s="16" t="s">
        <v>199</v>
      </c>
      <c r="K1304" s="16">
        <v>2.546357</v>
      </c>
      <c r="L1304" s="36">
        <v>1603</v>
      </c>
      <c r="M1304" s="16">
        <v>338</v>
      </c>
      <c r="N1304" s="16">
        <v>266</v>
      </c>
      <c r="O1304" s="16">
        <v>473</v>
      </c>
      <c r="P1304" s="16">
        <v>346</v>
      </c>
      <c r="Q1304" s="16">
        <v>180</v>
      </c>
      <c r="R1304" s="16">
        <v>2</v>
      </c>
      <c r="S1304" s="16">
        <v>18.590499999999999</v>
      </c>
      <c r="T1304" s="16">
        <v>0</v>
      </c>
      <c r="U1304" s="16">
        <v>0.79286860299999995</v>
      </c>
      <c r="V1304" s="16">
        <v>4</v>
      </c>
      <c r="W1304" s="16">
        <v>0.88624800000000004</v>
      </c>
      <c r="X1304" s="16">
        <v>0.38521899999999998</v>
      </c>
      <c r="Y1304" s="16">
        <v>0.83876300000000004</v>
      </c>
      <c r="Z1304" s="16">
        <v>0.42674499999999999</v>
      </c>
      <c r="AA1304" s="37"/>
    </row>
    <row r="1305" spans="1:27">
      <c r="A1305" s="16" t="s">
        <v>119</v>
      </c>
      <c r="B1305" s="16" t="s">
        <v>4382</v>
      </c>
      <c r="C1305" s="16" t="s">
        <v>4383</v>
      </c>
      <c r="D1305" s="16" t="s">
        <v>4384</v>
      </c>
      <c r="E1305" s="16" t="s">
        <v>4385</v>
      </c>
      <c r="F1305" s="16" t="s">
        <v>4386</v>
      </c>
      <c r="G1305" s="16" t="s">
        <v>3684</v>
      </c>
      <c r="H1305" s="16" t="s">
        <v>3685</v>
      </c>
      <c r="I1305" s="16" t="s">
        <v>198</v>
      </c>
      <c r="J1305" s="16" t="s">
        <v>199</v>
      </c>
      <c r="K1305" s="16">
        <v>2.1327219999999998</v>
      </c>
      <c r="L1305" s="36">
        <v>1766</v>
      </c>
      <c r="M1305" s="16">
        <v>343</v>
      </c>
      <c r="N1305" s="16">
        <v>337</v>
      </c>
      <c r="O1305" s="16">
        <v>469</v>
      </c>
      <c r="P1305" s="16">
        <v>426</v>
      </c>
      <c r="Q1305" s="16">
        <v>191</v>
      </c>
      <c r="R1305" s="16" t="s">
        <v>225</v>
      </c>
      <c r="S1305" s="16">
        <v>9.1150500000000001</v>
      </c>
      <c r="T1305" s="16">
        <v>0</v>
      </c>
      <c r="U1305" s="16">
        <v>1.090400131</v>
      </c>
      <c r="V1305" s="16">
        <v>3</v>
      </c>
      <c r="W1305" s="16">
        <v>0.85378200000000004</v>
      </c>
      <c r="X1305" s="16">
        <v>0.23907600000000001</v>
      </c>
      <c r="Y1305" s="16">
        <v>0.80233600000000005</v>
      </c>
      <c r="Z1305" s="16">
        <v>0.24244599999999999</v>
      </c>
      <c r="AA1305" s="37"/>
    </row>
    <row r="1306" spans="1:27">
      <c r="A1306" s="16"/>
      <c r="B1306" s="16"/>
      <c r="C1306" s="16"/>
      <c r="D1306" s="16"/>
      <c r="E1306" s="16"/>
      <c r="F1306" s="16"/>
      <c r="G1306" s="16"/>
      <c r="H1306" s="16"/>
      <c r="I1306" s="16"/>
      <c r="J1306" s="16"/>
      <c r="K1306" s="16">
        <f>MEDIAN(K1299:K1305)</f>
        <v>2.2511809999999999</v>
      </c>
      <c r="L1306" s="36">
        <f>AVERAGE(L1299:L1305)</f>
        <v>1620.8571428571429</v>
      </c>
      <c r="M1306" s="16">
        <f t="shared" ref="M1306:Q1306" si="104">SUM(M1299:M1305)</f>
        <v>2282</v>
      </c>
      <c r="N1306" s="16">
        <f t="shared" si="104"/>
        <v>1773</v>
      </c>
      <c r="O1306" s="16">
        <f t="shared" si="104"/>
        <v>2500</v>
      </c>
      <c r="P1306" s="16">
        <f t="shared" si="104"/>
        <v>2948</v>
      </c>
      <c r="Q1306" s="16">
        <f t="shared" si="104"/>
        <v>1843</v>
      </c>
      <c r="R1306" s="16"/>
      <c r="S1306" s="16">
        <f t="shared" ref="S1306:U1306" si="105">MIN(S1299:S1305)</f>
        <v>5.4256200000000003</v>
      </c>
      <c r="T1306" s="16">
        <f t="shared" si="105"/>
        <v>0</v>
      </c>
      <c r="U1306" s="16">
        <f t="shared" si="105"/>
        <v>0.68052696400000001</v>
      </c>
      <c r="V1306" s="16">
        <f>MEDIAN(V1299:V1305)</f>
        <v>8</v>
      </c>
      <c r="W1306" s="16"/>
      <c r="X1306" s="16"/>
      <c r="Y1306" s="16"/>
      <c r="Z1306" s="16"/>
      <c r="AA1306" s="37"/>
    </row>
    <row r="1307" spans="1:27">
      <c r="A1307" s="16" t="s">
        <v>120</v>
      </c>
      <c r="B1307" s="16" t="s">
        <v>4387</v>
      </c>
      <c r="C1307" s="16" t="s">
        <v>4388</v>
      </c>
      <c r="D1307" s="16" t="s">
        <v>4389</v>
      </c>
      <c r="E1307" s="16" t="s">
        <v>4390</v>
      </c>
      <c r="F1307" s="16" t="s">
        <v>4391</v>
      </c>
      <c r="G1307" s="16" t="s">
        <v>4359</v>
      </c>
      <c r="H1307" s="16" t="s">
        <v>4360</v>
      </c>
      <c r="I1307" s="16" t="s">
        <v>198</v>
      </c>
      <c r="J1307" s="16" t="s">
        <v>199</v>
      </c>
      <c r="K1307" s="16">
        <v>2.065302</v>
      </c>
      <c r="L1307" s="36">
        <v>1711</v>
      </c>
      <c r="M1307" s="16">
        <v>381</v>
      </c>
      <c r="N1307" s="16">
        <v>236</v>
      </c>
      <c r="O1307" s="16">
        <v>441</v>
      </c>
      <c r="P1307" s="16">
        <v>450</v>
      </c>
      <c r="Q1307" s="16">
        <v>203</v>
      </c>
      <c r="R1307" s="16" t="s">
        <v>225</v>
      </c>
      <c r="S1307" s="16">
        <v>7.3963999999999999</v>
      </c>
      <c r="T1307" s="16">
        <v>0</v>
      </c>
      <c r="U1307" s="16">
        <v>0.91853971800000001</v>
      </c>
      <c r="V1307" s="16">
        <v>5</v>
      </c>
      <c r="W1307" s="16">
        <v>0.81439099999999998</v>
      </c>
      <c r="X1307" s="16">
        <v>0.123268</v>
      </c>
      <c r="Y1307" s="16">
        <v>0.8</v>
      </c>
      <c r="Z1307" s="16">
        <v>0.332482</v>
      </c>
      <c r="AA1307" s="37"/>
    </row>
    <row r="1308" spans="1:27">
      <c r="A1308" s="16" t="s">
        <v>120</v>
      </c>
      <c r="B1308" s="16" t="s">
        <v>4392</v>
      </c>
      <c r="C1308" s="16" t="s">
        <v>4393</v>
      </c>
      <c r="D1308" s="16" t="s">
        <v>4394</v>
      </c>
      <c r="E1308" s="16" t="s">
        <v>4390</v>
      </c>
      <c r="F1308" s="16" t="s">
        <v>4391</v>
      </c>
      <c r="G1308" s="16" t="s">
        <v>4359</v>
      </c>
      <c r="H1308" s="16" t="s">
        <v>4360</v>
      </c>
      <c r="I1308" s="16" t="s">
        <v>198</v>
      </c>
      <c r="J1308" s="16" t="s">
        <v>199</v>
      </c>
      <c r="K1308" s="16">
        <v>2.3240639999999999</v>
      </c>
      <c r="L1308" s="36">
        <v>1900</v>
      </c>
      <c r="M1308" s="16">
        <v>426</v>
      </c>
      <c r="N1308" s="16">
        <v>260</v>
      </c>
      <c r="O1308" s="16">
        <v>404</v>
      </c>
      <c r="P1308" s="16">
        <v>540</v>
      </c>
      <c r="Q1308" s="16">
        <v>270</v>
      </c>
      <c r="R1308" s="16">
        <v>2</v>
      </c>
      <c r="S1308" s="16">
        <v>12.1488</v>
      </c>
      <c r="T1308" s="16">
        <v>0</v>
      </c>
      <c r="U1308" s="16">
        <v>0.67856664799999999</v>
      </c>
      <c r="V1308" s="16">
        <v>7</v>
      </c>
      <c r="W1308" s="16">
        <v>0.83539300000000005</v>
      </c>
      <c r="X1308" s="16">
        <v>0.25940400000000002</v>
      </c>
      <c r="Y1308" s="16">
        <v>0.8</v>
      </c>
      <c r="Z1308" s="16">
        <v>0.41743200000000003</v>
      </c>
      <c r="AA1308" s="37"/>
    </row>
    <row r="1309" spans="1:27">
      <c r="A1309" s="16" t="s">
        <v>120</v>
      </c>
      <c r="B1309" s="16" t="s">
        <v>4395</v>
      </c>
      <c r="C1309" s="16" t="s">
        <v>4396</v>
      </c>
      <c r="D1309" s="16" t="s">
        <v>4397</v>
      </c>
      <c r="E1309" s="16" t="s">
        <v>4398</v>
      </c>
      <c r="F1309" s="16" t="s">
        <v>4399</v>
      </c>
      <c r="G1309" s="16" t="s">
        <v>4359</v>
      </c>
      <c r="H1309" s="16" t="s">
        <v>4360</v>
      </c>
      <c r="I1309" s="16" t="s">
        <v>198</v>
      </c>
      <c r="J1309" s="16" t="s">
        <v>199</v>
      </c>
      <c r="K1309" s="16">
        <v>2.2082259999999998</v>
      </c>
      <c r="L1309" s="36">
        <v>2017</v>
      </c>
      <c r="M1309" s="16">
        <v>494</v>
      </c>
      <c r="N1309" s="16">
        <v>242</v>
      </c>
      <c r="O1309" s="16">
        <v>577</v>
      </c>
      <c r="P1309" s="16">
        <v>438</v>
      </c>
      <c r="Q1309" s="16">
        <v>266</v>
      </c>
      <c r="R1309" s="16">
        <v>2</v>
      </c>
      <c r="S1309" s="16">
        <v>8.1141799999999993</v>
      </c>
      <c r="T1309" s="16">
        <v>0</v>
      </c>
      <c r="U1309" s="16">
        <v>0.83807292099999997</v>
      </c>
      <c r="V1309" s="16">
        <v>6</v>
      </c>
      <c r="W1309" s="16">
        <v>0.82350199999999996</v>
      </c>
      <c r="X1309" s="16">
        <v>0.248751</v>
      </c>
      <c r="Y1309" s="16">
        <v>0.8</v>
      </c>
      <c r="Z1309" s="16">
        <v>0.33313700000000002</v>
      </c>
      <c r="AA1309" s="37"/>
    </row>
    <row r="1310" spans="1:27">
      <c r="A1310" s="16" t="s">
        <v>120</v>
      </c>
      <c r="B1310" s="16" t="s">
        <v>4400</v>
      </c>
      <c r="C1310" s="16" t="s">
        <v>4401</v>
      </c>
      <c r="D1310" s="16" t="s">
        <v>4402</v>
      </c>
      <c r="E1310" s="16" t="s">
        <v>4390</v>
      </c>
      <c r="F1310" s="16" t="s">
        <v>4391</v>
      </c>
      <c r="G1310" s="16" t="s">
        <v>4359</v>
      </c>
      <c r="H1310" s="16" t="s">
        <v>4360</v>
      </c>
      <c r="I1310" s="16" t="s">
        <v>198</v>
      </c>
      <c r="J1310" s="16" t="s">
        <v>199</v>
      </c>
      <c r="K1310" s="16">
        <v>2.2447020000000002</v>
      </c>
      <c r="L1310" s="36">
        <v>1776</v>
      </c>
      <c r="M1310" s="16">
        <v>366</v>
      </c>
      <c r="N1310" s="16">
        <v>299</v>
      </c>
      <c r="O1310" s="16">
        <v>452</v>
      </c>
      <c r="P1310" s="16">
        <v>432</v>
      </c>
      <c r="Q1310" s="16">
        <v>227</v>
      </c>
      <c r="R1310" s="16">
        <v>2</v>
      </c>
      <c r="S1310" s="16">
        <v>12.891500000000001</v>
      </c>
      <c r="T1310" s="16">
        <v>2.3426999999999998</v>
      </c>
      <c r="U1310" s="16">
        <v>0.76201475799999996</v>
      </c>
      <c r="V1310" s="16">
        <v>6</v>
      </c>
      <c r="W1310" s="16">
        <v>0.84281600000000001</v>
      </c>
      <c r="X1310" s="16">
        <v>0.14419999999999999</v>
      </c>
      <c r="Y1310" s="16">
        <v>0.8</v>
      </c>
      <c r="Z1310" s="16">
        <v>0.45131199999999999</v>
      </c>
      <c r="AA1310" s="37"/>
    </row>
    <row r="1311" spans="1:27">
      <c r="A1311" s="16" t="s">
        <v>120</v>
      </c>
      <c r="B1311" s="16" t="s">
        <v>4403</v>
      </c>
      <c r="C1311" s="16" t="s">
        <v>4404</v>
      </c>
      <c r="D1311" s="16" t="s">
        <v>4405</v>
      </c>
      <c r="E1311" s="16" t="s">
        <v>4406</v>
      </c>
      <c r="F1311" s="16" t="s">
        <v>4407</v>
      </c>
      <c r="G1311" s="16" t="s">
        <v>4359</v>
      </c>
      <c r="H1311" s="16" t="s">
        <v>4360</v>
      </c>
      <c r="I1311" s="16" t="s">
        <v>198</v>
      </c>
      <c r="J1311" s="16" t="s">
        <v>199</v>
      </c>
      <c r="K1311" s="16">
        <v>2.3657370000000002</v>
      </c>
      <c r="L1311" s="36">
        <v>1557</v>
      </c>
      <c r="M1311" s="16">
        <v>319</v>
      </c>
      <c r="N1311" s="16">
        <v>208</v>
      </c>
      <c r="O1311" s="16">
        <v>352</v>
      </c>
      <c r="P1311" s="16">
        <v>425</v>
      </c>
      <c r="Q1311" s="16">
        <v>253</v>
      </c>
      <c r="R1311" s="16" t="s">
        <v>225</v>
      </c>
      <c r="S1311" s="16">
        <v>7.1628499999999997</v>
      </c>
      <c r="T1311" s="16">
        <v>0</v>
      </c>
      <c r="U1311" s="16">
        <v>0.66628848900000004</v>
      </c>
      <c r="V1311" s="16">
        <v>8</v>
      </c>
      <c r="W1311" s="16">
        <v>0.84319200000000005</v>
      </c>
      <c r="X1311" s="16">
        <v>0.27699200000000002</v>
      </c>
      <c r="Y1311" s="16">
        <v>0.8</v>
      </c>
      <c r="Z1311" s="16">
        <v>0.45016600000000001</v>
      </c>
      <c r="AA1311" s="37"/>
    </row>
    <row r="1312" spans="1:27">
      <c r="A1312" s="16" t="s">
        <v>120</v>
      </c>
      <c r="B1312" s="16" t="s">
        <v>4408</v>
      </c>
      <c r="C1312" s="16" t="s">
        <v>4409</v>
      </c>
      <c r="D1312" s="16" t="s">
        <v>4410</v>
      </c>
      <c r="E1312" s="16" t="s">
        <v>4406</v>
      </c>
      <c r="F1312" s="16" t="s">
        <v>4407</v>
      </c>
      <c r="G1312" s="16" t="s">
        <v>4359</v>
      </c>
      <c r="H1312" s="16" t="s">
        <v>4360</v>
      </c>
      <c r="I1312" s="16" t="s">
        <v>198</v>
      </c>
      <c r="J1312" s="16" t="s">
        <v>199</v>
      </c>
      <c r="K1312" s="16">
        <v>2.159259</v>
      </c>
      <c r="L1312" s="36">
        <v>1561</v>
      </c>
      <c r="M1312" s="16">
        <v>356</v>
      </c>
      <c r="N1312" s="16">
        <v>179</v>
      </c>
      <c r="O1312" s="16">
        <v>346</v>
      </c>
      <c r="P1312" s="16">
        <v>436</v>
      </c>
      <c r="Q1312" s="16">
        <v>244</v>
      </c>
      <c r="R1312" s="16" t="s">
        <v>225</v>
      </c>
      <c r="S1312" s="16">
        <v>6.25495</v>
      </c>
      <c r="T1312" s="16">
        <v>2.0032199999999998</v>
      </c>
      <c r="U1312" s="16">
        <v>0.73559249100000001</v>
      </c>
      <c r="V1312" s="16">
        <v>9</v>
      </c>
      <c r="W1312" s="16">
        <v>0.81688899999999998</v>
      </c>
      <c r="X1312" s="16">
        <v>9.0638999999999997E-2</v>
      </c>
      <c r="Y1312" s="16">
        <v>0.8</v>
      </c>
      <c r="Z1312" s="16">
        <v>0.45252199999999998</v>
      </c>
      <c r="AA1312" s="37"/>
    </row>
    <row r="1313" spans="1:27">
      <c r="A1313" s="16" t="s">
        <v>120</v>
      </c>
      <c r="B1313" s="16" t="s">
        <v>4411</v>
      </c>
      <c r="C1313" s="16" t="s">
        <v>4412</v>
      </c>
      <c r="D1313" s="16" t="s">
        <v>4413</v>
      </c>
      <c r="E1313" s="16" t="s">
        <v>4414</v>
      </c>
      <c r="F1313" s="16" t="s">
        <v>4415</v>
      </c>
      <c r="G1313" s="16" t="s">
        <v>4359</v>
      </c>
      <c r="H1313" s="16" t="s">
        <v>4360</v>
      </c>
      <c r="I1313" s="16" t="s">
        <v>198</v>
      </c>
      <c r="J1313" s="16" t="s">
        <v>199</v>
      </c>
      <c r="K1313" s="16">
        <v>2.3975</v>
      </c>
      <c r="L1313" s="36">
        <v>1563</v>
      </c>
      <c r="M1313" s="16">
        <v>305</v>
      </c>
      <c r="N1313" s="16">
        <v>235</v>
      </c>
      <c r="O1313" s="16">
        <v>257</v>
      </c>
      <c r="P1313" s="16">
        <v>500</v>
      </c>
      <c r="Q1313" s="16">
        <v>266</v>
      </c>
      <c r="R1313" s="16" t="s">
        <v>225</v>
      </c>
      <c r="S1313" s="16">
        <v>10.8512</v>
      </c>
      <c r="T1313" s="16">
        <v>2.1184599999999998</v>
      </c>
      <c r="U1313" s="16">
        <v>0.64796136100000001</v>
      </c>
      <c r="V1313" s="16">
        <v>7</v>
      </c>
      <c r="W1313" s="16">
        <v>0.87453700000000001</v>
      </c>
      <c r="X1313" s="16">
        <v>0.333148</v>
      </c>
      <c r="Y1313" s="16">
        <v>0.83600699999999994</v>
      </c>
      <c r="Z1313" s="16">
        <v>0.34454800000000002</v>
      </c>
      <c r="AA1313" s="37"/>
    </row>
    <row r="1314" spans="1:27">
      <c r="A1314" s="16" t="s">
        <v>120</v>
      </c>
      <c r="B1314" s="16" t="s">
        <v>4416</v>
      </c>
      <c r="C1314" s="16" t="s">
        <v>4417</v>
      </c>
      <c r="D1314" s="16" t="s">
        <v>4418</v>
      </c>
      <c r="E1314" s="16" t="s">
        <v>4419</v>
      </c>
      <c r="F1314" s="16" t="s">
        <v>4420</v>
      </c>
      <c r="G1314" s="16" t="s">
        <v>4359</v>
      </c>
      <c r="H1314" s="16" t="s">
        <v>4360</v>
      </c>
      <c r="I1314" s="16" t="s">
        <v>198</v>
      </c>
      <c r="J1314" s="16" t="s">
        <v>199</v>
      </c>
      <c r="K1314" s="16">
        <v>2.3875000000000002</v>
      </c>
      <c r="L1314" s="36">
        <v>1408</v>
      </c>
      <c r="M1314" s="16">
        <v>223</v>
      </c>
      <c r="N1314" s="16">
        <v>159</v>
      </c>
      <c r="O1314" s="16">
        <v>222</v>
      </c>
      <c r="P1314" s="16">
        <v>407</v>
      </c>
      <c r="Q1314" s="16">
        <v>397</v>
      </c>
      <c r="R1314" s="16">
        <v>2</v>
      </c>
      <c r="S1314" s="16">
        <v>11.793699999999999</v>
      </c>
      <c r="T1314" s="16">
        <v>4.5282200000000001</v>
      </c>
      <c r="U1314" s="16">
        <v>0.71829154699999997</v>
      </c>
      <c r="V1314" s="16">
        <v>7</v>
      </c>
      <c r="W1314" s="16">
        <v>0.88387099999999996</v>
      </c>
      <c r="X1314" s="16">
        <v>0.20053599999999999</v>
      </c>
      <c r="Y1314" s="16">
        <v>0.9</v>
      </c>
      <c r="Z1314" s="16">
        <v>0.42126799999999998</v>
      </c>
      <c r="AA1314" s="37"/>
    </row>
    <row r="1315" spans="1:27">
      <c r="A1315" s="16" t="s">
        <v>120</v>
      </c>
      <c r="B1315" s="16" t="s">
        <v>4421</v>
      </c>
      <c r="C1315" s="16" t="s">
        <v>4422</v>
      </c>
      <c r="D1315" s="16" t="s">
        <v>4423</v>
      </c>
      <c r="E1315" s="16" t="s">
        <v>4414</v>
      </c>
      <c r="F1315" s="16" t="s">
        <v>4415</v>
      </c>
      <c r="G1315" s="16" t="s">
        <v>4359</v>
      </c>
      <c r="H1315" s="16" t="s">
        <v>4360</v>
      </c>
      <c r="I1315" s="16" t="s">
        <v>198</v>
      </c>
      <c r="J1315" s="16" t="s">
        <v>199</v>
      </c>
      <c r="K1315" s="16">
        <v>2.2237239999999998</v>
      </c>
      <c r="L1315" s="36">
        <v>1436</v>
      </c>
      <c r="M1315" s="16">
        <v>283</v>
      </c>
      <c r="N1315" s="16">
        <v>157</v>
      </c>
      <c r="O1315" s="16">
        <v>276</v>
      </c>
      <c r="P1315" s="16">
        <v>434</v>
      </c>
      <c r="Q1315" s="16">
        <v>286</v>
      </c>
      <c r="R1315" s="16">
        <v>2</v>
      </c>
      <c r="S1315" s="16">
        <v>17.716100000000001</v>
      </c>
      <c r="T1315" s="16">
        <v>0.78484200000000004</v>
      </c>
      <c r="U1315" s="16">
        <v>0.79929661200000002</v>
      </c>
      <c r="V1315" s="16">
        <v>6</v>
      </c>
      <c r="W1315" s="16">
        <v>0.84783200000000003</v>
      </c>
      <c r="X1315" s="16">
        <v>0.12177200000000001</v>
      </c>
      <c r="Y1315" s="16">
        <v>0.857016</v>
      </c>
      <c r="Z1315" s="16">
        <v>0.39886100000000002</v>
      </c>
      <c r="AA1315" s="37"/>
    </row>
    <row r="1316" spans="1:27">
      <c r="A1316" s="16" t="s">
        <v>120</v>
      </c>
      <c r="B1316" s="16" t="s">
        <v>4424</v>
      </c>
      <c r="C1316" s="16" t="s">
        <v>4425</v>
      </c>
      <c r="D1316" s="16" t="s">
        <v>4426</v>
      </c>
      <c r="E1316" s="16" t="s">
        <v>4367</v>
      </c>
      <c r="F1316" s="16" t="s">
        <v>4368</v>
      </c>
      <c r="G1316" s="16" t="s">
        <v>4359</v>
      </c>
      <c r="H1316" s="16" t="s">
        <v>4360</v>
      </c>
      <c r="I1316" s="16" t="s">
        <v>198</v>
      </c>
      <c r="J1316" s="16" t="s">
        <v>199</v>
      </c>
      <c r="K1316" s="16">
        <v>2.4926080000000002</v>
      </c>
      <c r="L1316" s="36">
        <v>1846</v>
      </c>
      <c r="M1316" s="16">
        <v>424</v>
      </c>
      <c r="N1316" s="16">
        <v>221</v>
      </c>
      <c r="O1316" s="16">
        <v>496</v>
      </c>
      <c r="P1316" s="16">
        <v>472</v>
      </c>
      <c r="Q1316" s="16">
        <v>233</v>
      </c>
      <c r="R1316" s="16">
        <v>2</v>
      </c>
      <c r="S1316" s="16">
        <v>17.341699999999999</v>
      </c>
      <c r="T1316" s="16">
        <v>5.7910899999999996</v>
      </c>
      <c r="U1316" s="16">
        <v>0.59648293100000005</v>
      </c>
      <c r="V1316" s="16">
        <v>7</v>
      </c>
      <c r="W1316" s="16">
        <v>0.90246400000000004</v>
      </c>
      <c r="X1316" s="16">
        <v>0.16098599999999999</v>
      </c>
      <c r="Y1316" s="16">
        <v>0.9</v>
      </c>
      <c r="Z1316" s="16">
        <v>0.50655700000000004</v>
      </c>
      <c r="AA1316" s="37"/>
    </row>
    <row r="1317" spans="1:27">
      <c r="A1317" s="16" t="s">
        <v>120</v>
      </c>
      <c r="B1317" s="16" t="s">
        <v>4427</v>
      </c>
      <c r="C1317" s="16" t="s">
        <v>4428</v>
      </c>
      <c r="D1317" s="16" t="s">
        <v>4429</v>
      </c>
      <c r="E1317" s="16" t="s">
        <v>4414</v>
      </c>
      <c r="F1317" s="16" t="s">
        <v>4415</v>
      </c>
      <c r="G1317" s="16" t="s">
        <v>4359</v>
      </c>
      <c r="H1317" s="16" t="s">
        <v>4360</v>
      </c>
      <c r="I1317" s="16" t="s">
        <v>198</v>
      </c>
      <c r="J1317" s="16" t="s">
        <v>199</v>
      </c>
      <c r="K1317" s="16">
        <v>2.1492719999999998</v>
      </c>
      <c r="L1317" s="36">
        <v>1511</v>
      </c>
      <c r="M1317" s="16">
        <v>309</v>
      </c>
      <c r="N1317" s="16">
        <v>208</v>
      </c>
      <c r="O1317" s="16">
        <v>310</v>
      </c>
      <c r="P1317" s="16">
        <v>378</v>
      </c>
      <c r="Q1317" s="16">
        <v>306</v>
      </c>
      <c r="R1317" s="16">
        <v>2</v>
      </c>
      <c r="S1317" s="16">
        <v>7.1281699999999999</v>
      </c>
      <c r="T1317" s="16">
        <v>2.2678699999999998</v>
      </c>
      <c r="U1317" s="16">
        <v>0.77090229499999996</v>
      </c>
      <c r="V1317" s="16">
        <v>7</v>
      </c>
      <c r="W1317" s="16">
        <v>0.83713599999999999</v>
      </c>
      <c r="X1317" s="16">
        <v>0.198295</v>
      </c>
      <c r="Y1317" s="16">
        <v>0.8</v>
      </c>
      <c r="Z1317" s="16">
        <v>0.33373799999999998</v>
      </c>
      <c r="AA1317" s="37"/>
    </row>
    <row r="1318" spans="1:27">
      <c r="A1318" s="16" t="s">
        <v>120</v>
      </c>
      <c r="B1318" s="16" t="s">
        <v>4430</v>
      </c>
      <c r="C1318" s="16" t="s">
        <v>4431</v>
      </c>
      <c r="D1318" s="16" t="s">
        <v>4432</v>
      </c>
      <c r="E1318" s="16" t="s">
        <v>4406</v>
      </c>
      <c r="F1318" s="16" t="s">
        <v>4407</v>
      </c>
      <c r="G1318" s="16" t="s">
        <v>4359</v>
      </c>
      <c r="H1318" s="16" t="s">
        <v>4360</v>
      </c>
      <c r="I1318" s="16" t="s">
        <v>198</v>
      </c>
      <c r="J1318" s="16" t="s">
        <v>199</v>
      </c>
      <c r="K1318" s="16">
        <v>2.1636470000000001</v>
      </c>
      <c r="L1318" s="36">
        <v>1630</v>
      </c>
      <c r="M1318" s="16">
        <v>295</v>
      </c>
      <c r="N1318" s="16">
        <v>215</v>
      </c>
      <c r="O1318" s="16">
        <v>323</v>
      </c>
      <c r="P1318" s="16">
        <v>471</v>
      </c>
      <c r="Q1318" s="16">
        <v>326</v>
      </c>
      <c r="R1318" s="16" t="s">
        <v>225</v>
      </c>
      <c r="S1318" s="16">
        <v>10.1996</v>
      </c>
      <c r="T1318" s="16">
        <v>0</v>
      </c>
      <c r="U1318" s="16">
        <v>0.77313418499999997</v>
      </c>
      <c r="V1318" s="16">
        <v>8</v>
      </c>
      <c r="W1318" s="16">
        <v>0.81174000000000002</v>
      </c>
      <c r="X1318" s="16">
        <v>0.28264</v>
      </c>
      <c r="Y1318" s="16">
        <v>0.8</v>
      </c>
      <c r="Z1318" s="16">
        <v>0.26299800000000001</v>
      </c>
      <c r="AA1318" s="37"/>
    </row>
    <row r="1319" spans="1:27">
      <c r="A1319" s="16" t="s">
        <v>120</v>
      </c>
      <c r="B1319" s="16" t="s">
        <v>4433</v>
      </c>
      <c r="C1319" s="16" t="s">
        <v>4434</v>
      </c>
      <c r="D1319" s="16" t="s">
        <v>4435</v>
      </c>
      <c r="E1319" s="16" t="s">
        <v>4436</v>
      </c>
      <c r="F1319" s="16" t="s">
        <v>4437</v>
      </c>
      <c r="G1319" s="16" t="s">
        <v>4359</v>
      </c>
      <c r="H1319" s="16" t="s">
        <v>4360</v>
      </c>
      <c r="I1319" s="16" t="s">
        <v>198</v>
      </c>
      <c r="J1319" s="16" t="s">
        <v>199</v>
      </c>
      <c r="K1319" s="16">
        <v>2.2758319999999999</v>
      </c>
      <c r="L1319" s="36">
        <v>1381</v>
      </c>
      <c r="M1319" s="16">
        <v>286</v>
      </c>
      <c r="N1319" s="16">
        <v>143</v>
      </c>
      <c r="O1319" s="16">
        <v>278</v>
      </c>
      <c r="P1319" s="16">
        <v>342</v>
      </c>
      <c r="Q1319" s="16">
        <v>332</v>
      </c>
      <c r="R1319" s="16" t="s">
        <v>225</v>
      </c>
      <c r="S1319" s="16">
        <v>9.7377400000000005</v>
      </c>
      <c r="T1319" s="16">
        <v>0</v>
      </c>
      <c r="U1319" s="16">
        <v>0.69661820500000005</v>
      </c>
      <c r="V1319" s="16">
        <v>9</v>
      </c>
      <c r="W1319" s="16">
        <v>0.86263900000000004</v>
      </c>
      <c r="X1319" s="16">
        <v>0.31498799999999999</v>
      </c>
      <c r="Y1319" s="16">
        <v>0.8</v>
      </c>
      <c r="Z1319" s="16">
        <v>0.3</v>
      </c>
      <c r="AA1319" s="37"/>
    </row>
    <row r="1320" spans="1:27">
      <c r="A1320" s="16" t="s">
        <v>120</v>
      </c>
      <c r="B1320" s="16" t="s">
        <v>4438</v>
      </c>
      <c r="C1320" s="16" t="s">
        <v>4439</v>
      </c>
      <c r="D1320" s="16" t="s">
        <v>4440</v>
      </c>
      <c r="E1320" s="16" t="s">
        <v>4436</v>
      </c>
      <c r="F1320" s="16" t="s">
        <v>4437</v>
      </c>
      <c r="G1320" s="16" t="s">
        <v>4359</v>
      </c>
      <c r="H1320" s="16" t="s">
        <v>4360</v>
      </c>
      <c r="I1320" s="16" t="s">
        <v>198</v>
      </c>
      <c r="J1320" s="16" t="s">
        <v>199</v>
      </c>
      <c r="K1320" s="16">
        <v>1.932396</v>
      </c>
      <c r="L1320" s="36">
        <v>1477</v>
      </c>
      <c r="M1320" s="16">
        <v>322</v>
      </c>
      <c r="N1320" s="16">
        <v>150</v>
      </c>
      <c r="O1320" s="16">
        <v>286</v>
      </c>
      <c r="P1320" s="16">
        <v>411</v>
      </c>
      <c r="Q1320" s="16">
        <v>308</v>
      </c>
      <c r="R1320" s="16" t="s">
        <v>214</v>
      </c>
      <c r="S1320" s="16">
        <v>9.3485999999999994</v>
      </c>
      <c r="T1320" s="16">
        <v>0</v>
      </c>
      <c r="U1320" s="16">
        <v>0.78425983499999996</v>
      </c>
      <c r="V1320" s="16">
        <v>10</v>
      </c>
      <c r="W1320" s="16">
        <v>0.803423</v>
      </c>
      <c r="X1320" s="16">
        <v>3.6584999999999999E-2</v>
      </c>
      <c r="Y1320" s="16">
        <v>0.8</v>
      </c>
      <c r="Z1320" s="16">
        <v>0.28406300000000001</v>
      </c>
      <c r="AA1320" s="37"/>
    </row>
    <row r="1321" spans="1:27">
      <c r="A1321" s="16" t="s">
        <v>120</v>
      </c>
      <c r="B1321" s="16" t="s">
        <v>4441</v>
      </c>
      <c r="C1321" s="16" t="s">
        <v>4442</v>
      </c>
      <c r="D1321" s="16" t="s">
        <v>4443</v>
      </c>
      <c r="E1321" s="16" t="s">
        <v>4390</v>
      </c>
      <c r="F1321" s="16" t="s">
        <v>4391</v>
      </c>
      <c r="G1321" s="16" t="s">
        <v>4359</v>
      </c>
      <c r="H1321" s="16" t="s">
        <v>4360</v>
      </c>
      <c r="I1321" s="16" t="s">
        <v>198</v>
      </c>
      <c r="J1321" s="16" t="s">
        <v>199</v>
      </c>
      <c r="K1321" s="16">
        <v>1.8994200000000001</v>
      </c>
      <c r="L1321" s="36">
        <v>1839</v>
      </c>
      <c r="M1321" s="16">
        <v>438</v>
      </c>
      <c r="N1321" s="16">
        <v>276</v>
      </c>
      <c r="O1321" s="16">
        <v>459</v>
      </c>
      <c r="P1321" s="16">
        <v>484</v>
      </c>
      <c r="Q1321" s="16">
        <v>182</v>
      </c>
      <c r="R1321" s="16" t="s">
        <v>225</v>
      </c>
      <c r="S1321" s="16">
        <v>9.8615899999999996</v>
      </c>
      <c r="T1321" s="16">
        <v>0</v>
      </c>
      <c r="U1321" s="16">
        <v>0.92381493000000003</v>
      </c>
      <c r="V1321" s="16">
        <v>7</v>
      </c>
      <c r="W1321" s="16">
        <v>0.80546799999999996</v>
      </c>
      <c r="X1321" s="16">
        <v>3.8448999999999997E-2</v>
      </c>
      <c r="Y1321" s="16">
        <v>0.8</v>
      </c>
      <c r="Z1321" s="16">
        <v>0.25369900000000001</v>
      </c>
      <c r="AA1321" s="37"/>
    </row>
    <row r="1322" spans="1:27">
      <c r="A1322" s="16" t="s">
        <v>120</v>
      </c>
      <c r="B1322" s="16" t="s">
        <v>4444</v>
      </c>
      <c r="C1322" s="16" t="s">
        <v>4445</v>
      </c>
      <c r="D1322" s="16" t="s">
        <v>4446</v>
      </c>
      <c r="E1322" s="16" t="s">
        <v>4390</v>
      </c>
      <c r="F1322" s="16" t="s">
        <v>4391</v>
      </c>
      <c r="G1322" s="16" t="s">
        <v>4359</v>
      </c>
      <c r="H1322" s="16" t="s">
        <v>4360</v>
      </c>
      <c r="I1322" s="16" t="s">
        <v>198</v>
      </c>
      <c r="J1322" s="16" t="s">
        <v>199</v>
      </c>
      <c r="K1322" s="16">
        <v>2.1465580000000002</v>
      </c>
      <c r="L1322" s="36">
        <v>2103</v>
      </c>
      <c r="M1322" s="16">
        <v>420</v>
      </c>
      <c r="N1322" s="16">
        <v>387</v>
      </c>
      <c r="O1322" s="16">
        <v>480</v>
      </c>
      <c r="P1322" s="16">
        <v>543</v>
      </c>
      <c r="Q1322" s="16">
        <v>273</v>
      </c>
      <c r="R1322" s="16">
        <v>2</v>
      </c>
      <c r="S1322" s="16">
        <v>13.725099999999999</v>
      </c>
      <c r="T1322" s="16">
        <v>0</v>
      </c>
      <c r="U1322" s="16">
        <v>0.86732505599999998</v>
      </c>
      <c r="V1322" s="16">
        <v>6</v>
      </c>
      <c r="W1322" s="16">
        <v>0.83393899999999999</v>
      </c>
      <c r="X1322" s="16">
        <v>0.21111099999999999</v>
      </c>
      <c r="Y1322" s="16">
        <v>0.8</v>
      </c>
      <c r="Z1322" s="16">
        <v>0.30668899999999999</v>
      </c>
      <c r="AA1322" s="37"/>
    </row>
    <row r="1323" spans="1:27">
      <c r="A1323" s="16" t="s">
        <v>120</v>
      </c>
      <c r="B1323" s="16" t="s">
        <v>4447</v>
      </c>
      <c r="C1323" s="16" t="s">
        <v>4448</v>
      </c>
      <c r="D1323" s="16" t="s">
        <v>4449</v>
      </c>
      <c r="E1323" s="16" t="s">
        <v>4436</v>
      </c>
      <c r="F1323" s="16" t="s">
        <v>4437</v>
      </c>
      <c r="G1323" s="16" t="s">
        <v>4359</v>
      </c>
      <c r="H1323" s="16" t="s">
        <v>4360</v>
      </c>
      <c r="I1323" s="16" t="s">
        <v>198</v>
      </c>
      <c r="J1323" s="16" t="s">
        <v>199</v>
      </c>
      <c r="K1323" s="16">
        <v>1.8468899999999999</v>
      </c>
      <c r="L1323" s="36">
        <v>1622</v>
      </c>
      <c r="M1323" s="16">
        <v>375</v>
      </c>
      <c r="N1323" s="16">
        <v>159</v>
      </c>
      <c r="O1323" s="16">
        <v>314</v>
      </c>
      <c r="P1323" s="16">
        <v>484</v>
      </c>
      <c r="Q1323" s="16">
        <v>290</v>
      </c>
      <c r="R1323" s="16" t="s">
        <v>225</v>
      </c>
      <c r="S1323" s="16">
        <v>5.6738999999999997</v>
      </c>
      <c r="T1323" s="16">
        <v>0</v>
      </c>
      <c r="U1323" s="16">
        <v>0.82965791300000002</v>
      </c>
      <c r="V1323" s="16">
        <v>10</v>
      </c>
      <c r="W1323" s="16">
        <v>0.80116600000000004</v>
      </c>
      <c r="X1323" s="16">
        <v>2.4223999999999999E-2</v>
      </c>
      <c r="Y1323" s="16">
        <v>0.8</v>
      </c>
      <c r="Z1323" s="16">
        <v>0.21804000000000001</v>
      </c>
      <c r="AA1323" s="37"/>
    </row>
    <row r="1324" spans="1:27">
      <c r="A1324" s="16" t="s">
        <v>120</v>
      </c>
      <c r="B1324" s="16" t="s">
        <v>4450</v>
      </c>
      <c r="C1324" s="16" t="s">
        <v>4451</v>
      </c>
      <c r="D1324" s="16" t="s">
        <v>4452</v>
      </c>
      <c r="E1324" s="16" t="s">
        <v>4453</v>
      </c>
      <c r="F1324" s="16" t="s">
        <v>4454</v>
      </c>
      <c r="G1324" s="16" t="s">
        <v>3993</v>
      </c>
      <c r="H1324" s="16" t="s">
        <v>3994</v>
      </c>
      <c r="I1324" s="16" t="s">
        <v>198</v>
      </c>
      <c r="J1324" s="16" t="s">
        <v>199</v>
      </c>
      <c r="K1324" s="16">
        <v>2.6420370000000002</v>
      </c>
      <c r="L1324" s="36">
        <v>1497</v>
      </c>
      <c r="M1324" s="16">
        <v>318</v>
      </c>
      <c r="N1324" s="16">
        <v>232</v>
      </c>
      <c r="O1324" s="16">
        <v>371</v>
      </c>
      <c r="P1324" s="16">
        <v>419</v>
      </c>
      <c r="Q1324" s="16">
        <v>157</v>
      </c>
      <c r="R1324" s="16">
        <v>2</v>
      </c>
      <c r="S1324" s="16">
        <v>13.104699999999999</v>
      </c>
      <c r="T1324" s="16">
        <v>3.29</v>
      </c>
      <c r="U1324" s="16">
        <v>0.60687835599999995</v>
      </c>
      <c r="V1324" s="16">
        <v>6</v>
      </c>
      <c r="W1324" s="16">
        <v>0.89332599999999995</v>
      </c>
      <c r="X1324" s="16">
        <v>0.28737000000000001</v>
      </c>
      <c r="Y1324" s="16">
        <v>0.9</v>
      </c>
      <c r="Z1324" s="16">
        <v>0.55913299999999999</v>
      </c>
      <c r="AA1324" s="37"/>
    </row>
    <row r="1325" spans="1:27">
      <c r="A1325" s="16" t="s">
        <v>120</v>
      </c>
      <c r="B1325" s="16" t="s">
        <v>4455</v>
      </c>
      <c r="C1325" s="16" t="s">
        <v>4456</v>
      </c>
      <c r="D1325" s="16" t="s">
        <v>4457</v>
      </c>
      <c r="E1325" s="16" t="s">
        <v>4453</v>
      </c>
      <c r="F1325" s="16" t="s">
        <v>4454</v>
      </c>
      <c r="G1325" s="16" t="s">
        <v>3993</v>
      </c>
      <c r="H1325" s="16" t="s">
        <v>3994</v>
      </c>
      <c r="I1325" s="16" t="s">
        <v>198</v>
      </c>
      <c r="J1325" s="16" t="s">
        <v>199</v>
      </c>
      <c r="K1325" s="16">
        <v>2.5466489999999999</v>
      </c>
      <c r="L1325" s="36">
        <v>1790</v>
      </c>
      <c r="M1325" s="16">
        <v>333</v>
      </c>
      <c r="N1325" s="16">
        <v>300</v>
      </c>
      <c r="O1325" s="16">
        <v>412</v>
      </c>
      <c r="P1325" s="16">
        <v>509</v>
      </c>
      <c r="Q1325" s="16">
        <v>236</v>
      </c>
      <c r="R1325" s="16">
        <v>2</v>
      </c>
      <c r="S1325" s="16">
        <v>12.1462</v>
      </c>
      <c r="T1325" s="16">
        <v>6.1632400000000001</v>
      </c>
      <c r="U1325" s="16">
        <v>0.54035592499999996</v>
      </c>
      <c r="V1325" s="16">
        <v>8</v>
      </c>
      <c r="W1325" s="16">
        <v>0.90551899999999996</v>
      </c>
      <c r="X1325" s="16">
        <v>0.208649</v>
      </c>
      <c r="Y1325" s="16">
        <v>0.9</v>
      </c>
      <c r="Z1325" s="16">
        <v>0.52704499999999999</v>
      </c>
      <c r="AA1325" s="37"/>
    </row>
    <row r="1326" spans="1:27">
      <c r="A1326" s="16" t="s">
        <v>120</v>
      </c>
      <c r="B1326" s="16" t="s">
        <v>4458</v>
      </c>
      <c r="C1326" s="16" t="s">
        <v>4459</v>
      </c>
      <c r="D1326" s="16" t="s">
        <v>4460</v>
      </c>
      <c r="E1326" s="16" t="s">
        <v>4380</v>
      </c>
      <c r="F1326" s="16" t="s">
        <v>4381</v>
      </c>
      <c r="G1326" s="16" t="s">
        <v>3993</v>
      </c>
      <c r="H1326" s="16" t="s">
        <v>3994</v>
      </c>
      <c r="I1326" s="16" t="s">
        <v>198</v>
      </c>
      <c r="J1326" s="16" t="s">
        <v>199</v>
      </c>
      <c r="K1326" s="16">
        <v>2.3183739999999999</v>
      </c>
      <c r="L1326" s="36">
        <v>1705</v>
      </c>
      <c r="M1326" s="16">
        <v>389</v>
      </c>
      <c r="N1326" s="16">
        <v>179</v>
      </c>
      <c r="O1326" s="16">
        <v>487</v>
      </c>
      <c r="P1326" s="16">
        <v>354</v>
      </c>
      <c r="Q1326" s="16">
        <v>296</v>
      </c>
      <c r="R1326" s="16">
        <v>3</v>
      </c>
      <c r="S1326" s="16">
        <v>21.414100000000001</v>
      </c>
      <c r="T1326" s="16">
        <v>2.7941400000000001</v>
      </c>
      <c r="U1326" s="16">
        <v>0.67804586099999997</v>
      </c>
      <c r="V1326" s="16">
        <v>9</v>
      </c>
      <c r="W1326" s="16">
        <v>0.90356300000000001</v>
      </c>
      <c r="X1326" s="16">
        <v>0.17035400000000001</v>
      </c>
      <c r="Y1326" s="16">
        <v>0.875166</v>
      </c>
      <c r="Z1326" s="16">
        <v>0.38539600000000002</v>
      </c>
      <c r="AA1326" s="37"/>
    </row>
    <row r="1327" spans="1:27">
      <c r="A1327" s="16" t="s">
        <v>120</v>
      </c>
      <c r="B1327" s="16" t="s">
        <v>4377</v>
      </c>
      <c r="C1327" s="16" t="s">
        <v>4378</v>
      </c>
      <c r="D1327" s="16" t="s">
        <v>4379</v>
      </c>
      <c r="E1327" s="16" t="s">
        <v>4380</v>
      </c>
      <c r="F1327" s="16" t="s">
        <v>4381</v>
      </c>
      <c r="G1327" s="16" t="s">
        <v>3993</v>
      </c>
      <c r="H1327" s="16" t="s">
        <v>3994</v>
      </c>
      <c r="I1327" s="16" t="s">
        <v>198</v>
      </c>
      <c r="J1327" s="16" t="s">
        <v>199</v>
      </c>
      <c r="K1327" s="16">
        <v>2.546357</v>
      </c>
      <c r="L1327" s="36">
        <v>1603</v>
      </c>
      <c r="M1327" s="16">
        <v>338</v>
      </c>
      <c r="N1327" s="16">
        <v>266</v>
      </c>
      <c r="O1327" s="16">
        <v>473</v>
      </c>
      <c r="P1327" s="16">
        <v>346</v>
      </c>
      <c r="Q1327" s="16">
        <v>180</v>
      </c>
      <c r="R1327" s="16">
        <v>2</v>
      </c>
      <c r="S1327" s="16">
        <v>18.590499999999999</v>
      </c>
      <c r="T1327" s="16">
        <v>0</v>
      </c>
      <c r="U1327" s="16">
        <v>0.79286860299999995</v>
      </c>
      <c r="V1327" s="16">
        <v>4</v>
      </c>
      <c r="W1327" s="16">
        <v>0.88624800000000004</v>
      </c>
      <c r="X1327" s="16">
        <v>0.38521899999999998</v>
      </c>
      <c r="Y1327" s="16">
        <v>0.83876300000000004</v>
      </c>
      <c r="Z1327" s="16">
        <v>0.42674499999999999</v>
      </c>
      <c r="AA1327" s="37"/>
    </row>
    <row r="1328" spans="1:27">
      <c r="A1328" s="16"/>
      <c r="B1328" s="16"/>
      <c r="C1328" s="16"/>
      <c r="D1328" s="16"/>
      <c r="E1328" s="16"/>
      <c r="F1328" s="16"/>
      <c r="G1328" s="16"/>
      <c r="H1328" s="16"/>
      <c r="I1328" s="16"/>
      <c r="J1328" s="16"/>
      <c r="K1328" s="16">
        <f>MEDIAN(K1307:K1327)</f>
        <v>2.2447020000000002</v>
      </c>
      <c r="L1328" s="36">
        <f>AVERAGE(L1307:L1327)</f>
        <v>1663.4761904761904</v>
      </c>
      <c r="M1328" s="16">
        <f t="shared" ref="M1328:Q1328" si="106">SUM(M1307:M1327)</f>
        <v>7400</v>
      </c>
      <c r="N1328" s="16">
        <f t="shared" si="106"/>
        <v>4711</v>
      </c>
      <c r="O1328" s="16">
        <f t="shared" si="106"/>
        <v>8016</v>
      </c>
      <c r="P1328" s="16">
        <f t="shared" si="106"/>
        <v>9275</v>
      </c>
      <c r="Q1328" s="16">
        <f t="shared" si="106"/>
        <v>5531</v>
      </c>
      <c r="R1328" s="16"/>
      <c r="S1328" s="16">
        <f t="shared" ref="S1328:U1328" si="107">MIN(S1307:S1327)</f>
        <v>5.6738999999999997</v>
      </c>
      <c r="T1328" s="16">
        <f t="shared" si="107"/>
        <v>0</v>
      </c>
      <c r="U1328" s="16">
        <f t="shared" si="107"/>
        <v>0.54035592499999996</v>
      </c>
      <c r="V1328" s="16">
        <f>MEDIAN(V1307:V1327)</f>
        <v>7</v>
      </c>
      <c r="W1328" s="16"/>
      <c r="X1328" s="16"/>
      <c r="Y1328" s="16"/>
      <c r="Z1328" s="16"/>
      <c r="AA1328" s="37"/>
    </row>
    <row r="1329" spans="1:27">
      <c r="A1329" s="16" t="s">
        <v>121</v>
      </c>
      <c r="B1329" s="16" t="s">
        <v>4461</v>
      </c>
      <c r="C1329" s="16" t="s">
        <v>4462</v>
      </c>
      <c r="D1329" s="16" t="s">
        <v>4463</v>
      </c>
      <c r="E1329" s="16" t="s">
        <v>4464</v>
      </c>
      <c r="F1329" s="16" t="s">
        <v>4465</v>
      </c>
      <c r="G1329" s="16" t="s">
        <v>4359</v>
      </c>
      <c r="H1329" s="16" t="s">
        <v>4360</v>
      </c>
      <c r="I1329" s="16" t="s">
        <v>198</v>
      </c>
      <c r="J1329" s="16" t="s">
        <v>199</v>
      </c>
      <c r="K1329" s="16">
        <v>2.0036999999999998</v>
      </c>
      <c r="L1329" s="36">
        <v>2213</v>
      </c>
      <c r="M1329" s="16">
        <v>461</v>
      </c>
      <c r="N1329" s="16">
        <v>340</v>
      </c>
      <c r="O1329" s="16">
        <v>498</v>
      </c>
      <c r="P1329" s="16">
        <v>595</v>
      </c>
      <c r="Q1329" s="16">
        <v>319</v>
      </c>
      <c r="R1329" s="16" t="s">
        <v>214</v>
      </c>
      <c r="S1329" s="16">
        <v>9.2075999999999993</v>
      </c>
      <c r="T1329" s="16">
        <v>0</v>
      </c>
      <c r="U1329" s="16">
        <v>0.96827271100000001</v>
      </c>
      <c r="V1329" s="16">
        <v>5</v>
      </c>
      <c r="W1329" s="16">
        <v>0.80215199999999998</v>
      </c>
      <c r="X1329" s="16">
        <v>0.171991</v>
      </c>
      <c r="Y1329" s="16">
        <v>0.89505299999999999</v>
      </c>
      <c r="Z1329" s="16">
        <v>0.14699000000000001</v>
      </c>
      <c r="AA1329" s="37"/>
    </row>
    <row r="1330" spans="1:27">
      <c r="A1330" s="16" t="s">
        <v>121</v>
      </c>
      <c r="B1330" s="16" t="s">
        <v>4466</v>
      </c>
      <c r="C1330" s="16" t="s">
        <v>4467</v>
      </c>
      <c r="D1330" s="16" t="s">
        <v>4468</v>
      </c>
      <c r="E1330" s="16" t="s">
        <v>4464</v>
      </c>
      <c r="F1330" s="16" t="s">
        <v>4465</v>
      </c>
      <c r="G1330" s="16" t="s">
        <v>4359</v>
      </c>
      <c r="H1330" s="16" t="s">
        <v>4360</v>
      </c>
      <c r="I1330" s="16" t="s">
        <v>198</v>
      </c>
      <c r="J1330" s="16" t="s">
        <v>199</v>
      </c>
      <c r="K1330" s="16">
        <v>2.0449660000000001</v>
      </c>
      <c r="L1330" s="36">
        <v>1924</v>
      </c>
      <c r="M1330" s="16">
        <v>432</v>
      </c>
      <c r="N1330" s="16">
        <v>282</v>
      </c>
      <c r="O1330" s="16">
        <v>407</v>
      </c>
      <c r="P1330" s="16">
        <v>552</v>
      </c>
      <c r="Q1330" s="16">
        <v>251</v>
      </c>
      <c r="R1330" s="16">
        <v>2</v>
      </c>
      <c r="S1330" s="16">
        <v>7.7308599999999998</v>
      </c>
      <c r="T1330" s="16">
        <v>1.3324400000000001</v>
      </c>
      <c r="U1330" s="16">
        <v>0.80357441299999999</v>
      </c>
      <c r="V1330" s="16">
        <v>8</v>
      </c>
      <c r="W1330" s="16">
        <v>0.81132700000000002</v>
      </c>
      <c r="X1330" s="16">
        <v>0.106113</v>
      </c>
      <c r="Y1330" s="16">
        <v>0.84254600000000002</v>
      </c>
      <c r="Z1330" s="16">
        <v>0.28897800000000001</v>
      </c>
      <c r="AA1330" s="37"/>
    </row>
    <row r="1331" spans="1:27">
      <c r="A1331" s="16" t="s">
        <v>121</v>
      </c>
      <c r="B1331" s="16" t="s">
        <v>4469</v>
      </c>
      <c r="C1331" s="16" t="s">
        <v>4470</v>
      </c>
      <c r="D1331" s="16" t="s">
        <v>4471</v>
      </c>
      <c r="E1331" s="16" t="s">
        <v>4464</v>
      </c>
      <c r="F1331" s="16" t="s">
        <v>4465</v>
      </c>
      <c r="G1331" s="16" t="s">
        <v>4359</v>
      </c>
      <c r="H1331" s="16" t="s">
        <v>4360</v>
      </c>
      <c r="I1331" s="16" t="s">
        <v>198</v>
      </c>
      <c r="J1331" s="16" t="s">
        <v>199</v>
      </c>
      <c r="K1331" s="16">
        <v>1.8218049999999999</v>
      </c>
      <c r="L1331" s="36">
        <v>1662</v>
      </c>
      <c r="M1331" s="16">
        <v>399</v>
      </c>
      <c r="N1331" s="16">
        <v>202</v>
      </c>
      <c r="O1331" s="16">
        <v>392</v>
      </c>
      <c r="P1331" s="16">
        <v>407</v>
      </c>
      <c r="Q1331" s="16">
        <v>262</v>
      </c>
      <c r="R1331" s="16" t="s">
        <v>225</v>
      </c>
      <c r="S1331" s="16">
        <v>8.6626399999999997</v>
      </c>
      <c r="T1331" s="16">
        <v>0</v>
      </c>
      <c r="U1331" s="16">
        <v>1.0762670329999999</v>
      </c>
      <c r="V1331" s="16">
        <v>5</v>
      </c>
      <c r="W1331" s="16">
        <v>0.80193599999999998</v>
      </c>
      <c r="X1331" s="16">
        <v>2.2574E-2</v>
      </c>
      <c r="Y1331" s="16">
        <v>0.83629299999999995</v>
      </c>
      <c r="Z1331" s="16">
        <v>0.165765</v>
      </c>
      <c r="AA1331" s="37"/>
    </row>
    <row r="1332" spans="1:27">
      <c r="A1332" s="16" t="s">
        <v>121</v>
      </c>
      <c r="B1332" s="16" t="s">
        <v>4472</v>
      </c>
      <c r="C1332" s="16" t="s">
        <v>4473</v>
      </c>
      <c r="D1332" s="16" t="s">
        <v>4474</v>
      </c>
      <c r="E1332" s="16" t="s">
        <v>4406</v>
      </c>
      <c r="F1332" s="16" t="s">
        <v>4407</v>
      </c>
      <c r="G1332" s="16" t="s">
        <v>4359</v>
      </c>
      <c r="H1332" s="16" t="s">
        <v>4360</v>
      </c>
      <c r="I1332" s="16" t="s">
        <v>198</v>
      </c>
      <c r="J1332" s="16" t="s">
        <v>199</v>
      </c>
      <c r="K1332" s="16">
        <v>2.0781529999999999</v>
      </c>
      <c r="L1332" s="36">
        <v>1655</v>
      </c>
      <c r="M1332" s="16">
        <v>377</v>
      </c>
      <c r="N1332" s="16">
        <v>224</v>
      </c>
      <c r="O1332" s="16">
        <v>428</v>
      </c>
      <c r="P1332" s="16">
        <v>426</v>
      </c>
      <c r="Q1332" s="16">
        <v>200</v>
      </c>
      <c r="R1332" s="16">
        <v>2</v>
      </c>
      <c r="S1332" s="16">
        <v>9.5277799999999999</v>
      </c>
      <c r="T1332" s="16">
        <v>4.25718</v>
      </c>
      <c r="U1332" s="16">
        <v>0.84574635899999995</v>
      </c>
      <c r="V1332" s="16">
        <v>7</v>
      </c>
      <c r="W1332" s="16">
        <v>0.80936300000000005</v>
      </c>
      <c r="X1332" s="16">
        <v>8.8660000000000003E-2</v>
      </c>
      <c r="Y1332" s="16">
        <v>0.8</v>
      </c>
      <c r="Z1332" s="16">
        <v>0.39056800000000003</v>
      </c>
      <c r="AA1332" s="37"/>
    </row>
    <row r="1333" spans="1:27">
      <c r="A1333" s="16" t="s">
        <v>121</v>
      </c>
      <c r="B1333" s="16" t="s">
        <v>4475</v>
      </c>
      <c r="C1333" s="16" t="s">
        <v>4476</v>
      </c>
      <c r="D1333" s="16" t="s">
        <v>4477</v>
      </c>
      <c r="E1333" s="16" t="s">
        <v>4464</v>
      </c>
      <c r="F1333" s="16" t="s">
        <v>4465</v>
      </c>
      <c r="G1333" s="16" t="s">
        <v>4359</v>
      </c>
      <c r="H1333" s="16" t="s">
        <v>4360</v>
      </c>
      <c r="I1333" s="16" t="s">
        <v>198</v>
      </c>
      <c r="J1333" s="16" t="s">
        <v>199</v>
      </c>
      <c r="K1333" s="16">
        <v>2.069572</v>
      </c>
      <c r="L1333" s="36">
        <v>1664</v>
      </c>
      <c r="M1333" s="16">
        <v>377</v>
      </c>
      <c r="N1333" s="16">
        <v>216</v>
      </c>
      <c r="O1333" s="16">
        <v>367</v>
      </c>
      <c r="P1333" s="16">
        <v>431</v>
      </c>
      <c r="Q1333" s="16">
        <v>273</v>
      </c>
      <c r="R1333" s="16">
        <v>2</v>
      </c>
      <c r="S1333" s="16">
        <v>10.305</v>
      </c>
      <c r="T1333" s="16">
        <v>5.0257199999999997</v>
      </c>
      <c r="U1333" s="16">
        <v>0.91458430800000001</v>
      </c>
      <c r="V1333" s="16">
        <v>5</v>
      </c>
      <c r="W1333" s="16">
        <v>0.81220300000000001</v>
      </c>
      <c r="X1333" s="16">
        <v>0.13039400000000001</v>
      </c>
      <c r="Y1333" s="16">
        <v>0.8</v>
      </c>
      <c r="Z1333" s="16">
        <v>0.32352900000000001</v>
      </c>
      <c r="AA1333" s="37"/>
    </row>
    <row r="1334" spans="1:27">
      <c r="A1334" s="16" t="s">
        <v>121</v>
      </c>
      <c r="B1334" s="16" t="s">
        <v>4430</v>
      </c>
      <c r="C1334" s="16" t="s">
        <v>4431</v>
      </c>
      <c r="D1334" s="16" t="s">
        <v>4432</v>
      </c>
      <c r="E1334" s="16" t="s">
        <v>4406</v>
      </c>
      <c r="F1334" s="16" t="s">
        <v>4407</v>
      </c>
      <c r="G1334" s="16" t="s">
        <v>4359</v>
      </c>
      <c r="H1334" s="16" t="s">
        <v>4360</v>
      </c>
      <c r="I1334" s="16" t="s">
        <v>198</v>
      </c>
      <c r="J1334" s="16" t="s">
        <v>199</v>
      </c>
      <c r="K1334" s="16">
        <v>2.1636470000000001</v>
      </c>
      <c r="L1334" s="36">
        <v>1630</v>
      </c>
      <c r="M1334" s="16">
        <v>295</v>
      </c>
      <c r="N1334" s="16">
        <v>215</v>
      </c>
      <c r="O1334" s="16">
        <v>323</v>
      </c>
      <c r="P1334" s="16">
        <v>471</v>
      </c>
      <c r="Q1334" s="16">
        <v>326</v>
      </c>
      <c r="R1334" s="16" t="s">
        <v>225</v>
      </c>
      <c r="S1334" s="16">
        <v>10.1996</v>
      </c>
      <c r="T1334" s="16">
        <v>0</v>
      </c>
      <c r="U1334" s="16">
        <v>0.77313418499999997</v>
      </c>
      <c r="V1334" s="16">
        <v>8</v>
      </c>
      <c r="W1334" s="16">
        <v>0.81174000000000002</v>
      </c>
      <c r="X1334" s="16">
        <v>0.28264</v>
      </c>
      <c r="Y1334" s="16">
        <v>0.8</v>
      </c>
      <c r="Z1334" s="16">
        <v>0.26299800000000001</v>
      </c>
      <c r="AA1334" s="37"/>
    </row>
    <row r="1335" spans="1:27">
      <c r="A1335" s="16" t="s">
        <v>121</v>
      </c>
      <c r="B1335" s="16" t="s">
        <v>4478</v>
      </c>
      <c r="C1335" s="16" t="s">
        <v>4479</v>
      </c>
      <c r="D1335" s="16" t="s">
        <v>4480</v>
      </c>
      <c r="E1335" s="16" t="s">
        <v>4406</v>
      </c>
      <c r="F1335" s="16" t="s">
        <v>4407</v>
      </c>
      <c r="G1335" s="16" t="s">
        <v>4359</v>
      </c>
      <c r="H1335" s="16" t="s">
        <v>4360</v>
      </c>
      <c r="I1335" s="16" t="s">
        <v>198</v>
      </c>
      <c r="J1335" s="16" t="s">
        <v>199</v>
      </c>
      <c r="K1335" s="16">
        <v>2.0332240000000001</v>
      </c>
      <c r="L1335" s="36">
        <v>1397</v>
      </c>
      <c r="M1335" s="16">
        <v>283</v>
      </c>
      <c r="N1335" s="16">
        <v>160</v>
      </c>
      <c r="O1335" s="16">
        <v>264</v>
      </c>
      <c r="P1335" s="16">
        <v>411</v>
      </c>
      <c r="Q1335" s="16">
        <v>279</v>
      </c>
      <c r="R1335" s="16">
        <v>2</v>
      </c>
      <c r="S1335" s="16">
        <v>10.045400000000001</v>
      </c>
      <c r="T1335" s="16">
        <v>5.7176400000000003</v>
      </c>
      <c r="U1335" s="16">
        <v>0.83432670900000006</v>
      </c>
      <c r="V1335" s="16">
        <v>8</v>
      </c>
      <c r="W1335" s="16">
        <v>0.80296100000000004</v>
      </c>
      <c r="X1335" s="16">
        <v>4.1914E-2</v>
      </c>
      <c r="Y1335" s="16">
        <v>0.8</v>
      </c>
      <c r="Z1335" s="16">
        <v>0.39404</v>
      </c>
      <c r="AA1335" s="37"/>
    </row>
    <row r="1336" spans="1:27">
      <c r="A1336" s="16" t="s">
        <v>121</v>
      </c>
      <c r="B1336" s="16" t="s">
        <v>4481</v>
      </c>
      <c r="C1336" s="16" t="s">
        <v>4482</v>
      </c>
      <c r="D1336" s="16" t="s">
        <v>4483</v>
      </c>
      <c r="E1336" s="16" t="s">
        <v>4464</v>
      </c>
      <c r="F1336" s="16" t="s">
        <v>4465</v>
      </c>
      <c r="G1336" s="16" t="s">
        <v>4359</v>
      </c>
      <c r="H1336" s="16" t="s">
        <v>4360</v>
      </c>
      <c r="I1336" s="16" t="s">
        <v>198</v>
      </c>
      <c r="J1336" s="16" t="s">
        <v>199</v>
      </c>
      <c r="K1336" s="16">
        <v>2.0169030000000001</v>
      </c>
      <c r="L1336" s="36">
        <v>1430</v>
      </c>
      <c r="M1336" s="16">
        <v>324</v>
      </c>
      <c r="N1336" s="16">
        <v>210</v>
      </c>
      <c r="O1336" s="16">
        <v>328</v>
      </c>
      <c r="P1336" s="16">
        <v>365</v>
      </c>
      <c r="Q1336" s="16">
        <v>203</v>
      </c>
      <c r="R1336" s="16" t="s">
        <v>214</v>
      </c>
      <c r="S1336" s="16">
        <v>6.2227199999999998</v>
      </c>
      <c r="T1336" s="16">
        <v>0</v>
      </c>
      <c r="U1336" s="16">
        <v>0.93647034600000001</v>
      </c>
      <c r="V1336" s="16">
        <v>6</v>
      </c>
      <c r="W1336" s="16">
        <v>0.80224600000000001</v>
      </c>
      <c r="X1336" s="16">
        <v>0.17585799999999999</v>
      </c>
      <c r="Y1336" s="16">
        <v>0.8</v>
      </c>
      <c r="Z1336" s="16">
        <v>0.24557300000000001</v>
      </c>
      <c r="AA1336" s="37"/>
    </row>
    <row r="1337" spans="1:27">
      <c r="A1337" s="16"/>
      <c r="B1337" s="16"/>
      <c r="C1337" s="16"/>
      <c r="D1337" s="16"/>
      <c r="E1337" s="16"/>
      <c r="F1337" s="16"/>
      <c r="G1337" s="16"/>
      <c r="H1337" s="16"/>
      <c r="I1337" s="16"/>
      <c r="J1337" s="16"/>
      <c r="K1337" s="16">
        <f>MEDIAN(K1329:K1336)</f>
        <v>2.0390950000000001</v>
      </c>
      <c r="L1337" s="36">
        <f>AVERAGE(L1329:L1336)</f>
        <v>1696.875</v>
      </c>
      <c r="M1337" s="16">
        <f t="shared" ref="M1337:Q1337" si="108">SUM(M1329:M1336)</f>
        <v>2948</v>
      </c>
      <c r="N1337" s="16">
        <f t="shared" si="108"/>
        <v>1849</v>
      </c>
      <c r="O1337" s="16">
        <f t="shared" si="108"/>
        <v>3007</v>
      </c>
      <c r="P1337" s="16">
        <f t="shared" si="108"/>
        <v>3658</v>
      </c>
      <c r="Q1337" s="16">
        <f t="shared" si="108"/>
        <v>2113</v>
      </c>
      <c r="R1337" s="16"/>
      <c r="S1337" s="16">
        <f t="shared" ref="S1337:U1337" si="109">MIN(S1329:S1336)</f>
        <v>6.2227199999999998</v>
      </c>
      <c r="T1337" s="16">
        <f t="shared" si="109"/>
        <v>0</v>
      </c>
      <c r="U1337" s="16">
        <f t="shared" si="109"/>
        <v>0.77313418499999997</v>
      </c>
      <c r="V1337" s="16">
        <f>MEDIAN(V1329:V1336)</f>
        <v>6.5</v>
      </c>
      <c r="W1337" s="16">
        <f t="shared" ref="W1337:Z1337" si="110">AVERAGE(W1329:W1336)</f>
        <v>0.80674100000000004</v>
      </c>
      <c r="X1337" s="16">
        <f t="shared" si="110"/>
        <v>0.12751800000000002</v>
      </c>
      <c r="Y1337" s="16">
        <f t="shared" si="110"/>
        <v>0.82173649999999987</v>
      </c>
      <c r="Z1337" s="16">
        <f t="shared" si="110"/>
        <v>0.27730512499999999</v>
      </c>
      <c r="AA1337" s="37"/>
    </row>
    <row r="1338" spans="1:27">
      <c r="A1338" s="16" t="s">
        <v>122</v>
      </c>
      <c r="B1338" s="16" t="s">
        <v>4484</v>
      </c>
      <c r="C1338" s="16" t="s">
        <v>4485</v>
      </c>
      <c r="D1338" s="16" t="s">
        <v>4486</v>
      </c>
      <c r="E1338" s="16" t="s">
        <v>4487</v>
      </c>
      <c r="F1338" s="16" t="s">
        <v>4488</v>
      </c>
      <c r="G1338" s="16" t="s">
        <v>3684</v>
      </c>
      <c r="H1338" s="16" t="s">
        <v>3685</v>
      </c>
      <c r="I1338" s="16" t="s">
        <v>198</v>
      </c>
      <c r="J1338" s="16" t="s">
        <v>199</v>
      </c>
      <c r="K1338" s="16">
        <v>2.4325230000000002</v>
      </c>
      <c r="L1338" s="36">
        <v>1821</v>
      </c>
      <c r="M1338" s="16">
        <v>350</v>
      </c>
      <c r="N1338" s="16">
        <v>808</v>
      </c>
      <c r="O1338" s="16">
        <v>283</v>
      </c>
      <c r="P1338" s="16">
        <v>274</v>
      </c>
      <c r="Q1338" s="16">
        <v>106</v>
      </c>
      <c r="R1338" s="16">
        <v>2</v>
      </c>
      <c r="S1338" s="16">
        <v>11.350199999999999</v>
      </c>
      <c r="T1338" s="16">
        <v>0</v>
      </c>
      <c r="U1338" s="16">
        <v>0.89741701100000004</v>
      </c>
      <c r="V1338" s="16">
        <v>4</v>
      </c>
      <c r="W1338" s="16">
        <v>0.90212800000000004</v>
      </c>
      <c r="X1338" s="16">
        <v>0.125802</v>
      </c>
      <c r="Y1338" s="16">
        <v>0.8</v>
      </c>
      <c r="Z1338" s="16">
        <v>0.58843199999999996</v>
      </c>
      <c r="AA1338" s="37"/>
    </row>
    <row r="1339" spans="1:27">
      <c r="A1339" s="16" t="s">
        <v>122</v>
      </c>
      <c r="B1339" s="16" t="s">
        <v>4489</v>
      </c>
      <c r="C1339" s="16" t="s">
        <v>4490</v>
      </c>
      <c r="D1339" s="16" t="s">
        <v>4491</v>
      </c>
      <c r="E1339" s="16" t="s">
        <v>4385</v>
      </c>
      <c r="F1339" s="16" t="s">
        <v>4386</v>
      </c>
      <c r="G1339" s="16" t="s">
        <v>3684</v>
      </c>
      <c r="H1339" s="16" t="s">
        <v>3685</v>
      </c>
      <c r="I1339" s="16" t="s">
        <v>198</v>
      </c>
      <c r="J1339" s="16" t="s">
        <v>199</v>
      </c>
      <c r="K1339" s="16">
        <v>2.157314</v>
      </c>
      <c r="L1339" s="36">
        <v>2543</v>
      </c>
      <c r="M1339" s="16">
        <v>449</v>
      </c>
      <c r="N1339" s="16">
        <v>889</v>
      </c>
      <c r="O1339" s="16">
        <v>506</v>
      </c>
      <c r="P1339" s="16">
        <v>450</v>
      </c>
      <c r="Q1339" s="16">
        <v>249</v>
      </c>
      <c r="R1339" s="16">
        <v>2</v>
      </c>
      <c r="S1339" s="16">
        <v>14.2463</v>
      </c>
      <c r="T1339" s="16">
        <v>4.5757399999999997</v>
      </c>
      <c r="U1339" s="16">
        <v>1.011546949</v>
      </c>
      <c r="V1339" s="16">
        <v>4</v>
      </c>
      <c r="W1339" s="16">
        <v>0.87350099999999997</v>
      </c>
      <c r="X1339" s="16">
        <v>5.8781E-2</v>
      </c>
      <c r="Y1339" s="16">
        <v>0.8</v>
      </c>
      <c r="Z1339" s="16">
        <v>0.42655500000000002</v>
      </c>
      <c r="AA1339" s="37"/>
    </row>
    <row r="1340" spans="1:27">
      <c r="A1340" s="16" t="s">
        <v>122</v>
      </c>
      <c r="B1340" s="16" t="s">
        <v>4492</v>
      </c>
      <c r="C1340" s="16" t="s">
        <v>4493</v>
      </c>
      <c r="D1340" s="16" t="s">
        <v>4494</v>
      </c>
      <c r="E1340" s="16" t="s">
        <v>4385</v>
      </c>
      <c r="F1340" s="16" t="s">
        <v>4386</v>
      </c>
      <c r="G1340" s="16" t="s">
        <v>3684</v>
      </c>
      <c r="H1340" s="16" t="s">
        <v>3685</v>
      </c>
      <c r="I1340" s="16" t="s">
        <v>198</v>
      </c>
      <c r="J1340" s="16" t="s">
        <v>199</v>
      </c>
      <c r="K1340" s="16">
        <v>2.0621849999999999</v>
      </c>
      <c r="L1340" s="36">
        <v>1914</v>
      </c>
      <c r="M1340" s="16">
        <v>402</v>
      </c>
      <c r="N1340" s="16">
        <v>493</v>
      </c>
      <c r="O1340" s="16">
        <v>473</v>
      </c>
      <c r="P1340" s="16">
        <v>359</v>
      </c>
      <c r="Q1340" s="16">
        <v>187</v>
      </c>
      <c r="R1340" s="16">
        <v>2</v>
      </c>
      <c r="S1340" s="16">
        <v>12.1029</v>
      </c>
      <c r="T1340" s="16">
        <v>6.5671099999999996</v>
      </c>
      <c r="U1340" s="16">
        <v>1.210851983</v>
      </c>
      <c r="V1340" s="16">
        <v>2</v>
      </c>
      <c r="W1340" s="16">
        <v>0.855182</v>
      </c>
      <c r="X1340" s="16">
        <v>6.215E-3</v>
      </c>
      <c r="Y1340" s="16">
        <v>0.8</v>
      </c>
      <c r="Z1340" s="16">
        <v>0.39943800000000002</v>
      </c>
      <c r="AA1340" s="37"/>
    </row>
    <row r="1341" spans="1:27">
      <c r="A1341" s="16" t="s">
        <v>122</v>
      </c>
      <c r="B1341" s="16" t="s">
        <v>4495</v>
      </c>
      <c r="C1341" s="16" t="s">
        <v>4496</v>
      </c>
      <c r="D1341" s="16" t="s">
        <v>4497</v>
      </c>
      <c r="E1341" s="16" t="s">
        <v>4385</v>
      </c>
      <c r="F1341" s="16" t="s">
        <v>4386</v>
      </c>
      <c r="G1341" s="16" t="s">
        <v>3684</v>
      </c>
      <c r="H1341" s="16" t="s">
        <v>3685</v>
      </c>
      <c r="I1341" s="16" t="s">
        <v>198</v>
      </c>
      <c r="J1341" s="16" t="s">
        <v>199</v>
      </c>
      <c r="K1341" s="16">
        <v>2.2580049999999998</v>
      </c>
      <c r="L1341" s="36">
        <v>2112</v>
      </c>
      <c r="M1341" s="16">
        <v>412</v>
      </c>
      <c r="N1341" s="16">
        <v>611</v>
      </c>
      <c r="O1341" s="16">
        <v>581</v>
      </c>
      <c r="P1341" s="16">
        <v>328</v>
      </c>
      <c r="Q1341" s="16">
        <v>180</v>
      </c>
      <c r="R1341" s="16">
        <v>3</v>
      </c>
      <c r="S1341" s="16">
        <v>13.057499999999999</v>
      </c>
      <c r="T1341" s="16">
        <v>5.6768900000000002</v>
      </c>
      <c r="U1341" s="16">
        <v>1.0341128669999999</v>
      </c>
      <c r="V1341" s="16">
        <v>4</v>
      </c>
      <c r="W1341" s="16">
        <v>0.90341199999999999</v>
      </c>
      <c r="X1341" s="16">
        <v>0.13437499999999999</v>
      </c>
      <c r="Y1341" s="16">
        <v>0.8</v>
      </c>
      <c r="Z1341" s="16">
        <v>0.41134599999999999</v>
      </c>
      <c r="AA1341" s="37"/>
    </row>
    <row r="1342" spans="1:27">
      <c r="A1342" s="16" t="s">
        <v>122</v>
      </c>
      <c r="B1342" s="16" t="s">
        <v>4322</v>
      </c>
      <c r="C1342" s="16" t="s">
        <v>4323</v>
      </c>
      <c r="D1342" s="16" t="s">
        <v>4324</v>
      </c>
      <c r="E1342" s="16" t="s">
        <v>4325</v>
      </c>
      <c r="F1342" s="16" t="s">
        <v>4326</v>
      </c>
      <c r="G1342" s="16" t="s">
        <v>3684</v>
      </c>
      <c r="H1342" s="16" t="s">
        <v>3685</v>
      </c>
      <c r="I1342" s="16" t="s">
        <v>198</v>
      </c>
      <c r="J1342" s="16" t="s">
        <v>199</v>
      </c>
      <c r="K1342" s="16">
        <v>2.3431489999999999</v>
      </c>
      <c r="L1342" s="36">
        <v>1966</v>
      </c>
      <c r="M1342" s="16">
        <v>382</v>
      </c>
      <c r="N1342" s="16">
        <v>515</v>
      </c>
      <c r="O1342" s="16">
        <v>453</v>
      </c>
      <c r="P1342" s="16">
        <v>377</v>
      </c>
      <c r="Q1342" s="16">
        <v>239</v>
      </c>
      <c r="R1342" s="16">
        <v>2</v>
      </c>
      <c r="S1342" s="16">
        <v>18.139800000000001</v>
      </c>
      <c r="T1342" s="16">
        <v>0</v>
      </c>
      <c r="U1342" s="16">
        <v>0.87954210099999997</v>
      </c>
      <c r="V1342" s="16">
        <v>4</v>
      </c>
      <c r="W1342" s="16">
        <v>0.90337800000000001</v>
      </c>
      <c r="X1342" s="16">
        <v>0.239313</v>
      </c>
      <c r="Y1342" s="16">
        <v>0.8</v>
      </c>
      <c r="Z1342" s="16">
        <v>0.38782699999999998</v>
      </c>
      <c r="AA1342" s="37"/>
    </row>
    <row r="1343" spans="1:27">
      <c r="A1343" s="16" t="s">
        <v>122</v>
      </c>
      <c r="B1343" s="16" t="s">
        <v>4498</v>
      </c>
      <c r="C1343" s="16" t="s">
        <v>4499</v>
      </c>
      <c r="D1343" s="16" t="s">
        <v>4500</v>
      </c>
      <c r="E1343" s="16" t="s">
        <v>4487</v>
      </c>
      <c r="F1343" s="16" t="s">
        <v>4488</v>
      </c>
      <c r="G1343" s="16" t="s">
        <v>3684</v>
      </c>
      <c r="H1343" s="16" t="s">
        <v>3685</v>
      </c>
      <c r="I1343" s="16" t="s">
        <v>198</v>
      </c>
      <c r="J1343" s="16" t="s">
        <v>199</v>
      </c>
      <c r="K1343" s="16">
        <v>2.285561</v>
      </c>
      <c r="L1343" s="36">
        <v>1787</v>
      </c>
      <c r="M1343" s="16">
        <v>334</v>
      </c>
      <c r="N1343" s="16">
        <v>326</v>
      </c>
      <c r="O1343" s="16">
        <v>432</v>
      </c>
      <c r="P1343" s="16">
        <v>348</v>
      </c>
      <c r="Q1343" s="16">
        <v>347</v>
      </c>
      <c r="R1343" s="16">
        <v>2</v>
      </c>
      <c r="S1343" s="16">
        <v>17.510400000000001</v>
      </c>
      <c r="T1343" s="16">
        <v>0</v>
      </c>
      <c r="U1343" s="16">
        <v>0.97018036600000002</v>
      </c>
      <c r="V1343" s="16">
        <v>3</v>
      </c>
      <c r="W1343" s="16">
        <v>0.89892499999999997</v>
      </c>
      <c r="X1343" s="16">
        <v>0.10548100000000001</v>
      </c>
      <c r="Y1343" s="16">
        <v>0.8</v>
      </c>
      <c r="Z1343" s="16">
        <v>0.48386899999999999</v>
      </c>
      <c r="AA1343" s="37"/>
    </row>
    <row r="1344" spans="1:27">
      <c r="A1344" s="16" t="s">
        <v>122</v>
      </c>
      <c r="B1344" s="16" t="s">
        <v>4501</v>
      </c>
      <c r="C1344" s="16" t="s">
        <v>4502</v>
      </c>
      <c r="D1344" s="16" t="s">
        <v>4503</v>
      </c>
      <c r="E1344" s="16" t="s">
        <v>4325</v>
      </c>
      <c r="F1344" s="16" t="s">
        <v>4326</v>
      </c>
      <c r="G1344" s="16" t="s">
        <v>3684</v>
      </c>
      <c r="H1344" s="16" t="s">
        <v>3685</v>
      </c>
      <c r="I1344" s="16" t="s">
        <v>198</v>
      </c>
      <c r="J1344" s="16" t="s">
        <v>199</v>
      </c>
      <c r="K1344" s="16">
        <v>2.1750769999999999</v>
      </c>
      <c r="L1344" s="36">
        <v>2272</v>
      </c>
      <c r="M1344" s="16">
        <v>498</v>
      </c>
      <c r="N1344" s="16">
        <v>450</v>
      </c>
      <c r="O1344" s="16">
        <v>583</v>
      </c>
      <c r="P1344" s="16">
        <v>468</v>
      </c>
      <c r="Q1344" s="16">
        <v>273</v>
      </c>
      <c r="R1344" s="16" t="s">
        <v>225</v>
      </c>
      <c r="S1344" s="16">
        <v>8.9279899999999994</v>
      </c>
      <c r="T1344" s="16">
        <v>2.8058999999999998</v>
      </c>
      <c r="U1344" s="16">
        <v>0.95795508600000001</v>
      </c>
      <c r="V1344" s="16">
        <v>4</v>
      </c>
      <c r="W1344" s="16">
        <v>0.90356000000000003</v>
      </c>
      <c r="X1344" s="16">
        <v>7.8694E-2</v>
      </c>
      <c r="Y1344" s="16">
        <v>0.8</v>
      </c>
      <c r="Z1344" s="16">
        <v>0.40061799999999997</v>
      </c>
      <c r="AA1344" s="37"/>
    </row>
    <row r="1345" spans="1:27">
      <c r="A1345" s="16" t="s">
        <v>122</v>
      </c>
      <c r="B1345" s="16" t="s">
        <v>4504</v>
      </c>
      <c r="C1345" s="16" t="s">
        <v>4505</v>
      </c>
      <c r="D1345" s="16" t="s">
        <v>4506</v>
      </c>
      <c r="E1345" s="16" t="s">
        <v>4325</v>
      </c>
      <c r="F1345" s="16" t="s">
        <v>4326</v>
      </c>
      <c r="G1345" s="16" t="s">
        <v>3684</v>
      </c>
      <c r="H1345" s="16" t="s">
        <v>3685</v>
      </c>
      <c r="I1345" s="16" t="s">
        <v>198</v>
      </c>
      <c r="J1345" s="16" t="s">
        <v>199</v>
      </c>
      <c r="K1345" s="16">
        <v>2.1943039999999998</v>
      </c>
      <c r="L1345" s="36">
        <v>2487</v>
      </c>
      <c r="M1345" s="16">
        <v>470</v>
      </c>
      <c r="N1345" s="16">
        <v>344</v>
      </c>
      <c r="O1345" s="16">
        <v>764</v>
      </c>
      <c r="P1345" s="16">
        <v>560</v>
      </c>
      <c r="Q1345" s="16">
        <v>349</v>
      </c>
      <c r="R1345" s="16">
        <v>2</v>
      </c>
      <c r="S1345" s="16">
        <v>11.685</v>
      </c>
      <c r="T1345" s="16">
        <v>2.7132100000000001</v>
      </c>
      <c r="U1345" s="16">
        <v>0.90753626600000004</v>
      </c>
      <c r="V1345" s="16">
        <v>5</v>
      </c>
      <c r="W1345" s="16">
        <v>0.90186699999999997</v>
      </c>
      <c r="X1345" s="16">
        <v>3.9252000000000002E-2</v>
      </c>
      <c r="Y1345" s="16">
        <v>0.8</v>
      </c>
      <c r="Z1345" s="16">
        <v>0.461308</v>
      </c>
      <c r="AA1345" s="37"/>
    </row>
    <row r="1346" spans="1:27">
      <c r="A1346" s="16" t="s">
        <v>122</v>
      </c>
      <c r="B1346" s="16" t="s">
        <v>4507</v>
      </c>
      <c r="C1346" s="16" t="s">
        <v>4508</v>
      </c>
      <c r="D1346" s="16" t="s">
        <v>4509</v>
      </c>
      <c r="E1346" s="16" t="s">
        <v>4510</v>
      </c>
      <c r="F1346" s="16" t="s">
        <v>4511</v>
      </c>
      <c r="G1346" s="16" t="s">
        <v>3684</v>
      </c>
      <c r="H1346" s="16" t="s">
        <v>3685</v>
      </c>
      <c r="I1346" s="16" t="s">
        <v>198</v>
      </c>
      <c r="J1346" s="16" t="s">
        <v>199</v>
      </c>
      <c r="K1346" s="16">
        <v>2.180717</v>
      </c>
      <c r="L1346" s="36">
        <v>1930</v>
      </c>
      <c r="M1346" s="16">
        <v>340</v>
      </c>
      <c r="N1346" s="16">
        <v>284</v>
      </c>
      <c r="O1346" s="16">
        <v>477</v>
      </c>
      <c r="P1346" s="16">
        <v>502</v>
      </c>
      <c r="Q1346" s="16">
        <v>327</v>
      </c>
      <c r="R1346" s="16">
        <v>3</v>
      </c>
      <c r="S1346" s="16">
        <v>16.079699999999999</v>
      </c>
      <c r="T1346" s="16">
        <v>3.79684</v>
      </c>
      <c r="U1346" s="16">
        <v>0.90159684699999998</v>
      </c>
      <c r="V1346" s="16">
        <v>5</v>
      </c>
      <c r="W1346" s="16">
        <v>0.90597300000000003</v>
      </c>
      <c r="X1346" s="16">
        <v>0.103237</v>
      </c>
      <c r="Y1346" s="16">
        <v>0.8</v>
      </c>
      <c r="Z1346" s="16">
        <v>0.392295</v>
      </c>
      <c r="AA1346" s="37"/>
    </row>
    <row r="1347" spans="1:27">
      <c r="A1347" s="16"/>
      <c r="B1347" s="16"/>
      <c r="C1347" s="16"/>
      <c r="D1347" s="16"/>
      <c r="E1347" s="16"/>
      <c r="F1347" s="16"/>
      <c r="G1347" s="16"/>
      <c r="H1347" s="16"/>
      <c r="I1347" s="16"/>
      <c r="J1347" s="16"/>
      <c r="K1347" s="16">
        <f>MEDIAN(K1338:K1346)</f>
        <v>2.1943039999999998</v>
      </c>
      <c r="L1347" s="36">
        <f>AVERAGE(L1338:L1346)</f>
        <v>2092.4444444444443</v>
      </c>
      <c r="M1347" s="16">
        <f t="shared" ref="M1347:Q1347" si="111">SUM(M1338:M1346)</f>
        <v>3637</v>
      </c>
      <c r="N1347" s="16">
        <f t="shared" si="111"/>
        <v>4720</v>
      </c>
      <c r="O1347" s="16">
        <f t="shared" si="111"/>
        <v>4552</v>
      </c>
      <c r="P1347" s="16">
        <f t="shared" si="111"/>
        <v>3666</v>
      </c>
      <c r="Q1347" s="16">
        <f t="shared" si="111"/>
        <v>2257</v>
      </c>
      <c r="R1347" s="16"/>
      <c r="S1347" s="16">
        <f t="shared" ref="S1347:U1347" si="112">MIN(S1338:S1346)</f>
        <v>8.9279899999999994</v>
      </c>
      <c r="T1347" s="16">
        <f t="shared" si="112"/>
        <v>0</v>
      </c>
      <c r="U1347" s="16">
        <f t="shared" si="112"/>
        <v>0.87954210099999997</v>
      </c>
      <c r="V1347" s="16">
        <f>MEDIAN(V1338:V1346)</f>
        <v>4</v>
      </c>
      <c r="W1347" s="16"/>
      <c r="X1347" s="16"/>
      <c r="Y1347" s="16"/>
      <c r="Z1347" s="16"/>
      <c r="AA1347" s="37"/>
    </row>
    <row r="1348" spans="1:27">
      <c r="A1348" s="16" t="s">
        <v>123</v>
      </c>
      <c r="B1348" s="16" t="s">
        <v>4512</v>
      </c>
      <c r="C1348" s="16" t="s">
        <v>4513</v>
      </c>
      <c r="D1348" s="16" t="s">
        <v>4514</v>
      </c>
      <c r="E1348" s="16" t="s">
        <v>4515</v>
      </c>
      <c r="F1348" s="16" t="s">
        <v>4516</v>
      </c>
      <c r="G1348" s="16" t="s">
        <v>4517</v>
      </c>
      <c r="H1348" s="16" t="s">
        <v>4518</v>
      </c>
      <c r="I1348" s="16" t="s">
        <v>198</v>
      </c>
      <c r="J1348" s="16" t="s">
        <v>199</v>
      </c>
      <c r="K1348" s="16">
        <v>2.3067329999999999</v>
      </c>
      <c r="L1348" s="36">
        <v>1401</v>
      </c>
      <c r="M1348" s="16">
        <v>232</v>
      </c>
      <c r="N1348" s="16">
        <v>203</v>
      </c>
      <c r="O1348" s="16">
        <v>351</v>
      </c>
      <c r="P1348" s="16">
        <v>353</v>
      </c>
      <c r="Q1348" s="16">
        <v>262</v>
      </c>
      <c r="R1348" s="16">
        <v>3</v>
      </c>
      <c r="S1348" s="16">
        <v>18.9788</v>
      </c>
      <c r="T1348" s="16">
        <v>4.2947800000000003</v>
      </c>
      <c r="U1348" s="16">
        <v>0.76371427300000005</v>
      </c>
      <c r="V1348" s="16">
        <v>7</v>
      </c>
      <c r="W1348" s="16">
        <v>0.90507700000000002</v>
      </c>
      <c r="X1348" s="16">
        <v>0.27800599999999998</v>
      </c>
      <c r="Y1348" s="16">
        <v>0.8</v>
      </c>
      <c r="Z1348" s="16">
        <v>0.32488899999999998</v>
      </c>
      <c r="AA1348" s="37"/>
    </row>
    <row r="1349" spans="1:27">
      <c r="A1349" s="16" t="s">
        <v>123</v>
      </c>
      <c r="B1349" s="16" t="s">
        <v>4519</v>
      </c>
      <c r="C1349" s="16" t="s">
        <v>4520</v>
      </c>
      <c r="D1349" s="16" t="s">
        <v>4521</v>
      </c>
      <c r="E1349" s="16" t="s">
        <v>3954</v>
      </c>
      <c r="F1349" s="16" t="s">
        <v>3955</v>
      </c>
      <c r="G1349" s="16" t="s">
        <v>3684</v>
      </c>
      <c r="H1349" s="16" t="s">
        <v>3685</v>
      </c>
      <c r="I1349" s="16" t="s">
        <v>198</v>
      </c>
      <c r="J1349" s="16" t="s">
        <v>199</v>
      </c>
      <c r="K1349" s="16">
        <v>2.4126669999999999</v>
      </c>
      <c r="L1349" s="36">
        <v>1157</v>
      </c>
      <c r="M1349" s="16">
        <v>266</v>
      </c>
      <c r="N1349" s="16">
        <v>213</v>
      </c>
      <c r="O1349" s="16">
        <v>383</v>
      </c>
      <c r="P1349" s="16">
        <v>207</v>
      </c>
      <c r="Q1349" s="16">
        <v>88</v>
      </c>
      <c r="R1349" s="16">
        <v>4</v>
      </c>
      <c r="S1349" s="16">
        <v>20.357099999999999</v>
      </c>
      <c r="T1349" s="16">
        <v>11.878</v>
      </c>
      <c r="U1349" s="16">
        <v>0.57202372099999999</v>
      </c>
      <c r="V1349" s="16">
        <v>10</v>
      </c>
      <c r="W1349" s="16">
        <v>0.90733299999999995</v>
      </c>
      <c r="X1349" s="16">
        <v>0.26874999999999999</v>
      </c>
      <c r="Y1349" s="16">
        <v>0.7</v>
      </c>
      <c r="Z1349" s="16">
        <v>0.50858099999999995</v>
      </c>
      <c r="AA1349" s="37"/>
    </row>
    <row r="1350" spans="1:27">
      <c r="A1350" s="16" t="s">
        <v>123</v>
      </c>
      <c r="B1350" s="16" t="s">
        <v>4327</v>
      </c>
      <c r="C1350" s="16" t="s">
        <v>4328</v>
      </c>
      <c r="D1350" s="16" t="s">
        <v>4329</v>
      </c>
      <c r="E1350" s="16" t="s">
        <v>4330</v>
      </c>
      <c r="F1350" s="16" t="s">
        <v>4331</v>
      </c>
      <c r="G1350" s="16" t="s">
        <v>3684</v>
      </c>
      <c r="H1350" s="16" t="s">
        <v>3685</v>
      </c>
      <c r="I1350" s="16" t="s">
        <v>198</v>
      </c>
      <c r="J1350" s="16" t="s">
        <v>199</v>
      </c>
      <c r="K1350" s="16">
        <v>2.4991089999999998</v>
      </c>
      <c r="L1350" s="36">
        <v>1581</v>
      </c>
      <c r="M1350" s="16">
        <v>244</v>
      </c>
      <c r="N1350" s="16">
        <v>374</v>
      </c>
      <c r="O1350" s="16">
        <v>536</v>
      </c>
      <c r="P1350" s="16">
        <v>282</v>
      </c>
      <c r="Q1350" s="16">
        <v>145</v>
      </c>
      <c r="R1350" s="16">
        <v>3</v>
      </c>
      <c r="S1350" s="16">
        <v>19.1265</v>
      </c>
      <c r="T1350" s="16">
        <v>7.4295099999999996</v>
      </c>
      <c r="U1350" s="16">
        <v>0.64410832200000001</v>
      </c>
      <c r="V1350" s="16">
        <v>7</v>
      </c>
      <c r="W1350" s="16">
        <v>0.91135900000000003</v>
      </c>
      <c r="X1350" s="16">
        <v>0.26116099999999998</v>
      </c>
      <c r="Y1350" s="16">
        <v>0.75619499999999995</v>
      </c>
      <c r="Z1350" s="16">
        <v>0.57130199999999998</v>
      </c>
      <c r="AA1350" s="37"/>
    </row>
    <row r="1351" spans="1:27">
      <c r="A1351" s="16" t="s">
        <v>123</v>
      </c>
      <c r="B1351" s="16" t="s">
        <v>4522</v>
      </c>
      <c r="C1351" s="16" t="s">
        <v>4523</v>
      </c>
      <c r="D1351" s="16" t="s">
        <v>4524</v>
      </c>
      <c r="E1351" s="16" t="s">
        <v>4510</v>
      </c>
      <c r="F1351" s="16" t="s">
        <v>4511</v>
      </c>
      <c r="G1351" s="16" t="s">
        <v>3684</v>
      </c>
      <c r="H1351" s="16" t="s">
        <v>3685</v>
      </c>
      <c r="I1351" s="16" t="s">
        <v>198</v>
      </c>
      <c r="J1351" s="16" t="s">
        <v>199</v>
      </c>
      <c r="K1351" s="16">
        <v>2.4949499999999998</v>
      </c>
      <c r="L1351" s="36">
        <v>2135</v>
      </c>
      <c r="M1351" s="16">
        <v>294</v>
      </c>
      <c r="N1351" s="16">
        <v>452</v>
      </c>
      <c r="O1351" s="16">
        <v>784</v>
      </c>
      <c r="P1351" s="16">
        <v>362</v>
      </c>
      <c r="Q1351" s="16">
        <v>243</v>
      </c>
      <c r="R1351" s="16" t="s">
        <v>302</v>
      </c>
      <c r="S1351" s="16">
        <v>40.434899999999999</v>
      </c>
      <c r="T1351" s="16">
        <v>11.6113</v>
      </c>
      <c r="U1351" s="16">
        <v>0.599294043</v>
      </c>
      <c r="V1351" s="16">
        <v>8</v>
      </c>
      <c r="W1351" s="16">
        <v>0.90959599999999996</v>
      </c>
      <c r="X1351" s="16">
        <v>0.183333</v>
      </c>
      <c r="Y1351" s="16">
        <v>0.79196599999999995</v>
      </c>
      <c r="Z1351" s="16">
        <v>0.61918499999999999</v>
      </c>
      <c r="AA1351" s="37"/>
    </row>
    <row r="1352" spans="1:27">
      <c r="A1352" s="16" t="s">
        <v>123</v>
      </c>
      <c r="B1352" s="16" t="s">
        <v>4525</v>
      </c>
      <c r="C1352" s="16" t="s">
        <v>4526</v>
      </c>
      <c r="D1352" s="16" t="s">
        <v>4527</v>
      </c>
      <c r="E1352" s="16" t="s">
        <v>4335</v>
      </c>
      <c r="F1352" s="16" t="s">
        <v>4336</v>
      </c>
      <c r="G1352" s="16" t="s">
        <v>3684</v>
      </c>
      <c r="H1352" s="16" t="s">
        <v>3685</v>
      </c>
      <c r="I1352" s="16" t="s">
        <v>198</v>
      </c>
      <c r="J1352" s="16" t="s">
        <v>199</v>
      </c>
      <c r="K1352" s="16">
        <v>2.4041290000000002</v>
      </c>
      <c r="L1352" s="36">
        <v>2325</v>
      </c>
      <c r="M1352" s="16">
        <v>331</v>
      </c>
      <c r="N1352" s="16">
        <v>549</v>
      </c>
      <c r="O1352" s="16">
        <v>848</v>
      </c>
      <c r="P1352" s="16">
        <v>392</v>
      </c>
      <c r="Q1352" s="16">
        <v>205</v>
      </c>
      <c r="R1352" s="16">
        <v>5</v>
      </c>
      <c r="S1352" s="16">
        <v>29.905899999999999</v>
      </c>
      <c r="T1352" s="16">
        <v>15.924099999999999</v>
      </c>
      <c r="U1352" s="16">
        <v>0.63512632800000002</v>
      </c>
      <c r="V1352" s="16">
        <v>8</v>
      </c>
      <c r="W1352" s="16">
        <v>0.90574500000000002</v>
      </c>
      <c r="X1352" s="16">
        <v>0.18380299999999999</v>
      </c>
      <c r="Y1352" s="16">
        <v>0.71007100000000001</v>
      </c>
      <c r="Z1352" s="16">
        <v>0.62786900000000001</v>
      </c>
      <c r="AA1352" s="37"/>
    </row>
    <row r="1353" spans="1:27">
      <c r="A1353" s="16" t="s">
        <v>123</v>
      </c>
      <c r="B1353" s="16" t="s">
        <v>4528</v>
      </c>
      <c r="C1353" s="16" t="s">
        <v>4529</v>
      </c>
      <c r="D1353" s="16" t="s">
        <v>4530</v>
      </c>
      <c r="E1353" s="16" t="s">
        <v>4510</v>
      </c>
      <c r="F1353" s="16" t="s">
        <v>4511</v>
      </c>
      <c r="G1353" s="16" t="s">
        <v>3684</v>
      </c>
      <c r="H1353" s="16" t="s">
        <v>3685</v>
      </c>
      <c r="I1353" s="16" t="s">
        <v>198</v>
      </c>
      <c r="J1353" s="16" t="s">
        <v>199</v>
      </c>
      <c r="K1353" s="16">
        <v>2.2018399999999998</v>
      </c>
      <c r="L1353" s="36">
        <v>1725</v>
      </c>
      <c r="M1353" s="16">
        <v>285</v>
      </c>
      <c r="N1353" s="16">
        <v>361</v>
      </c>
      <c r="O1353" s="16">
        <v>509</v>
      </c>
      <c r="P1353" s="16">
        <v>330</v>
      </c>
      <c r="Q1353" s="16">
        <v>240</v>
      </c>
      <c r="R1353" s="16" t="s">
        <v>225</v>
      </c>
      <c r="S1353" s="16">
        <v>10.8406</v>
      </c>
      <c r="T1353" s="16">
        <v>0</v>
      </c>
      <c r="U1353" s="16">
        <v>0.79280393500000002</v>
      </c>
      <c r="V1353" s="16">
        <v>8</v>
      </c>
      <c r="W1353" s="16">
        <v>0.90429400000000004</v>
      </c>
      <c r="X1353" s="16">
        <v>0.16937199999999999</v>
      </c>
      <c r="Y1353" s="16">
        <v>0.8</v>
      </c>
      <c r="Z1353" s="16">
        <v>0.33415</v>
      </c>
      <c r="AA1353" s="37"/>
    </row>
    <row r="1354" spans="1:27">
      <c r="A1354" s="16" t="s">
        <v>123</v>
      </c>
      <c r="B1354" s="16" t="s">
        <v>4531</v>
      </c>
      <c r="C1354" s="16" t="s">
        <v>4532</v>
      </c>
      <c r="D1354" s="16" t="s">
        <v>4533</v>
      </c>
      <c r="E1354" s="16" t="s">
        <v>4510</v>
      </c>
      <c r="F1354" s="16" t="s">
        <v>4511</v>
      </c>
      <c r="G1354" s="16" t="s">
        <v>3684</v>
      </c>
      <c r="H1354" s="16" t="s">
        <v>3685</v>
      </c>
      <c r="I1354" s="16" t="s">
        <v>198</v>
      </c>
      <c r="J1354" s="16" t="s">
        <v>199</v>
      </c>
      <c r="K1354" s="16">
        <v>2.2160820000000001</v>
      </c>
      <c r="L1354" s="36">
        <v>1734</v>
      </c>
      <c r="M1354" s="16">
        <v>273</v>
      </c>
      <c r="N1354" s="16">
        <v>327</v>
      </c>
      <c r="O1354" s="16">
        <v>506</v>
      </c>
      <c r="P1354" s="16">
        <v>384</v>
      </c>
      <c r="Q1354" s="16">
        <v>244</v>
      </c>
      <c r="R1354" s="16">
        <v>2</v>
      </c>
      <c r="S1354" s="16">
        <v>11.814299999999999</v>
      </c>
      <c r="T1354" s="16">
        <v>3.9268100000000001</v>
      </c>
      <c r="U1354" s="16">
        <v>0.68031882799999999</v>
      </c>
      <c r="V1354" s="16">
        <v>10</v>
      </c>
      <c r="W1354" s="16">
        <v>0.90412400000000004</v>
      </c>
      <c r="X1354" s="16">
        <v>0.13219600000000001</v>
      </c>
      <c r="Y1354" s="16">
        <v>0.8</v>
      </c>
      <c r="Z1354" s="16">
        <v>0.391322</v>
      </c>
      <c r="AA1354" s="37"/>
    </row>
    <row r="1355" spans="1:27">
      <c r="A1355" s="16" t="s">
        <v>123</v>
      </c>
      <c r="B1355" s="16" t="s">
        <v>4507</v>
      </c>
      <c r="C1355" s="16" t="s">
        <v>4508</v>
      </c>
      <c r="D1355" s="16" t="s">
        <v>4509</v>
      </c>
      <c r="E1355" s="16" t="s">
        <v>4510</v>
      </c>
      <c r="F1355" s="16" t="s">
        <v>4511</v>
      </c>
      <c r="G1355" s="16" t="s">
        <v>3684</v>
      </c>
      <c r="H1355" s="16" t="s">
        <v>3685</v>
      </c>
      <c r="I1355" s="16" t="s">
        <v>198</v>
      </c>
      <c r="J1355" s="16" t="s">
        <v>199</v>
      </c>
      <c r="K1355" s="16">
        <v>2.180717</v>
      </c>
      <c r="L1355" s="36">
        <v>1930</v>
      </c>
      <c r="M1355" s="16">
        <v>340</v>
      </c>
      <c r="N1355" s="16">
        <v>284</v>
      </c>
      <c r="O1355" s="16">
        <v>477</v>
      </c>
      <c r="P1355" s="16">
        <v>502</v>
      </c>
      <c r="Q1355" s="16">
        <v>327</v>
      </c>
      <c r="R1355" s="16">
        <v>3</v>
      </c>
      <c r="S1355" s="16">
        <v>16.079699999999999</v>
      </c>
      <c r="T1355" s="16">
        <v>3.79684</v>
      </c>
      <c r="U1355" s="16">
        <v>0.90159684699999998</v>
      </c>
      <c r="V1355" s="16">
        <v>5</v>
      </c>
      <c r="W1355" s="16">
        <v>0.90597300000000003</v>
      </c>
      <c r="X1355" s="16">
        <v>0.103237</v>
      </c>
      <c r="Y1355" s="16">
        <v>0.8</v>
      </c>
      <c r="Z1355" s="16">
        <v>0.392295</v>
      </c>
      <c r="AA1355" s="37"/>
    </row>
    <row r="1356" spans="1:27">
      <c r="A1356" s="16" t="s">
        <v>123</v>
      </c>
      <c r="B1356" s="16" t="s">
        <v>4534</v>
      </c>
      <c r="C1356" s="16" t="s">
        <v>4535</v>
      </c>
      <c r="D1356" s="16" t="s">
        <v>4536</v>
      </c>
      <c r="E1356" s="16" t="s">
        <v>3954</v>
      </c>
      <c r="F1356" s="16" t="s">
        <v>3955</v>
      </c>
      <c r="G1356" s="16" t="s">
        <v>3684</v>
      </c>
      <c r="H1356" s="16" t="s">
        <v>3685</v>
      </c>
      <c r="I1356" s="16" t="s">
        <v>198</v>
      </c>
      <c r="J1356" s="16" t="s">
        <v>199</v>
      </c>
      <c r="K1356" s="16">
        <v>2.2916470000000002</v>
      </c>
      <c r="L1356" s="36">
        <v>1684</v>
      </c>
      <c r="M1356" s="16">
        <v>300</v>
      </c>
      <c r="N1356" s="16">
        <v>376</v>
      </c>
      <c r="O1356" s="16">
        <v>538</v>
      </c>
      <c r="P1356" s="16">
        <v>321</v>
      </c>
      <c r="Q1356" s="16">
        <v>149</v>
      </c>
      <c r="R1356" s="16" t="s">
        <v>302</v>
      </c>
      <c r="S1356" s="16">
        <v>34.811999999999998</v>
      </c>
      <c r="T1356" s="16">
        <v>18.956600000000002</v>
      </c>
      <c r="U1356" s="16">
        <v>0.68360070399999995</v>
      </c>
      <c r="V1356" s="16">
        <v>8</v>
      </c>
      <c r="W1356" s="16">
        <v>0.90510400000000002</v>
      </c>
      <c r="X1356" s="16">
        <v>0.14452200000000001</v>
      </c>
      <c r="Y1356" s="16">
        <v>0.70794400000000002</v>
      </c>
      <c r="Z1356" s="16">
        <v>0.52893500000000004</v>
      </c>
      <c r="AA1356" s="37"/>
    </row>
    <row r="1357" spans="1:27">
      <c r="A1357" s="16" t="s">
        <v>123</v>
      </c>
      <c r="B1357" s="16" t="s">
        <v>4537</v>
      </c>
      <c r="C1357" s="16" t="s">
        <v>4538</v>
      </c>
      <c r="D1357" s="16" t="s">
        <v>4539</v>
      </c>
      <c r="E1357" s="16" t="s">
        <v>4540</v>
      </c>
      <c r="F1357" s="16" t="s">
        <v>4541</v>
      </c>
      <c r="G1357" s="16" t="s">
        <v>3684</v>
      </c>
      <c r="H1357" s="16" t="s">
        <v>3685</v>
      </c>
      <c r="I1357" s="16" t="s">
        <v>198</v>
      </c>
      <c r="J1357" s="16" t="s">
        <v>199</v>
      </c>
      <c r="K1357" s="16">
        <v>2.1328339999999999</v>
      </c>
      <c r="L1357" s="36">
        <v>1626</v>
      </c>
      <c r="M1357" s="16">
        <v>361</v>
      </c>
      <c r="N1357" s="16">
        <v>258</v>
      </c>
      <c r="O1357" s="16">
        <v>326</v>
      </c>
      <c r="P1357" s="16">
        <v>460</v>
      </c>
      <c r="Q1357" s="16">
        <v>221</v>
      </c>
      <c r="R1357" s="16">
        <v>2</v>
      </c>
      <c r="S1357" s="16">
        <v>12.011100000000001</v>
      </c>
      <c r="T1357" s="16">
        <v>0</v>
      </c>
      <c r="U1357" s="16">
        <v>0.73402870399999998</v>
      </c>
      <c r="V1357" s="16">
        <v>9</v>
      </c>
      <c r="W1357" s="16">
        <v>0.90112300000000001</v>
      </c>
      <c r="X1357" s="16">
        <v>6.5978999999999996E-2</v>
      </c>
      <c r="Y1357" s="16">
        <v>0.8</v>
      </c>
      <c r="Z1357" s="16">
        <v>0.36142999999999997</v>
      </c>
      <c r="AA1357" s="37"/>
    </row>
    <row r="1358" spans="1:27">
      <c r="A1358" s="16" t="s">
        <v>123</v>
      </c>
      <c r="B1358" s="16" t="s">
        <v>4542</v>
      </c>
      <c r="C1358" s="16" t="s">
        <v>4543</v>
      </c>
      <c r="D1358" s="16" t="s">
        <v>4544</v>
      </c>
      <c r="E1358" s="16" t="s">
        <v>4540</v>
      </c>
      <c r="F1358" s="16" t="s">
        <v>4541</v>
      </c>
      <c r="G1358" s="16" t="s">
        <v>3684</v>
      </c>
      <c r="H1358" s="16" t="s">
        <v>3685</v>
      </c>
      <c r="I1358" s="16" t="s">
        <v>198</v>
      </c>
      <c r="J1358" s="16" t="s">
        <v>199</v>
      </c>
      <c r="K1358" s="16">
        <v>2.4065349999999999</v>
      </c>
      <c r="L1358" s="36">
        <v>1799</v>
      </c>
      <c r="M1358" s="16">
        <v>379</v>
      </c>
      <c r="N1358" s="16">
        <v>295</v>
      </c>
      <c r="O1358" s="16">
        <v>495</v>
      </c>
      <c r="P1358" s="16">
        <v>415</v>
      </c>
      <c r="Q1358" s="16">
        <v>215</v>
      </c>
      <c r="R1358" s="16">
        <v>4</v>
      </c>
      <c r="S1358" s="16">
        <v>25.209700000000002</v>
      </c>
      <c r="T1358" s="16">
        <v>12.093999999999999</v>
      </c>
      <c r="U1358" s="16">
        <v>0.57954272100000004</v>
      </c>
      <c r="V1358" s="16">
        <v>9</v>
      </c>
      <c r="W1358" s="16">
        <v>0.90198</v>
      </c>
      <c r="X1358" s="16">
        <v>0.15160000000000001</v>
      </c>
      <c r="Y1358" s="16">
        <v>0.8</v>
      </c>
      <c r="Z1358" s="16">
        <v>0.55407600000000001</v>
      </c>
      <c r="AA1358" s="37"/>
    </row>
    <row r="1359" spans="1:27">
      <c r="A1359" s="16" t="s">
        <v>123</v>
      </c>
      <c r="B1359" s="16" t="s">
        <v>4545</v>
      </c>
      <c r="C1359" s="16" t="s">
        <v>4546</v>
      </c>
      <c r="D1359" s="16" t="s">
        <v>4547</v>
      </c>
      <c r="E1359" s="16" t="s">
        <v>3954</v>
      </c>
      <c r="F1359" s="16" t="s">
        <v>3955</v>
      </c>
      <c r="G1359" s="16" t="s">
        <v>3684</v>
      </c>
      <c r="H1359" s="16" t="s">
        <v>3685</v>
      </c>
      <c r="I1359" s="16" t="s">
        <v>198</v>
      </c>
      <c r="J1359" s="16" t="s">
        <v>199</v>
      </c>
      <c r="K1359" s="16">
        <v>2.6632419999999999</v>
      </c>
      <c r="L1359" s="36">
        <v>2056</v>
      </c>
      <c r="M1359" s="16">
        <v>274</v>
      </c>
      <c r="N1359" s="16">
        <v>575</v>
      </c>
      <c r="O1359" s="16">
        <v>675</v>
      </c>
      <c r="P1359" s="16">
        <v>353</v>
      </c>
      <c r="Q1359" s="16">
        <v>179</v>
      </c>
      <c r="R1359" s="16" t="s">
        <v>302</v>
      </c>
      <c r="S1359" s="16">
        <v>41.647399999999998</v>
      </c>
      <c r="T1359" s="16">
        <v>22.067599999999999</v>
      </c>
      <c r="U1359" s="16">
        <v>0.53644882000000005</v>
      </c>
      <c r="V1359" s="16">
        <v>8</v>
      </c>
      <c r="W1359" s="16">
        <v>0.91203900000000004</v>
      </c>
      <c r="X1359" s="16">
        <v>0.34551300000000001</v>
      </c>
      <c r="Y1359" s="16">
        <v>0.76474399999999998</v>
      </c>
      <c r="Z1359" s="16">
        <v>0.63017699999999999</v>
      </c>
      <c r="AA1359" s="37"/>
    </row>
    <row r="1360" spans="1:27">
      <c r="A1360" s="16"/>
      <c r="B1360" s="16"/>
      <c r="C1360" s="16"/>
      <c r="D1360" s="16"/>
      <c r="E1360" s="16"/>
      <c r="F1360" s="16"/>
      <c r="G1360" s="16"/>
      <c r="H1360" s="16"/>
      <c r="I1360" s="16"/>
      <c r="J1360" s="16"/>
      <c r="K1360" s="16">
        <f t="shared" ref="K1360:L1360" si="113">AVERAGE(K1348:K1359)</f>
        <v>2.3508737500000003</v>
      </c>
      <c r="L1360" s="36">
        <f t="shared" si="113"/>
        <v>1762.75</v>
      </c>
      <c r="M1360" s="16">
        <f t="shared" ref="M1360:Q1360" si="114">SUM(M1348:M1359)</f>
        <v>3579</v>
      </c>
      <c r="N1360" s="16">
        <f t="shared" si="114"/>
        <v>4267</v>
      </c>
      <c r="O1360" s="16">
        <f t="shared" si="114"/>
        <v>6428</v>
      </c>
      <c r="P1360" s="16">
        <f t="shared" si="114"/>
        <v>4361</v>
      </c>
      <c r="Q1360" s="16">
        <f t="shared" si="114"/>
        <v>2518</v>
      </c>
      <c r="R1360" s="16"/>
      <c r="S1360" s="16">
        <f t="shared" ref="S1360:U1360" si="115">MIN(S1348:S1359)</f>
        <v>10.8406</v>
      </c>
      <c r="T1360" s="16">
        <f t="shared" si="115"/>
        <v>0</v>
      </c>
      <c r="U1360" s="16">
        <f t="shared" si="115"/>
        <v>0.53644882000000005</v>
      </c>
      <c r="V1360" s="16">
        <f>MEDIAN(V1348:V1359)</f>
        <v>8</v>
      </c>
      <c r="W1360" s="16"/>
      <c r="X1360" s="16"/>
      <c r="Y1360" s="16"/>
      <c r="Z1360" s="16"/>
      <c r="AA1360" s="37"/>
    </row>
    <row r="1361" spans="1:27">
      <c r="A1361" s="16" t="s">
        <v>124</v>
      </c>
      <c r="B1361" s="16" t="s">
        <v>4548</v>
      </c>
      <c r="C1361" s="16" t="s">
        <v>4549</v>
      </c>
      <c r="D1361" s="16" t="s">
        <v>4550</v>
      </c>
      <c r="E1361" s="16" t="s">
        <v>4515</v>
      </c>
      <c r="F1361" s="16" t="s">
        <v>4516</v>
      </c>
      <c r="G1361" s="16" t="s">
        <v>4517</v>
      </c>
      <c r="H1361" s="16" t="s">
        <v>4518</v>
      </c>
      <c r="I1361" s="16" t="s">
        <v>198</v>
      </c>
      <c r="J1361" s="16" t="s">
        <v>199</v>
      </c>
      <c r="K1361" s="16">
        <v>2.362857</v>
      </c>
      <c r="L1361" s="36">
        <v>2009</v>
      </c>
      <c r="M1361" s="16">
        <v>562</v>
      </c>
      <c r="N1361" s="16">
        <v>194</v>
      </c>
      <c r="O1361" s="16">
        <v>584</v>
      </c>
      <c r="P1361" s="16">
        <v>458</v>
      </c>
      <c r="Q1361" s="16">
        <v>211</v>
      </c>
      <c r="R1361" s="16">
        <v>2</v>
      </c>
      <c r="S1361" s="16">
        <v>11.763999999999999</v>
      </c>
      <c r="T1361" s="16">
        <v>3.4511799999999999</v>
      </c>
      <c r="U1361" s="16">
        <v>0.613509945</v>
      </c>
      <c r="V1361" s="16">
        <v>10</v>
      </c>
      <c r="W1361" s="16">
        <v>0.90373599999999998</v>
      </c>
      <c r="X1361" s="16">
        <v>0.213808</v>
      </c>
      <c r="Y1361" s="16">
        <v>0.8</v>
      </c>
      <c r="Z1361" s="16">
        <v>0.43515300000000001</v>
      </c>
      <c r="AA1361" s="37"/>
    </row>
    <row r="1362" spans="1:27">
      <c r="A1362" s="16" t="s">
        <v>124</v>
      </c>
      <c r="B1362" s="16" t="s">
        <v>4551</v>
      </c>
      <c r="C1362" s="16" t="s">
        <v>4552</v>
      </c>
      <c r="D1362" s="16" t="s">
        <v>4553</v>
      </c>
      <c r="E1362" s="16" t="s">
        <v>4515</v>
      </c>
      <c r="F1362" s="16" t="s">
        <v>4516</v>
      </c>
      <c r="G1362" s="16" t="s">
        <v>4517</v>
      </c>
      <c r="H1362" s="16" t="s">
        <v>4518</v>
      </c>
      <c r="I1362" s="16" t="s">
        <v>198</v>
      </c>
      <c r="J1362" s="16" t="s">
        <v>199</v>
      </c>
      <c r="K1362" s="16">
        <v>2.3259340000000002</v>
      </c>
      <c r="L1362" s="36">
        <v>1638</v>
      </c>
      <c r="M1362" s="16">
        <v>428</v>
      </c>
      <c r="N1362" s="16">
        <v>134</v>
      </c>
      <c r="O1362" s="16">
        <v>433</v>
      </c>
      <c r="P1362" s="16">
        <v>441</v>
      </c>
      <c r="Q1362" s="16">
        <v>202</v>
      </c>
      <c r="R1362" s="16">
        <v>2</v>
      </c>
      <c r="S1362" s="16">
        <v>10.766299999999999</v>
      </c>
      <c r="T1362" s="16">
        <v>4.0618999999999996</v>
      </c>
      <c r="U1362" s="16">
        <v>0.58877708799999995</v>
      </c>
      <c r="V1362" s="16">
        <v>10</v>
      </c>
      <c r="W1362" s="16">
        <v>0.90311200000000003</v>
      </c>
      <c r="X1362" s="16">
        <v>0.15337400000000001</v>
      </c>
      <c r="Y1362" s="16">
        <v>0.8</v>
      </c>
      <c r="Z1362" s="16">
        <v>0.46446300000000001</v>
      </c>
      <c r="AA1362" s="37"/>
    </row>
    <row r="1363" spans="1:27">
      <c r="A1363" s="16" t="s">
        <v>124</v>
      </c>
      <c r="B1363" s="16" t="s">
        <v>4554</v>
      </c>
      <c r="C1363" s="16" t="s">
        <v>4555</v>
      </c>
      <c r="D1363" s="16" t="s">
        <v>4556</v>
      </c>
      <c r="E1363" s="16" t="s">
        <v>4557</v>
      </c>
      <c r="F1363" s="16" t="s">
        <v>4558</v>
      </c>
      <c r="G1363" s="16" t="s">
        <v>4517</v>
      </c>
      <c r="H1363" s="16" t="s">
        <v>4518</v>
      </c>
      <c r="I1363" s="16" t="s">
        <v>198</v>
      </c>
      <c r="J1363" s="16" t="s">
        <v>199</v>
      </c>
      <c r="K1363" s="16">
        <v>2.3117649999999998</v>
      </c>
      <c r="L1363" s="36">
        <v>1659</v>
      </c>
      <c r="M1363" s="16">
        <v>426</v>
      </c>
      <c r="N1363" s="16">
        <v>169</v>
      </c>
      <c r="O1363" s="16">
        <v>354</v>
      </c>
      <c r="P1363" s="16">
        <v>459</v>
      </c>
      <c r="Q1363" s="16">
        <v>251</v>
      </c>
      <c r="R1363" s="16">
        <v>2</v>
      </c>
      <c r="S1363" s="16">
        <v>11.906000000000001</v>
      </c>
      <c r="T1363" s="16">
        <v>4.0398800000000001</v>
      </c>
      <c r="U1363" s="16">
        <v>0.60952944799999997</v>
      </c>
      <c r="V1363" s="16">
        <v>9</v>
      </c>
      <c r="W1363" s="16">
        <v>0.90534800000000004</v>
      </c>
      <c r="X1363" s="16">
        <v>0.23291999999999999</v>
      </c>
      <c r="Y1363" s="16">
        <v>0.78670200000000001</v>
      </c>
      <c r="Z1363" s="16">
        <v>0.39414900000000003</v>
      </c>
      <c r="AA1363" s="37"/>
    </row>
    <row r="1364" spans="1:27">
      <c r="A1364" s="16" t="s">
        <v>124</v>
      </c>
      <c r="B1364" s="16" t="s">
        <v>4559</v>
      </c>
      <c r="C1364" s="16" t="s">
        <v>4560</v>
      </c>
      <c r="D1364" s="16" t="s">
        <v>4561</v>
      </c>
      <c r="E1364" s="16" t="s">
        <v>4557</v>
      </c>
      <c r="F1364" s="16" t="s">
        <v>4558</v>
      </c>
      <c r="G1364" s="16" t="s">
        <v>4517</v>
      </c>
      <c r="H1364" s="16" t="s">
        <v>4518</v>
      </c>
      <c r="I1364" s="16" t="s">
        <v>198</v>
      </c>
      <c r="J1364" s="16" t="s">
        <v>199</v>
      </c>
      <c r="K1364" s="16">
        <v>2.0484439999999999</v>
      </c>
      <c r="L1364" s="36">
        <v>1805</v>
      </c>
      <c r="M1364" s="16">
        <v>446</v>
      </c>
      <c r="N1364" s="16">
        <v>186</v>
      </c>
      <c r="O1364" s="16">
        <v>479</v>
      </c>
      <c r="P1364" s="16">
        <v>457</v>
      </c>
      <c r="Q1364" s="16">
        <v>237</v>
      </c>
      <c r="R1364" s="16">
        <v>2</v>
      </c>
      <c r="S1364" s="16">
        <v>10.427899999999999</v>
      </c>
      <c r="T1364" s="16">
        <v>4.4604900000000001</v>
      </c>
      <c r="U1364" s="16">
        <v>0.76244207799999997</v>
      </c>
      <c r="V1364" s="16">
        <v>10</v>
      </c>
      <c r="W1364" s="16">
        <v>0.90427999999999997</v>
      </c>
      <c r="X1364" s="16">
        <v>8.3525000000000002E-2</v>
      </c>
      <c r="Y1364" s="16">
        <v>0.74738899999999997</v>
      </c>
      <c r="Z1364" s="16">
        <v>0.32456099999999999</v>
      </c>
      <c r="AA1364" s="37"/>
    </row>
    <row r="1365" spans="1:27">
      <c r="A1365" s="16" t="s">
        <v>124</v>
      </c>
      <c r="B1365" s="16" t="s">
        <v>4562</v>
      </c>
      <c r="C1365" s="16" t="s">
        <v>4563</v>
      </c>
      <c r="D1365" s="16" t="s">
        <v>4564</v>
      </c>
      <c r="E1365" s="16" t="s">
        <v>4557</v>
      </c>
      <c r="F1365" s="16" t="s">
        <v>4558</v>
      </c>
      <c r="G1365" s="16" t="s">
        <v>4517</v>
      </c>
      <c r="H1365" s="16" t="s">
        <v>4518</v>
      </c>
      <c r="I1365" s="16" t="s">
        <v>198</v>
      </c>
      <c r="J1365" s="16" t="s">
        <v>199</v>
      </c>
      <c r="K1365" s="16">
        <v>2.1820080000000002</v>
      </c>
      <c r="L1365" s="36">
        <v>2019</v>
      </c>
      <c r="M1365" s="16">
        <v>419</v>
      </c>
      <c r="N1365" s="16">
        <v>271</v>
      </c>
      <c r="O1365" s="16">
        <v>569</v>
      </c>
      <c r="P1365" s="16">
        <v>475</v>
      </c>
      <c r="Q1365" s="16">
        <v>285</v>
      </c>
      <c r="R1365" s="16">
        <v>2</v>
      </c>
      <c r="S1365" s="16">
        <v>10.9917</v>
      </c>
      <c r="T1365" s="16">
        <v>8.4011600000000008</v>
      </c>
      <c r="U1365" s="16">
        <v>0.73489692600000001</v>
      </c>
      <c r="V1365" s="16">
        <v>9</v>
      </c>
      <c r="W1365" s="16">
        <v>0.90492399999999995</v>
      </c>
      <c r="X1365" s="16">
        <v>0.13320799999999999</v>
      </c>
      <c r="Y1365" s="16">
        <v>0.76158199999999998</v>
      </c>
      <c r="Z1365" s="16">
        <v>0.39682800000000001</v>
      </c>
      <c r="AA1365" s="37"/>
    </row>
    <row r="1366" spans="1:27">
      <c r="A1366" s="16" t="s">
        <v>124</v>
      </c>
      <c r="B1366" s="16" t="s">
        <v>4565</v>
      </c>
      <c r="C1366" s="16" t="s">
        <v>4566</v>
      </c>
      <c r="D1366" s="16" t="s">
        <v>4567</v>
      </c>
      <c r="E1366" s="16" t="s">
        <v>4557</v>
      </c>
      <c r="F1366" s="16" t="s">
        <v>4558</v>
      </c>
      <c r="G1366" s="16" t="s">
        <v>4517</v>
      </c>
      <c r="H1366" s="16" t="s">
        <v>4518</v>
      </c>
      <c r="I1366" s="16" t="s">
        <v>198</v>
      </c>
      <c r="J1366" s="16" t="s">
        <v>199</v>
      </c>
      <c r="K1366" s="16">
        <v>2.225587</v>
      </c>
      <c r="L1366" s="36">
        <v>1916</v>
      </c>
      <c r="M1366" s="16">
        <v>481</v>
      </c>
      <c r="N1366" s="16">
        <v>153</v>
      </c>
      <c r="O1366" s="16">
        <v>548</v>
      </c>
      <c r="P1366" s="16">
        <v>487</v>
      </c>
      <c r="Q1366" s="16">
        <v>247</v>
      </c>
      <c r="R1366" s="16">
        <v>2</v>
      </c>
      <c r="S1366" s="16">
        <v>10.91</v>
      </c>
      <c r="T1366" s="16">
        <v>7.1956499999999997</v>
      </c>
      <c r="U1366" s="16">
        <v>0.685090796</v>
      </c>
      <c r="V1366" s="16">
        <v>9</v>
      </c>
      <c r="W1366" s="16">
        <v>0.90365499999999999</v>
      </c>
      <c r="X1366" s="16">
        <v>0.12931899999999999</v>
      </c>
      <c r="Y1366" s="16">
        <v>0.77740299999999996</v>
      </c>
      <c r="Z1366" s="16">
        <v>0.41574800000000001</v>
      </c>
      <c r="AA1366" s="37"/>
    </row>
    <row r="1367" spans="1:27">
      <c r="A1367" s="16" t="s">
        <v>124</v>
      </c>
      <c r="B1367" s="16" t="s">
        <v>4568</v>
      </c>
      <c r="C1367" s="16" t="s">
        <v>4569</v>
      </c>
      <c r="D1367" s="16" t="s">
        <v>4570</v>
      </c>
      <c r="E1367" s="16" t="s">
        <v>4557</v>
      </c>
      <c r="F1367" s="16" t="s">
        <v>4558</v>
      </c>
      <c r="G1367" s="16" t="s">
        <v>4517</v>
      </c>
      <c r="H1367" s="16" t="s">
        <v>4518</v>
      </c>
      <c r="I1367" s="16" t="s">
        <v>198</v>
      </c>
      <c r="J1367" s="16" t="s">
        <v>199</v>
      </c>
      <c r="K1367" s="16">
        <v>2.1146470000000002</v>
      </c>
      <c r="L1367" s="36">
        <v>1705</v>
      </c>
      <c r="M1367" s="16">
        <v>387</v>
      </c>
      <c r="N1367" s="16">
        <v>165</v>
      </c>
      <c r="O1367" s="16">
        <v>289</v>
      </c>
      <c r="P1367" s="16">
        <v>515</v>
      </c>
      <c r="Q1367" s="16">
        <v>349</v>
      </c>
      <c r="R1367" s="16" t="s">
        <v>225</v>
      </c>
      <c r="S1367" s="16">
        <v>11.2072</v>
      </c>
      <c r="T1367" s="16">
        <v>0</v>
      </c>
      <c r="U1367" s="16">
        <v>0.71965480400000004</v>
      </c>
      <c r="V1367" s="16">
        <v>9</v>
      </c>
      <c r="W1367" s="16">
        <v>0.88788400000000001</v>
      </c>
      <c r="X1367" s="16">
        <v>6.5944000000000003E-2</v>
      </c>
      <c r="Y1367" s="16">
        <v>0.74788900000000003</v>
      </c>
      <c r="Z1367" s="16">
        <v>0.41864899999999999</v>
      </c>
      <c r="AA1367" s="37"/>
    </row>
    <row r="1368" spans="1:27">
      <c r="A1368" s="16" t="s">
        <v>124</v>
      </c>
      <c r="B1368" s="16" t="s">
        <v>4498</v>
      </c>
      <c r="C1368" s="16" t="s">
        <v>4499</v>
      </c>
      <c r="D1368" s="16" t="s">
        <v>4500</v>
      </c>
      <c r="E1368" s="16" t="s">
        <v>4487</v>
      </c>
      <c r="F1368" s="16" t="s">
        <v>4488</v>
      </c>
      <c r="G1368" s="16" t="s">
        <v>3684</v>
      </c>
      <c r="H1368" s="16" t="s">
        <v>3685</v>
      </c>
      <c r="I1368" s="16" t="s">
        <v>198</v>
      </c>
      <c r="J1368" s="16" t="s">
        <v>199</v>
      </c>
      <c r="K1368" s="16">
        <v>2.285561</v>
      </c>
      <c r="L1368" s="36">
        <v>1787</v>
      </c>
      <c r="M1368" s="16">
        <v>334</v>
      </c>
      <c r="N1368" s="16">
        <v>326</v>
      </c>
      <c r="O1368" s="16">
        <v>432</v>
      </c>
      <c r="P1368" s="16">
        <v>348</v>
      </c>
      <c r="Q1368" s="16">
        <v>347</v>
      </c>
      <c r="R1368" s="16">
        <v>2</v>
      </c>
      <c r="S1368" s="16">
        <v>17.510400000000001</v>
      </c>
      <c r="T1368" s="16">
        <v>0</v>
      </c>
      <c r="U1368" s="16">
        <v>0.97018036600000002</v>
      </c>
      <c r="V1368" s="16">
        <v>3</v>
      </c>
      <c r="W1368" s="16">
        <v>0.89892499999999997</v>
      </c>
      <c r="X1368" s="16">
        <v>0.10548100000000001</v>
      </c>
      <c r="Y1368" s="16">
        <v>0.8</v>
      </c>
      <c r="Z1368" s="16">
        <v>0.48386899999999999</v>
      </c>
      <c r="AA1368" s="37"/>
    </row>
    <row r="1369" spans="1:27">
      <c r="A1369" s="16"/>
      <c r="B1369" s="16"/>
      <c r="C1369" s="16"/>
      <c r="D1369" s="16"/>
      <c r="E1369" s="16"/>
      <c r="F1369" s="16"/>
      <c r="G1369" s="16"/>
      <c r="H1369" s="16"/>
      <c r="I1369" s="16"/>
      <c r="J1369" s="16"/>
      <c r="K1369" s="16">
        <f>MEDIAN(K1361:K1368)</f>
        <v>2.2555740000000002</v>
      </c>
      <c r="L1369" s="36">
        <f>AVERAGE(L1361:L1368)</f>
        <v>1817.25</v>
      </c>
      <c r="M1369" s="16">
        <f t="shared" ref="M1369:Q1369" si="116">SUM(M1361:M1368)</f>
        <v>3483</v>
      </c>
      <c r="N1369" s="16">
        <f t="shared" si="116"/>
        <v>1598</v>
      </c>
      <c r="O1369" s="16">
        <f t="shared" si="116"/>
        <v>3688</v>
      </c>
      <c r="P1369" s="16">
        <f t="shared" si="116"/>
        <v>3640</v>
      </c>
      <c r="Q1369" s="16">
        <f t="shared" si="116"/>
        <v>2129</v>
      </c>
      <c r="R1369" s="16"/>
      <c r="S1369" s="16">
        <f t="shared" ref="S1369:U1369" si="117">MIN(S1361:S1368)</f>
        <v>10.427899999999999</v>
      </c>
      <c r="T1369" s="16">
        <f t="shared" si="117"/>
        <v>0</v>
      </c>
      <c r="U1369" s="16">
        <f t="shared" si="117"/>
        <v>0.58877708799999995</v>
      </c>
      <c r="V1369" s="16">
        <f>MEDIAN(V1361:V1368)</f>
        <v>9</v>
      </c>
      <c r="W1369" s="16">
        <f>MIN(W1361:W1368)</f>
        <v>0.88788400000000001</v>
      </c>
      <c r="X1369" s="16"/>
      <c r="Y1369" s="16"/>
      <c r="Z1369" s="16"/>
      <c r="AA1369" s="37"/>
    </row>
    <row r="1370" spans="1:27">
      <c r="A1370" s="16" t="s">
        <v>125</v>
      </c>
      <c r="B1370" s="16" t="s">
        <v>4571</v>
      </c>
      <c r="C1370" s="16" t="s">
        <v>4572</v>
      </c>
      <c r="D1370" s="16" t="s">
        <v>4573</v>
      </c>
      <c r="E1370" s="16" t="s">
        <v>4574</v>
      </c>
      <c r="F1370" s="16" t="s">
        <v>4575</v>
      </c>
      <c r="G1370" s="16" t="s">
        <v>4517</v>
      </c>
      <c r="H1370" s="16" t="s">
        <v>4518</v>
      </c>
      <c r="I1370" s="16" t="s">
        <v>198</v>
      </c>
      <c r="J1370" s="16" t="s">
        <v>199</v>
      </c>
      <c r="K1370" s="16">
        <v>2.3851969999999998</v>
      </c>
      <c r="L1370" s="36">
        <v>1771</v>
      </c>
      <c r="M1370" s="16">
        <v>445</v>
      </c>
      <c r="N1370" s="16">
        <v>179</v>
      </c>
      <c r="O1370" s="16">
        <v>476</v>
      </c>
      <c r="P1370" s="16">
        <v>473</v>
      </c>
      <c r="Q1370" s="16">
        <v>198</v>
      </c>
      <c r="R1370" s="16">
        <v>3</v>
      </c>
      <c r="S1370" s="16">
        <v>20.532599999999999</v>
      </c>
      <c r="T1370" s="16">
        <v>5.5719099999999999</v>
      </c>
      <c r="U1370" s="16">
        <v>0.75575454099999995</v>
      </c>
      <c r="V1370" s="16">
        <v>5</v>
      </c>
      <c r="W1370" s="16">
        <v>0.90592099999999998</v>
      </c>
      <c r="X1370" s="16">
        <v>0.25409799999999999</v>
      </c>
      <c r="Y1370" s="16">
        <v>0.8</v>
      </c>
      <c r="Z1370" s="16">
        <v>0.42052499999999998</v>
      </c>
      <c r="AA1370" s="37"/>
    </row>
    <row r="1371" spans="1:27">
      <c r="A1371" s="16" t="s">
        <v>125</v>
      </c>
      <c r="B1371" s="16" t="s">
        <v>4576</v>
      </c>
      <c r="C1371" s="16" t="s">
        <v>4577</v>
      </c>
      <c r="D1371" s="16" t="s">
        <v>4578</v>
      </c>
      <c r="E1371" s="16" t="s">
        <v>4579</v>
      </c>
      <c r="F1371" s="16" t="s">
        <v>4580</v>
      </c>
      <c r="G1371" s="16" t="s">
        <v>4517</v>
      </c>
      <c r="H1371" s="16" t="s">
        <v>4518</v>
      </c>
      <c r="I1371" s="16" t="s">
        <v>198</v>
      </c>
      <c r="J1371" s="16" t="s">
        <v>199</v>
      </c>
      <c r="K1371" s="16">
        <v>2.205819</v>
      </c>
      <c r="L1371" s="36">
        <v>1647</v>
      </c>
      <c r="M1371" s="16">
        <v>335</v>
      </c>
      <c r="N1371" s="16">
        <v>214</v>
      </c>
      <c r="O1371" s="16">
        <v>362</v>
      </c>
      <c r="P1371" s="16">
        <v>452</v>
      </c>
      <c r="Q1371" s="16">
        <v>284</v>
      </c>
      <c r="R1371" s="16">
        <v>3</v>
      </c>
      <c r="S1371" s="16">
        <v>27.978899999999999</v>
      </c>
      <c r="T1371" s="16">
        <v>2.3366400000000001</v>
      </c>
      <c r="U1371" s="16">
        <v>0.70241045000000002</v>
      </c>
      <c r="V1371" s="16">
        <v>9</v>
      </c>
      <c r="W1371" s="16">
        <v>0.89323399999999997</v>
      </c>
      <c r="X1371" s="16">
        <v>0.195412</v>
      </c>
      <c r="Y1371" s="16">
        <v>0.8</v>
      </c>
      <c r="Z1371" s="16">
        <v>0.31705299999999997</v>
      </c>
      <c r="AA1371" s="37"/>
    </row>
    <row r="1372" spans="1:27">
      <c r="A1372" s="16" t="s">
        <v>125</v>
      </c>
      <c r="B1372" s="16" t="s">
        <v>4581</v>
      </c>
      <c r="C1372" s="16" t="s">
        <v>4582</v>
      </c>
      <c r="D1372" s="16" t="s">
        <v>4583</v>
      </c>
      <c r="E1372" s="16" t="s">
        <v>4574</v>
      </c>
      <c r="F1372" s="16" t="s">
        <v>4575</v>
      </c>
      <c r="G1372" s="16" t="s">
        <v>4517</v>
      </c>
      <c r="H1372" s="16" t="s">
        <v>4518</v>
      </c>
      <c r="I1372" s="16" t="s">
        <v>198</v>
      </c>
      <c r="J1372" s="16" t="s">
        <v>199</v>
      </c>
      <c r="K1372" s="16">
        <v>2.4251849999999999</v>
      </c>
      <c r="L1372" s="36">
        <v>1495</v>
      </c>
      <c r="M1372" s="16">
        <v>346</v>
      </c>
      <c r="N1372" s="16">
        <v>170</v>
      </c>
      <c r="O1372" s="16">
        <v>372</v>
      </c>
      <c r="P1372" s="16">
        <v>389</v>
      </c>
      <c r="Q1372" s="16">
        <v>218</v>
      </c>
      <c r="R1372" s="16">
        <v>2</v>
      </c>
      <c r="S1372" s="16">
        <v>15.27</v>
      </c>
      <c r="T1372" s="16">
        <v>4.2707499999999996</v>
      </c>
      <c r="U1372" s="16">
        <v>0.65426082399999996</v>
      </c>
      <c r="V1372" s="16">
        <v>7</v>
      </c>
      <c r="W1372" s="16">
        <v>0.91456800000000005</v>
      </c>
      <c r="X1372" s="16">
        <v>0.33165800000000001</v>
      </c>
      <c r="Y1372" s="16">
        <v>0.8</v>
      </c>
      <c r="Z1372" s="16">
        <v>0.4</v>
      </c>
      <c r="AA1372" s="37"/>
    </row>
    <row r="1373" spans="1:27">
      <c r="A1373" s="16" t="s">
        <v>125</v>
      </c>
      <c r="B1373" s="16" t="s">
        <v>4584</v>
      </c>
      <c r="C1373" s="16" t="s">
        <v>4585</v>
      </c>
      <c r="D1373" s="16" t="s">
        <v>4586</v>
      </c>
      <c r="E1373" s="16" t="s">
        <v>4587</v>
      </c>
      <c r="F1373" s="16" t="s">
        <v>4588</v>
      </c>
      <c r="G1373" s="16" t="s">
        <v>4517</v>
      </c>
      <c r="H1373" s="16" t="s">
        <v>4518</v>
      </c>
      <c r="I1373" s="16" t="s">
        <v>198</v>
      </c>
      <c r="J1373" s="16" t="s">
        <v>199</v>
      </c>
      <c r="K1373" s="16">
        <v>2.4926409999999999</v>
      </c>
      <c r="L1373" s="36">
        <v>1918</v>
      </c>
      <c r="M1373" s="16">
        <v>192</v>
      </c>
      <c r="N1373" s="16">
        <v>258</v>
      </c>
      <c r="O1373" s="16">
        <v>585</v>
      </c>
      <c r="P1373" s="16">
        <v>507</v>
      </c>
      <c r="Q1373" s="16">
        <v>376</v>
      </c>
      <c r="R1373" s="16" t="s">
        <v>302</v>
      </c>
      <c r="S1373" s="16">
        <v>40.677399999999999</v>
      </c>
      <c r="T1373" s="16">
        <v>0</v>
      </c>
      <c r="U1373" s="16">
        <v>0.59361726299999995</v>
      </c>
      <c r="V1373" s="16">
        <v>9</v>
      </c>
      <c r="W1373" s="16">
        <v>0.90883000000000003</v>
      </c>
      <c r="X1373" s="16">
        <v>0.25224099999999999</v>
      </c>
      <c r="Y1373" s="16">
        <v>0.86633099999999996</v>
      </c>
      <c r="Z1373" s="16">
        <v>0.47902899999999998</v>
      </c>
      <c r="AA1373" s="37"/>
    </row>
    <row r="1374" spans="1:27">
      <c r="A1374" s="16" t="s">
        <v>125</v>
      </c>
      <c r="B1374" s="16" t="s">
        <v>4589</v>
      </c>
      <c r="C1374" s="16" t="s">
        <v>4590</v>
      </c>
      <c r="D1374" s="16" t="s">
        <v>4591</v>
      </c>
      <c r="E1374" s="16" t="s">
        <v>4574</v>
      </c>
      <c r="F1374" s="16" t="s">
        <v>4575</v>
      </c>
      <c r="G1374" s="16" t="s">
        <v>4517</v>
      </c>
      <c r="H1374" s="16" t="s">
        <v>4518</v>
      </c>
      <c r="I1374" s="16" t="s">
        <v>198</v>
      </c>
      <c r="J1374" s="16" t="s">
        <v>199</v>
      </c>
      <c r="K1374" s="16">
        <v>2.1996600000000002</v>
      </c>
      <c r="L1374" s="36">
        <v>1832</v>
      </c>
      <c r="M1374" s="16">
        <v>377</v>
      </c>
      <c r="N1374" s="16">
        <v>228</v>
      </c>
      <c r="O1374" s="16">
        <v>536</v>
      </c>
      <c r="P1374" s="16">
        <v>466</v>
      </c>
      <c r="Q1374" s="16">
        <v>225</v>
      </c>
      <c r="R1374" s="16">
        <v>4</v>
      </c>
      <c r="S1374" s="16">
        <v>19.5062</v>
      </c>
      <c r="T1374" s="16">
        <v>9.3766599999999993</v>
      </c>
      <c r="U1374" s="16">
        <v>0.77224150000000003</v>
      </c>
      <c r="V1374" s="16">
        <v>7</v>
      </c>
      <c r="W1374" s="16">
        <v>0.90221099999999999</v>
      </c>
      <c r="X1374" s="16">
        <v>0.162416</v>
      </c>
      <c r="Y1374" s="16">
        <v>0.8</v>
      </c>
      <c r="Z1374" s="16">
        <v>0.326768</v>
      </c>
      <c r="AA1374" s="37"/>
    </row>
    <row r="1375" spans="1:27">
      <c r="A1375" s="16" t="s">
        <v>125</v>
      </c>
      <c r="B1375" s="16" t="s">
        <v>4592</v>
      </c>
      <c r="C1375" s="16" t="s">
        <v>4593</v>
      </c>
      <c r="D1375" s="16" t="s">
        <v>4594</v>
      </c>
      <c r="E1375" s="16" t="s">
        <v>4515</v>
      </c>
      <c r="F1375" s="16" t="s">
        <v>4516</v>
      </c>
      <c r="G1375" s="16" t="s">
        <v>4517</v>
      </c>
      <c r="H1375" s="16" t="s">
        <v>4518</v>
      </c>
      <c r="I1375" s="16" t="s">
        <v>198</v>
      </c>
      <c r="J1375" s="16" t="s">
        <v>199</v>
      </c>
      <c r="K1375" s="16">
        <v>2.3545449999999999</v>
      </c>
      <c r="L1375" s="36">
        <v>1941</v>
      </c>
      <c r="M1375" s="16">
        <v>388</v>
      </c>
      <c r="N1375" s="16">
        <v>258</v>
      </c>
      <c r="O1375" s="16">
        <v>488</v>
      </c>
      <c r="P1375" s="16">
        <v>537</v>
      </c>
      <c r="Q1375" s="16">
        <v>270</v>
      </c>
      <c r="R1375" s="16">
        <v>2</v>
      </c>
      <c r="S1375" s="16">
        <v>10.295199999999999</v>
      </c>
      <c r="T1375" s="16">
        <v>1.7269399999999999</v>
      </c>
      <c r="U1375" s="16">
        <v>0.81534889200000005</v>
      </c>
      <c r="V1375" s="16">
        <v>5</v>
      </c>
      <c r="W1375" s="16">
        <v>0.90715100000000004</v>
      </c>
      <c r="X1375" s="16">
        <v>0.32369399999999998</v>
      </c>
      <c r="Y1375" s="16">
        <v>0.8</v>
      </c>
      <c r="Z1375" s="16">
        <v>0.33244600000000002</v>
      </c>
      <c r="AA1375" s="37"/>
    </row>
    <row r="1376" spans="1:27">
      <c r="A1376" s="16" t="s">
        <v>125</v>
      </c>
      <c r="B1376" s="16" t="s">
        <v>4595</v>
      </c>
      <c r="C1376" s="16" t="s">
        <v>4596</v>
      </c>
      <c r="D1376" s="16" t="s">
        <v>4597</v>
      </c>
      <c r="E1376" s="16" t="s">
        <v>4579</v>
      </c>
      <c r="F1376" s="16" t="s">
        <v>4580</v>
      </c>
      <c r="G1376" s="16" t="s">
        <v>4517</v>
      </c>
      <c r="H1376" s="16" t="s">
        <v>4518</v>
      </c>
      <c r="I1376" s="16" t="s">
        <v>198</v>
      </c>
      <c r="J1376" s="16" t="s">
        <v>199</v>
      </c>
      <c r="K1376" s="16">
        <v>2.0310320000000002</v>
      </c>
      <c r="L1376" s="36">
        <v>1857</v>
      </c>
      <c r="M1376" s="16">
        <v>301</v>
      </c>
      <c r="N1376" s="16">
        <v>268</v>
      </c>
      <c r="O1376" s="16">
        <v>576</v>
      </c>
      <c r="P1376" s="16">
        <v>512</v>
      </c>
      <c r="Q1376" s="16">
        <v>200</v>
      </c>
      <c r="R1376" s="16">
        <v>2</v>
      </c>
      <c r="S1376" s="16">
        <v>34.5212</v>
      </c>
      <c r="T1376" s="16">
        <v>0</v>
      </c>
      <c r="U1376" s="16">
        <v>0.80541719700000003</v>
      </c>
      <c r="V1376" s="16">
        <v>8</v>
      </c>
      <c r="W1376" s="16">
        <v>0.82983499999999999</v>
      </c>
      <c r="X1376" s="16">
        <v>0.102571</v>
      </c>
      <c r="Y1376" s="16">
        <v>0.82126999999999994</v>
      </c>
      <c r="Z1376" s="16">
        <v>0.272372</v>
      </c>
      <c r="AA1376" s="37"/>
    </row>
    <row r="1377" spans="1:27">
      <c r="A1377" s="16" t="s">
        <v>125</v>
      </c>
      <c r="B1377" s="16" t="s">
        <v>4598</v>
      </c>
      <c r="C1377" s="16" t="s">
        <v>4599</v>
      </c>
      <c r="D1377" s="16" t="s">
        <v>4600</v>
      </c>
      <c r="E1377" s="16" t="s">
        <v>4574</v>
      </c>
      <c r="F1377" s="16" t="s">
        <v>4575</v>
      </c>
      <c r="G1377" s="16" t="s">
        <v>4517</v>
      </c>
      <c r="H1377" s="16" t="s">
        <v>4518</v>
      </c>
      <c r="I1377" s="16" t="s">
        <v>198</v>
      </c>
      <c r="J1377" s="16" t="s">
        <v>199</v>
      </c>
      <c r="K1377" s="16">
        <v>2.5215550000000002</v>
      </c>
      <c r="L1377" s="36">
        <v>2072</v>
      </c>
      <c r="M1377" s="16">
        <v>412</v>
      </c>
      <c r="N1377" s="16">
        <v>316</v>
      </c>
      <c r="O1377" s="16">
        <v>697</v>
      </c>
      <c r="P1377" s="16">
        <v>447</v>
      </c>
      <c r="Q1377" s="16">
        <v>200</v>
      </c>
      <c r="R1377" s="16">
        <v>5</v>
      </c>
      <c r="S1377" s="16">
        <v>30.543399999999998</v>
      </c>
      <c r="T1377" s="16">
        <v>18.149000000000001</v>
      </c>
      <c r="U1377" s="16">
        <v>0.58167289200000005</v>
      </c>
      <c r="V1377" s="16">
        <v>9</v>
      </c>
      <c r="W1377" s="16">
        <v>0.90671400000000002</v>
      </c>
      <c r="X1377" s="16">
        <v>0.31768999999999997</v>
      </c>
      <c r="Y1377" s="16">
        <v>0.8</v>
      </c>
      <c r="Z1377" s="16">
        <v>0.48918400000000001</v>
      </c>
      <c r="AA1377" s="37"/>
    </row>
    <row r="1378" spans="1:27">
      <c r="A1378" s="16"/>
      <c r="B1378" s="16"/>
      <c r="C1378" s="16"/>
      <c r="D1378" s="16"/>
      <c r="E1378" s="16"/>
      <c r="F1378" s="16"/>
      <c r="G1378" s="16"/>
      <c r="H1378" s="16"/>
      <c r="I1378" s="16"/>
      <c r="J1378" s="16"/>
      <c r="K1378" s="16">
        <f>MAX(K1370:K1377)</f>
        <v>2.5215550000000002</v>
      </c>
      <c r="L1378" s="36">
        <f>AVERAGE(L1370:L1377)</f>
        <v>1816.625</v>
      </c>
      <c r="M1378" s="16">
        <f t="shared" ref="M1378:Q1378" si="118">SUM(M1370:M1377)</f>
        <v>2796</v>
      </c>
      <c r="N1378" s="16">
        <f t="shared" si="118"/>
        <v>1891</v>
      </c>
      <c r="O1378" s="16">
        <f t="shared" si="118"/>
        <v>4092</v>
      </c>
      <c r="P1378" s="16">
        <f t="shared" si="118"/>
        <v>3783</v>
      </c>
      <c r="Q1378" s="16">
        <f t="shared" si="118"/>
        <v>1971</v>
      </c>
      <c r="R1378" s="16"/>
      <c r="S1378" s="16">
        <f t="shared" ref="S1378:U1378" si="119">MEDIAN(S1370:S1377)</f>
        <v>24.255749999999999</v>
      </c>
      <c r="T1378" s="16">
        <f t="shared" si="119"/>
        <v>3.3036949999999998</v>
      </c>
      <c r="U1378" s="16">
        <f t="shared" si="119"/>
        <v>0.72908249549999993</v>
      </c>
      <c r="V1378" s="16">
        <f>MAX(V1370:V1377)</f>
        <v>9</v>
      </c>
      <c r="W1378" s="16"/>
      <c r="X1378" s="16"/>
      <c r="Y1378" s="16"/>
      <c r="Z1378" s="16"/>
      <c r="AA1378" s="37"/>
    </row>
    <row r="1379" spans="1:27">
      <c r="A1379" s="16" t="s">
        <v>126</v>
      </c>
      <c r="B1379" s="16" t="s">
        <v>4601</v>
      </c>
      <c r="C1379" s="16" t="s">
        <v>4602</v>
      </c>
      <c r="D1379" s="16" t="s">
        <v>4603</v>
      </c>
      <c r="E1379" s="16" t="s">
        <v>4604</v>
      </c>
      <c r="F1379" s="16" t="s">
        <v>4605</v>
      </c>
      <c r="G1379" s="16" t="s">
        <v>4606</v>
      </c>
      <c r="H1379" s="16" t="s">
        <v>4607</v>
      </c>
      <c r="I1379" s="16" t="s">
        <v>198</v>
      </c>
      <c r="J1379" s="16" t="s">
        <v>199</v>
      </c>
      <c r="K1379" s="16">
        <v>2.1124559999999999</v>
      </c>
      <c r="L1379" s="36">
        <v>1610</v>
      </c>
      <c r="M1379" s="16">
        <v>455</v>
      </c>
      <c r="N1379" s="16">
        <v>359</v>
      </c>
      <c r="O1379" s="16">
        <v>314</v>
      </c>
      <c r="P1379" s="16">
        <v>359</v>
      </c>
      <c r="Q1379" s="16">
        <v>123</v>
      </c>
      <c r="R1379" s="16" t="s">
        <v>225</v>
      </c>
      <c r="S1379" s="16">
        <v>6.6772099999999996</v>
      </c>
      <c r="T1379" s="16">
        <v>0</v>
      </c>
      <c r="U1379" s="16">
        <v>1.2532827769999999</v>
      </c>
      <c r="V1379" s="16">
        <v>2</v>
      </c>
      <c r="W1379" s="16">
        <v>0.81548299999999996</v>
      </c>
      <c r="X1379" s="16">
        <v>0.188772</v>
      </c>
      <c r="Y1379" s="16">
        <v>0.8</v>
      </c>
      <c r="Z1379" s="16">
        <v>0.3</v>
      </c>
      <c r="AA1379" s="37"/>
    </row>
    <row r="1380" spans="1:27">
      <c r="A1380" s="16" t="s">
        <v>126</v>
      </c>
      <c r="B1380" s="16" t="s">
        <v>4608</v>
      </c>
      <c r="C1380" s="16" t="s">
        <v>4609</v>
      </c>
      <c r="D1380" s="16" t="s">
        <v>4610</v>
      </c>
      <c r="E1380" s="16" t="s">
        <v>4604</v>
      </c>
      <c r="F1380" s="16" t="s">
        <v>4605</v>
      </c>
      <c r="G1380" s="16" t="s">
        <v>4606</v>
      </c>
      <c r="H1380" s="16" t="s">
        <v>4607</v>
      </c>
      <c r="I1380" s="16" t="s">
        <v>198</v>
      </c>
      <c r="J1380" s="16" t="s">
        <v>199</v>
      </c>
      <c r="K1380" s="16">
        <v>2.313428</v>
      </c>
      <c r="L1380" s="36">
        <v>2060</v>
      </c>
      <c r="M1380" s="16">
        <v>531</v>
      </c>
      <c r="N1380" s="16">
        <v>341</v>
      </c>
      <c r="O1380" s="16">
        <v>493</v>
      </c>
      <c r="P1380" s="16">
        <v>428</v>
      </c>
      <c r="Q1380" s="16">
        <v>267</v>
      </c>
      <c r="R1380" s="16">
        <v>2</v>
      </c>
      <c r="S1380" s="16">
        <v>8.1800700000000006</v>
      </c>
      <c r="T1380" s="16">
        <v>2.0083899999999999</v>
      </c>
      <c r="U1380" s="16">
        <v>1.038330813</v>
      </c>
      <c r="V1380" s="16">
        <v>3</v>
      </c>
      <c r="W1380" s="16">
        <v>0.837009</v>
      </c>
      <c r="X1380" s="16">
        <v>0.31179000000000001</v>
      </c>
      <c r="Y1380" s="16">
        <v>0.8</v>
      </c>
      <c r="Z1380" s="16">
        <v>0.35803299999999999</v>
      </c>
      <c r="AA1380" s="37"/>
    </row>
    <row r="1381" spans="1:27">
      <c r="A1381" s="16" t="s">
        <v>126</v>
      </c>
      <c r="B1381" s="16" t="s">
        <v>4611</v>
      </c>
      <c r="C1381" s="16" t="s">
        <v>4612</v>
      </c>
      <c r="D1381" s="16" t="s">
        <v>4613</v>
      </c>
      <c r="E1381" s="16" t="s">
        <v>4614</v>
      </c>
      <c r="F1381" s="16" t="s">
        <v>4615</v>
      </c>
      <c r="G1381" s="16" t="s">
        <v>4606</v>
      </c>
      <c r="H1381" s="16" t="s">
        <v>4607</v>
      </c>
      <c r="I1381" s="16" t="s">
        <v>198</v>
      </c>
      <c r="J1381" s="16" t="s">
        <v>199</v>
      </c>
      <c r="K1381" s="16">
        <v>2.2939829999999999</v>
      </c>
      <c r="L1381" s="36">
        <v>1616</v>
      </c>
      <c r="M1381" s="16">
        <v>373</v>
      </c>
      <c r="N1381" s="16">
        <v>231</v>
      </c>
      <c r="O1381" s="16">
        <v>361</v>
      </c>
      <c r="P1381" s="16">
        <v>409</v>
      </c>
      <c r="Q1381" s="16">
        <v>242</v>
      </c>
      <c r="R1381" s="16">
        <v>2</v>
      </c>
      <c r="S1381" s="16">
        <v>7.46577</v>
      </c>
      <c r="T1381" s="16">
        <v>3.1131199999999999</v>
      </c>
      <c r="U1381" s="16">
        <v>0.82371691400000002</v>
      </c>
      <c r="V1381" s="16">
        <v>5</v>
      </c>
      <c r="W1381" s="16">
        <v>0.89455600000000002</v>
      </c>
      <c r="X1381" s="16">
        <v>7.4822E-2</v>
      </c>
      <c r="Y1381" s="16">
        <v>0.9</v>
      </c>
      <c r="Z1381" s="16">
        <v>0.428429</v>
      </c>
      <c r="AA1381" s="37"/>
    </row>
    <row r="1382" spans="1:27">
      <c r="A1382" s="16" t="s">
        <v>126</v>
      </c>
      <c r="B1382" s="16" t="s">
        <v>4616</v>
      </c>
      <c r="C1382" s="16" t="s">
        <v>4617</v>
      </c>
      <c r="D1382" s="16" t="s">
        <v>4618</v>
      </c>
      <c r="E1382" s="16" t="s">
        <v>4614</v>
      </c>
      <c r="F1382" s="16" t="s">
        <v>4615</v>
      </c>
      <c r="G1382" s="16" t="s">
        <v>4606</v>
      </c>
      <c r="H1382" s="16" t="s">
        <v>4607</v>
      </c>
      <c r="I1382" s="16" t="s">
        <v>198</v>
      </c>
      <c r="J1382" s="16" t="s">
        <v>199</v>
      </c>
      <c r="K1382" s="16">
        <v>2.7382279999999999</v>
      </c>
      <c r="L1382" s="36">
        <v>1634</v>
      </c>
      <c r="M1382" s="16">
        <v>326</v>
      </c>
      <c r="N1382" s="16">
        <v>371</v>
      </c>
      <c r="O1382" s="16">
        <v>405</v>
      </c>
      <c r="P1382" s="16">
        <v>352</v>
      </c>
      <c r="Q1382" s="16">
        <v>180</v>
      </c>
      <c r="R1382" s="16" t="s">
        <v>225</v>
      </c>
      <c r="S1382" s="16">
        <v>10.238799999999999</v>
      </c>
      <c r="T1382" s="16">
        <v>0.79106600000000005</v>
      </c>
      <c r="U1382" s="16">
        <v>0.718733281</v>
      </c>
      <c r="V1382" s="16">
        <v>3</v>
      </c>
      <c r="W1382" s="16">
        <v>0.82499999999999996</v>
      </c>
      <c r="X1382" s="16">
        <v>7.9894999999999994E-2</v>
      </c>
      <c r="Y1382" s="16">
        <v>0.87173100000000003</v>
      </c>
      <c r="Z1382" s="16">
        <v>0.95672800000000002</v>
      </c>
      <c r="AA1382" s="37"/>
    </row>
    <row r="1383" spans="1:27">
      <c r="A1383" s="16" t="s">
        <v>126</v>
      </c>
      <c r="B1383" s="16" t="s">
        <v>4619</v>
      </c>
      <c r="C1383" s="16" t="s">
        <v>4620</v>
      </c>
      <c r="D1383" s="16" t="s">
        <v>4621</v>
      </c>
      <c r="E1383" s="16" t="s">
        <v>4622</v>
      </c>
      <c r="F1383" s="16" t="s">
        <v>4623</v>
      </c>
      <c r="G1383" s="16" t="s">
        <v>4517</v>
      </c>
      <c r="H1383" s="16" t="s">
        <v>4518</v>
      </c>
      <c r="I1383" s="16" t="s">
        <v>198</v>
      </c>
      <c r="J1383" s="16" t="s">
        <v>199</v>
      </c>
      <c r="K1383" s="16">
        <v>1.9382109999999999</v>
      </c>
      <c r="L1383" s="36">
        <v>1673</v>
      </c>
      <c r="M1383" s="16">
        <v>397</v>
      </c>
      <c r="N1383" s="16">
        <v>224</v>
      </c>
      <c r="O1383" s="16">
        <v>383</v>
      </c>
      <c r="P1383" s="16">
        <v>417</v>
      </c>
      <c r="Q1383" s="16">
        <v>252</v>
      </c>
      <c r="R1383" s="16" t="s">
        <v>225</v>
      </c>
      <c r="S1383" s="16">
        <v>6.6038500000000004</v>
      </c>
      <c r="T1383" s="16">
        <v>0</v>
      </c>
      <c r="U1383" s="16">
        <v>1.016432499</v>
      </c>
      <c r="V1383" s="16">
        <v>5</v>
      </c>
      <c r="W1383" s="16">
        <v>0.80671000000000004</v>
      </c>
      <c r="X1383" s="16">
        <v>2.8864000000000001E-2</v>
      </c>
      <c r="Y1383" s="16">
        <v>0.80587699999999995</v>
      </c>
      <c r="Z1383" s="16">
        <v>0.3</v>
      </c>
      <c r="AA1383" s="37"/>
    </row>
    <row r="1384" spans="1:27">
      <c r="A1384" s="16" t="s">
        <v>126</v>
      </c>
      <c r="B1384" s="16" t="s">
        <v>4624</v>
      </c>
      <c r="C1384" s="16" t="s">
        <v>4625</v>
      </c>
      <c r="D1384" s="16" t="s">
        <v>4626</v>
      </c>
      <c r="E1384" s="16" t="s">
        <v>4622</v>
      </c>
      <c r="F1384" s="16" t="s">
        <v>4623</v>
      </c>
      <c r="G1384" s="16" t="s">
        <v>4517</v>
      </c>
      <c r="H1384" s="16" t="s">
        <v>4518</v>
      </c>
      <c r="I1384" s="16" t="s">
        <v>198</v>
      </c>
      <c r="J1384" s="16" t="s">
        <v>199</v>
      </c>
      <c r="K1384" s="16">
        <v>2.3218990000000002</v>
      </c>
      <c r="L1384" s="36">
        <v>1463</v>
      </c>
      <c r="M1384" s="16">
        <v>279</v>
      </c>
      <c r="N1384" s="16">
        <v>211</v>
      </c>
      <c r="O1384" s="16">
        <v>246</v>
      </c>
      <c r="P1384" s="16">
        <v>396</v>
      </c>
      <c r="Q1384" s="16">
        <v>331</v>
      </c>
      <c r="R1384" s="16">
        <v>2</v>
      </c>
      <c r="S1384" s="16">
        <v>8.7371099999999995</v>
      </c>
      <c r="T1384" s="16">
        <v>3.4076</v>
      </c>
      <c r="U1384" s="16">
        <v>0.64778675600000002</v>
      </c>
      <c r="V1384" s="16">
        <v>8</v>
      </c>
      <c r="W1384" s="16">
        <v>0.84189899999999995</v>
      </c>
      <c r="X1384" s="16">
        <v>0.222053</v>
      </c>
      <c r="Y1384" s="16">
        <v>0.89784299999999995</v>
      </c>
      <c r="Z1384" s="16">
        <v>0.34828900000000002</v>
      </c>
      <c r="AA1384" s="37"/>
    </row>
    <row r="1385" spans="1:27">
      <c r="A1385" s="16" t="s">
        <v>126</v>
      </c>
      <c r="B1385" s="16" t="s">
        <v>4627</v>
      </c>
      <c r="C1385" s="16" t="s">
        <v>4628</v>
      </c>
      <c r="D1385" s="16" t="s">
        <v>4629</v>
      </c>
      <c r="E1385" s="16" t="s">
        <v>4622</v>
      </c>
      <c r="F1385" s="16" t="s">
        <v>4623</v>
      </c>
      <c r="G1385" s="16" t="s">
        <v>4517</v>
      </c>
      <c r="H1385" s="16" t="s">
        <v>4518</v>
      </c>
      <c r="I1385" s="16" t="s">
        <v>198</v>
      </c>
      <c r="J1385" s="16" t="s">
        <v>199</v>
      </c>
      <c r="K1385" s="16">
        <v>1.982912</v>
      </c>
      <c r="L1385" s="36">
        <v>1674</v>
      </c>
      <c r="M1385" s="16">
        <v>277</v>
      </c>
      <c r="N1385" s="16">
        <v>199</v>
      </c>
      <c r="O1385" s="16">
        <v>286</v>
      </c>
      <c r="P1385" s="16">
        <v>535</v>
      </c>
      <c r="Q1385" s="16">
        <v>377</v>
      </c>
      <c r="R1385" s="16" t="s">
        <v>225</v>
      </c>
      <c r="S1385" s="16">
        <v>7.49925</v>
      </c>
      <c r="T1385" s="16">
        <v>0</v>
      </c>
      <c r="U1385" s="16">
        <v>0.83506020299999995</v>
      </c>
      <c r="V1385" s="16">
        <v>8</v>
      </c>
      <c r="W1385" s="16">
        <v>0.810724</v>
      </c>
      <c r="X1385" s="16">
        <v>6.1391000000000001E-2</v>
      </c>
      <c r="Y1385" s="16">
        <v>0.80269100000000004</v>
      </c>
      <c r="Z1385" s="16">
        <v>0.30026000000000003</v>
      </c>
      <c r="AA1385" s="37"/>
    </row>
    <row r="1386" spans="1:27">
      <c r="A1386" s="16" t="s">
        <v>126</v>
      </c>
      <c r="B1386" s="16" t="s">
        <v>4630</v>
      </c>
      <c r="C1386" s="16" t="s">
        <v>4631</v>
      </c>
      <c r="D1386" s="16" t="s">
        <v>4632</v>
      </c>
      <c r="E1386" s="16" t="s">
        <v>4633</v>
      </c>
      <c r="F1386" s="16" t="s">
        <v>4634</v>
      </c>
      <c r="G1386" s="16" t="s">
        <v>4517</v>
      </c>
      <c r="H1386" s="16" t="s">
        <v>4518</v>
      </c>
      <c r="I1386" s="16" t="s">
        <v>198</v>
      </c>
      <c r="J1386" s="16" t="s">
        <v>199</v>
      </c>
      <c r="K1386" s="16">
        <v>2.3247789999999999</v>
      </c>
      <c r="L1386" s="36">
        <v>1708</v>
      </c>
      <c r="M1386" s="16">
        <v>444</v>
      </c>
      <c r="N1386" s="16">
        <v>187</v>
      </c>
      <c r="O1386" s="16">
        <v>396</v>
      </c>
      <c r="P1386" s="16">
        <v>501</v>
      </c>
      <c r="Q1386" s="16">
        <v>180</v>
      </c>
      <c r="R1386" s="16">
        <v>2</v>
      </c>
      <c r="S1386" s="16">
        <v>11.3079</v>
      </c>
      <c r="T1386" s="16">
        <v>6.2232200000000004</v>
      </c>
      <c r="U1386" s="16">
        <v>0.578833822</v>
      </c>
      <c r="V1386" s="16">
        <v>10</v>
      </c>
      <c r="W1386" s="16">
        <v>0.90221200000000001</v>
      </c>
      <c r="X1386" s="16">
        <v>0.13051199999999999</v>
      </c>
      <c r="Y1386" s="16">
        <v>0.853437</v>
      </c>
      <c r="Z1386" s="16">
        <v>0.42941200000000002</v>
      </c>
      <c r="AA1386" s="37"/>
    </row>
    <row r="1387" spans="1:27">
      <c r="A1387" s="16" t="s">
        <v>126</v>
      </c>
      <c r="B1387" s="16" t="s">
        <v>4635</v>
      </c>
      <c r="C1387" s="16" t="s">
        <v>4636</v>
      </c>
      <c r="D1387" s="16" t="s">
        <v>4637</v>
      </c>
      <c r="E1387" s="16" t="s">
        <v>4638</v>
      </c>
      <c r="F1387" s="16" t="s">
        <v>4639</v>
      </c>
      <c r="G1387" s="16" t="s">
        <v>4517</v>
      </c>
      <c r="H1387" s="16" t="s">
        <v>4518</v>
      </c>
      <c r="I1387" s="16" t="s">
        <v>198</v>
      </c>
      <c r="J1387" s="16" t="s">
        <v>199</v>
      </c>
      <c r="K1387" s="16">
        <v>2.8629470000000001</v>
      </c>
      <c r="L1387" s="36">
        <v>1547</v>
      </c>
      <c r="M1387" s="16">
        <v>338</v>
      </c>
      <c r="N1387" s="16">
        <v>243</v>
      </c>
      <c r="O1387" s="16">
        <v>370</v>
      </c>
      <c r="P1387" s="16">
        <v>390</v>
      </c>
      <c r="Q1387" s="16">
        <v>206</v>
      </c>
      <c r="R1387" s="16">
        <v>2</v>
      </c>
      <c r="S1387" s="16">
        <v>13.3416</v>
      </c>
      <c r="T1387" s="16">
        <v>0</v>
      </c>
      <c r="U1387" s="16">
        <v>0.38978451400000003</v>
      </c>
      <c r="V1387" s="16">
        <v>7</v>
      </c>
      <c r="W1387" s="16">
        <v>0.86643999999999999</v>
      </c>
      <c r="X1387" s="16">
        <v>0.20665</v>
      </c>
      <c r="Y1387" s="16">
        <v>0.81099699999999997</v>
      </c>
      <c r="Z1387" s="16">
        <v>0.97761600000000004</v>
      </c>
      <c r="AA1387" s="37"/>
    </row>
    <row r="1388" spans="1:27">
      <c r="A1388" s="16" t="s">
        <v>126</v>
      </c>
      <c r="B1388" s="16" t="s">
        <v>4640</v>
      </c>
      <c r="C1388" s="16" t="s">
        <v>4641</v>
      </c>
      <c r="D1388" s="16" t="s">
        <v>4642</v>
      </c>
      <c r="E1388" s="16" t="s">
        <v>4633</v>
      </c>
      <c r="F1388" s="16" t="s">
        <v>4634</v>
      </c>
      <c r="G1388" s="16" t="s">
        <v>4517</v>
      </c>
      <c r="H1388" s="16" t="s">
        <v>4518</v>
      </c>
      <c r="I1388" s="16" t="s">
        <v>198</v>
      </c>
      <c r="J1388" s="16" t="s">
        <v>199</v>
      </c>
      <c r="K1388" s="16">
        <v>2.3503759999999998</v>
      </c>
      <c r="L1388" s="36">
        <v>1526</v>
      </c>
      <c r="M1388" s="16">
        <v>346</v>
      </c>
      <c r="N1388" s="16">
        <v>164</v>
      </c>
      <c r="O1388" s="16">
        <v>419</v>
      </c>
      <c r="P1388" s="16">
        <v>408</v>
      </c>
      <c r="Q1388" s="16">
        <v>189</v>
      </c>
      <c r="R1388" s="16">
        <v>3</v>
      </c>
      <c r="S1388" s="16">
        <v>15.5992</v>
      </c>
      <c r="T1388" s="16">
        <v>7.06081</v>
      </c>
      <c r="U1388" s="16">
        <v>0.61792340999999995</v>
      </c>
      <c r="V1388" s="16">
        <v>10</v>
      </c>
      <c r="W1388" s="16">
        <v>0.90451099999999995</v>
      </c>
      <c r="X1388" s="16">
        <v>0.22531599999999999</v>
      </c>
      <c r="Y1388" s="16">
        <v>0.80050399999999999</v>
      </c>
      <c r="Z1388" s="16">
        <v>0.41038000000000002</v>
      </c>
      <c r="AA1388" s="37"/>
    </row>
    <row r="1389" spans="1:27">
      <c r="A1389" s="16" t="s">
        <v>126</v>
      </c>
      <c r="B1389" s="16" t="s">
        <v>4643</v>
      </c>
      <c r="C1389" s="16" t="s">
        <v>4644</v>
      </c>
      <c r="D1389" s="16" t="s">
        <v>4645</v>
      </c>
      <c r="E1389" s="16" t="s">
        <v>4638</v>
      </c>
      <c r="F1389" s="16" t="s">
        <v>4639</v>
      </c>
      <c r="G1389" s="16" t="s">
        <v>4517</v>
      </c>
      <c r="H1389" s="16" t="s">
        <v>4518</v>
      </c>
      <c r="I1389" s="16" t="s">
        <v>198</v>
      </c>
      <c r="J1389" s="16" t="s">
        <v>199</v>
      </c>
      <c r="K1389" s="16">
        <v>2.539717</v>
      </c>
      <c r="L1389" s="36">
        <v>1682</v>
      </c>
      <c r="M1389" s="16">
        <v>356</v>
      </c>
      <c r="N1389" s="16">
        <v>221</v>
      </c>
      <c r="O1389" s="16">
        <v>469</v>
      </c>
      <c r="P1389" s="16">
        <v>420</v>
      </c>
      <c r="Q1389" s="16">
        <v>216</v>
      </c>
      <c r="R1389" s="16">
        <v>3</v>
      </c>
      <c r="S1389" s="16">
        <v>20.472899999999999</v>
      </c>
      <c r="T1389" s="16">
        <v>4.2510000000000003</v>
      </c>
      <c r="U1389" s="16">
        <v>0.49261927999999999</v>
      </c>
      <c r="V1389" s="16">
        <v>10</v>
      </c>
      <c r="W1389" s="16">
        <v>0.89173000000000002</v>
      </c>
      <c r="X1389" s="16">
        <v>0.256546</v>
      </c>
      <c r="Y1389" s="16">
        <v>0.81049199999999999</v>
      </c>
      <c r="Z1389" s="16">
        <v>0.578712</v>
      </c>
      <c r="AA1389" s="37"/>
    </row>
    <row r="1390" spans="1:27">
      <c r="A1390" s="16" t="s">
        <v>126</v>
      </c>
      <c r="B1390" s="16" t="s">
        <v>4646</v>
      </c>
      <c r="C1390" s="16" t="s">
        <v>4647</v>
      </c>
      <c r="D1390" s="16" t="s">
        <v>4648</v>
      </c>
      <c r="E1390" s="16" t="s">
        <v>4638</v>
      </c>
      <c r="F1390" s="16" t="s">
        <v>4639</v>
      </c>
      <c r="G1390" s="16" t="s">
        <v>4517</v>
      </c>
      <c r="H1390" s="16" t="s">
        <v>4518</v>
      </c>
      <c r="I1390" s="16" t="s">
        <v>198</v>
      </c>
      <c r="J1390" s="16" t="s">
        <v>199</v>
      </c>
      <c r="K1390" s="16">
        <v>2.6055929999999998</v>
      </c>
      <c r="L1390" s="36">
        <v>2109</v>
      </c>
      <c r="M1390" s="16">
        <v>486</v>
      </c>
      <c r="N1390" s="16">
        <v>292</v>
      </c>
      <c r="O1390" s="16">
        <v>542</v>
      </c>
      <c r="P1390" s="16">
        <v>597</v>
      </c>
      <c r="Q1390" s="16">
        <v>192</v>
      </c>
      <c r="R1390" s="16">
        <v>2</v>
      </c>
      <c r="S1390" s="16">
        <v>19.144200000000001</v>
      </c>
      <c r="T1390" s="16">
        <v>0</v>
      </c>
      <c r="U1390" s="16">
        <v>0.499290448</v>
      </c>
      <c r="V1390" s="16">
        <v>10</v>
      </c>
      <c r="W1390" s="16">
        <v>0.83711899999999995</v>
      </c>
      <c r="X1390" s="16">
        <v>0.162299</v>
      </c>
      <c r="Y1390" s="16">
        <v>0.8</v>
      </c>
      <c r="Z1390" s="16">
        <v>0.80784800000000001</v>
      </c>
      <c r="AA1390" s="37"/>
    </row>
    <row r="1391" spans="1:27">
      <c r="A1391" s="16" t="s">
        <v>126</v>
      </c>
      <c r="B1391" s="16" t="s">
        <v>4649</v>
      </c>
      <c r="C1391" s="16" t="s">
        <v>4650</v>
      </c>
      <c r="D1391" s="16" t="s">
        <v>4651</v>
      </c>
      <c r="E1391" s="16" t="s">
        <v>4633</v>
      </c>
      <c r="F1391" s="16" t="s">
        <v>4634</v>
      </c>
      <c r="G1391" s="16" t="s">
        <v>4517</v>
      </c>
      <c r="H1391" s="16" t="s">
        <v>4518</v>
      </c>
      <c r="I1391" s="16" t="s">
        <v>198</v>
      </c>
      <c r="J1391" s="16" t="s">
        <v>199</v>
      </c>
      <c r="K1391" s="16">
        <v>2.4277160000000002</v>
      </c>
      <c r="L1391" s="36">
        <v>1599</v>
      </c>
      <c r="M1391" s="16">
        <v>288</v>
      </c>
      <c r="N1391" s="16">
        <v>244</v>
      </c>
      <c r="O1391" s="16">
        <v>442</v>
      </c>
      <c r="P1391" s="16">
        <v>444</v>
      </c>
      <c r="Q1391" s="16">
        <v>181</v>
      </c>
      <c r="R1391" s="16">
        <v>2</v>
      </c>
      <c r="S1391" s="16">
        <v>14.0139</v>
      </c>
      <c r="T1391" s="16">
        <v>0</v>
      </c>
      <c r="U1391" s="16">
        <v>0.59910810000000003</v>
      </c>
      <c r="V1391" s="16">
        <v>9</v>
      </c>
      <c r="W1391" s="16">
        <v>0.90454500000000004</v>
      </c>
      <c r="X1391" s="16">
        <v>0.26119700000000001</v>
      </c>
      <c r="Y1391" s="16">
        <v>0.88340700000000005</v>
      </c>
      <c r="Z1391" s="16">
        <v>0.377691</v>
      </c>
      <c r="AA1391" s="37"/>
    </row>
    <row r="1392" spans="1:27">
      <c r="A1392" s="16" t="s">
        <v>126</v>
      </c>
      <c r="B1392" s="16" t="s">
        <v>4652</v>
      </c>
      <c r="C1392" s="16" t="s">
        <v>4653</v>
      </c>
      <c r="D1392" s="16" t="s">
        <v>4654</v>
      </c>
      <c r="E1392" s="16" t="s">
        <v>4655</v>
      </c>
      <c r="F1392" s="16" t="s">
        <v>4656</v>
      </c>
      <c r="G1392" s="16" t="s">
        <v>4517</v>
      </c>
      <c r="H1392" s="16" t="s">
        <v>4518</v>
      </c>
      <c r="I1392" s="16" t="s">
        <v>198</v>
      </c>
      <c r="J1392" s="16" t="s">
        <v>199</v>
      </c>
      <c r="K1392" s="16">
        <v>2.272478</v>
      </c>
      <c r="L1392" s="36">
        <v>1767</v>
      </c>
      <c r="M1392" s="16">
        <v>444</v>
      </c>
      <c r="N1392" s="16">
        <v>244</v>
      </c>
      <c r="O1392" s="16">
        <v>353</v>
      </c>
      <c r="P1392" s="16">
        <v>515</v>
      </c>
      <c r="Q1392" s="16">
        <v>211</v>
      </c>
      <c r="R1392" s="16" t="s">
        <v>214</v>
      </c>
      <c r="S1392" s="16">
        <v>6.1032099999999998</v>
      </c>
      <c r="T1392" s="16">
        <v>0</v>
      </c>
      <c r="U1392" s="16">
        <v>0.652152179</v>
      </c>
      <c r="V1392" s="16">
        <v>9</v>
      </c>
      <c r="W1392" s="16">
        <v>0.85217900000000002</v>
      </c>
      <c r="X1392" s="16">
        <v>0.19079599999999999</v>
      </c>
      <c r="Y1392" s="16">
        <v>0.89950399999999997</v>
      </c>
      <c r="Z1392" s="16">
        <v>0.359406</v>
      </c>
      <c r="AA1392" s="37"/>
    </row>
    <row r="1393" spans="1:27">
      <c r="A1393" s="16" t="s">
        <v>126</v>
      </c>
      <c r="B1393" s="16" t="s">
        <v>4657</v>
      </c>
      <c r="C1393" s="16" t="s">
        <v>4658</v>
      </c>
      <c r="D1393" s="16" t="s">
        <v>4659</v>
      </c>
      <c r="E1393" s="16" t="s">
        <v>4655</v>
      </c>
      <c r="F1393" s="16" t="s">
        <v>4656</v>
      </c>
      <c r="G1393" s="16" t="s">
        <v>4517</v>
      </c>
      <c r="H1393" s="16" t="s">
        <v>4518</v>
      </c>
      <c r="I1393" s="16" t="s">
        <v>198</v>
      </c>
      <c r="J1393" s="16" t="s">
        <v>199</v>
      </c>
      <c r="K1393" s="16">
        <v>2.121909</v>
      </c>
      <c r="L1393" s="36">
        <v>1315</v>
      </c>
      <c r="M1393" s="16">
        <v>334</v>
      </c>
      <c r="N1393" s="16">
        <v>130</v>
      </c>
      <c r="O1393" s="16">
        <v>285</v>
      </c>
      <c r="P1393" s="16">
        <v>363</v>
      </c>
      <c r="Q1393" s="16">
        <v>203</v>
      </c>
      <c r="R1393" s="16">
        <v>2</v>
      </c>
      <c r="S1393" s="16">
        <v>8.3511699999999998</v>
      </c>
      <c r="T1393" s="16">
        <v>6.3458100000000002</v>
      </c>
      <c r="U1393" s="16">
        <v>0.72618876499999996</v>
      </c>
      <c r="V1393" s="16">
        <v>10</v>
      </c>
      <c r="W1393" s="16">
        <v>0.82147499999999996</v>
      </c>
      <c r="X1393" s="16">
        <v>0.111931</v>
      </c>
      <c r="Y1393" s="16">
        <v>0.88728399999999996</v>
      </c>
      <c r="Z1393" s="16">
        <v>0.293464</v>
      </c>
      <c r="AA1393" s="37"/>
    </row>
    <row r="1394" spans="1:27">
      <c r="A1394" s="16" t="s">
        <v>126</v>
      </c>
      <c r="B1394" s="16" t="s">
        <v>4660</v>
      </c>
      <c r="C1394" s="16" t="s">
        <v>4661</v>
      </c>
      <c r="D1394" s="16" t="s">
        <v>4662</v>
      </c>
      <c r="E1394" s="16" t="s">
        <v>4655</v>
      </c>
      <c r="F1394" s="16" t="s">
        <v>4656</v>
      </c>
      <c r="G1394" s="16" t="s">
        <v>4517</v>
      </c>
      <c r="H1394" s="16" t="s">
        <v>4518</v>
      </c>
      <c r="I1394" s="16" t="s">
        <v>198</v>
      </c>
      <c r="J1394" s="16" t="s">
        <v>199</v>
      </c>
      <c r="K1394" s="16">
        <v>2.0957720000000002</v>
      </c>
      <c r="L1394" s="36">
        <v>1659</v>
      </c>
      <c r="M1394" s="16">
        <v>393</v>
      </c>
      <c r="N1394" s="16">
        <v>238</v>
      </c>
      <c r="O1394" s="16">
        <v>332</v>
      </c>
      <c r="P1394" s="16">
        <v>461</v>
      </c>
      <c r="Q1394" s="16">
        <v>235</v>
      </c>
      <c r="R1394" s="16">
        <v>2</v>
      </c>
      <c r="S1394" s="16">
        <v>8.2663799999999998</v>
      </c>
      <c r="T1394" s="16">
        <v>0</v>
      </c>
      <c r="U1394" s="16">
        <v>0.85992043500000004</v>
      </c>
      <c r="V1394" s="16">
        <v>7</v>
      </c>
      <c r="W1394" s="16">
        <v>0.82723800000000003</v>
      </c>
      <c r="X1394" s="16">
        <v>0.21159700000000001</v>
      </c>
      <c r="Y1394" s="16">
        <v>0.81237700000000002</v>
      </c>
      <c r="Z1394" s="16">
        <v>0.25664100000000001</v>
      </c>
      <c r="AA1394" s="37"/>
    </row>
    <row r="1395" spans="1:27">
      <c r="A1395" s="16" t="s">
        <v>126</v>
      </c>
      <c r="B1395" s="16" t="s">
        <v>4663</v>
      </c>
      <c r="C1395" s="16" t="s">
        <v>4664</v>
      </c>
      <c r="D1395" s="16" t="s">
        <v>4665</v>
      </c>
      <c r="E1395" s="16" t="s">
        <v>4655</v>
      </c>
      <c r="F1395" s="16" t="s">
        <v>4656</v>
      </c>
      <c r="G1395" s="16" t="s">
        <v>4517</v>
      </c>
      <c r="H1395" s="16" t="s">
        <v>4518</v>
      </c>
      <c r="I1395" s="16" t="s">
        <v>198</v>
      </c>
      <c r="J1395" s="16" t="s">
        <v>199</v>
      </c>
      <c r="K1395" s="16">
        <v>2.1815530000000001</v>
      </c>
      <c r="L1395" s="36">
        <v>1630</v>
      </c>
      <c r="M1395" s="16">
        <v>390</v>
      </c>
      <c r="N1395" s="16">
        <v>175</v>
      </c>
      <c r="O1395" s="16">
        <v>401</v>
      </c>
      <c r="P1395" s="16">
        <v>462</v>
      </c>
      <c r="Q1395" s="16">
        <v>202</v>
      </c>
      <c r="R1395" s="16">
        <v>2</v>
      </c>
      <c r="S1395" s="16">
        <v>10.0189</v>
      </c>
      <c r="T1395" s="16">
        <v>0</v>
      </c>
      <c r="U1395" s="16">
        <v>0.72991740900000002</v>
      </c>
      <c r="V1395" s="16">
        <v>8</v>
      </c>
      <c r="W1395" s="16">
        <v>0.81484100000000004</v>
      </c>
      <c r="X1395" s="16">
        <v>9.9020999999999998E-2</v>
      </c>
      <c r="Y1395" s="16">
        <v>0.87023600000000001</v>
      </c>
      <c r="Z1395" s="16">
        <v>0.398343</v>
      </c>
      <c r="AA1395" s="37"/>
    </row>
    <row r="1396" spans="1:27">
      <c r="A1396" s="16" t="s">
        <v>126</v>
      </c>
      <c r="B1396" s="16" t="s">
        <v>4666</v>
      </c>
      <c r="C1396" s="16" t="s">
        <v>4667</v>
      </c>
      <c r="D1396" s="16" t="s">
        <v>4668</v>
      </c>
      <c r="E1396" s="16" t="s">
        <v>4669</v>
      </c>
      <c r="F1396" s="16" t="s">
        <v>4670</v>
      </c>
      <c r="G1396" s="16" t="s">
        <v>4517</v>
      </c>
      <c r="H1396" s="16" t="s">
        <v>4518</v>
      </c>
      <c r="I1396" s="16" t="s">
        <v>198</v>
      </c>
      <c r="J1396" s="16" t="s">
        <v>199</v>
      </c>
      <c r="K1396" s="16">
        <v>2.4426359999999998</v>
      </c>
      <c r="L1396" s="36">
        <v>1368</v>
      </c>
      <c r="M1396" s="16">
        <v>258</v>
      </c>
      <c r="N1396" s="16">
        <v>217</v>
      </c>
      <c r="O1396" s="16">
        <v>330</v>
      </c>
      <c r="P1396" s="16">
        <v>363</v>
      </c>
      <c r="Q1396" s="16">
        <v>200</v>
      </c>
      <c r="R1396" s="16">
        <v>2</v>
      </c>
      <c r="S1396" s="16">
        <v>9.7158899999999999</v>
      </c>
      <c r="T1396" s="16">
        <v>2.0719099999999999</v>
      </c>
      <c r="U1396" s="16">
        <v>0.58209269600000002</v>
      </c>
      <c r="V1396" s="16">
        <v>9</v>
      </c>
      <c r="W1396" s="16">
        <v>0.81608499999999995</v>
      </c>
      <c r="X1396" s="16">
        <v>1.1460000000000001E-3</v>
      </c>
      <c r="Y1396" s="16">
        <v>0.86831599999999998</v>
      </c>
      <c r="Z1396" s="16">
        <v>0.76051599999999997</v>
      </c>
      <c r="AA1396" s="37"/>
    </row>
    <row r="1397" spans="1:27">
      <c r="A1397" s="16" t="s">
        <v>126</v>
      </c>
      <c r="B1397" s="16" t="s">
        <v>4671</v>
      </c>
      <c r="C1397" s="16" t="s">
        <v>4672</v>
      </c>
      <c r="D1397" s="16" t="s">
        <v>4673</v>
      </c>
      <c r="E1397" s="16" t="s">
        <v>4669</v>
      </c>
      <c r="F1397" s="16" t="s">
        <v>4670</v>
      </c>
      <c r="G1397" s="16" t="s">
        <v>4517</v>
      </c>
      <c r="H1397" s="16" t="s">
        <v>4518</v>
      </c>
      <c r="I1397" s="16" t="s">
        <v>198</v>
      </c>
      <c r="J1397" s="16" t="s">
        <v>199</v>
      </c>
      <c r="K1397" s="16">
        <v>2.2561619999999998</v>
      </c>
      <c r="L1397" s="36">
        <v>1637</v>
      </c>
      <c r="M1397" s="16">
        <v>336</v>
      </c>
      <c r="N1397" s="16">
        <v>228</v>
      </c>
      <c r="O1397" s="16">
        <v>358</v>
      </c>
      <c r="P1397" s="16">
        <v>405</v>
      </c>
      <c r="Q1397" s="16">
        <v>310</v>
      </c>
      <c r="R1397" s="16">
        <v>2</v>
      </c>
      <c r="S1397" s="16">
        <v>9.2767999999999997</v>
      </c>
      <c r="T1397" s="16">
        <v>5.8876600000000003</v>
      </c>
      <c r="U1397" s="16">
        <v>0.70290898700000004</v>
      </c>
      <c r="V1397" s="16">
        <v>9</v>
      </c>
      <c r="W1397" s="16">
        <v>0.82808099999999996</v>
      </c>
      <c r="X1397" s="16">
        <v>0.120188</v>
      </c>
      <c r="Y1397" s="16">
        <v>0.9</v>
      </c>
      <c r="Z1397" s="16">
        <v>0.392702</v>
      </c>
      <c r="AA1397" s="37"/>
    </row>
    <row r="1398" spans="1:27">
      <c r="A1398" s="16" t="s">
        <v>126</v>
      </c>
      <c r="B1398" s="16" t="s">
        <v>4674</v>
      </c>
      <c r="C1398" s="16" t="s">
        <v>4675</v>
      </c>
      <c r="D1398" s="16" t="s">
        <v>4676</v>
      </c>
      <c r="E1398" s="16" t="s">
        <v>4638</v>
      </c>
      <c r="F1398" s="16" t="s">
        <v>4639</v>
      </c>
      <c r="G1398" s="16" t="s">
        <v>4517</v>
      </c>
      <c r="H1398" s="16" t="s">
        <v>4518</v>
      </c>
      <c r="I1398" s="16" t="s">
        <v>198</v>
      </c>
      <c r="J1398" s="16" t="s">
        <v>199</v>
      </c>
      <c r="K1398" s="16">
        <v>2.6546759999999998</v>
      </c>
      <c r="L1398" s="36">
        <v>1718</v>
      </c>
      <c r="M1398" s="16">
        <v>349</v>
      </c>
      <c r="N1398" s="16">
        <v>161</v>
      </c>
      <c r="O1398" s="16">
        <v>361</v>
      </c>
      <c r="P1398" s="16">
        <v>473</v>
      </c>
      <c r="Q1398" s="16">
        <v>374</v>
      </c>
      <c r="R1398" s="16" t="s">
        <v>225</v>
      </c>
      <c r="S1398" s="16">
        <v>8.2140000000000004</v>
      </c>
      <c r="T1398" s="16">
        <v>0</v>
      </c>
      <c r="U1398" s="16">
        <v>0.440708614</v>
      </c>
      <c r="V1398" s="16">
        <v>9</v>
      </c>
      <c r="W1398" s="16">
        <v>0.85</v>
      </c>
      <c r="X1398" s="16">
        <v>0.25273400000000001</v>
      </c>
      <c r="Y1398" s="16">
        <v>0.84896199999999999</v>
      </c>
      <c r="Z1398" s="16">
        <v>0.70763600000000004</v>
      </c>
      <c r="AA1398" s="37"/>
    </row>
    <row r="1399" spans="1:27">
      <c r="A1399" s="16"/>
      <c r="B1399" s="16"/>
      <c r="C1399" s="16"/>
      <c r="D1399" s="16"/>
      <c r="E1399" s="16"/>
      <c r="F1399" s="16"/>
      <c r="G1399" s="16"/>
      <c r="H1399" s="16"/>
      <c r="I1399" s="16"/>
      <c r="J1399" s="16"/>
      <c r="K1399" s="16">
        <f>MEDIAN(K1379:K1398)</f>
        <v>2.3176635000000001</v>
      </c>
      <c r="L1399" s="36">
        <f>AVERAGE(L1379:L1398)</f>
        <v>1649.75</v>
      </c>
      <c r="M1399" s="16">
        <f t="shared" ref="M1399:Q1399" si="120">SUM(M1379:M1398)</f>
        <v>7400</v>
      </c>
      <c r="N1399" s="16">
        <f t="shared" si="120"/>
        <v>4680</v>
      </c>
      <c r="O1399" s="16">
        <f t="shared" si="120"/>
        <v>7546</v>
      </c>
      <c r="P1399" s="16">
        <f t="shared" si="120"/>
        <v>8698</v>
      </c>
      <c r="Q1399" s="16">
        <f t="shared" si="120"/>
        <v>4671</v>
      </c>
      <c r="R1399" s="16"/>
      <c r="S1399" s="16">
        <f t="shared" ref="S1399:U1399" si="121">MIN(S1379:S1398)</f>
        <v>6.1032099999999998</v>
      </c>
      <c r="T1399" s="16">
        <f t="shared" si="121"/>
        <v>0</v>
      </c>
      <c r="U1399" s="16">
        <f t="shared" si="121"/>
        <v>0.38978451400000003</v>
      </c>
      <c r="V1399" s="16">
        <f>MEDIAN(V1379:V1398)</f>
        <v>8.5</v>
      </c>
      <c r="W1399" s="16"/>
      <c r="X1399" s="16"/>
      <c r="Y1399" s="16"/>
      <c r="Z1399" s="16"/>
      <c r="AA1399" s="37"/>
    </row>
    <row r="1400" spans="1:27">
      <c r="A1400" s="16" t="s">
        <v>127</v>
      </c>
      <c r="B1400" s="16" t="s">
        <v>4677</v>
      </c>
      <c r="C1400" s="16" t="s">
        <v>4678</v>
      </c>
      <c r="D1400" s="16" t="s">
        <v>4679</v>
      </c>
      <c r="E1400" s="16" t="s">
        <v>4680</v>
      </c>
      <c r="F1400" s="16" t="s">
        <v>4681</v>
      </c>
      <c r="G1400" s="16" t="s">
        <v>4606</v>
      </c>
      <c r="H1400" s="16" t="s">
        <v>4607</v>
      </c>
      <c r="I1400" s="16" t="s">
        <v>198</v>
      </c>
      <c r="J1400" s="16" t="s">
        <v>199</v>
      </c>
      <c r="K1400" s="16">
        <v>2.7064520000000001</v>
      </c>
      <c r="L1400" s="36">
        <v>1786</v>
      </c>
      <c r="M1400" s="16">
        <v>398</v>
      </c>
      <c r="N1400" s="16">
        <v>283</v>
      </c>
      <c r="O1400" s="16">
        <v>429</v>
      </c>
      <c r="P1400" s="16">
        <v>450</v>
      </c>
      <c r="Q1400" s="16">
        <v>226</v>
      </c>
      <c r="R1400" s="16">
        <v>2</v>
      </c>
      <c r="S1400" s="16">
        <v>14.489699999999999</v>
      </c>
      <c r="T1400" s="16">
        <v>0</v>
      </c>
      <c r="U1400" s="16">
        <v>0.79675673899999999</v>
      </c>
      <c r="V1400" s="16">
        <v>2</v>
      </c>
      <c r="W1400" s="16">
        <v>0.90747800000000001</v>
      </c>
      <c r="X1400" s="16">
        <v>0.36988300000000002</v>
      </c>
      <c r="Y1400" s="16">
        <v>0.84110799999999997</v>
      </c>
      <c r="Z1400" s="16">
        <v>0.57379899999999995</v>
      </c>
      <c r="AA1400" s="37"/>
    </row>
    <row r="1401" spans="1:27">
      <c r="A1401" s="16" t="s">
        <v>127</v>
      </c>
      <c r="B1401" s="16" t="s">
        <v>4682</v>
      </c>
      <c r="C1401" s="16" t="s">
        <v>4683</v>
      </c>
      <c r="D1401" s="16" t="s">
        <v>4684</v>
      </c>
      <c r="E1401" s="16" t="s">
        <v>4685</v>
      </c>
      <c r="F1401" s="16" t="s">
        <v>4686</v>
      </c>
      <c r="G1401" s="16" t="s">
        <v>4606</v>
      </c>
      <c r="H1401" s="16" t="s">
        <v>4607</v>
      </c>
      <c r="I1401" s="16" t="s">
        <v>198</v>
      </c>
      <c r="J1401" s="16" t="s">
        <v>199</v>
      </c>
      <c r="K1401" s="16">
        <v>2.9876960000000001</v>
      </c>
      <c r="L1401" s="36">
        <v>2999</v>
      </c>
      <c r="M1401" s="16">
        <v>447</v>
      </c>
      <c r="N1401" s="16">
        <v>991</v>
      </c>
      <c r="O1401" s="16">
        <v>728</v>
      </c>
      <c r="P1401" s="16">
        <v>540</v>
      </c>
      <c r="Q1401" s="16">
        <v>293</v>
      </c>
      <c r="R1401" s="16">
        <v>2</v>
      </c>
      <c r="S1401" s="16">
        <v>14.359500000000001</v>
      </c>
      <c r="T1401" s="16">
        <v>0</v>
      </c>
      <c r="U1401" s="16">
        <v>0.41620496099999998</v>
      </c>
      <c r="V1401" s="16">
        <v>5</v>
      </c>
      <c r="W1401" s="16">
        <v>0.91747599999999996</v>
      </c>
      <c r="X1401" s="16">
        <v>0.58641699999999997</v>
      </c>
      <c r="Y1401" s="16">
        <v>0.81046099999999999</v>
      </c>
      <c r="Z1401" s="16">
        <v>0.670234</v>
      </c>
      <c r="AA1401" s="37"/>
    </row>
    <row r="1402" spans="1:27">
      <c r="A1402" s="16" t="s">
        <v>127</v>
      </c>
      <c r="B1402" s="16" t="s">
        <v>4687</v>
      </c>
      <c r="C1402" s="16" t="s">
        <v>4688</v>
      </c>
      <c r="D1402" s="16" t="s">
        <v>4689</v>
      </c>
      <c r="E1402" s="16" t="s">
        <v>4680</v>
      </c>
      <c r="F1402" s="16" t="s">
        <v>4681</v>
      </c>
      <c r="G1402" s="16" t="s">
        <v>4606</v>
      </c>
      <c r="H1402" s="16" t="s">
        <v>4607</v>
      </c>
      <c r="I1402" s="16" t="s">
        <v>198</v>
      </c>
      <c r="J1402" s="16" t="s">
        <v>199</v>
      </c>
      <c r="K1402" s="16">
        <v>2.9333960000000001</v>
      </c>
      <c r="L1402" s="36">
        <v>3109</v>
      </c>
      <c r="M1402" s="16">
        <v>714</v>
      </c>
      <c r="N1402" s="16">
        <v>504</v>
      </c>
      <c r="O1402" s="16">
        <v>849</v>
      </c>
      <c r="P1402" s="16">
        <v>753</v>
      </c>
      <c r="Q1402" s="16">
        <v>289</v>
      </c>
      <c r="R1402" s="16">
        <v>2</v>
      </c>
      <c r="S1402" s="16">
        <v>17.633700000000001</v>
      </c>
      <c r="T1402" s="16">
        <v>0</v>
      </c>
      <c r="U1402" s="16">
        <v>0.76019309099999999</v>
      </c>
      <c r="V1402" s="16">
        <v>2</v>
      </c>
      <c r="W1402" s="16">
        <v>0.91828399999999999</v>
      </c>
      <c r="X1402" s="16">
        <v>0.56954899999999997</v>
      </c>
      <c r="Y1402" s="16">
        <v>0.8</v>
      </c>
      <c r="Z1402" s="16">
        <v>0.644791</v>
      </c>
      <c r="AA1402" s="37"/>
    </row>
    <row r="1403" spans="1:27">
      <c r="A1403" s="16" t="s">
        <v>127</v>
      </c>
      <c r="B1403" s="16" t="s">
        <v>4690</v>
      </c>
      <c r="C1403" s="16" t="s">
        <v>4691</v>
      </c>
      <c r="D1403" s="16" t="s">
        <v>4692</v>
      </c>
      <c r="E1403" s="16" t="s">
        <v>4685</v>
      </c>
      <c r="F1403" s="16" t="s">
        <v>4686</v>
      </c>
      <c r="G1403" s="16" t="s">
        <v>4606</v>
      </c>
      <c r="H1403" s="16" t="s">
        <v>4607</v>
      </c>
      <c r="I1403" s="16" t="s">
        <v>198</v>
      </c>
      <c r="J1403" s="16" t="s">
        <v>199</v>
      </c>
      <c r="K1403" s="16">
        <v>2.8536830000000002</v>
      </c>
      <c r="L1403" s="36">
        <v>1727</v>
      </c>
      <c r="M1403" s="16">
        <v>333</v>
      </c>
      <c r="N1403" s="16">
        <v>244</v>
      </c>
      <c r="O1403" s="16">
        <v>474</v>
      </c>
      <c r="P1403" s="16">
        <v>447</v>
      </c>
      <c r="Q1403" s="16">
        <v>229</v>
      </c>
      <c r="R1403" s="16">
        <v>3</v>
      </c>
      <c r="S1403" s="16">
        <v>16.8673</v>
      </c>
      <c r="T1403" s="16">
        <v>11.3369</v>
      </c>
      <c r="U1403" s="16">
        <v>0.51905231200000002</v>
      </c>
      <c r="V1403" s="16">
        <v>5</v>
      </c>
      <c r="W1403" s="16">
        <v>0.90180000000000005</v>
      </c>
      <c r="X1403" s="16">
        <v>0.22164800000000001</v>
      </c>
      <c r="Y1403" s="16">
        <v>0.8</v>
      </c>
      <c r="Z1403" s="16">
        <v>0.93766400000000005</v>
      </c>
      <c r="AA1403" s="37"/>
    </row>
    <row r="1404" spans="1:27">
      <c r="A1404" s="16" t="s">
        <v>127</v>
      </c>
      <c r="B1404" s="16" t="s">
        <v>4693</v>
      </c>
      <c r="C1404" s="16" t="s">
        <v>4694</v>
      </c>
      <c r="D1404" s="16" t="s">
        <v>4695</v>
      </c>
      <c r="E1404" s="16" t="s">
        <v>4680</v>
      </c>
      <c r="F1404" s="16" t="s">
        <v>4681</v>
      </c>
      <c r="G1404" s="16" t="s">
        <v>4606</v>
      </c>
      <c r="H1404" s="16" t="s">
        <v>4607</v>
      </c>
      <c r="I1404" s="16" t="s">
        <v>198</v>
      </c>
      <c r="J1404" s="16" t="s">
        <v>199</v>
      </c>
      <c r="K1404" s="16">
        <v>2.9424139999999999</v>
      </c>
      <c r="L1404" s="36">
        <v>3431</v>
      </c>
      <c r="M1404" s="16">
        <v>732</v>
      </c>
      <c r="N1404" s="16">
        <v>679</v>
      </c>
      <c r="O1404" s="36">
        <v>1029</v>
      </c>
      <c r="P1404" s="16">
        <v>659</v>
      </c>
      <c r="Q1404" s="16">
        <v>332</v>
      </c>
      <c r="R1404" s="16">
        <v>3</v>
      </c>
      <c r="S1404" s="16">
        <v>16.848500000000001</v>
      </c>
      <c r="T1404" s="16">
        <v>6.2829100000000002</v>
      </c>
      <c r="U1404" s="16">
        <v>0.72449255099999998</v>
      </c>
      <c r="V1404" s="16">
        <v>3</v>
      </c>
      <c r="W1404" s="16">
        <v>0.91603400000000001</v>
      </c>
      <c r="X1404" s="16">
        <v>0.44</v>
      </c>
      <c r="Y1404" s="16">
        <v>0.8</v>
      </c>
      <c r="Z1404" s="16">
        <v>0.78919399999999995</v>
      </c>
      <c r="AA1404" s="37"/>
    </row>
    <row r="1405" spans="1:27">
      <c r="A1405" s="16" t="s">
        <v>127</v>
      </c>
      <c r="B1405" s="16" t="s">
        <v>4696</v>
      </c>
      <c r="C1405" s="16" t="s">
        <v>4697</v>
      </c>
      <c r="D1405" s="16" t="s">
        <v>4698</v>
      </c>
      <c r="E1405" s="16" t="s">
        <v>4699</v>
      </c>
      <c r="F1405" s="16" t="s">
        <v>4700</v>
      </c>
      <c r="G1405" s="16" t="s">
        <v>4606</v>
      </c>
      <c r="H1405" s="16" t="s">
        <v>4607</v>
      </c>
      <c r="I1405" s="16" t="s">
        <v>198</v>
      </c>
      <c r="J1405" s="16" t="s">
        <v>199</v>
      </c>
      <c r="K1405" s="16">
        <v>2.400452</v>
      </c>
      <c r="L1405" s="36">
        <v>2167</v>
      </c>
      <c r="M1405" s="16">
        <v>499</v>
      </c>
      <c r="N1405" s="16">
        <v>374</v>
      </c>
      <c r="O1405" s="16">
        <v>587</v>
      </c>
      <c r="P1405" s="16">
        <v>417</v>
      </c>
      <c r="Q1405" s="16">
        <v>290</v>
      </c>
      <c r="R1405" s="16">
        <v>2</v>
      </c>
      <c r="S1405" s="16">
        <v>12.577</v>
      </c>
      <c r="T1405" s="16">
        <v>0</v>
      </c>
      <c r="U1405" s="16">
        <v>0.93115522299999998</v>
      </c>
      <c r="V1405" s="16">
        <v>4</v>
      </c>
      <c r="W1405" s="16">
        <v>0.84984899999999997</v>
      </c>
      <c r="X1405" s="16">
        <v>0.264048</v>
      </c>
      <c r="Y1405" s="16">
        <v>0.89500800000000003</v>
      </c>
      <c r="Z1405" s="16">
        <v>0.40239900000000001</v>
      </c>
      <c r="AA1405" s="37"/>
    </row>
    <row r="1406" spans="1:27">
      <c r="A1406" s="16" t="s">
        <v>127</v>
      </c>
      <c r="B1406" s="16" t="s">
        <v>4701</v>
      </c>
      <c r="C1406" s="16" t="s">
        <v>4702</v>
      </c>
      <c r="D1406" s="16" t="s">
        <v>4703</v>
      </c>
      <c r="E1406" s="16" t="s">
        <v>4704</v>
      </c>
      <c r="F1406" s="16" t="s">
        <v>4705</v>
      </c>
      <c r="G1406" s="16" t="s">
        <v>4606</v>
      </c>
      <c r="H1406" s="16" t="s">
        <v>4607</v>
      </c>
      <c r="I1406" s="16" t="s">
        <v>198</v>
      </c>
      <c r="J1406" s="16" t="s">
        <v>199</v>
      </c>
      <c r="K1406" s="16">
        <v>2.0858180000000002</v>
      </c>
      <c r="L1406" s="36">
        <v>1697</v>
      </c>
      <c r="M1406" s="16">
        <v>315</v>
      </c>
      <c r="N1406" s="16">
        <v>300</v>
      </c>
      <c r="O1406" s="16">
        <v>374</v>
      </c>
      <c r="P1406" s="16">
        <v>471</v>
      </c>
      <c r="Q1406" s="16">
        <v>237</v>
      </c>
      <c r="R1406" s="16">
        <v>2</v>
      </c>
      <c r="S1406" s="16">
        <v>12.361700000000001</v>
      </c>
      <c r="T1406" s="16">
        <v>1.68283</v>
      </c>
      <c r="U1406" s="16">
        <v>0.89388481399999997</v>
      </c>
      <c r="V1406" s="16">
        <v>6</v>
      </c>
      <c r="W1406" s="16">
        <v>0.82764099999999996</v>
      </c>
      <c r="X1406" s="16">
        <v>9.9856E-2</v>
      </c>
      <c r="Y1406" s="16">
        <v>0.84666699999999995</v>
      </c>
      <c r="Z1406" s="16">
        <v>0.3</v>
      </c>
      <c r="AA1406" s="37"/>
    </row>
    <row r="1407" spans="1:27">
      <c r="A1407" s="16" t="s">
        <v>127</v>
      </c>
      <c r="B1407" s="16" t="s">
        <v>4706</v>
      </c>
      <c r="C1407" s="16" t="s">
        <v>4707</v>
      </c>
      <c r="D1407" s="16" t="s">
        <v>4708</v>
      </c>
      <c r="E1407" s="16" t="s">
        <v>4704</v>
      </c>
      <c r="F1407" s="16" t="s">
        <v>4705</v>
      </c>
      <c r="G1407" s="16" t="s">
        <v>4606</v>
      </c>
      <c r="H1407" s="16" t="s">
        <v>4607</v>
      </c>
      <c r="I1407" s="16" t="s">
        <v>198</v>
      </c>
      <c r="J1407" s="16" t="s">
        <v>199</v>
      </c>
      <c r="K1407" s="16">
        <v>2.2180469999999999</v>
      </c>
      <c r="L1407" s="36">
        <v>1773</v>
      </c>
      <c r="M1407" s="16">
        <v>393</v>
      </c>
      <c r="N1407" s="16">
        <v>306</v>
      </c>
      <c r="O1407" s="16">
        <v>449</v>
      </c>
      <c r="P1407" s="16">
        <v>416</v>
      </c>
      <c r="Q1407" s="16">
        <v>209</v>
      </c>
      <c r="R1407" s="16" t="s">
        <v>225</v>
      </c>
      <c r="S1407" s="16">
        <v>8.5456299999999992</v>
      </c>
      <c r="T1407" s="16">
        <v>1.7535799999999999</v>
      </c>
      <c r="U1407" s="16">
        <v>0.96559573799999998</v>
      </c>
      <c r="V1407" s="16">
        <v>5</v>
      </c>
      <c r="W1407" s="16">
        <v>0.86971600000000004</v>
      </c>
      <c r="X1407" s="16">
        <v>0.24113299999999999</v>
      </c>
      <c r="Y1407" s="16">
        <v>0.80692200000000003</v>
      </c>
      <c r="Z1407" s="16">
        <v>0.300983</v>
      </c>
      <c r="AA1407" s="37"/>
    </row>
    <row r="1408" spans="1:27">
      <c r="A1408" s="16" t="s">
        <v>127</v>
      </c>
      <c r="B1408" s="16" t="s">
        <v>4709</v>
      </c>
      <c r="C1408" s="16" t="s">
        <v>4710</v>
      </c>
      <c r="D1408" s="16" t="s">
        <v>4711</v>
      </c>
      <c r="E1408" s="16" t="s">
        <v>4712</v>
      </c>
      <c r="F1408" s="16" t="s">
        <v>4713</v>
      </c>
      <c r="G1408" s="16" t="s">
        <v>4606</v>
      </c>
      <c r="H1408" s="16" t="s">
        <v>4607</v>
      </c>
      <c r="I1408" s="16" t="s">
        <v>198</v>
      </c>
      <c r="J1408" s="16" t="s">
        <v>199</v>
      </c>
      <c r="K1408" s="16">
        <v>2.34063</v>
      </c>
      <c r="L1408" s="36">
        <v>1793</v>
      </c>
      <c r="M1408" s="16">
        <v>345</v>
      </c>
      <c r="N1408" s="16">
        <v>301</v>
      </c>
      <c r="O1408" s="16">
        <v>481</v>
      </c>
      <c r="P1408" s="16">
        <v>448</v>
      </c>
      <c r="Q1408" s="16">
        <v>218</v>
      </c>
      <c r="R1408" s="16">
        <v>3</v>
      </c>
      <c r="S1408" s="16">
        <v>17.5063</v>
      </c>
      <c r="T1408" s="16">
        <v>1.81288</v>
      </c>
      <c r="U1408" s="16">
        <v>0.85040308200000003</v>
      </c>
      <c r="V1408" s="16">
        <v>4</v>
      </c>
      <c r="W1408" s="16">
        <v>0.85008300000000003</v>
      </c>
      <c r="X1408" s="16">
        <v>0.23031299999999999</v>
      </c>
      <c r="Y1408" s="16">
        <v>0.89423399999999997</v>
      </c>
      <c r="Z1408" s="16">
        <v>0.361628</v>
      </c>
      <c r="AA1408" s="37"/>
    </row>
    <row r="1409" spans="1:27">
      <c r="A1409" s="16" t="s">
        <v>127</v>
      </c>
      <c r="B1409" s="16" t="s">
        <v>4714</v>
      </c>
      <c r="C1409" s="16" t="s">
        <v>4715</v>
      </c>
      <c r="D1409" s="16" t="s">
        <v>4716</v>
      </c>
      <c r="E1409" s="16" t="s">
        <v>4704</v>
      </c>
      <c r="F1409" s="16" t="s">
        <v>4705</v>
      </c>
      <c r="G1409" s="16" t="s">
        <v>4606</v>
      </c>
      <c r="H1409" s="16" t="s">
        <v>4607</v>
      </c>
      <c r="I1409" s="16" t="s">
        <v>198</v>
      </c>
      <c r="J1409" s="16" t="s">
        <v>199</v>
      </c>
      <c r="K1409" s="16">
        <v>2.3253729999999999</v>
      </c>
      <c r="L1409" s="36">
        <v>1725</v>
      </c>
      <c r="M1409" s="16">
        <v>365</v>
      </c>
      <c r="N1409" s="16">
        <v>284</v>
      </c>
      <c r="O1409" s="16">
        <v>446</v>
      </c>
      <c r="P1409" s="16">
        <v>397</v>
      </c>
      <c r="Q1409" s="16">
        <v>233</v>
      </c>
      <c r="R1409" s="16">
        <v>3</v>
      </c>
      <c r="S1409" s="16">
        <v>19.7148</v>
      </c>
      <c r="T1409" s="16">
        <v>3.9024999999999999</v>
      </c>
      <c r="U1409" s="16">
        <v>0.99505465100000001</v>
      </c>
      <c r="V1409" s="16">
        <v>3</v>
      </c>
      <c r="W1409" s="16">
        <v>0.872305</v>
      </c>
      <c r="X1409" s="16">
        <v>0.249832</v>
      </c>
      <c r="Y1409" s="16">
        <v>0.89317800000000003</v>
      </c>
      <c r="Z1409" s="16">
        <v>0.31409599999999999</v>
      </c>
      <c r="AA1409" s="37"/>
    </row>
    <row r="1410" spans="1:27">
      <c r="A1410" s="16" t="s">
        <v>127</v>
      </c>
      <c r="B1410" s="16" t="s">
        <v>4717</v>
      </c>
      <c r="C1410" s="16" t="s">
        <v>4718</v>
      </c>
      <c r="D1410" s="16" t="s">
        <v>4719</v>
      </c>
      <c r="E1410" s="16" t="s">
        <v>4720</v>
      </c>
      <c r="F1410" s="16" t="s">
        <v>4721</v>
      </c>
      <c r="G1410" s="16" t="s">
        <v>4606</v>
      </c>
      <c r="H1410" s="16" t="s">
        <v>4607</v>
      </c>
      <c r="I1410" s="16" t="s">
        <v>198</v>
      </c>
      <c r="J1410" s="16" t="s">
        <v>199</v>
      </c>
      <c r="K1410" s="16">
        <v>2.158188</v>
      </c>
      <c r="L1410" s="36">
        <v>1687</v>
      </c>
      <c r="M1410" s="16">
        <v>354</v>
      </c>
      <c r="N1410" s="16">
        <v>268</v>
      </c>
      <c r="O1410" s="16">
        <v>495</v>
      </c>
      <c r="P1410" s="16">
        <v>376</v>
      </c>
      <c r="Q1410" s="16">
        <v>194</v>
      </c>
      <c r="R1410" s="16">
        <v>3</v>
      </c>
      <c r="S1410" s="16">
        <v>21.259799999999998</v>
      </c>
      <c r="T1410" s="16">
        <v>2.0069400000000002</v>
      </c>
      <c r="U1410" s="16">
        <v>1.00689842</v>
      </c>
      <c r="V1410" s="16">
        <v>4</v>
      </c>
      <c r="W1410" s="16">
        <v>0.83306800000000003</v>
      </c>
      <c r="X1410" s="16">
        <v>0.17879700000000001</v>
      </c>
      <c r="Y1410" s="16">
        <v>0.823824</v>
      </c>
      <c r="Z1410" s="16">
        <v>0.321994</v>
      </c>
      <c r="AA1410" s="37"/>
    </row>
    <row r="1411" spans="1:27">
      <c r="A1411" s="16" t="s">
        <v>127</v>
      </c>
      <c r="B1411" s="16" t="s">
        <v>4722</v>
      </c>
      <c r="C1411" s="16" t="s">
        <v>4723</v>
      </c>
      <c r="D1411" s="16" t="s">
        <v>4724</v>
      </c>
      <c r="E1411" s="16" t="s">
        <v>4704</v>
      </c>
      <c r="F1411" s="16" t="s">
        <v>4705</v>
      </c>
      <c r="G1411" s="16" t="s">
        <v>4606</v>
      </c>
      <c r="H1411" s="16" t="s">
        <v>4607</v>
      </c>
      <c r="I1411" s="16" t="s">
        <v>198</v>
      </c>
      <c r="J1411" s="16" t="s">
        <v>199</v>
      </c>
      <c r="K1411" s="16">
        <v>2.2402820000000001</v>
      </c>
      <c r="L1411" s="36">
        <v>1978</v>
      </c>
      <c r="M1411" s="16">
        <v>396</v>
      </c>
      <c r="N1411" s="16">
        <v>393</v>
      </c>
      <c r="O1411" s="16">
        <v>478</v>
      </c>
      <c r="P1411" s="16">
        <v>440</v>
      </c>
      <c r="Q1411" s="16">
        <v>271</v>
      </c>
      <c r="R1411" s="16" t="s">
        <v>225</v>
      </c>
      <c r="S1411" s="16">
        <v>7.4631400000000001</v>
      </c>
      <c r="T1411" s="16">
        <v>0</v>
      </c>
      <c r="U1411" s="16">
        <v>0.80354240300000002</v>
      </c>
      <c r="V1411" s="16">
        <v>6</v>
      </c>
      <c r="W1411" s="16">
        <v>0.873112</v>
      </c>
      <c r="X1411" s="16">
        <v>0.25659599999999999</v>
      </c>
      <c r="Y1411" s="16">
        <v>0.83674700000000002</v>
      </c>
      <c r="Z1411" s="16">
        <v>0.28132499999999999</v>
      </c>
      <c r="AA1411" s="37"/>
    </row>
    <row r="1412" spans="1:27">
      <c r="A1412" s="16" t="s">
        <v>127</v>
      </c>
      <c r="B1412" s="16" t="s">
        <v>4725</v>
      </c>
      <c r="C1412" s="16" t="s">
        <v>4726</v>
      </c>
      <c r="D1412" s="16" t="s">
        <v>4727</v>
      </c>
      <c r="E1412" s="16" t="s">
        <v>4704</v>
      </c>
      <c r="F1412" s="16" t="s">
        <v>4705</v>
      </c>
      <c r="G1412" s="16" t="s">
        <v>4606</v>
      </c>
      <c r="H1412" s="16" t="s">
        <v>4607</v>
      </c>
      <c r="I1412" s="16" t="s">
        <v>198</v>
      </c>
      <c r="J1412" s="16" t="s">
        <v>199</v>
      </c>
      <c r="K1412" s="16">
        <v>2.1795949999999999</v>
      </c>
      <c r="L1412" s="36">
        <v>2190</v>
      </c>
      <c r="M1412" s="16">
        <v>472</v>
      </c>
      <c r="N1412" s="16">
        <v>396</v>
      </c>
      <c r="O1412" s="16">
        <v>546</v>
      </c>
      <c r="P1412" s="16">
        <v>496</v>
      </c>
      <c r="Q1412" s="16">
        <v>280</v>
      </c>
      <c r="R1412" s="16">
        <v>2</v>
      </c>
      <c r="S1412" s="16">
        <v>17.325700000000001</v>
      </c>
      <c r="T1412" s="16">
        <v>1.7216400000000001</v>
      </c>
      <c r="U1412" s="16">
        <v>0.93388312799999995</v>
      </c>
      <c r="V1412" s="16">
        <v>4</v>
      </c>
      <c r="W1412" s="16">
        <v>0.873919</v>
      </c>
      <c r="X1412" s="16">
        <v>0.167794</v>
      </c>
      <c r="Y1412" s="16">
        <v>0.8</v>
      </c>
      <c r="Z1412" s="16">
        <v>0.333924</v>
      </c>
      <c r="AA1412" s="37"/>
    </row>
    <row r="1413" spans="1:27">
      <c r="A1413" s="16" t="s">
        <v>127</v>
      </c>
      <c r="B1413" s="16" t="s">
        <v>4728</v>
      </c>
      <c r="C1413" s="16" t="s">
        <v>4729</v>
      </c>
      <c r="D1413" s="16" t="s">
        <v>4730</v>
      </c>
      <c r="E1413" s="16" t="s">
        <v>4731</v>
      </c>
      <c r="F1413" s="16" t="s">
        <v>4732</v>
      </c>
      <c r="G1413" s="16" t="s">
        <v>4606</v>
      </c>
      <c r="H1413" s="16" t="s">
        <v>4607</v>
      </c>
      <c r="I1413" s="16" t="s">
        <v>198</v>
      </c>
      <c r="J1413" s="16" t="s">
        <v>199</v>
      </c>
      <c r="K1413" s="16">
        <v>2.2631890000000001</v>
      </c>
      <c r="L1413" s="36">
        <v>1920</v>
      </c>
      <c r="M1413" s="16">
        <v>378</v>
      </c>
      <c r="N1413" s="16">
        <v>289</v>
      </c>
      <c r="O1413" s="16">
        <v>587</v>
      </c>
      <c r="P1413" s="16">
        <v>442</v>
      </c>
      <c r="Q1413" s="16">
        <v>224</v>
      </c>
      <c r="R1413" s="16">
        <v>2</v>
      </c>
      <c r="S1413" s="16">
        <v>14.041</v>
      </c>
      <c r="T1413" s="16">
        <v>6.6673799999999996</v>
      </c>
      <c r="U1413" s="16">
        <v>0.82324770700000005</v>
      </c>
      <c r="V1413" s="16">
        <v>6</v>
      </c>
      <c r="W1413" s="16">
        <v>0.90924000000000005</v>
      </c>
      <c r="X1413" s="16">
        <v>0.27401799999999998</v>
      </c>
      <c r="Y1413" s="16">
        <v>0.8</v>
      </c>
      <c r="Z1413" s="16">
        <v>0.30149500000000001</v>
      </c>
      <c r="AA1413" s="37"/>
    </row>
    <row r="1414" spans="1:27">
      <c r="A1414" s="16" t="s">
        <v>127</v>
      </c>
      <c r="B1414" s="16" t="s">
        <v>4733</v>
      </c>
      <c r="C1414" s="16" t="s">
        <v>4734</v>
      </c>
      <c r="D1414" s="16" t="s">
        <v>4735</v>
      </c>
      <c r="E1414" s="16" t="s">
        <v>4712</v>
      </c>
      <c r="F1414" s="16" t="s">
        <v>4713</v>
      </c>
      <c r="G1414" s="16" t="s">
        <v>4606</v>
      </c>
      <c r="H1414" s="16" t="s">
        <v>4607</v>
      </c>
      <c r="I1414" s="16" t="s">
        <v>198</v>
      </c>
      <c r="J1414" s="16" t="s">
        <v>199</v>
      </c>
      <c r="K1414" s="16">
        <v>2.3389609999999998</v>
      </c>
      <c r="L1414" s="36">
        <v>1785</v>
      </c>
      <c r="M1414" s="16">
        <v>358</v>
      </c>
      <c r="N1414" s="16">
        <v>309</v>
      </c>
      <c r="O1414" s="16">
        <v>469</v>
      </c>
      <c r="P1414" s="16">
        <v>406</v>
      </c>
      <c r="Q1414" s="16">
        <v>243</v>
      </c>
      <c r="R1414" s="16" t="s">
        <v>225</v>
      </c>
      <c r="S1414" s="16">
        <v>12.098699999999999</v>
      </c>
      <c r="T1414" s="16">
        <v>0</v>
      </c>
      <c r="U1414" s="16">
        <v>0.850185419</v>
      </c>
      <c r="V1414" s="16">
        <v>5</v>
      </c>
      <c r="W1414" s="16">
        <v>0.82317200000000001</v>
      </c>
      <c r="X1414" s="16">
        <v>0.29259299999999999</v>
      </c>
      <c r="Y1414" s="16">
        <v>0.9</v>
      </c>
      <c r="Z1414" s="16">
        <v>0.32525599999999999</v>
      </c>
      <c r="AA1414" s="37"/>
    </row>
    <row r="1415" spans="1:27">
      <c r="A1415" s="16" t="s">
        <v>127</v>
      </c>
      <c r="B1415" s="16" t="s">
        <v>4736</v>
      </c>
      <c r="C1415" s="16" t="s">
        <v>4737</v>
      </c>
      <c r="D1415" s="16" t="s">
        <v>4738</v>
      </c>
      <c r="E1415" s="16" t="s">
        <v>4731</v>
      </c>
      <c r="F1415" s="16" t="s">
        <v>4732</v>
      </c>
      <c r="G1415" s="16" t="s">
        <v>4606</v>
      </c>
      <c r="H1415" s="16" t="s">
        <v>4607</v>
      </c>
      <c r="I1415" s="16" t="s">
        <v>198</v>
      </c>
      <c r="J1415" s="16" t="s">
        <v>199</v>
      </c>
      <c r="K1415" s="16">
        <v>2.024632</v>
      </c>
      <c r="L1415" s="36">
        <v>1780</v>
      </c>
      <c r="M1415" s="16">
        <v>325</v>
      </c>
      <c r="N1415" s="16">
        <v>299</v>
      </c>
      <c r="O1415" s="16">
        <v>488</v>
      </c>
      <c r="P1415" s="16">
        <v>411</v>
      </c>
      <c r="Q1415" s="16">
        <v>257</v>
      </c>
      <c r="R1415" s="16">
        <v>3</v>
      </c>
      <c r="S1415" s="16">
        <v>26.938700000000001</v>
      </c>
      <c r="T1415" s="16">
        <v>5.4512700000000001</v>
      </c>
      <c r="U1415" s="16">
        <v>0.92679017500000005</v>
      </c>
      <c r="V1415" s="16">
        <v>6</v>
      </c>
      <c r="W1415" s="16">
        <v>0.88584600000000002</v>
      </c>
      <c r="X1415" s="16">
        <v>0</v>
      </c>
      <c r="Y1415" s="16">
        <v>0.8</v>
      </c>
      <c r="Z1415" s="16">
        <v>0.33717900000000001</v>
      </c>
      <c r="AA1415" s="37"/>
    </row>
    <row r="1416" spans="1:27">
      <c r="A1416" s="16" t="s">
        <v>127</v>
      </c>
      <c r="B1416" s="16" t="s">
        <v>4739</v>
      </c>
      <c r="C1416" s="16" t="s">
        <v>4740</v>
      </c>
      <c r="D1416" s="16" t="s">
        <v>4741</v>
      </c>
      <c r="E1416" s="16" t="s">
        <v>4731</v>
      </c>
      <c r="F1416" s="16" t="s">
        <v>4732</v>
      </c>
      <c r="G1416" s="16" t="s">
        <v>4606</v>
      </c>
      <c r="H1416" s="16" t="s">
        <v>4607</v>
      </c>
      <c r="I1416" s="16" t="s">
        <v>198</v>
      </c>
      <c r="J1416" s="16" t="s">
        <v>199</v>
      </c>
      <c r="K1416" s="16">
        <v>2.1971210000000001</v>
      </c>
      <c r="L1416" s="36">
        <v>1945</v>
      </c>
      <c r="M1416" s="16">
        <v>367</v>
      </c>
      <c r="N1416" s="16">
        <v>333</v>
      </c>
      <c r="O1416" s="16">
        <v>644</v>
      </c>
      <c r="P1416" s="16">
        <v>402</v>
      </c>
      <c r="Q1416" s="16">
        <v>199</v>
      </c>
      <c r="R1416" s="16">
        <v>4</v>
      </c>
      <c r="S1416" s="16">
        <v>30.366499999999998</v>
      </c>
      <c r="T1416" s="16">
        <v>8.4852000000000007</v>
      </c>
      <c r="U1416" s="16">
        <v>0.86326013499999998</v>
      </c>
      <c r="V1416" s="16">
        <v>5</v>
      </c>
      <c r="W1416" s="16">
        <v>0.87802999999999998</v>
      </c>
      <c r="X1416" s="16">
        <v>3.7920000000000002E-2</v>
      </c>
      <c r="Y1416" s="16">
        <v>0.8</v>
      </c>
      <c r="Z1416" s="16">
        <v>0.48254900000000001</v>
      </c>
      <c r="AA1416" s="37"/>
    </row>
    <row r="1417" spans="1:27">
      <c r="A1417" s="16" t="s">
        <v>127</v>
      </c>
      <c r="B1417" s="16" t="s">
        <v>4742</v>
      </c>
      <c r="C1417" s="16" t="s">
        <v>4743</v>
      </c>
      <c r="D1417" s="16" t="s">
        <v>4744</v>
      </c>
      <c r="E1417" s="16" t="s">
        <v>4699</v>
      </c>
      <c r="F1417" s="16" t="s">
        <v>4700</v>
      </c>
      <c r="G1417" s="16" t="s">
        <v>4606</v>
      </c>
      <c r="H1417" s="16" t="s">
        <v>4607</v>
      </c>
      <c r="I1417" s="16" t="s">
        <v>198</v>
      </c>
      <c r="J1417" s="16" t="s">
        <v>199</v>
      </c>
      <c r="K1417" s="16">
        <v>2.0975389999999998</v>
      </c>
      <c r="L1417" s="36">
        <v>1969</v>
      </c>
      <c r="M1417" s="16">
        <v>365</v>
      </c>
      <c r="N1417" s="16">
        <v>308</v>
      </c>
      <c r="O1417" s="16">
        <v>572</v>
      </c>
      <c r="P1417" s="16">
        <v>465</v>
      </c>
      <c r="Q1417" s="16">
        <v>259</v>
      </c>
      <c r="R1417" s="16">
        <v>2</v>
      </c>
      <c r="S1417" s="16">
        <v>22.0398</v>
      </c>
      <c r="T1417" s="16">
        <v>1.92906</v>
      </c>
      <c r="U1417" s="16">
        <v>0.96063107000000003</v>
      </c>
      <c r="V1417" s="16">
        <v>6</v>
      </c>
      <c r="W1417" s="16">
        <v>0.81683899999999998</v>
      </c>
      <c r="X1417" s="16">
        <v>7.2329000000000004E-2</v>
      </c>
      <c r="Y1417" s="16">
        <v>0.80900799999999995</v>
      </c>
      <c r="Z1417" s="16">
        <v>0.402335</v>
      </c>
      <c r="AA1417" s="37"/>
    </row>
    <row r="1418" spans="1:27">
      <c r="A1418" s="16" t="s">
        <v>127</v>
      </c>
      <c r="B1418" s="16" t="s">
        <v>4745</v>
      </c>
      <c r="C1418" s="16" t="s">
        <v>4746</v>
      </c>
      <c r="D1418" s="16" t="s">
        <v>4747</v>
      </c>
      <c r="E1418" s="16" t="s">
        <v>4731</v>
      </c>
      <c r="F1418" s="16" t="s">
        <v>4732</v>
      </c>
      <c r="G1418" s="16" t="s">
        <v>4606</v>
      </c>
      <c r="H1418" s="16" t="s">
        <v>4607</v>
      </c>
      <c r="I1418" s="16" t="s">
        <v>198</v>
      </c>
      <c r="J1418" s="16" t="s">
        <v>199</v>
      </c>
      <c r="K1418" s="16">
        <v>2.0313279999999998</v>
      </c>
      <c r="L1418" s="36">
        <v>1911</v>
      </c>
      <c r="M1418" s="16">
        <v>420</v>
      </c>
      <c r="N1418" s="16">
        <v>256</v>
      </c>
      <c r="O1418" s="16">
        <v>563</v>
      </c>
      <c r="P1418" s="16">
        <v>412</v>
      </c>
      <c r="Q1418" s="16">
        <v>260</v>
      </c>
      <c r="R1418" s="16">
        <v>2</v>
      </c>
      <c r="S1418" s="16">
        <v>11.9693</v>
      </c>
      <c r="T1418" s="16">
        <v>1.7240899999999999</v>
      </c>
      <c r="U1418" s="16">
        <v>0.92795444100000002</v>
      </c>
      <c r="V1418" s="16">
        <v>6</v>
      </c>
      <c r="W1418" s="16">
        <v>0.88295699999999999</v>
      </c>
      <c r="X1418" s="16">
        <v>0.103113</v>
      </c>
      <c r="Y1418" s="16">
        <v>0.8</v>
      </c>
      <c r="Z1418" s="16">
        <v>0.25895499999999999</v>
      </c>
      <c r="AA1418" s="37"/>
    </row>
    <row r="1419" spans="1:27">
      <c r="A1419" s="16" t="s">
        <v>127</v>
      </c>
      <c r="B1419" s="16" t="s">
        <v>4748</v>
      </c>
      <c r="C1419" s="16" t="s">
        <v>4749</v>
      </c>
      <c r="D1419" s="16" t="s">
        <v>4750</v>
      </c>
      <c r="E1419" s="16" t="s">
        <v>4751</v>
      </c>
      <c r="F1419" s="16" t="s">
        <v>4752</v>
      </c>
      <c r="G1419" s="16" t="s">
        <v>4606</v>
      </c>
      <c r="H1419" s="16" t="s">
        <v>4607</v>
      </c>
      <c r="I1419" s="16" t="s">
        <v>198</v>
      </c>
      <c r="J1419" s="16" t="s">
        <v>199</v>
      </c>
      <c r="K1419" s="16">
        <v>2.1617850000000001</v>
      </c>
      <c r="L1419" s="36">
        <v>2521</v>
      </c>
      <c r="M1419" s="16">
        <v>575</v>
      </c>
      <c r="N1419" s="16">
        <v>449</v>
      </c>
      <c r="O1419" s="16">
        <v>656</v>
      </c>
      <c r="P1419" s="16">
        <v>546</v>
      </c>
      <c r="Q1419" s="16">
        <v>295</v>
      </c>
      <c r="R1419" s="16">
        <v>2</v>
      </c>
      <c r="S1419" s="16">
        <v>16.0748</v>
      </c>
      <c r="T1419" s="16">
        <v>5.2308000000000003</v>
      </c>
      <c r="U1419" s="16">
        <v>0.81371169799999998</v>
      </c>
      <c r="V1419" s="16">
        <v>7</v>
      </c>
      <c r="W1419" s="16">
        <v>0.90114399999999995</v>
      </c>
      <c r="X1419" s="16">
        <v>0.106865</v>
      </c>
      <c r="Y1419" s="16">
        <v>0.8</v>
      </c>
      <c r="Z1419" s="16">
        <v>0.35119499999999998</v>
      </c>
      <c r="AA1419" s="37"/>
    </row>
    <row r="1420" spans="1:27">
      <c r="A1420" s="16" t="s">
        <v>127</v>
      </c>
      <c r="B1420" s="16" t="s">
        <v>4753</v>
      </c>
      <c r="C1420" s="16" t="s">
        <v>4754</v>
      </c>
      <c r="D1420" s="16" t="s">
        <v>4755</v>
      </c>
      <c r="E1420" s="16" t="s">
        <v>4731</v>
      </c>
      <c r="F1420" s="16" t="s">
        <v>4732</v>
      </c>
      <c r="G1420" s="16" t="s">
        <v>4606</v>
      </c>
      <c r="H1420" s="16" t="s">
        <v>4607</v>
      </c>
      <c r="I1420" s="16" t="s">
        <v>198</v>
      </c>
      <c r="J1420" s="16" t="s">
        <v>199</v>
      </c>
      <c r="K1420" s="16">
        <v>2.1469040000000001</v>
      </c>
      <c r="L1420" s="36">
        <v>1590</v>
      </c>
      <c r="M1420" s="16">
        <v>228</v>
      </c>
      <c r="N1420" s="16">
        <v>245</v>
      </c>
      <c r="O1420" s="16">
        <v>400</v>
      </c>
      <c r="P1420" s="16">
        <v>373</v>
      </c>
      <c r="Q1420" s="16">
        <v>344</v>
      </c>
      <c r="R1420" s="16" t="s">
        <v>225</v>
      </c>
      <c r="S1420" s="16">
        <v>14.2204</v>
      </c>
      <c r="T1420" s="16">
        <v>0</v>
      </c>
      <c r="U1420" s="16">
        <v>0.86880885699999999</v>
      </c>
      <c r="V1420" s="16">
        <v>6</v>
      </c>
      <c r="W1420" s="16">
        <v>0.82304100000000002</v>
      </c>
      <c r="X1420" s="16">
        <v>0.26194200000000001</v>
      </c>
      <c r="Y1420" s="16">
        <v>0.86580400000000002</v>
      </c>
      <c r="Z1420" s="16">
        <v>0.193574</v>
      </c>
      <c r="AA1420" s="37"/>
    </row>
    <row r="1421" spans="1:27">
      <c r="A1421" s="16" t="s">
        <v>127</v>
      </c>
      <c r="B1421" s="16" t="s">
        <v>4756</v>
      </c>
      <c r="C1421" s="16" t="s">
        <v>4757</v>
      </c>
      <c r="D1421" s="16" t="s">
        <v>4758</v>
      </c>
      <c r="E1421" s="16" t="s">
        <v>4751</v>
      </c>
      <c r="F1421" s="16" t="s">
        <v>4752</v>
      </c>
      <c r="G1421" s="16" t="s">
        <v>4606</v>
      </c>
      <c r="H1421" s="16" t="s">
        <v>4607</v>
      </c>
      <c r="I1421" s="16" t="s">
        <v>198</v>
      </c>
      <c r="J1421" s="16" t="s">
        <v>199</v>
      </c>
      <c r="K1421" s="16">
        <v>2.6506769999999999</v>
      </c>
      <c r="L1421" s="36">
        <v>1696</v>
      </c>
      <c r="M1421" s="16">
        <v>309</v>
      </c>
      <c r="N1421" s="16">
        <v>280</v>
      </c>
      <c r="O1421" s="16">
        <v>469</v>
      </c>
      <c r="P1421" s="16">
        <v>378</v>
      </c>
      <c r="Q1421" s="16">
        <v>260</v>
      </c>
      <c r="R1421" s="16">
        <v>2</v>
      </c>
      <c r="S1421" s="16">
        <v>12.2453</v>
      </c>
      <c r="T1421" s="16">
        <v>2.4125000000000001</v>
      </c>
      <c r="U1421" s="16">
        <v>0.56482992499999995</v>
      </c>
      <c r="V1421" s="16">
        <v>7</v>
      </c>
      <c r="W1421" s="16">
        <v>0.90443600000000002</v>
      </c>
      <c r="X1421" s="16">
        <v>0.31368400000000002</v>
      </c>
      <c r="Y1421" s="16">
        <v>0.80347400000000002</v>
      </c>
      <c r="Z1421" s="16">
        <v>0.63684600000000002</v>
      </c>
      <c r="AA1421" s="37"/>
    </row>
    <row r="1422" spans="1:27">
      <c r="A1422" s="16" t="s">
        <v>127</v>
      </c>
      <c r="B1422" s="16" t="s">
        <v>4759</v>
      </c>
      <c r="C1422" s="16" t="s">
        <v>4760</v>
      </c>
      <c r="D1422" s="16" t="s">
        <v>4761</v>
      </c>
      <c r="E1422" s="16" t="s">
        <v>4751</v>
      </c>
      <c r="F1422" s="16" t="s">
        <v>4752</v>
      </c>
      <c r="G1422" s="16" t="s">
        <v>4606</v>
      </c>
      <c r="H1422" s="16" t="s">
        <v>4607</v>
      </c>
      <c r="I1422" s="16" t="s">
        <v>198</v>
      </c>
      <c r="J1422" s="16" t="s">
        <v>199</v>
      </c>
      <c r="K1422" s="16">
        <v>2.1527729999999998</v>
      </c>
      <c r="L1422" s="36">
        <v>1914</v>
      </c>
      <c r="M1422" s="16">
        <v>360</v>
      </c>
      <c r="N1422" s="16">
        <v>368</v>
      </c>
      <c r="O1422" s="16">
        <v>494</v>
      </c>
      <c r="P1422" s="16">
        <v>472</v>
      </c>
      <c r="Q1422" s="16">
        <v>220</v>
      </c>
      <c r="R1422" s="16">
        <v>3</v>
      </c>
      <c r="S1422" s="16">
        <v>15.545500000000001</v>
      </c>
      <c r="T1422" s="16">
        <v>5.4919700000000002</v>
      </c>
      <c r="U1422" s="16">
        <v>0.87237278200000001</v>
      </c>
      <c r="V1422" s="16">
        <v>6</v>
      </c>
      <c r="W1422" s="16">
        <v>0.88856199999999996</v>
      </c>
      <c r="X1422" s="16">
        <v>0.16284699999999999</v>
      </c>
      <c r="Y1422" s="16">
        <v>0.82172400000000001</v>
      </c>
      <c r="Z1422" s="16">
        <v>0.275752</v>
      </c>
      <c r="AA1422" s="37"/>
    </row>
    <row r="1423" spans="1:27">
      <c r="A1423" s="16" t="s">
        <v>127</v>
      </c>
      <c r="B1423" s="16" t="s">
        <v>4762</v>
      </c>
      <c r="C1423" s="16" t="s">
        <v>4763</v>
      </c>
      <c r="D1423" s="16" t="s">
        <v>4764</v>
      </c>
      <c r="E1423" s="16" t="s">
        <v>4685</v>
      </c>
      <c r="F1423" s="16" t="s">
        <v>4686</v>
      </c>
      <c r="G1423" s="16" t="s">
        <v>4606</v>
      </c>
      <c r="H1423" s="16" t="s">
        <v>4607</v>
      </c>
      <c r="I1423" s="16" t="s">
        <v>198</v>
      </c>
      <c r="J1423" s="16" t="s">
        <v>199</v>
      </c>
      <c r="K1423" s="16">
        <v>2.702359</v>
      </c>
      <c r="L1423" s="36">
        <v>2707</v>
      </c>
      <c r="M1423" s="16">
        <v>518</v>
      </c>
      <c r="N1423" s="16">
        <v>453</v>
      </c>
      <c r="O1423" s="16">
        <v>745</v>
      </c>
      <c r="P1423" s="16">
        <v>630</v>
      </c>
      <c r="Q1423" s="16">
        <v>361</v>
      </c>
      <c r="R1423" s="16">
        <v>3</v>
      </c>
      <c r="S1423" s="16">
        <v>18.812799999999999</v>
      </c>
      <c r="T1423" s="16">
        <v>7.4244700000000003</v>
      </c>
      <c r="U1423" s="16">
        <v>0.71486210800000005</v>
      </c>
      <c r="V1423" s="16">
        <v>4</v>
      </c>
      <c r="W1423" s="16">
        <v>0.91007300000000002</v>
      </c>
      <c r="X1423" s="16">
        <v>0.31785099999999999</v>
      </c>
      <c r="Y1423" s="16">
        <v>0.8</v>
      </c>
      <c r="Z1423" s="16">
        <v>0.68262100000000003</v>
      </c>
      <c r="AA1423" s="37"/>
    </row>
    <row r="1424" spans="1:27">
      <c r="A1424" s="16"/>
      <c r="B1424" s="16"/>
      <c r="C1424" s="16"/>
      <c r="D1424" s="16"/>
      <c r="E1424" s="16"/>
      <c r="F1424" s="16"/>
      <c r="G1424" s="16"/>
      <c r="H1424" s="16"/>
      <c r="I1424" s="16"/>
      <c r="J1424" s="16"/>
      <c r="K1424" s="16">
        <f>MEDIAN(K1400:K1423)</f>
        <v>2.2517355000000001</v>
      </c>
      <c r="L1424" s="36">
        <f t="shared" ref="L1424:Q1424" si="122">SUM(L1400:L1423)</f>
        <v>49800</v>
      </c>
      <c r="M1424" s="16">
        <f t="shared" si="122"/>
        <v>9966</v>
      </c>
      <c r="N1424" s="16">
        <f t="shared" si="122"/>
        <v>8912</v>
      </c>
      <c r="O1424" s="16">
        <f t="shared" si="122"/>
        <v>13452</v>
      </c>
      <c r="P1424" s="16">
        <f t="shared" si="122"/>
        <v>11247</v>
      </c>
      <c r="Q1424" s="16">
        <f t="shared" si="122"/>
        <v>6223</v>
      </c>
      <c r="R1424" s="16"/>
      <c r="S1424" s="16">
        <f t="shared" ref="S1424:U1424" si="123">MIN(S1400:S1423)</f>
        <v>7.4631400000000001</v>
      </c>
      <c r="T1424" s="16">
        <f t="shared" si="123"/>
        <v>0</v>
      </c>
      <c r="U1424" s="16">
        <f t="shared" si="123"/>
        <v>0.41620496099999998</v>
      </c>
      <c r="V1424" s="16">
        <f>MEDIAN(V1400:V1423)</f>
        <v>5</v>
      </c>
      <c r="W1424" s="16"/>
      <c r="X1424" s="16"/>
      <c r="Y1424" s="16"/>
      <c r="Z1424" s="16"/>
      <c r="AA1424" s="37"/>
    </row>
    <row r="1425" spans="1:27">
      <c r="A1425" s="16" t="s">
        <v>128</v>
      </c>
      <c r="B1425" s="16" t="s">
        <v>4765</v>
      </c>
      <c r="C1425" s="16" t="s">
        <v>4766</v>
      </c>
      <c r="D1425" s="16" t="s">
        <v>4767</v>
      </c>
      <c r="E1425" s="16" t="s">
        <v>4768</v>
      </c>
      <c r="F1425" s="16" t="s">
        <v>4769</v>
      </c>
      <c r="G1425" s="16" t="s">
        <v>300</v>
      </c>
      <c r="H1425" s="16" t="s">
        <v>301</v>
      </c>
      <c r="I1425" s="16" t="s">
        <v>198</v>
      </c>
      <c r="J1425" s="16" t="s">
        <v>199</v>
      </c>
      <c r="K1425" s="16">
        <v>2.9041980000000001</v>
      </c>
      <c r="L1425" s="36">
        <v>2403</v>
      </c>
      <c r="M1425" s="16">
        <v>276</v>
      </c>
      <c r="N1425" s="16">
        <v>459</v>
      </c>
      <c r="O1425" s="16">
        <v>774</v>
      </c>
      <c r="P1425" s="16">
        <v>610</v>
      </c>
      <c r="Q1425" s="16">
        <v>284</v>
      </c>
      <c r="R1425" s="16">
        <v>5</v>
      </c>
      <c r="S1425" s="16">
        <v>67.709699999999998</v>
      </c>
      <c r="T1425" s="16">
        <v>3.39655</v>
      </c>
      <c r="U1425" s="16">
        <v>0.38457555599999999</v>
      </c>
      <c r="V1425" s="16">
        <v>8</v>
      </c>
      <c r="W1425" s="16">
        <v>0.99171200000000004</v>
      </c>
      <c r="X1425" s="16">
        <v>0.218554</v>
      </c>
      <c r="Y1425" s="16">
        <v>0.7</v>
      </c>
      <c r="Z1425" s="16">
        <v>1</v>
      </c>
      <c r="AA1425" s="37"/>
    </row>
    <row r="1426" spans="1:27">
      <c r="A1426" s="16" t="s">
        <v>128</v>
      </c>
      <c r="B1426" s="16" t="s">
        <v>4770</v>
      </c>
      <c r="C1426" s="16" t="s">
        <v>4771</v>
      </c>
      <c r="D1426" s="16" t="s">
        <v>4772</v>
      </c>
      <c r="E1426" s="16" t="s">
        <v>4773</v>
      </c>
      <c r="F1426" s="16" t="s">
        <v>4774</v>
      </c>
      <c r="G1426" s="16" t="s">
        <v>300</v>
      </c>
      <c r="H1426" s="16" t="s">
        <v>301</v>
      </c>
      <c r="I1426" s="16" t="s">
        <v>198</v>
      </c>
      <c r="J1426" s="16" t="s">
        <v>199</v>
      </c>
      <c r="K1426" s="16">
        <v>3.0536469999999998</v>
      </c>
      <c r="L1426" s="36">
        <v>2222</v>
      </c>
      <c r="M1426" s="16">
        <v>380</v>
      </c>
      <c r="N1426" s="16">
        <v>529</v>
      </c>
      <c r="O1426" s="16">
        <v>756</v>
      </c>
      <c r="P1426" s="16">
        <v>420</v>
      </c>
      <c r="Q1426" s="16">
        <v>137</v>
      </c>
      <c r="R1426" s="16" t="s">
        <v>302</v>
      </c>
      <c r="S1426" s="16">
        <v>49.5625</v>
      </c>
      <c r="T1426" s="16">
        <v>5.2104600000000003</v>
      </c>
      <c r="U1426" s="16">
        <v>0.50406600800000001</v>
      </c>
      <c r="V1426" s="16">
        <v>5</v>
      </c>
      <c r="W1426" s="16">
        <v>0.99854100000000001</v>
      </c>
      <c r="X1426" s="16">
        <v>0.37376999999999999</v>
      </c>
      <c r="Y1426" s="16">
        <v>0.69213100000000005</v>
      </c>
      <c r="Z1426" s="16">
        <v>1</v>
      </c>
      <c r="AA1426" s="37"/>
    </row>
    <row r="1427" spans="1:27">
      <c r="A1427" s="16" t="s">
        <v>128</v>
      </c>
      <c r="B1427" s="16" t="s">
        <v>4775</v>
      </c>
      <c r="C1427" s="16" t="s">
        <v>4776</v>
      </c>
      <c r="D1427" s="16" t="s">
        <v>4777</v>
      </c>
      <c r="E1427" s="16" t="s">
        <v>4773</v>
      </c>
      <c r="F1427" s="16" t="s">
        <v>4774</v>
      </c>
      <c r="G1427" s="16" t="s">
        <v>300</v>
      </c>
      <c r="H1427" s="16" t="s">
        <v>301</v>
      </c>
      <c r="I1427" s="16" t="s">
        <v>198</v>
      </c>
      <c r="J1427" s="16" t="s">
        <v>199</v>
      </c>
      <c r="K1427" s="16">
        <v>3.0021369999999998</v>
      </c>
      <c r="L1427" s="36">
        <v>1925</v>
      </c>
      <c r="M1427" s="16">
        <v>593</v>
      </c>
      <c r="N1427" s="16">
        <v>344</v>
      </c>
      <c r="O1427" s="16">
        <v>597</v>
      </c>
      <c r="P1427" s="16">
        <v>270</v>
      </c>
      <c r="Q1427" s="16">
        <v>121</v>
      </c>
      <c r="R1427" s="16">
        <v>4</v>
      </c>
      <c r="S1427" s="16">
        <v>26.7562</v>
      </c>
      <c r="T1427" s="16">
        <v>5.9340400000000004</v>
      </c>
      <c r="U1427" s="16">
        <v>0.86405773200000002</v>
      </c>
      <c r="V1427" s="16">
        <v>3</v>
      </c>
      <c r="W1427" s="16">
        <v>1</v>
      </c>
      <c r="X1427" s="16">
        <v>0.38925599999999999</v>
      </c>
      <c r="Y1427" s="16">
        <v>0.60836800000000002</v>
      </c>
      <c r="Z1427" s="16">
        <v>1</v>
      </c>
      <c r="AA1427" s="37"/>
    </row>
    <row r="1428" spans="1:27">
      <c r="A1428" s="16" t="s">
        <v>128</v>
      </c>
      <c r="B1428" s="16" t="s">
        <v>4778</v>
      </c>
      <c r="C1428" s="16" t="s">
        <v>4779</v>
      </c>
      <c r="D1428" s="16" t="s">
        <v>4780</v>
      </c>
      <c r="E1428" s="16" t="s">
        <v>4773</v>
      </c>
      <c r="F1428" s="16" t="s">
        <v>4774</v>
      </c>
      <c r="G1428" s="16" t="s">
        <v>300</v>
      </c>
      <c r="H1428" s="16" t="s">
        <v>301</v>
      </c>
      <c r="I1428" s="16" t="s">
        <v>198</v>
      </c>
      <c r="J1428" s="16" t="s">
        <v>199</v>
      </c>
      <c r="K1428" s="16">
        <v>2.6892309999999999</v>
      </c>
      <c r="L1428" s="36">
        <v>2540</v>
      </c>
      <c r="M1428" s="16">
        <v>472</v>
      </c>
      <c r="N1428" s="16">
        <v>539</v>
      </c>
      <c r="O1428" s="16">
        <v>840</v>
      </c>
      <c r="P1428" s="16">
        <v>518</v>
      </c>
      <c r="Q1428" s="16">
        <v>171</v>
      </c>
      <c r="R1428" s="16">
        <v>4</v>
      </c>
      <c r="S1428" s="16">
        <v>23.879899999999999</v>
      </c>
      <c r="T1428" s="16">
        <v>16.110600000000002</v>
      </c>
      <c r="U1428" s="16">
        <v>0.87623009299999999</v>
      </c>
      <c r="V1428" s="16">
        <v>4</v>
      </c>
      <c r="W1428" s="16">
        <v>0.93692299999999995</v>
      </c>
      <c r="X1428" s="16">
        <v>9.2856999999999995E-2</v>
      </c>
      <c r="Y1428" s="16">
        <v>0.68788700000000003</v>
      </c>
      <c r="Z1428" s="16">
        <v>0.98051900000000003</v>
      </c>
      <c r="AA1428" s="37"/>
    </row>
    <row r="1429" spans="1:27">
      <c r="A1429" s="16" t="s">
        <v>128</v>
      </c>
      <c r="B1429" s="16" t="s">
        <v>4781</v>
      </c>
      <c r="C1429" s="16" t="s">
        <v>4782</v>
      </c>
      <c r="D1429" s="16" t="s">
        <v>4783</v>
      </c>
      <c r="E1429" s="16" t="s">
        <v>4768</v>
      </c>
      <c r="F1429" s="16" t="s">
        <v>4769</v>
      </c>
      <c r="G1429" s="16" t="s">
        <v>300</v>
      </c>
      <c r="H1429" s="16" t="s">
        <v>301</v>
      </c>
      <c r="I1429" s="16" t="s">
        <v>198</v>
      </c>
      <c r="J1429" s="16" t="s">
        <v>199</v>
      </c>
      <c r="K1429" s="16">
        <v>2.6319210000000002</v>
      </c>
      <c r="L1429" s="36">
        <v>2079</v>
      </c>
      <c r="M1429" s="16">
        <v>283</v>
      </c>
      <c r="N1429" s="16">
        <v>395</v>
      </c>
      <c r="O1429" s="16">
        <v>691</v>
      </c>
      <c r="P1429" s="16">
        <v>511</v>
      </c>
      <c r="Q1429" s="16">
        <v>199</v>
      </c>
      <c r="R1429" s="16">
        <v>4</v>
      </c>
      <c r="S1429" s="16">
        <v>22.349499999999999</v>
      </c>
      <c r="T1429" s="16">
        <v>14.4086</v>
      </c>
      <c r="U1429" s="16">
        <v>0.54844843499999996</v>
      </c>
      <c r="V1429" s="16">
        <v>8</v>
      </c>
      <c r="W1429" s="16">
        <v>0.91101699999999997</v>
      </c>
      <c r="X1429" s="16">
        <v>6.0845000000000003E-2</v>
      </c>
      <c r="Y1429" s="16">
        <v>0.69252100000000005</v>
      </c>
      <c r="Z1429" s="16">
        <v>0.97882999999999998</v>
      </c>
      <c r="AA1429" s="37"/>
    </row>
    <row r="1430" spans="1:27">
      <c r="A1430" s="16" t="s">
        <v>128</v>
      </c>
      <c r="B1430" s="16" t="s">
        <v>4784</v>
      </c>
      <c r="C1430" s="16" t="s">
        <v>4785</v>
      </c>
      <c r="D1430" s="16" t="s">
        <v>4786</v>
      </c>
      <c r="E1430" s="16" t="s">
        <v>4302</v>
      </c>
      <c r="F1430" s="16" t="s">
        <v>4303</v>
      </c>
      <c r="G1430" s="16" t="s">
        <v>300</v>
      </c>
      <c r="H1430" s="16" t="s">
        <v>301</v>
      </c>
      <c r="I1430" s="16" t="s">
        <v>198</v>
      </c>
      <c r="J1430" s="16" t="s">
        <v>199</v>
      </c>
      <c r="K1430" s="16">
        <v>2.9038219999999999</v>
      </c>
      <c r="L1430" s="36">
        <v>1604</v>
      </c>
      <c r="M1430" s="16">
        <v>392</v>
      </c>
      <c r="N1430" s="16">
        <v>324</v>
      </c>
      <c r="O1430" s="16">
        <v>386</v>
      </c>
      <c r="P1430" s="16">
        <v>319</v>
      </c>
      <c r="Q1430" s="16">
        <v>183</v>
      </c>
      <c r="R1430" s="16" t="s">
        <v>302</v>
      </c>
      <c r="S1430" s="16">
        <v>29.189800000000002</v>
      </c>
      <c r="T1430" s="16">
        <v>22.775099999999998</v>
      </c>
      <c r="U1430" s="16">
        <v>0.932683335</v>
      </c>
      <c r="V1430" s="16">
        <v>2</v>
      </c>
      <c r="W1430" s="16">
        <v>0.95477699999999999</v>
      </c>
      <c r="X1430" s="16">
        <v>0.32075500000000001</v>
      </c>
      <c r="Y1430" s="16">
        <v>0.6</v>
      </c>
      <c r="Z1430" s="16">
        <v>1</v>
      </c>
      <c r="AA1430" s="37"/>
    </row>
    <row r="1431" spans="1:27">
      <c r="A1431" s="16" t="s">
        <v>128</v>
      </c>
      <c r="B1431" s="16" t="s">
        <v>4787</v>
      </c>
      <c r="C1431" s="16" t="s">
        <v>4788</v>
      </c>
      <c r="D1431" s="16" t="s">
        <v>4789</v>
      </c>
      <c r="E1431" s="16" t="s">
        <v>2064</v>
      </c>
      <c r="F1431" s="16" t="s">
        <v>2065</v>
      </c>
      <c r="G1431" s="16" t="s">
        <v>300</v>
      </c>
      <c r="H1431" s="16" t="s">
        <v>301</v>
      </c>
      <c r="I1431" s="16" t="s">
        <v>198</v>
      </c>
      <c r="J1431" s="16" t="s">
        <v>199</v>
      </c>
      <c r="K1431" s="16">
        <v>2.9034219999999999</v>
      </c>
      <c r="L1431" s="36">
        <v>1357</v>
      </c>
      <c r="M1431" s="16">
        <v>336</v>
      </c>
      <c r="N1431" s="16">
        <v>281</v>
      </c>
      <c r="O1431" s="16">
        <v>340</v>
      </c>
      <c r="P1431" s="16">
        <v>301</v>
      </c>
      <c r="Q1431" s="16">
        <v>99</v>
      </c>
      <c r="R1431" s="16" t="s">
        <v>302</v>
      </c>
      <c r="S1431" s="16">
        <v>35.594499999999996</v>
      </c>
      <c r="T1431" s="16">
        <v>20.4742</v>
      </c>
      <c r="U1431" s="16">
        <v>0.98646853899999998</v>
      </c>
      <c r="V1431" s="16">
        <v>2</v>
      </c>
      <c r="W1431" s="16">
        <v>0.98707199999999995</v>
      </c>
      <c r="X1431" s="16">
        <v>0.30393700000000001</v>
      </c>
      <c r="Y1431" s="16">
        <v>0.6</v>
      </c>
      <c r="Z1431" s="16">
        <v>1</v>
      </c>
      <c r="AA1431" s="37"/>
    </row>
    <row r="1432" spans="1:27">
      <c r="A1432" s="16" t="s">
        <v>128</v>
      </c>
      <c r="B1432" s="16" t="s">
        <v>4304</v>
      </c>
      <c r="C1432" s="16" t="s">
        <v>4305</v>
      </c>
      <c r="D1432" s="16" t="s">
        <v>4306</v>
      </c>
      <c r="E1432" s="16" t="s">
        <v>2064</v>
      </c>
      <c r="F1432" s="16" t="s">
        <v>2065</v>
      </c>
      <c r="G1432" s="16" t="s">
        <v>300</v>
      </c>
      <c r="H1432" s="16" t="s">
        <v>301</v>
      </c>
      <c r="I1432" s="16" t="s">
        <v>198</v>
      </c>
      <c r="J1432" s="16" t="s">
        <v>199</v>
      </c>
      <c r="K1432" s="16">
        <v>2.9091719999999999</v>
      </c>
      <c r="L1432" s="36">
        <v>3239</v>
      </c>
      <c r="M1432" s="16">
        <v>706</v>
      </c>
      <c r="N1432" s="16">
        <v>816</v>
      </c>
      <c r="O1432" s="36">
        <v>1001</v>
      </c>
      <c r="P1432" s="16">
        <v>521</v>
      </c>
      <c r="Q1432" s="16">
        <v>195</v>
      </c>
      <c r="R1432" s="16">
        <v>5</v>
      </c>
      <c r="S1432" s="16">
        <v>27.0318</v>
      </c>
      <c r="T1432" s="16">
        <v>9.7125900000000005</v>
      </c>
      <c r="U1432" s="16">
        <v>0.71320222899999997</v>
      </c>
      <c r="V1432" s="16">
        <v>4</v>
      </c>
      <c r="W1432" s="16">
        <v>0.96183399999999997</v>
      </c>
      <c r="X1432" s="16">
        <v>0.318496</v>
      </c>
      <c r="Y1432" s="16">
        <v>0.62343300000000001</v>
      </c>
      <c r="Z1432" s="16">
        <v>1</v>
      </c>
      <c r="AA1432" s="37"/>
    </row>
    <row r="1433" spans="1:27">
      <c r="A1433" s="16" t="s">
        <v>128</v>
      </c>
      <c r="B1433" s="16" t="s">
        <v>2066</v>
      </c>
      <c r="C1433" s="16" t="s">
        <v>2067</v>
      </c>
      <c r="D1433" s="16" t="s">
        <v>2068</v>
      </c>
      <c r="E1433" s="16" t="s">
        <v>2064</v>
      </c>
      <c r="F1433" s="16" t="s">
        <v>2065</v>
      </c>
      <c r="G1433" s="16" t="s">
        <v>300</v>
      </c>
      <c r="H1433" s="16" t="s">
        <v>301</v>
      </c>
      <c r="I1433" s="16" t="s">
        <v>198</v>
      </c>
      <c r="J1433" s="16" t="s">
        <v>199</v>
      </c>
      <c r="K1433" s="16">
        <v>3.0197449999999999</v>
      </c>
      <c r="L1433" s="36">
        <v>1564</v>
      </c>
      <c r="M1433" s="16">
        <v>231</v>
      </c>
      <c r="N1433" s="16">
        <v>363</v>
      </c>
      <c r="O1433" s="16">
        <v>538</v>
      </c>
      <c r="P1433" s="16">
        <v>349</v>
      </c>
      <c r="Q1433" s="16">
        <v>83</v>
      </c>
      <c r="R1433" s="16">
        <v>5</v>
      </c>
      <c r="S1433" s="16">
        <v>28.9071</v>
      </c>
      <c r="T1433" s="16">
        <v>18.386299999999999</v>
      </c>
      <c r="U1433" s="16">
        <v>0.51614761099999995</v>
      </c>
      <c r="V1433" s="16">
        <v>5</v>
      </c>
      <c r="W1433" s="16">
        <v>0.99585999999999997</v>
      </c>
      <c r="X1433" s="16">
        <v>0.48580400000000001</v>
      </c>
      <c r="Y1433" s="16">
        <v>0.6</v>
      </c>
      <c r="Z1433" s="16">
        <v>0.98089199999999999</v>
      </c>
      <c r="AA1433" s="37"/>
    </row>
    <row r="1434" spans="1:27">
      <c r="A1434" s="16"/>
      <c r="B1434" s="16"/>
      <c r="C1434" s="16"/>
      <c r="D1434" s="16"/>
      <c r="E1434" s="16"/>
      <c r="F1434" s="16"/>
      <c r="G1434" s="16"/>
      <c r="H1434" s="16"/>
      <c r="I1434" s="16"/>
      <c r="J1434" s="16"/>
      <c r="K1434" s="16">
        <f>MEDIAN(K1425:K1433)</f>
        <v>2.9041980000000001</v>
      </c>
      <c r="L1434" s="36">
        <f>AVERAGE(L1425:L1433)</f>
        <v>2103.6666666666665</v>
      </c>
      <c r="M1434" s="36">
        <f>SUM(M1425:M1433)</f>
        <v>3669</v>
      </c>
      <c r="N1434" s="16"/>
      <c r="O1434" s="16"/>
      <c r="P1434" s="16"/>
      <c r="Q1434" s="36">
        <f>SUM(Q1425:Q1433)</f>
        <v>1472</v>
      </c>
      <c r="R1434" s="16"/>
      <c r="S1434" s="16"/>
      <c r="T1434" s="16"/>
      <c r="U1434" s="16"/>
      <c r="V1434" s="16">
        <f>MEDIAN(V1425:V1433)</f>
        <v>4</v>
      </c>
      <c r="W1434" s="16"/>
      <c r="X1434" s="16"/>
      <c r="Y1434" s="16"/>
      <c r="Z1434" s="16"/>
      <c r="AA1434" s="37"/>
    </row>
    <row r="1435" spans="1:27">
      <c r="A1435" s="16" t="s">
        <v>129</v>
      </c>
      <c r="B1435" s="16" t="s">
        <v>4790</v>
      </c>
      <c r="C1435" s="16" t="s">
        <v>4791</v>
      </c>
      <c r="D1435" s="16" t="s">
        <v>4792</v>
      </c>
      <c r="E1435" s="16" t="s">
        <v>4793</v>
      </c>
      <c r="F1435" s="16" t="s">
        <v>4794</v>
      </c>
      <c r="G1435" s="16" t="s">
        <v>4795</v>
      </c>
      <c r="H1435" s="16" t="s">
        <v>4796</v>
      </c>
      <c r="I1435" s="16" t="s">
        <v>198</v>
      </c>
      <c r="J1435" s="16" t="s">
        <v>199</v>
      </c>
      <c r="K1435" s="16">
        <v>2.639891</v>
      </c>
      <c r="L1435" s="36">
        <v>2047</v>
      </c>
      <c r="M1435" s="16">
        <v>456</v>
      </c>
      <c r="N1435" s="16">
        <v>345</v>
      </c>
      <c r="O1435" s="16">
        <v>598</v>
      </c>
      <c r="P1435" s="16">
        <v>485</v>
      </c>
      <c r="Q1435" s="16">
        <v>163</v>
      </c>
      <c r="R1435" s="16">
        <v>2</v>
      </c>
      <c r="S1435" s="16">
        <v>20.158000000000001</v>
      </c>
      <c r="T1435" s="16">
        <v>0</v>
      </c>
      <c r="U1435" s="16">
        <v>0.65934987599999995</v>
      </c>
      <c r="V1435" s="16">
        <v>5</v>
      </c>
      <c r="W1435" s="16">
        <v>0.82306299999999999</v>
      </c>
      <c r="X1435" s="16">
        <v>0.42272900000000002</v>
      </c>
      <c r="Y1435" s="16">
        <v>0.87825699999999995</v>
      </c>
      <c r="Z1435" s="16">
        <v>0.51636700000000002</v>
      </c>
      <c r="AA1435" s="37"/>
    </row>
    <row r="1436" spans="1:27">
      <c r="A1436" s="16" t="s">
        <v>129</v>
      </c>
      <c r="B1436" s="16" t="s">
        <v>4797</v>
      </c>
      <c r="C1436" s="16" t="s">
        <v>4798</v>
      </c>
      <c r="D1436" s="16" t="s">
        <v>4799</v>
      </c>
      <c r="E1436" s="16" t="s">
        <v>4800</v>
      </c>
      <c r="F1436" s="16" t="s">
        <v>4801</v>
      </c>
      <c r="G1436" s="16" t="s">
        <v>4795</v>
      </c>
      <c r="H1436" s="16" t="s">
        <v>4796</v>
      </c>
      <c r="I1436" s="16" t="s">
        <v>198</v>
      </c>
      <c r="J1436" s="16" t="s">
        <v>199</v>
      </c>
      <c r="K1436" s="16">
        <v>2.77765</v>
      </c>
      <c r="L1436" s="36">
        <v>2266</v>
      </c>
      <c r="M1436" s="16">
        <v>360</v>
      </c>
      <c r="N1436" s="16">
        <v>391</v>
      </c>
      <c r="O1436" s="16">
        <v>695</v>
      </c>
      <c r="P1436" s="16">
        <v>573</v>
      </c>
      <c r="Q1436" s="16">
        <v>247</v>
      </c>
      <c r="R1436" s="16" t="s">
        <v>225</v>
      </c>
      <c r="S1436" s="16">
        <v>28.723500000000001</v>
      </c>
      <c r="T1436" s="16">
        <v>0</v>
      </c>
      <c r="U1436" s="16">
        <v>0.63467351900000002</v>
      </c>
      <c r="V1436" s="16">
        <v>4</v>
      </c>
      <c r="W1436" s="16">
        <v>0.82101299999999999</v>
      </c>
      <c r="X1436" s="16">
        <v>0.31345899999999999</v>
      </c>
      <c r="Y1436" s="16">
        <v>0.87710500000000002</v>
      </c>
      <c r="Z1436" s="16">
        <v>0.76575099999999996</v>
      </c>
      <c r="AA1436" s="37"/>
    </row>
    <row r="1437" spans="1:27">
      <c r="A1437" s="16" t="s">
        <v>129</v>
      </c>
      <c r="B1437" s="16" t="s">
        <v>4802</v>
      </c>
      <c r="C1437" s="16" t="s">
        <v>4803</v>
      </c>
      <c r="D1437" s="16" t="s">
        <v>4804</v>
      </c>
      <c r="E1437" s="16" t="s">
        <v>4805</v>
      </c>
      <c r="F1437" s="16" t="s">
        <v>4806</v>
      </c>
      <c r="G1437" s="16" t="s">
        <v>4606</v>
      </c>
      <c r="H1437" s="16" t="s">
        <v>4607</v>
      </c>
      <c r="I1437" s="16" t="s">
        <v>198</v>
      </c>
      <c r="J1437" s="16" t="s">
        <v>199</v>
      </c>
      <c r="K1437" s="16">
        <v>2.1331250000000002</v>
      </c>
      <c r="L1437" s="36">
        <v>2025</v>
      </c>
      <c r="M1437" s="16">
        <v>412</v>
      </c>
      <c r="N1437" s="16">
        <v>313</v>
      </c>
      <c r="O1437" s="16">
        <v>486</v>
      </c>
      <c r="P1437" s="16">
        <v>497</v>
      </c>
      <c r="Q1437" s="16">
        <v>317</v>
      </c>
      <c r="R1437" s="16">
        <v>2</v>
      </c>
      <c r="S1437" s="16">
        <v>18.749600000000001</v>
      </c>
      <c r="T1437" s="16">
        <v>0</v>
      </c>
      <c r="U1437" s="16">
        <v>0.87231507500000005</v>
      </c>
      <c r="V1437" s="16">
        <v>6</v>
      </c>
      <c r="W1437" s="16">
        <v>0.81762900000000005</v>
      </c>
      <c r="X1437" s="16">
        <v>0.116649</v>
      </c>
      <c r="Y1437" s="16">
        <v>0.80036399999999996</v>
      </c>
      <c r="Z1437" s="16">
        <v>0.41182299999999999</v>
      </c>
      <c r="AA1437" s="37"/>
    </row>
    <row r="1438" spans="1:27">
      <c r="A1438" s="16" t="s">
        <v>129</v>
      </c>
      <c r="B1438" s="16" t="s">
        <v>4807</v>
      </c>
      <c r="C1438" s="16" t="s">
        <v>4808</v>
      </c>
      <c r="D1438" s="16" t="s">
        <v>4809</v>
      </c>
      <c r="E1438" s="16" t="s">
        <v>4805</v>
      </c>
      <c r="F1438" s="16" t="s">
        <v>4806</v>
      </c>
      <c r="G1438" s="16" t="s">
        <v>4606</v>
      </c>
      <c r="H1438" s="16" t="s">
        <v>4607</v>
      </c>
      <c r="I1438" s="16" t="s">
        <v>198</v>
      </c>
      <c r="J1438" s="16" t="s">
        <v>199</v>
      </c>
      <c r="K1438" s="16">
        <v>2.063653</v>
      </c>
      <c r="L1438" s="36">
        <v>1667</v>
      </c>
      <c r="M1438" s="16">
        <v>381</v>
      </c>
      <c r="N1438" s="16">
        <v>269</v>
      </c>
      <c r="O1438" s="16">
        <v>368</v>
      </c>
      <c r="P1438" s="16">
        <v>427</v>
      </c>
      <c r="Q1438" s="16">
        <v>222</v>
      </c>
      <c r="R1438" s="16" t="s">
        <v>225</v>
      </c>
      <c r="S1438" s="16">
        <v>5.46814</v>
      </c>
      <c r="T1438" s="16">
        <v>2.5852900000000001</v>
      </c>
      <c r="U1438" s="16">
        <v>0.93524233300000004</v>
      </c>
      <c r="V1438" s="16">
        <v>6</v>
      </c>
      <c r="W1438" s="16">
        <v>0.80319099999999999</v>
      </c>
      <c r="X1438" s="16">
        <v>0.132746</v>
      </c>
      <c r="Y1438" s="16">
        <v>0.8</v>
      </c>
      <c r="Z1438" s="16">
        <v>0.30958200000000002</v>
      </c>
      <c r="AA1438" s="37"/>
    </row>
    <row r="1439" spans="1:27">
      <c r="A1439" s="16" t="s">
        <v>129</v>
      </c>
      <c r="B1439" s="16" t="s">
        <v>4810</v>
      </c>
      <c r="C1439" s="16" t="s">
        <v>4811</v>
      </c>
      <c r="D1439" s="16" t="s">
        <v>4812</v>
      </c>
      <c r="E1439" s="16" t="s">
        <v>4813</v>
      </c>
      <c r="F1439" s="16" t="s">
        <v>4814</v>
      </c>
      <c r="G1439" s="16" t="s">
        <v>4606</v>
      </c>
      <c r="H1439" s="16" t="s">
        <v>4607</v>
      </c>
      <c r="I1439" s="16" t="s">
        <v>198</v>
      </c>
      <c r="J1439" s="16" t="s">
        <v>199</v>
      </c>
      <c r="K1439" s="16">
        <v>2.355216</v>
      </c>
      <c r="L1439" s="36">
        <v>1884</v>
      </c>
      <c r="M1439" s="16">
        <v>437</v>
      </c>
      <c r="N1439" s="16">
        <v>345</v>
      </c>
      <c r="O1439" s="16">
        <v>417</v>
      </c>
      <c r="P1439" s="16">
        <v>440</v>
      </c>
      <c r="Q1439" s="16">
        <v>245</v>
      </c>
      <c r="R1439" s="16">
        <v>2</v>
      </c>
      <c r="S1439" s="16">
        <v>6.9655800000000001</v>
      </c>
      <c r="T1439" s="16">
        <v>2.4920599999999999</v>
      </c>
      <c r="U1439" s="16">
        <v>0.95458924899999997</v>
      </c>
      <c r="V1439" s="16">
        <v>4</v>
      </c>
      <c r="W1439" s="16">
        <v>0.81633299999999998</v>
      </c>
      <c r="X1439" s="16">
        <v>0.14549300000000001</v>
      </c>
      <c r="Y1439" s="16">
        <v>0.8</v>
      </c>
      <c r="Z1439" s="16">
        <v>0.60445400000000005</v>
      </c>
      <c r="AA1439" s="37"/>
    </row>
    <row r="1440" spans="1:27">
      <c r="A1440" s="16" t="s">
        <v>129</v>
      </c>
      <c r="B1440" s="16" t="s">
        <v>4815</v>
      </c>
      <c r="C1440" s="16" t="s">
        <v>4816</v>
      </c>
      <c r="D1440" s="16" t="s">
        <v>4817</v>
      </c>
      <c r="E1440" s="16" t="s">
        <v>4813</v>
      </c>
      <c r="F1440" s="16" t="s">
        <v>4814</v>
      </c>
      <c r="G1440" s="16" t="s">
        <v>4606</v>
      </c>
      <c r="H1440" s="16" t="s">
        <v>4607</v>
      </c>
      <c r="I1440" s="16" t="s">
        <v>198</v>
      </c>
      <c r="J1440" s="16" t="s">
        <v>199</v>
      </c>
      <c r="K1440" s="16">
        <v>2.1396760000000001</v>
      </c>
      <c r="L1440" s="36">
        <v>2296</v>
      </c>
      <c r="M1440" s="16">
        <v>598</v>
      </c>
      <c r="N1440" s="16">
        <v>420</v>
      </c>
      <c r="O1440" s="16">
        <v>545</v>
      </c>
      <c r="P1440" s="16">
        <v>476</v>
      </c>
      <c r="Q1440" s="16">
        <v>257</v>
      </c>
      <c r="R1440" s="16">
        <v>2</v>
      </c>
      <c r="S1440" s="16">
        <v>6.1863799999999998</v>
      </c>
      <c r="T1440" s="16">
        <v>4.0732400000000002</v>
      </c>
      <c r="U1440" s="16">
        <v>1.05092735</v>
      </c>
      <c r="V1440" s="16">
        <v>4</v>
      </c>
      <c r="W1440" s="16">
        <v>0.81003000000000003</v>
      </c>
      <c r="X1440" s="16">
        <v>0.14505199999999999</v>
      </c>
      <c r="Y1440" s="16">
        <v>0.8</v>
      </c>
      <c r="Z1440" s="16">
        <v>0.38592399999999999</v>
      </c>
      <c r="AA1440" s="37"/>
    </row>
    <row r="1441" spans="1:27">
      <c r="A1441" s="16" t="s">
        <v>129</v>
      </c>
      <c r="B1441" s="16" t="s">
        <v>4818</v>
      </c>
      <c r="C1441" s="16" t="s">
        <v>4819</v>
      </c>
      <c r="D1441" s="16" t="s">
        <v>4820</v>
      </c>
      <c r="E1441" s="16" t="s">
        <v>4813</v>
      </c>
      <c r="F1441" s="16" t="s">
        <v>4814</v>
      </c>
      <c r="G1441" s="16" t="s">
        <v>4606</v>
      </c>
      <c r="H1441" s="16" t="s">
        <v>4607</v>
      </c>
      <c r="I1441" s="16" t="s">
        <v>198</v>
      </c>
      <c r="J1441" s="16" t="s">
        <v>199</v>
      </c>
      <c r="K1441" s="16">
        <v>2.211319</v>
      </c>
      <c r="L1441" s="36">
        <v>2559</v>
      </c>
      <c r="M1441" s="16">
        <v>650</v>
      </c>
      <c r="N1441" s="16">
        <v>450</v>
      </c>
      <c r="O1441" s="16">
        <v>651</v>
      </c>
      <c r="P1441" s="16">
        <v>564</v>
      </c>
      <c r="Q1441" s="16">
        <v>244</v>
      </c>
      <c r="R1441" s="16" t="s">
        <v>214</v>
      </c>
      <c r="S1441" s="16">
        <v>6.7254199999999997</v>
      </c>
      <c r="T1441" s="16">
        <v>0</v>
      </c>
      <c r="U1441" s="16">
        <v>1.0147442090000001</v>
      </c>
      <c r="V1441" s="16">
        <v>4</v>
      </c>
      <c r="W1441" s="16">
        <v>0.80770699999999995</v>
      </c>
      <c r="X1441" s="16">
        <v>0.15193100000000001</v>
      </c>
      <c r="Y1441" s="16">
        <v>0.8</v>
      </c>
      <c r="Z1441" s="16">
        <v>0.45156099999999999</v>
      </c>
      <c r="AA1441" s="37"/>
    </row>
    <row r="1442" spans="1:27">
      <c r="A1442" s="16" t="s">
        <v>129</v>
      </c>
      <c r="B1442" s="16" t="s">
        <v>4821</v>
      </c>
      <c r="C1442" s="16" t="s">
        <v>4822</v>
      </c>
      <c r="D1442" s="16" t="s">
        <v>4823</v>
      </c>
      <c r="E1442" s="16" t="s">
        <v>4824</v>
      </c>
      <c r="F1442" s="16" t="s">
        <v>4825</v>
      </c>
      <c r="G1442" s="16" t="s">
        <v>4606</v>
      </c>
      <c r="H1442" s="16" t="s">
        <v>4607</v>
      </c>
      <c r="I1442" s="16" t="s">
        <v>198</v>
      </c>
      <c r="J1442" s="16" t="s">
        <v>199</v>
      </c>
      <c r="K1442" s="16">
        <v>2.5119669999999998</v>
      </c>
      <c r="L1442" s="36">
        <v>1814</v>
      </c>
      <c r="M1442" s="16">
        <v>374</v>
      </c>
      <c r="N1442" s="16">
        <v>387</v>
      </c>
      <c r="O1442" s="16">
        <v>406</v>
      </c>
      <c r="P1442" s="16">
        <v>449</v>
      </c>
      <c r="Q1442" s="16">
        <v>198</v>
      </c>
      <c r="R1442" s="16">
        <v>2</v>
      </c>
      <c r="S1442" s="16">
        <v>10.7712</v>
      </c>
      <c r="T1442" s="16">
        <v>2.3398400000000001</v>
      </c>
      <c r="U1442" s="16">
        <v>0.92752830600000002</v>
      </c>
      <c r="V1442" s="16">
        <v>3</v>
      </c>
      <c r="W1442" s="16">
        <v>0.868197</v>
      </c>
      <c r="X1442" s="16">
        <v>0.363458</v>
      </c>
      <c r="Y1442" s="16">
        <v>0.9</v>
      </c>
      <c r="Z1442" s="16">
        <v>0.37808900000000001</v>
      </c>
      <c r="AA1442" s="37"/>
    </row>
    <row r="1443" spans="1:27">
      <c r="A1443" s="16" t="s">
        <v>129</v>
      </c>
      <c r="B1443" s="16" t="s">
        <v>4826</v>
      </c>
      <c r="C1443" s="16" t="s">
        <v>4827</v>
      </c>
      <c r="D1443" s="16" t="s">
        <v>4828</v>
      </c>
      <c r="E1443" s="16" t="s">
        <v>4824</v>
      </c>
      <c r="F1443" s="16" t="s">
        <v>4825</v>
      </c>
      <c r="G1443" s="16" t="s">
        <v>4606</v>
      </c>
      <c r="H1443" s="16" t="s">
        <v>4607</v>
      </c>
      <c r="I1443" s="16" t="s">
        <v>198</v>
      </c>
      <c r="J1443" s="16" t="s">
        <v>199</v>
      </c>
      <c r="K1443" s="16">
        <v>2.5093019999999999</v>
      </c>
      <c r="L1443" s="36">
        <v>1878</v>
      </c>
      <c r="M1443" s="16">
        <v>340</v>
      </c>
      <c r="N1443" s="16">
        <v>343</v>
      </c>
      <c r="O1443" s="16">
        <v>492</v>
      </c>
      <c r="P1443" s="16">
        <v>434</v>
      </c>
      <c r="Q1443" s="16">
        <v>269</v>
      </c>
      <c r="R1443" s="16" t="s">
        <v>225</v>
      </c>
      <c r="S1443" s="16">
        <v>7.9195900000000004</v>
      </c>
      <c r="T1443" s="16">
        <v>0</v>
      </c>
      <c r="U1443" s="16">
        <v>0.72662994299999994</v>
      </c>
      <c r="V1443" s="16">
        <v>6</v>
      </c>
      <c r="W1443" s="16">
        <v>0.81610700000000003</v>
      </c>
      <c r="X1443" s="16">
        <v>0.22089</v>
      </c>
      <c r="Y1443" s="16">
        <v>0.86629599999999995</v>
      </c>
      <c r="Z1443" s="16">
        <v>0.59011199999999997</v>
      </c>
      <c r="AA1443" s="37"/>
    </row>
    <row r="1444" spans="1:27">
      <c r="A1444" s="16" t="s">
        <v>129</v>
      </c>
      <c r="B1444" s="16" t="s">
        <v>4829</v>
      </c>
      <c r="C1444" s="16" t="s">
        <v>4830</v>
      </c>
      <c r="D1444" s="16" t="s">
        <v>4831</v>
      </c>
      <c r="E1444" s="16" t="s">
        <v>4699</v>
      </c>
      <c r="F1444" s="16" t="s">
        <v>4700</v>
      </c>
      <c r="G1444" s="16" t="s">
        <v>4606</v>
      </c>
      <c r="H1444" s="16" t="s">
        <v>4607</v>
      </c>
      <c r="I1444" s="16" t="s">
        <v>198</v>
      </c>
      <c r="J1444" s="16" t="s">
        <v>199</v>
      </c>
      <c r="K1444" s="16">
        <v>2.2533979999999998</v>
      </c>
      <c r="L1444" s="36">
        <v>1866</v>
      </c>
      <c r="M1444" s="16">
        <v>511</v>
      </c>
      <c r="N1444" s="16">
        <v>317</v>
      </c>
      <c r="O1444" s="16">
        <v>405</v>
      </c>
      <c r="P1444" s="16">
        <v>471</v>
      </c>
      <c r="Q1444" s="16">
        <v>162</v>
      </c>
      <c r="R1444" s="16" t="s">
        <v>214</v>
      </c>
      <c r="S1444" s="16">
        <v>4.4831399999999997</v>
      </c>
      <c r="T1444" s="16">
        <v>0</v>
      </c>
      <c r="U1444" s="16">
        <v>1.280250769</v>
      </c>
      <c r="V1444" s="16">
        <v>2</v>
      </c>
      <c r="W1444" s="16">
        <v>0.81577699999999997</v>
      </c>
      <c r="X1444" s="16">
        <v>8.2126000000000005E-2</v>
      </c>
      <c r="Y1444" s="16">
        <v>0.9</v>
      </c>
      <c r="Z1444" s="16">
        <v>0.46513300000000002</v>
      </c>
      <c r="AA1444" s="37"/>
    </row>
    <row r="1445" spans="1:27">
      <c r="A1445" s="16" t="s">
        <v>129</v>
      </c>
      <c r="B1445" s="16" t="s">
        <v>4832</v>
      </c>
      <c r="C1445" s="16" t="s">
        <v>4833</v>
      </c>
      <c r="D1445" s="16" t="s">
        <v>4834</v>
      </c>
      <c r="E1445" s="16" t="s">
        <v>4824</v>
      </c>
      <c r="F1445" s="16" t="s">
        <v>4825</v>
      </c>
      <c r="G1445" s="16" t="s">
        <v>4606</v>
      </c>
      <c r="H1445" s="16" t="s">
        <v>4607</v>
      </c>
      <c r="I1445" s="16" t="s">
        <v>198</v>
      </c>
      <c r="J1445" s="16" t="s">
        <v>199</v>
      </c>
      <c r="K1445" s="16">
        <v>2.3448549999999999</v>
      </c>
      <c r="L1445" s="36">
        <v>2367</v>
      </c>
      <c r="M1445" s="16">
        <v>665</v>
      </c>
      <c r="N1445" s="16">
        <v>403</v>
      </c>
      <c r="O1445" s="16">
        <v>597</v>
      </c>
      <c r="P1445" s="16">
        <v>499</v>
      </c>
      <c r="Q1445" s="16">
        <v>203</v>
      </c>
      <c r="R1445" s="16" t="s">
        <v>225</v>
      </c>
      <c r="S1445" s="16">
        <v>10.9436</v>
      </c>
      <c r="T1445" s="16">
        <v>0</v>
      </c>
      <c r="U1445" s="16">
        <v>0.94551098899999997</v>
      </c>
      <c r="V1445" s="16">
        <v>4</v>
      </c>
      <c r="W1445" s="16">
        <v>0.813415</v>
      </c>
      <c r="X1445" s="16">
        <v>0.150475</v>
      </c>
      <c r="Y1445" s="16">
        <v>0.85866900000000002</v>
      </c>
      <c r="Z1445" s="16">
        <v>0.52612199999999998</v>
      </c>
      <c r="AA1445" s="37"/>
    </row>
    <row r="1446" spans="1:27">
      <c r="A1446" s="16" t="s">
        <v>129</v>
      </c>
      <c r="B1446" s="16" t="s">
        <v>4835</v>
      </c>
      <c r="C1446" s="16" t="s">
        <v>4836</v>
      </c>
      <c r="D1446" s="16" t="s">
        <v>4837</v>
      </c>
      <c r="E1446" s="16" t="s">
        <v>4805</v>
      </c>
      <c r="F1446" s="16" t="s">
        <v>4806</v>
      </c>
      <c r="G1446" s="16" t="s">
        <v>4606</v>
      </c>
      <c r="H1446" s="16" t="s">
        <v>4607</v>
      </c>
      <c r="I1446" s="16" t="s">
        <v>198</v>
      </c>
      <c r="J1446" s="16" t="s">
        <v>199</v>
      </c>
      <c r="K1446" s="16">
        <v>2.4728680000000001</v>
      </c>
      <c r="L1446" s="36">
        <v>2171</v>
      </c>
      <c r="M1446" s="16">
        <v>488</v>
      </c>
      <c r="N1446" s="16">
        <v>365</v>
      </c>
      <c r="O1446" s="16">
        <v>518</v>
      </c>
      <c r="P1446" s="16">
        <v>496</v>
      </c>
      <c r="Q1446" s="16">
        <v>304</v>
      </c>
      <c r="R1446" s="16">
        <v>2</v>
      </c>
      <c r="S1446" s="16">
        <v>21.266100000000002</v>
      </c>
      <c r="T1446" s="16">
        <v>0</v>
      </c>
      <c r="U1446" s="16">
        <v>0.80421844799999997</v>
      </c>
      <c r="V1446" s="16">
        <v>4</v>
      </c>
      <c r="W1446" s="16">
        <v>0.81474500000000005</v>
      </c>
      <c r="X1446" s="16">
        <v>0.217833</v>
      </c>
      <c r="Y1446" s="16">
        <v>0.80256400000000006</v>
      </c>
      <c r="Z1446" s="16">
        <v>0.64231700000000003</v>
      </c>
      <c r="AA1446" s="37"/>
    </row>
    <row r="1447" spans="1:27">
      <c r="A1447" s="16"/>
      <c r="B1447" s="16"/>
      <c r="C1447" s="16"/>
      <c r="D1447" s="16"/>
      <c r="E1447" s="16"/>
      <c r="F1447" s="16"/>
      <c r="G1447" s="16"/>
      <c r="H1447" s="16"/>
      <c r="I1447" s="16"/>
      <c r="J1447" s="16"/>
      <c r="K1447" s="16">
        <f>MEDIAN(K1435:K1446)</f>
        <v>2.3500354999999997</v>
      </c>
      <c r="L1447" s="36">
        <f>AVERAGE(L1435:L1446)</f>
        <v>2070</v>
      </c>
      <c r="M1447" s="16">
        <f t="shared" ref="M1447:Q1447" si="124">SUM(M1435:M1446)</f>
        <v>5672</v>
      </c>
      <c r="N1447" s="16">
        <f t="shared" si="124"/>
        <v>4348</v>
      </c>
      <c r="O1447" s="16">
        <f t="shared" si="124"/>
        <v>6178</v>
      </c>
      <c r="P1447" s="16">
        <f t="shared" si="124"/>
        <v>5811</v>
      </c>
      <c r="Q1447" s="16">
        <f t="shared" si="124"/>
        <v>2831</v>
      </c>
      <c r="R1447" s="16"/>
      <c r="S1447" s="16">
        <f t="shared" ref="S1447:U1447" si="125">MIN(S1435:S1446)</f>
        <v>4.4831399999999997</v>
      </c>
      <c r="T1447" s="16">
        <f t="shared" si="125"/>
        <v>0</v>
      </c>
      <c r="U1447" s="16">
        <f t="shared" si="125"/>
        <v>0.63467351900000002</v>
      </c>
      <c r="V1447" s="16">
        <f>MEDIAN(V1435:V1446)</f>
        <v>4</v>
      </c>
      <c r="W1447" s="16"/>
      <c r="X1447" s="16"/>
      <c r="Y1447" s="16"/>
      <c r="Z1447" s="16"/>
      <c r="AA1447" s="37"/>
    </row>
    <row r="1448" spans="1:27">
      <c r="A1448" s="16" t="s">
        <v>130</v>
      </c>
      <c r="B1448" s="16" t="s">
        <v>4835</v>
      </c>
      <c r="C1448" s="16" t="s">
        <v>4836</v>
      </c>
      <c r="D1448" s="16" t="s">
        <v>4837</v>
      </c>
      <c r="E1448" s="16" t="s">
        <v>4805</v>
      </c>
      <c r="F1448" s="16" t="s">
        <v>4806</v>
      </c>
      <c r="G1448" s="16" t="s">
        <v>4606</v>
      </c>
      <c r="H1448" s="16" t="s">
        <v>4607</v>
      </c>
      <c r="I1448" s="16" t="s">
        <v>198</v>
      </c>
      <c r="J1448" s="16" t="s">
        <v>199</v>
      </c>
      <c r="K1448" s="16">
        <v>2.4728680000000001</v>
      </c>
      <c r="L1448" s="36">
        <v>2171</v>
      </c>
      <c r="M1448" s="16">
        <v>488</v>
      </c>
      <c r="N1448" s="16">
        <v>365</v>
      </c>
      <c r="O1448" s="16">
        <v>518</v>
      </c>
      <c r="P1448" s="16">
        <v>496</v>
      </c>
      <c r="Q1448" s="16">
        <v>304</v>
      </c>
      <c r="R1448" s="16">
        <v>2</v>
      </c>
      <c r="S1448" s="16">
        <v>21.266100000000002</v>
      </c>
      <c r="T1448" s="16">
        <v>0</v>
      </c>
      <c r="U1448" s="16">
        <v>0.80421844799999997</v>
      </c>
      <c r="V1448" s="16">
        <v>4</v>
      </c>
      <c r="W1448" s="16">
        <v>0.81474500000000005</v>
      </c>
      <c r="X1448" s="16">
        <v>0.217833</v>
      </c>
      <c r="Y1448" s="16">
        <v>0.80256400000000006</v>
      </c>
      <c r="Z1448" s="16">
        <v>0.64231700000000003</v>
      </c>
      <c r="AA1448" s="37"/>
    </row>
    <row r="1449" spans="1:27">
      <c r="A1449" s="16" t="s">
        <v>130</v>
      </c>
      <c r="B1449" s="16" t="s">
        <v>4838</v>
      </c>
      <c r="C1449" s="16" t="s">
        <v>4839</v>
      </c>
      <c r="D1449" s="16" t="s">
        <v>4840</v>
      </c>
      <c r="E1449" s="16" t="s">
        <v>4841</v>
      </c>
      <c r="F1449" s="16" t="s">
        <v>4842</v>
      </c>
      <c r="G1449" s="16" t="s">
        <v>4606</v>
      </c>
      <c r="H1449" s="16" t="s">
        <v>4607</v>
      </c>
      <c r="I1449" s="16" t="s">
        <v>198</v>
      </c>
      <c r="J1449" s="16" t="s">
        <v>199</v>
      </c>
      <c r="K1449" s="16">
        <v>2.1938</v>
      </c>
      <c r="L1449" s="36">
        <v>2179</v>
      </c>
      <c r="M1449" s="16">
        <v>400</v>
      </c>
      <c r="N1449" s="16">
        <v>360</v>
      </c>
      <c r="O1449" s="16">
        <v>500</v>
      </c>
      <c r="P1449" s="16">
        <v>548</v>
      </c>
      <c r="Q1449" s="16">
        <v>371</v>
      </c>
      <c r="R1449" s="16">
        <v>3</v>
      </c>
      <c r="S1449" s="16">
        <v>20.970600000000001</v>
      </c>
      <c r="T1449" s="16">
        <v>2.0643899999999999</v>
      </c>
      <c r="U1449" s="16">
        <v>0.96425617399999997</v>
      </c>
      <c r="V1449" s="16">
        <v>4</v>
      </c>
      <c r="W1449" s="16">
        <v>0.81621600000000005</v>
      </c>
      <c r="X1449" s="16">
        <v>0.17404500000000001</v>
      </c>
      <c r="Y1449" s="16">
        <v>0.8</v>
      </c>
      <c r="Z1449" s="16">
        <v>0.39809099999999997</v>
      </c>
      <c r="AA1449" s="37"/>
    </row>
    <row r="1450" spans="1:27">
      <c r="A1450" s="16" t="s">
        <v>130</v>
      </c>
      <c r="B1450" s="16" t="s">
        <v>4843</v>
      </c>
      <c r="C1450" s="16" t="s">
        <v>4844</v>
      </c>
      <c r="D1450" s="16" t="s">
        <v>4845</v>
      </c>
      <c r="E1450" s="16" t="s">
        <v>4841</v>
      </c>
      <c r="F1450" s="16" t="s">
        <v>4842</v>
      </c>
      <c r="G1450" s="16" t="s">
        <v>4606</v>
      </c>
      <c r="H1450" s="16" t="s">
        <v>4607</v>
      </c>
      <c r="I1450" s="16" t="s">
        <v>198</v>
      </c>
      <c r="J1450" s="16" t="s">
        <v>199</v>
      </c>
      <c r="K1450" s="16">
        <v>2.099364</v>
      </c>
      <c r="L1450" s="36">
        <v>2070</v>
      </c>
      <c r="M1450" s="16">
        <v>487</v>
      </c>
      <c r="N1450" s="16">
        <v>358</v>
      </c>
      <c r="O1450" s="16">
        <v>456</v>
      </c>
      <c r="P1450" s="16">
        <v>482</v>
      </c>
      <c r="Q1450" s="16">
        <v>287</v>
      </c>
      <c r="R1450" s="16">
        <v>3</v>
      </c>
      <c r="S1450" s="16">
        <v>20.317299999999999</v>
      </c>
      <c r="T1450" s="16">
        <v>2.1199400000000002</v>
      </c>
      <c r="U1450" s="16">
        <v>1.0301224630000001</v>
      </c>
      <c r="V1450" s="16">
        <v>4</v>
      </c>
      <c r="W1450" s="16">
        <v>0.81806599999999996</v>
      </c>
      <c r="X1450" s="16">
        <v>0.17766499999999999</v>
      </c>
      <c r="Y1450" s="16">
        <v>0.8</v>
      </c>
      <c r="Z1450" s="16">
        <v>0.30898700000000001</v>
      </c>
      <c r="AA1450" s="37"/>
    </row>
    <row r="1451" spans="1:27">
      <c r="A1451" s="16" t="s">
        <v>130</v>
      </c>
      <c r="B1451" s="16" t="s">
        <v>4846</v>
      </c>
      <c r="C1451" s="16" t="s">
        <v>4847</v>
      </c>
      <c r="D1451" s="16" t="s">
        <v>4848</v>
      </c>
      <c r="E1451" s="16" t="s">
        <v>4805</v>
      </c>
      <c r="F1451" s="16" t="s">
        <v>4806</v>
      </c>
      <c r="G1451" s="16" t="s">
        <v>4606</v>
      </c>
      <c r="H1451" s="16" t="s">
        <v>4607</v>
      </c>
      <c r="I1451" s="16" t="s">
        <v>198</v>
      </c>
      <c r="J1451" s="16" t="s">
        <v>199</v>
      </c>
      <c r="K1451" s="16">
        <v>2.1568860000000001</v>
      </c>
      <c r="L1451" s="36">
        <v>2047</v>
      </c>
      <c r="M1451" s="16">
        <v>415</v>
      </c>
      <c r="N1451" s="16">
        <v>405</v>
      </c>
      <c r="O1451" s="16">
        <v>414</v>
      </c>
      <c r="P1451" s="16">
        <v>571</v>
      </c>
      <c r="Q1451" s="16">
        <v>242</v>
      </c>
      <c r="R1451" s="16">
        <v>2</v>
      </c>
      <c r="S1451" s="16">
        <v>14.7934</v>
      </c>
      <c r="T1451" s="16">
        <v>2.0070100000000002</v>
      </c>
      <c r="U1451" s="16">
        <v>1.0641945719999999</v>
      </c>
      <c r="V1451" s="16">
        <v>3</v>
      </c>
      <c r="W1451" s="16">
        <v>0.81274100000000005</v>
      </c>
      <c r="X1451" s="16">
        <v>0.16117500000000001</v>
      </c>
      <c r="Y1451" s="16">
        <v>0.8</v>
      </c>
      <c r="Z1451" s="16">
        <v>0.39162400000000003</v>
      </c>
      <c r="AA1451" s="37"/>
    </row>
    <row r="1452" spans="1:27">
      <c r="A1452" s="16" t="s">
        <v>130</v>
      </c>
      <c r="B1452" s="16" t="s">
        <v>4608</v>
      </c>
      <c r="C1452" s="16" t="s">
        <v>4609</v>
      </c>
      <c r="D1452" s="16" t="s">
        <v>4610</v>
      </c>
      <c r="E1452" s="16" t="s">
        <v>4604</v>
      </c>
      <c r="F1452" s="16" t="s">
        <v>4605</v>
      </c>
      <c r="G1452" s="16" t="s">
        <v>4606</v>
      </c>
      <c r="H1452" s="16" t="s">
        <v>4607</v>
      </c>
      <c r="I1452" s="16" t="s">
        <v>198</v>
      </c>
      <c r="J1452" s="16" t="s">
        <v>199</v>
      </c>
      <c r="K1452" s="16">
        <v>2.313428</v>
      </c>
      <c r="L1452" s="36">
        <v>2060</v>
      </c>
      <c r="M1452" s="16">
        <v>531</v>
      </c>
      <c r="N1452" s="16">
        <v>341</v>
      </c>
      <c r="O1452" s="16">
        <v>493</v>
      </c>
      <c r="P1452" s="16">
        <v>428</v>
      </c>
      <c r="Q1452" s="16">
        <v>267</v>
      </c>
      <c r="R1452" s="16">
        <v>2</v>
      </c>
      <c r="S1452" s="16">
        <v>8.1800700000000006</v>
      </c>
      <c r="T1452" s="16">
        <v>2.0083899999999999</v>
      </c>
      <c r="U1452" s="16">
        <v>1.038330813</v>
      </c>
      <c r="V1452" s="16">
        <v>3</v>
      </c>
      <c r="W1452" s="16">
        <v>0.837009</v>
      </c>
      <c r="X1452" s="16">
        <v>0.31179000000000001</v>
      </c>
      <c r="Y1452" s="16">
        <v>0.8</v>
      </c>
      <c r="Z1452" s="16">
        <v>0.35803299999999999</v>
      </c>
      <c r="AA1452" s="37"/>
    </row>
    <row r="1453" spans="1:27">
      <c r="A1453" s="16" t="s">
        <v>130</v>
      </c>
      <c r="B1453" s="16" t="s">
        <v>4849</v>
      </c>
      <c r="C1453" s="16" t="s">
        <v>4850</v>
      </c>
      <c r="D1453" s="16" t="s">
        <v>4851</v>
      </c>
      <c r="E1453" s="16" t="s">
        <v>4604</v>
      </c>
      <c r="F1453" s="16" t="s">
        <v>4605</v>
      </c>
      <c r="G1453" s="16" t="s">
        <v>4606</v>
      </c>
      <c r="H1453" s="16" t="s">
        <v>4607</v>
      </c>
      <c r="I1453" s="16" t="s">
        <v>198</v>
      </c>
      <c r="J1453" s="16" t="s">
        <v>199</v>
      </c>
      <c r="K1453" s="16">
        <v>2.1494970000000002</v>
      </c>
      <c r="L1453" s="36">
        <v>1713</v>
      </c>
      <c r="M1453" s="16">
        <v>396</v>
      </c>
      <c r="N1453" s="16">
        <v>280</v>
      </c>
      <c r="O1453" s="16">
        <v>361</v>
      </c>
      <c r="P1453" s="16">
        <v>451</v>
      </c>
      <c r="Q1453" s="16">
        <v>225</v>
      </c>
      <c r="R1453" s="16" t="s">
        <v>225</v>
      </c>
      <c r="S1453" s="16">
        <v>8.4709699999999994</v>
      </c>
      <c r="T1453" s="16">
        <v>0</v>
      </c>
      <c r="U1453" s="16">
        <v>1.2516458779999999</v>
      </c>
      <c r="V1453" s="16">
        <v>2</v>
      </c>
      <c r="W1453" s="16">
        <v>0.81728199999999995</v>
      </c>
      <c r="X1453" s="16">
        <v>0.217114</v>
      </c>
      <c r="Y1453" s="16">
        <v>0.8</v>
      </c>
      <c r="Z1453" s="16">
        <v>0.30726399999999998</v>
      </c>
      <c r="AA1453" s="37"/>
    </row>
    <row r="1454" spans="1:27">
      <c r="A1454" s="16" t="s">
        <v>130</v>
      </c>
      <c r="B1454" s="16" t="s">
        <v>4852</v>
      </c>
      <c r="C1454" s="16" t="s">
        <v>4853</v>
      </c>
      <c r="D1454" s="16" t="s">
        <v>4854</v>
      </c>
      <c r="E1454" s="16" t="s">
        <v>4604</v>
      </c>
      <c r="F1454" s="16" t="s">
        <v>4605</v>
      </c>
      <c r="G1454" s="16" t="s">
        <v>4606</v>
      </c>
      <c r="H1454" s="16" t="s">
        <v>4607</v>
      </c>
      <c r="I1454" s="16" t="s">
        <v>198</v>
      </c>
      <c r="J1454" s="16" t="s">
        <v>199</v>
      </c>
      <c r="K1454" s="16">
        <v>2.0904370000000001</v>
      </c>
      <c r="L1454" s="36">
        <v>2097</v>
      </c>
      <c r="M1454" s="16">
        <v>518</v>
      </c>
      <c r="N1454" s="16">
        <v>360</v>
      </c>
      <c r="O1454" s="16">
        <v>550</v>
      </c>
      <c r="P1454" s="16">
        <v>464</v>
      </c>
      <c r="Q1454" s="16">
        <v>205</v>
      </c>
      <c r="R1454" s="16">
        <v>2</v>
      </c>
      <c r="S1454" s="16">
        <v>9.5202500000000008</v>
      </c>
      <c r="T1454" s="16">
        <v>2.1456300000000001</v>
      </c>
      <c r="U1454" s="16">
        <v>0.98576273699999994</v>
      </c>
      <c r="V1454" s="16">
        <v>5</v>
      </c>
      <c r="W1454" s="16">
        <v>0.82461899999999999</v>
      </c>
      <c r="X1454" s="16">
        <v>0.15354999999999999</v>
      </c>
      <c r="Y1454" s="16">
        <v>0.8</v>
      </c>
      <c r="Z1454" s="16">
        <v>0.32935199999999998</v>
      </c>
      <c r="AA1454" s="37"/>
    </row>
    <row r="1455" spans="1:27">
      <c r="A1455" s="16" t="s">
        <v>130</v>
      </c>
      <c r="B1455" s="16" t="s">
        <v>4855</v>
      </c>
      <c r="C1455" s="16" t="s">
        <v>4856</v>
      </c>
      <c r="D1455" s="16" t="s">
        <v>4857</v>
      </c>
      <c r="E1455" s="16" t="s">
        <v>4858</v>
      </c>
      <c r="F1455" s="16" t="s">
        <v>4859</v>
      </c>
      <c r="G1455" s="16" t="s">
        <v>4606</v>
      </c>
      <c r="H1455" s="16" t="s">
        <v>4607</v>
      </c>
      <c r="I1455" s="16" t="s">
        <v>198</v>
      </c>
      <c r="J1455" s="16" t="s">
        <v>199</v>
      </c>
      <c r="K1455" s="16">
        <v>2.2530950000000001</v>
      </c>
      <c r="L1455" s="36">
        <v>1923</v>
      </c>
      <c r="M1455" s="16">
        <v>497</v>
      </c>
      <c r="N1455" s="16">
        <v>313</v>
      </c>
      <c r="O1455" s="16">
        <v>438</v>
      </c>
      <c r="P1455" s="16">
        <v>444</v>
      </c>
      <c r="Q1455" s="16">
        <v>231</v>
      </c>
      <c r="R1455" s="16">
        <v>2</v>
      </c>
      <c r="S1455" s="16">
        <v>8.9309899999999995</v>
      </c>
      <c r="T1455" s="16">
        <v>2.0359699999999998</v>
      </c>
      <c r="U1455" s="16">
        <v>1.1181428440000001</v>
      </c>
      <c r="V1455" s="16">
        <v>3</v>
      </c>
      <c r="W1455" s="16">
        <v>0.83423599999999998</v>
      </c>
      <c r="X1455" s="16">
        <v>0.34324300000000002</v>
      </c>
      <c r="Y1455" s="16">
        <v>0.8</v>
      </c>
      <c r="Z1455" s="16">
        <v>0.30019200000000001</v>
      </c>
      <c r="AA1455" s="37"/>
    </row>
    <row r="1456" spans="1:27">
      <c r="A1456" s="16" t="s">
        <v>130</v>
      </c>
      <c r="B1456" s="16" t="s">
        <v>4860</v>
      </c>
      <c r="C1456" s="16" t="s">
        <v>4861</v>
      </c>
      <c r="D1456" s="16" t="s">
        <v>4862</v>
      </c>
      <c r="E1456" s="16" t="s">
        <v>4858</v>
      </c>
      <c r="F1456" s="16" t="s">
        <v>4859</v>
      </c>
      <c r="G1456" s="16" t="s">
        <v>4606</v>
      </c>
      <c r="H1456" s="16" t="s">
        <v>4607</v>
      </c>
      <c r="I1456" s="16" t="s">
        <v>198</v>
      </c>
      <c r="J1456" s="16" t="s">
        <v>199</v>
      </c>
      <c r="K1456" s="16">
        <v>1.949759</v>
      </c>
      <c r="L1456" s="36">
        <v>1844</v>
      </c>
      <c r="M1456" s="16">
        <v>380</v>
      </c>
      <c r="N1456" s="16">
        <v>299</v>
      </c>
      <c r="O1456" s="16">
        <v>428</v>
      </c>
      <c r="P1456" s="16">
        <v>458</v>
      </c>
      <c r="Q1456" s="16">
        <v>279</v>
      </c>
      <c r="R1456" s="16">
        <v>2</v>
      </c>
      <c r="S1456" s="16">
        <v>7.6673299999999998</v>
      </c>
      <c r="T1456" s="16">
        <v>3.6401300000000001</v>
      </c>
      <c r="U1456" s="16">
        <v>0.97121905799999997</v>
      </c>
      <c r="V1456" s="16">
        <v>6</v>
      </c>
      <c r="W1456" s="16">
        <v>0.80885700000000005</v>
      </c>
      <c r="X1456" s="16">
        <v>4.6422999999999999E-2</v>
      </c>
      <c r="Y1456" s="16">
        <v>0.8</v>
      </c>
      <c r="Z1456" s="16">
        <v>0.3</v>
      </c>
      <c r="AA1456" s="37"/>
    </row>
    <row r="1457" spans="1:27">
      <c r="A1457" s="16" t="s">
        <v>130</v>
      </c>
      <c r="B1457" s="16" t="s">
        <v>4863</v>
      </c>
      <c r="C1457" s="16" t="s">
        <v>4864</v>
      </c>
      <c r="D1457" s="16" t="s">
        <v>4865</v>
      </c>
      <c r="E1457" s="16" t="s">
        <v>4858</v>
      </c>
      <c r="F1457" s="16" t="s">
        <v>4859</v>
      </c>
      <c r="G1457" s="16" t="s">
        <v>4606</v>
      </c>
      <c r="H1457" s="16" t="s">
        <v>4607</v>
      </c>
      <c r="I1457" s="16" t="s">
        <v>198</v>
      </c>
      <c r="J1457" s="16" t="s">
        <v>199</v>
      </c>
      <c r="K1457" s="16">
        <v>2.0688170000000001</v>
      </c>
      <c r="L1457" s="36">
        <v>1739</v>
      </c>
      <c r="M1457" s="16">
        <v>449</v>
      </c>
      <c r="N1457" s="16">
        <v>301</v>
      </c>
      <c r="O1457" s="16">
        <v>380</v>
      </c>
      <c r="P1457" s="16">
        <v>388</v>
      </c>
      <c r="Q1457" s="16">
        <v>221</v>
      </c>
      <c r="R1457" s="16" t="s">
        <v>214</v>
      </c>
      <c r="S1457" s="16">
        <v>7.4557000000000002</v>
      </c>
      <c r="T1457" s="16">
        <v>0</v>
      </c>
      <c r="U1457" s="16">
        <v>1.104720457</v>
      </c>
      <c r="V1457" s="16">
        <v>3</v>
      </c>
      <c r="W1457" s="16">
        <v>0.80625199999999997</v>
      </c>
      <c r="X1457" s="16">
        <v>0.146902</v>
      </c>
      <c r="Y1457" s="16">
        <v>0.8</v>
      </c>
      <c r="Z1457" s="16">
        <v>0.31746999999999997</v>
      </c>
      <c r="AA1457" s="37"/>
    </row>
    <row r="1458" spans="1:27">
      <c r="A1458" s="16" t="s">
        <v>130</v>
      </c>
      <c r="B1458" s="16" t="s">
        <v>4866</v>
      </c>
      <c r="C1458" s="16" t="s">
        <v>4867</v>
      </c>
      <c r="D1458" s="16" t="s">
        <v>4868</v>
      </c>
      <c r="E1458" s="16" t="s">
        <v>4841</v>
      </c>
      <c r="F1458" s="16" t="s">
        <v>4842</v>
      </c>
      <c r="G1458" s="16" t="s">
        <v>4606</v>
      </c>
      <c r="H1458" s="16" t="s">
        <v>4607</v>
      </c>
      <c r="I1458" s="16" t="s">
        <v>198</v>
      </c>
      <c r="J1458" s="16" t="s">
        <v>199</v>
      </c>
      <c r="K1458" s="16">
        <v>2.0689690000000001</v>
      </c>
      <c r="L1458" s="36">
        <v>1798</v>
      </c>
      <c r="M1458" s="16">
        <v>418</v>
      </c>
      <c r="N1458" s="16">
        <v>308</v>
      </c>
      <c r="O1458" s="16">
        <v>395</v>
      </c>
      <c r="P1458" s="16">
        <v>441</v>
      </c>
      <c r="Q1458" s="16">
        <v>236</v>
      </c>
      <c r="R1458" s="16" t="s">
        <v>225</v>
      </c>
      <c r="S1458" s="16">
        <v>16.537700000000001</v>
      </c>
      <c r="T1458" s="16">
        <v>0</v>
      </c>
      <c r="U1458" s="16">
        <v>1.0135065969999999</v>
      </c>
      <c r="V1458" s="16">
        <v>5</v>
      </c>
      <c r="W1458" s="16">
        <v>0.80741700000000005</v>
      </c>
      <c r="X1458" s="16">
        <v>0.14476900000000001</v>
      </c>
      <c r="Y1458" s="16">
        <v>0.8</v>
      </c>
      <c r="Z1458" s="16">
        <v>0.321048</v>
      </c>
      <c r="AA1458" s="37"/>
    </row>
    <row r="1459" spans="1:27">
      <c r="A1459" s="16" t="s">
        <v>130</v>
      </c>
      <c r="B1459" s="16" t="s">
        <v>4869</v>
      </c>
      <c r="C1459" s="16" t="s">
        <v>4870</v>
      </c>
      <c r="D1459" s="16" t="s">
        <v>4871</v>
      </c>
      <c r="E1459" s="16" t="s">
        <v>4841</v>
      </c>
      <c r="F1459" s="16" t="s">
        <v>4842</v>
      </c>
      <c r="G1459" s="16" t="s">
        <v>4606</v>
      </c>
      <c r="H1459" s="16" t="s">
        <v>4607</v>
      </c>
      <c r="I1459" s="16" t="s">
        <v>198</v>
      </c>
      <c r="J1459" s="16" t="s">
        <v>199</v>
      </c>
      <c r="K1459" s="16">
        <v>2.1622029999999999</v>
      </c>
      <c r="L1459" s="36">
        <v>1869</v>
      </c>
      <c r="M1459" s="16">
        <v>415</v>
      </c>
      <c r="N1459" s="16">
        <v>302</v>
      </c>
      <c r="O1459" s="16">
        <v>439</v>
      </c>
      <c r="P1459" s="16">
        <v>456</v>
      </c>
      <c r="Q1459" s="16">
        <v>257</v>
      </c>
      <c r="R1459" s="16">
        <v>4</v>
      </c>
      <c r="S1459" s="16">
        <v>20.661899999999999</v>
      </c>
      <c r="T1459" s="16">
        <v>5.5148900000000003</v>
      </c>
      <c r="U1459" s="16">
        <v>1.075119538</v>
      </c>
      <c r="V1459" s="16">
        <v>3</v>
      </c>
      <c r="W1459" s="16">
        <v>0.81479500000000005</v>
      </c>
      <c r="X1459" s="16">
        <v>0.127135</v>
      </c>
      <c r="Y1459" s="16">
        <v>0.8</v>
      </c>
      <c r="Z1459" s="16">
        <v>0.42927900000000002</v>
      </c>
      <c r="AA1459" s="37"/>
    </row>
    <row r="1460" spans="1:27">
      <c r="A1460" s="16" t="s">
        <v>130</v>
      </c>
      <c r="B1460" s="16" t="s">
        <v>4872</v>
      </c>
      <c r="C1460" s="16" t="s">
        <v>4873</v>
      </c>
      <c r="D1460" s="16" t="s">
        <v>4874</v>
      </c>
      <c r="E1460" s="16" t="s">
        <v>4841</v>
      </c>
      <c r="F1460" s="16" t="s">
        <v>4842</v>
      </c>
      <c r="G1460" s="16" t="s">
        <v>4606</v>
      </c>
      <c r="H1460" s="16" t="s">
        <v>4607</v>
      </c>
      <c r="I1460" s="16" t="s">
        <v>198</v>
      </c>
      <c r="J1460" s="16" t="s">
        <v>199</v>
      </c>
      <c r="K1460" s="16">
        <v>2.0865719999999999</v>
      </c>
      <c r="L1460" s="36">
        <v>1784</v>
      </c>
      <c r="M1460" s="16">
        <v>398</v>
      </c>
      <c r="N1460" s="16">
        <v>321</v>
      </c>
      <c r="O1460" s="16">
        <v>367</v>
      </c>
      <c r="P1460" s="16">
        <v>471</v>
      </c>
      <c r="Q1460" s="16">
        <v>227</v>
      </c>
      <c r="R1460" s="16">
        <v>2</v>
      </c>
      <c r="S1460" s="16">
        <v>8.4332499999999992</v>
      </c>
      <c r="T1460" s="16">
        <v>3.7874699999999999</v>
      </c>
      <c r="U1460" s="16">
        <v>0.93884280099999995</v>
      </c>
      <c r="V1460" s="16">
        <v>5</v>
      </c>
      <c r="W1460" s="16">
        <v>0.81437599999999999</v>
      </c>
      <c r="X1460" s="16">
        <v>0.14702999999999999</v>
      </c>
      <c r="Y1460" s="16">
        <v>0.8</v>
      </c>
      <c r="Z1460" s="16">
        <v>0.31558000000000003</v>
      </c>
      <c r="AA1460" s="37"/>
    </row>
    <row r="1461" spans="1:27">
      <c r="A1461" s="16" t="s">
        <v>130</v>
      </c>
      <c r="B1461" s="16" t="s">
        <v>4875</v>
      </c>
      <c r="C1461" s="16" t="s">
        <v>4876</v>
      </c>
      <c r="D1461" s="16" t="s">
        <v>4877</v>
      </c>
      <c r="E1461" s="16" t="s">
        <v>4604</v>
      </c>
      <c r="F1461" s="16" t="s">
        <v>4605</v>
      </c>
      <c r="G1461" s="16" t="s">
        <v>4606</v>
      </c>
      <c r="H1461" s="16" t="s">
        <v>4607</v>
      </c>
      <c r="I1461" s="16" t="s">
        <v>198</v>
      </c>
      <c r="J1461" s="16" t="s">
        <v>199</v>
      </c>
      <c r="K1461" s="16">
        <v>2.0252620000000001</v>
      </c>
      <c r="L1461" s="36">
        <v>1623</v>
      </c>
      <c r="M1461" s="16">
        <v>396</v>
      </c>
      <c r="N1461" s="16">
        <v>300</v>
      </c>
      <c r="O1461" s="16">
        <v>368</v>
      </c>
      <c r="P1461" s="16">
        <v>372</v>
      </c>
      <c r="Q1461" s="16">
        <v>187</v>
      </c>
      <c r="R1461" s="16" t="s">
        <v>225</v>
      </c>
      <c r="S1461" s="16">
        <v>9.0007000000000001</v>
      </c>
      <c r="T1461" s="16">
        <v>0</v>
      </c>
      <c r="U1461" s="16">
        <v>1.319788513</v>
      </c>
      <c r="V1461" s="16">
        <v>2</v>
      </c>
      <c r="W1461" s="16">
        <v>0.80551899999999999</v>
      </c>
      <c r="X1461" s="16">
        <v>9.7434000000000007E-2</v>
      </c>
      <c r="Y1461" s="16">
        <v>0.8</v>
      </c>
      <c r="Z1461" s="16">
        <v>0.31564199999999998</v>
      </c>
      <c r="AA1461" s="37"/>
    </row>
    <row r="1462" spans="1:27">
      <c r="A1462" s="16" t="s">
        <v>130</v>
      </c>
      <c r="B1462" s="16" t="s">
        <v>4878</v>
      </c>
      <c r="C1462" s="16" t="s">
        <v>4879</v>
      </c>
      <c r="D1462" s="16" t="s">
        <v>4880</v>
      </c>
      <c r="E1462" s="16" t="s">
        <v>4858</v>
      </c>
      <c r="F1462" s="16" t="s">
        <v>4859</v>
      </c>
      <c r="G1462" s="16" t="s">
        <v>4606</v>
      </c>
      <c r="H1462" s="16" t="s">
        <v>4607</v>
      </c>
      <c r="I1462" s="16" t="s">
        <v>198</v>
      </c>
      <c r="J1462" s="16" t="s">
        <v>199</v>
      </c>
      <c r="K1462" s="16">
        <v>1.9767729999999999</v>
      </c>
      <c r="L1462" s="36">
        <v>1603</v>
      </c>
      <c r="M1462" s="16">
        <v>345</v>
      </c>
      <c r="N1462" s="16">
        <v>242</v>
      </c>
      <c r="O1462" s="16">
        <v>366</v>
      </c>
      <c r="P1462" s="16">
        <v>388</v>
      </c>
      <c r="Q1462" s="16">
        <v>262</v>
      </c>
      <c r="R1462" s="16" t="s">
        <v>214</v>
      </c>
      <c r="S1462" s="16">
        <v>4.0511600000000003</v>
      </c>
      <c r="T1462" s="16">
        <v>0</v>
      </c>
      <c r="U1462" s="16">
        <v>0.94117462900000004</v>
      </c>
      <c r="V1462" s="16">
        <v>7</v>
      </c>
      <c r="W1462" s="16">
        <v>0.80472699999999997</v>
      </c>
      <c r="X1462" s="16">
        <v>4.9431000000000003E-2</v>
      </c>
      <c r="Y1462" s="16">
        <v>0.8</v>
      </c>
      <c r="Z1462" s="16">
        <v>0.312612</v>
      </c>
      <c r="AA1462" s="37"/>
    </row>
    <row r="1463" spans="1:27">
      <c r="A1463" s="16"/>
      <c r="B1463" s="16"/>
      <c r="C1463" s="16"/>
      <c r="D1463" s="16"/>
      <c r="E1463" s="16"/>
      <c r="F1463" s="16"/>
      <c r="G1463" s="16"/>
      <c r="H1463" s="16"/>
      <c r="I1463" s="16"/>
      <c r="J1463" s="16"/>
      <c r="K1463" s="16">
        <f>MEDIAN(K1448:K1462)</f>
        <v>2.099364</v>
      </c>
      <c r="L1463" s="36">
        <f>AVERAGE(L1448:L1462)</f>
        <v>1901.3333333333333</v>
      </c>
      <c r="M1463" s="16">
        <f t="shared" ref="M1463:Q1463" si="126">SUM(M1448:M1462)</f>
        <v>6533</v>
      </c>
      <c r="N1463" s="16">
        <f t="shared" si="126"/>
        <v>4855</v>
      </c>
      <c r="O1463" s="16">
        <f t="shared" si="126"/>
        <v>6473</v>
      </c>
      <c r="P1463" s="16">
        <f t="shared" si="126"/>
        <v>6858</v>
      </c>
      <c r="Q1463" s="16">
        <f t="shared" si="126"/>
        <v>3801</v>
      </c>
      <c r="R1463" s="16"/>
      <c r="S1463" s="16">
        <f t="shared" ref="S1463:U1463" si="127">MIN(S1448:S1462)</f>
        <v>4.0511600000000003</v>
      </c>
      <c r="T1463" s="16">
        <f t="shared" si="127"/>
        <v>0</v>
      </c>
      <c r="U1463" s="16">
        <f t="shared" si="127"/>
        <v>0.80421844799999997</v>
      </c>
      <c r="V1463" s="16">
        <f>MEDIAN(V1448:V1462)</f>
        <v>4</v>
      </c>
      <c r="W1463" s="16"/>
      <c r="X1463" s="16"/>
      <c r="Y1463" s="16"/>
      <c r="Z1463" s="16"/>
      <c r="AA1463" s="37"/>
    </row>
    <row r="1464" spans="1:27">
      <c r="A1464" s="16" t="s">
        <v>139</v>
      </c>
      <c r="B1464" s="16" t="s">
        <v>4881</v>
      </c>
      <c r="C1464" s="16" t="s">
        <v>4882</v>
      </c>
      <c r="D1464" s="16" t="s">
        <v>4883</v>
      </c>
      <c r="E1464" s="16" t="s">
        <v>4884</v>
      </c>
      <c r="F1464" s="16" t="s">
        <v>4885</v>
      </c>
      <c r="G1464" s="16" t="s">
        <v>4886</v>
      </c>
      <c r="H1464" s="16" t="s">
        <v>4887</v>
      </c>
      <c r="I1464" s="16" t="s">
        <v>198</v>
      </c>
      <c r="J1464" s="16" t="s">
        <v>199</v>
      </c>
      <c r="K1464" s="16">
        <v>1.842778</v>
      </c>
      <c r="L1464" s="36">
        <v>1704</v>
      </c>
      <c r="M1464" s="16">
        <v>431</v>
      </c>
      <c r="N1464" s="16">
        <v>271</v>
      </c>
      <c r="O1464" s="16">
        <v>287</v>
      </c>
      <c r="P1464" s="16">
        <v>455</v>
      </c>
      <c r="Q1464" s="16">
        <v>260</v>
      </c>
      <c r="R1464" s="16" t="s">
        <v>214</v>
      </c>
      <c r="S1464" s="16">
        <v>5.9401400000000004</v>
      </c>
      <c r="T1464" s="16">
        <v>0</v>
      </c>
      <c r="U1464" s="16">
        <v>1.1982292649999999</v>
      </c>
      <c r="V1464" s="16">
        <v>3</v>
      </c>
      <c r="W1464" s="16">
        <v>0.80067299999999997</v>
      </c>
      <c r="X1464" s="16">
        <v>2.2582999999999999E-2</v>
      </c>
      <c r="Y1464" s="16">
        <v>0.9</v>
      </c>
      <c r="Z1464" s="16">
        <v>0.118225</v>
      </c>
      <c r="AA1464" s="37"/>
    </row>
    <row r="1465" spans="1:27">
      <c r="A1465" s="16" t="s">
        <v>139</v>
      </c>
      <c r="B1465" s="16" t="s">
        <v>4888</v>
      </c>
      <c r="C1465" s="16" t="s">
        <v>4889</v>
      </c>
      <c r="D1465" s="16" t="s">
        <v>4890</v>
      </c>
      <c r="E1465" s="16" t="s">
        <v>4891</v>
      </c>
      <c r="F1465" s="16" t="s">
        <v>4892</v>
      </c>
      <c r="G1465" s="16" t="s">
        <v>4886</v>
      </c>
      <c r="H1465" s="16" t="s">
        <v>4887</v>
      </c>
      <c r="I1465" s="16" t="s">
        <v>198</v>
      </c>
      <c r="J1465" s="16" t="s">
        <v>199</v>
      </c>
      <c r="K1465" s="16">
        <v>2.241501</v>
      </c>
      <c r="L1465" s="36">
        <v>1743</v>
      </c>
      <c r="M1465" s="16">
        <v>470</v>
      </c>
      <c r="N1465" s="16">
        <v>265</v>
      </c>
      <c r="O1465" s="16">
        <v>342</v>
      </c>
      <c r="P1465" s="16">
        <v>439</v>
      </c>
      <c r="Q1465" s="16">
        <v>227</v>
      </c>
      <c r="R1465" s="16" t="s">
        <v>214</v>
      </c>
      <c r="S1465" s="16">
        <v>9.2533200000000004</v>
      </c>
      <c r="T1465" s="16">
        <v>0</v>
      </c>
      <c r="U1465" s="16">
        <v>1.0930970310000001</v>
      </c>
      <c r="V1465" s="16">
        <v>3</v>
      </c>
      <c r="W1465" s="16">
        <v>0.82514900000000002</v>
      </c>
      <c r="X1465" s="16">
        <v>0.28721999999999998</v>
      </c>
      <c r="Y1465" s="16">
        <v>0.9</v>
      </c>
      <c r="Z1465" s="16">
        <v>0.23555400000000001</v>
      </c>
      <c r="AA1465" s="37"/>
    </row>
    <row r="1466" spans="1:27">
      <c r="A1466" s="16" t="s">
        <v>139</v>
      </c>
      <c r="B1466" s="16" t="s">
        <v>4893</v>
      </c>
      <c r="C1466" s="16" t="s">
        <v>4894</v>
      </c>
      <c r="D1466" s="16" t="s">
        <v>4895</v>
      </c>
      <c r="E1466" s="16" t="s">
        <v>4884</v>
      </c>
      <c r="F1466" s="16" t="s">
        <v>4885</v>
      </c>
      <c r="G1466" s="16" t="s">
        <v>4886</v>
      </c>
      <c r="H1466" s="16" t="s">
        <v>4887</v>
      </c>
      <c r="I1466" s="16" t="s">
        <v>198</v>
      </c>
      <c r="J1466" s="16" t="s">
        <v>199</v>
      </c>
      <c r="K1466" s="16">
        <v>2.1423220000000001</v>
      </c>
      <c r="L1466" s="36">
        <v>1774</v>
      </c>
      <c r="M1466" s="16">
        <v>433</v>
      </c>
      <c r="N1466" s="16">
        <v>309</v>
      </c>
      <c r="O1466" s="16">
        <v>339</v>
      </c>
      <c r="P1466" s="16">
        <v>471</v>
      </c>
      <c r="Q1466" s="16">
        <v>222</v>
      </c>
      <c r="R1466" s="16">
        <v>2</v>
      </c>
      <c r="S1466" s="16">
        <v>12.0616</v>
      </c>
      <c r="T1466" s="16">
        <v>0</v>
      </c>
      <c r="U1466" s="16">
        <v>1.069902514</v>
      </c>
      <c r="V1466" s="16">
        <v>3</v>
      </c>
      <c r="W1466" s="16">
        <v>0.811971</v>
      </c>
      <c r="X1466" s="16">
        <v>0.19031500000000001</v>
      </c>
      <c r="Y1466" s="16">
        <v>0.9</v>
      </c>
      <c r="Z1466" s="16">
        <v>0.24095800000000001</v>
      </c>
      <c r="AA1466" s="37"/>
    </row>
    <row r="1467" spans="1:27">
      <c r="A1467" s="16" t="s">
        <v>139</v>
      </c>
      <c r="B1467" s="16" t="s">
        <v>4896</v>
      </c>
      <c r="C1467" s="16" t="s">
        <v>4897</v>
      </c>
      <c r="D1467" s="16" t="s">
        <v>4898</v>
      </c>
      <c r="E1467" s="16" t="s">
        <v>4884</v>
      </c>
      <c r="F1467" s="16" t="s">
        <v>4885</v>
      </c>
      <c r="G1467" s="16" t="s">
        <v>4886</v>
      </c>
      <c r="H1467" s="16" t="s">
        <v>4887</v>
      </c>
      <c r="I1467" s="16" t="s">
        <v>198</v>
      </c>
      <c r="J1467" s="16" t="s">
        <v>199</v>
      </c>
      <c r="K1467" s="16">
        <v>2.2470370000000002</v>
      </c>
      <c r="L1467" s="36">
        <v>1732</v>
      </c>
      <c r="M1467" s="16">
        <v>481</v>
      </c>
      <c r="N1467" s="16">
        <v>300</v>
      </c>
      <c r="O1467" s="16">
        <v>369</v>
      </c>
      <c r="P1467" s="16">
        <v>385</v>
      </c>
      <c r="Q1467" s="16">
        <v>197</v>
      </c>
      <c r="R1467" s="16">
        <v>2</v>
      </c>
      <c r="S1467" s="16">
        <v>13.420199999999999</v>
      </c>
      <c r="T1467" s="16">
        <v>0</v>
      </c>
      <c r="U1467" s="16">
        <v>1.139241427</v>
      </c>
      <c r="V1467" s="16">
        <v>2</v>
      </c>
      <c r="W1467" s="16">
        <v>0.83324100000000001</v>
      </c>
      <c r="X1467" s="16">
        <v>0.22409599999999999</v>
      </c>
      <c r="Y1467" s="16">
        <v>0.9</v>
      </c>
      <c r="Z1467" s="16">
        <v>0.28997200000000001</v>
      </c>
      <c r="AA1467" s="37"/>
    </row>
    <row r="1468" spans="1:27">
      <c r="A1468" s="16" t="s">
        <v>139</v>
      </c>
      <c r="B1468" s="16" t="s">
        <v>4899</v>
      </c>
      <c r="C1468" s="16" t="s">
        <v>4900</v>
      </c>
      <c r="D1468" s="16" t="s">
        <v>4901</v>
      </c>
      <c r="E1468" s="16" t="s">
        <v>4884</v>
      </c>
      <c r="F1468" s="16" t="s">
        <v>4885</v>
      </c>
      <c r="G1468" s="16" t="s">
        <v>4886</v>
      </c>
      <c r="H1468" s="16" t="s">
        <v>4887</v>
      </c>
      <c r="I1468" s="16" t="s">
        <v>198</v>
      </c>
      <c r="J1468" s="16" t="s">
        <v>199</v>
      </c>
      <c r="K1468" s="16">
        <v>1.9402509999999999</v>
      </c>
      <c r="L1468" s="36">
        <v>1731</v>
      </c>
      <c r="M1468" s="16">
        <v>476</v>
      </c>
      <c r="N1468" s="16">
        <v>259</v>
      </c>
      <c r="O1468" s="16">
        <v>344</v>
      </c>
      <c r="P1468" s="16">
        <v>420</v>
      </c>
      <c r="Q1468" s="16">
        <v>232</v>
      </c>
      <c r="R1468" s="16" t="s">
        <v>225</v>
      </c>
      <c r="S1468" s="16">
        <v>9.2688299999999995</v>
      </c>
      <c r="T1468" s="16">
        <v>0</v>
      </c>
      <c r="U1468" s="16">
        <v>1.1278024710000001</v>
      </c>
      <c r="V1468" s="16">
        <v>4</v>
      </c>
      <c r="W1468" s="16">
        <v>0.80342100000000005</v>
      </c>
      <c r="X1468" s="16">
        <v>3.2044999999999997E-2</v>
      </c>
      <c r="Y1468" s="16">
        <v>0.9</v>
      </c>
      <c r="Z1468" s="16">
        <v>0.205233</v>
      </c>
      <c r="AA1468" s="37"/>
    </row>
    <row r="1469" spans="1:27">
      <c r="A1469" s="16" t="s">
        <v>139</v>
      </c>
      <c r="B1469" s="16" t="s">
        <v>4902</v>
      </c>
      <c r="C1469" s="16" t="s">
        <v>4903</v>
      </c>
      <c r="D1469" s="16" t="s">
        <v>4904</v>
      </c>
      <c r="E1469" s="16" t="s">
        <v>4891</v>
      </c>
      <c r="F1469" s="16" t="s">
        <v>4892</v>
      </c>
      <c r="G1469" s="16" t="s">
        <v>4886</v>
      </c>
      <c r="H1469" s="16" t="s">
        <v>4887</v>
      </c>
      <c r="I1469" s="16" t="s">
        <v>198</v>
      </c>
      <c r="J1469" s="16" t="s">
        <v>199</v>
      </c>
      <c r="K1469" s="16">
        <v>2.1278860000000002</v>
      </c>
      <c r="L1469" s="36">
        <v>1756</v>
      </c>
      <c r="M1469" s="16">
        <v>538</v>
      </c>
      <c r="N1469" s="16">
        <v>252</v>
      </c>
      <c r="O1469" s="16">
        <v>384</v>
      </c>
      <c r="P1469" s="16">
        <v>408</v>
      </c>
      <c r="Q1469" s="16">
        <v>174</v>
      </c>
      <c r="R1469" s="16">
        <v>2</v>
      </c>
      <c r="S1469" s="16">
        <v>13.405200000000001</v>
      </c>
      <c r="T1469" s="16">
        <v>0</v>
      </c>
      <c r="U1469" s="16">
        <v>1.3421303490000001</v>
      </c>
      <c r="V1469" s="16">
        <v>2</v>
      </c>
      <c r="W1469" s="16">
        <v>0.82297100000000001</v>
      </c>
      <c r="X1469" s="16">
        <v>8.3541000000000004E-2</v>
      </c>
      <c r="Y1469" s="16">
        <v>0.9</v>
      </c>
      <c r="Z1469" s="16">
        <v>0.33397700000000002</v>
      </c>
      <c r="AA1469" s="37"/>
    </row>
    <row r="1470" spans="1:27">
      <c r="A1470" s="16" t="s">
        <v>139</v>
      </c>
      <c r="B1470" s="16" t="s">
        <v>4905</v>
      </c>
      <c r="C1470" s="16" t="s">
        <v>4906</v>
      </c>
      <c r="D1470" s="16" t="s">
        <v>4907</v>
      </c>
      <c r="E1470" s="16" t="s">
        <v>4884</v>
      </c>
      <c r="F1470" s="16" t="s">
        <v>4885</v>
      </c>
      <c r="G1470" s="16" t="s">
        <v>4886</v>
      </c>
      <c r="H1470" s="16" t="s">
        <v>4887</v>
      </c>
      <c r="I1470" s="16" t="s">
        <v>198</v>
      </c>
      <c r="J1470" s="16" t="s">
        <v>199</v>
      </c>
      <c r="K1470" s="16">
        <v>2.2088990000000002</v>
      </c>
      <c r="L1470" s="36">
        <v>1604</v>
      </c>
      <c r="M1470" s="16">
        <v>498</v>
      </c>
      <c r="N1470" s="16">
        <v>293</v>
      </c>
      <c r="O1470" s="16">
        <v>337</v>
      </c>
      <c r="P1470" s="16">
        <v>359</v>
      </c>
      <c r="Q1470" s="16">
        <v>117</v>
      </c>
      <c r="R1470" s="16">
        <v>2</v>
      </c>
      <c r="S1470" s="16">
        <v>9.7423800000000007</v>
      </c>
      <c r="T1470" s="16">
        <v>0</v>
      </c>
      <c r="U1470" s="16">
        <v>1.2028363179999999</v>
      </c>
      <c r="V1470" s="16">
        <v>2</v>
      </c>
      <c r="W1470" s="16">
        <v>0.81615899999999997</v>
      </c>
      <c r="X1470" s="16">
        <v>0.179812</v>
      </c>
      <c r="Y1470" s="16">
        <v>0.9</v>
      </c>
      <c r="Z1470" s="16">
        <v>0.29574499999999998</v>
      </c>
      <c r="AA1470" s="37"/>
    </row>
    <row r="1471" spans="1:27">
      <c r="A1471" s="16" t="s">
        <v>139</v>
      </c>
      <c r="B1471" s="16" t="s">
        <v>4908</v>
      </c>
      <c r="C1471" s="16" t="s">
        <v>4909</v>
      </c>
      <c r="D1471" s="16" t="s">
        <v>4910</v>
      </c>
      <c r="E1471" s="16" t="s">
        <v>4891</v>
      </c>
      <c r="F1471" s="16" t="s">
        <v>4892</v>
      </c>
      <c r="G1471" s="16" t="s">
        <v>4886</v>
      </c>
      <c r="H1471" s="16" t="s">
        <v>4887</v>
      </c>
      <c r="I1471" s="16" t="s">
        <v>198</v>
      </c>
      <c r="J1471" s="16" t="s">
        <v>199</v>
      </c>
      <c r="K1471" s="16">
        <v>2.0210129999999999</v>
      </c>
      <c r="L1471" s="36">
        <v>1449</v>
      </c>
      <c r="M1471" s="16">
        <v>403</v>
      </c>
      <c r="N1471" s="16">
        <v>231</v>
      </c>
      <c r="O1471" s="16">
        <v>318</v>
      </c>
      <c r="P1471" s="16">
        <v>344</v>
      </c>
      <c r="Q1471" s="16">
        <v>153</v>
      </c>
      <c r="R1471" s="16">
        <v>2</v>
      </c>
      <c r="S1471" s="16">
        <v>10.2516</v>
      </c>
      <c r="T1471" s="16">
        <v>2.8560500000000002</v>
      </c>
      <c r="U1471" s="16">
        <v>1.288159278</v>
      </c>
      <c r="V1471" s="16">
        <v>2</v>
      </c>
      <c r="W1471" s="16">
        <v>0.81417700000000004</v>
      </c>
      <c r="X1471" s="16">
        <v>0</v>
      </c>
      <c r="Y1471" s="16">
        <v>0.9</v>
      </c>
      <c r="Z1471" s="16">
        <v>0.30688799999999999</v>
      </c>
      <c r="AA1471" s="37"/>
    </row>
    <row r="1472" spans="1:27">
      <c r="A1472" s="16" t="s">
        <v>139</v>
      </c>
      <c r="B1472" s="16" t="s">
        <v>4911</v>
      </c>
      <c r="C1472" s="16" t="s">
        <v>4912</v>
      </c>
      <c r="D1472" s="16" t="s">
        <v>4913</v>
      </c>
      <c r="E1472" s="16" t="s">
        <v>4914</v>
      </c>
      <c r="F1472" s="16" t="s">
        <v>4915</v>
      </c>
      <c r="G1472" s="16" t="s">
        <v>4886</v>
      </c>
      <c r="H1472" s="16" t="s">
        <v>4887</v>
      </c>
      <c r="I1472" s="16" t="s">
        <v>198</v>
      </c>
      <c r="J1472" s="16" t="s">
        <v>199</v>
      </c>
      <c r="K1472" s="16">
        <v>2.3298410000000001</v>
      </c>
      <c r="L1472" s="36">
        <v>1993</v>
      </c>
      <c r="M1472" s="16">
        <v>437</v>
      </c>
      <c r="N1472" s="16">
        <v>343</v>
      </c>
      <c r="O1472" s="16">
        <v>462</v>
      </c>
      <c r="P1472" s="16">
        <v>532</v>
      </c>
      <c r="Q1472" s="16">
        <v>219</v>
      </c>
      <c r="R1472" s="16" t="s">
        <v>225</v>
      </c>
      <c r="S1472" s="16">
        <v>10.1113</v>
      </c>
      <c r="T1472" s="16">
        <v>0</v>
      </c>
      <c r="U1472" s="16">
        <v>0.98889963299999994</v>
      </c>
      <c r="V1472" s="16">
        <v>4</v>
      </c>
      <c r="W1472" s="16">
        <v>0.84341299999999997</v>
      </c>
      <c r="X1472" s="16">
        <v>0.12619</v>
      </c>
      <c r="Y1472" s="16">
        <v>0.82053699999999996</v>
      </c>
      <c r="Z1472" s="16">
        <v>0.53852800000000001</v>
      </c>
      <c r="AA1472" s="37"/>
    </row>
    <row r="1473" spans="1:27">
      <c r="A1473" s="16" t="s">
        <v>139</v>
      </c>
      <c r="B1473" s="16" t="s">
        <v>4916</v>
      </c>
      <c r="C1473" s="16" t="s">
        <v>4917</v>
      </c>
      <c r="D1473" s="16" t="s">
        <v>4918</v>
      </c>
      <c r="E1473" s="16" t="s">
        <v>4919</v>
      </c>
      <c r="F1473" s="16" t="s">
        <v>4920</v>
      </c>
      <c r="G1473" s="16" t="s">
        <v>4795</v>
      </c>
      <c r="H1473" s="16" t="s">
        <v>4796</v>
      </c>
      <c r="I1473" s="16" t="s">
        <v>198</v>
      </c>
      <c r="J1473" s="16" t="s">
        <v>199</v>
      </c>
      <c r="K1473" s="16">
        <v>2.2207680000000001</v>
      </c>
      <c r="L1473" s="36">
        <v>1866</v>
      </c>
      <c r="M1473" s="16">
        <v>425</v>
      </c>
      <c r="N1473" s="16">
        <v>344</v>
      </c>
      <c r="O1473" s="16">
        <v>408</v>
      </c>
      <c r="P1473" s="16">
        <v>425</v>
      </c>
      <c r="Q1473" s="16">
        <v>264</v>
      </c>
      <c r="R1473" s="16">
        <v>2</v>
      </c>
      <c r="S1473" s="16">
        <v>11.4063</v>
      </c>
      <c r="T1473" s="16">
        <v>0</v>
      </c>
      <c r="U1473" s="16">
        <v>1.0230499470000001</v>
      </c>
      <c r="V1473" s="16">
        <v>3</v>
      </c>
      <c r="W1473" s="16">
        <v>0.82606400000000002</v>
      </c>
      <c r="X1473" s="16">
        <v>0.25482900000000003</v>
      </c>
      <c r="Y1473" s="16">
        <v>0.8</v>
      </c>
      <c r="Z1473" s="16">
        <v>0.32244099999999998</v>
      </c>
      <c r="AA1473" s="37"/>
    </row>
    <row r="1474" spans="1:27">
      <c r="A1474" s="16" t="s">
        <v>139</v>
      </c>
      <c r="B1474" s="16" t="s">
        <v>4921</v>
      </c>
      <c r="C1474" s="16" t="s">
        <v>4922</v>
      </c>
      <c r="D1474" s="16" t="s">
        <v>4923</v>
      </c>
      <c r="E1474" s="16" t="s">
        <v>4924</v>
      </c>
      <c r="F1474" s="16" t="s">
        <v>4925</v>
      </c>
      <c r="G1474" s="16" t="s">
        <v>4795</v>
      </c>
      <c r="H1474" s="16" t="s">
        <v>4796</v>
      </c>
      <c r="I1474" s="16" t="s">
        <v>198</v>
      </c>
      <c r="J1474" s="16" t="s">
        <v>199</v>
      </c>
      <c r="K1474" s="16">
        <v>2.7407569999999999</v>
      </c>
      <c r="L1474" s="36">
        <v>3745</v>
      </c>
      <c r="M1474" s="16">
        <v>956</v>
      </c>
      <c r="N1474" s="16">
        <v>712</v>
      </c>
      <c r="O1474" s="36">
        <v>1157</v>
      </c>
      <c r="P1474" s="16">
        <v>661</v>
      </c>
      <c r="Q1474" s="16">
        <v>259</v>
      </c>
      <c r="R1474" s="16">
        <v>3</v>
      </c>
      <c r="S1474" s="16">
        <v>24.756699999999999</v>
      </c>
      <c r="T1474" s="16">
        <v>0</v>
      </c>
      <c r="U1474" s="16">
        <v>0.73884164200000002</v>
      </c>
      <c r="V1474" s="16">
        <v>4</v>
      </c>
      <c r="W1474" s="16">
        <v>0.88062399999999996</v>
      </c>
      <c r="X1474" s="16">
        <v>0.291437</v>
      </c>
      <c r="Y1474" s="16">
        <v>0.8</v>
      </c>
      <c r="Z1474" s="16">
        <v>0.76302899999999996</v>
      </c>
      <c r="AA1474" s="37"/>
    </row>
    <row r="1475" spans="1:27">
      <c r="A1475" s="16" t="s">
        <v>139</v>
      </c>
      <c r="B1475" s="16" t="s">
        <v>4790</v>
      </c>
      <c r="C1475" s="16" t="s">
        <v>4791</v>
      </c>
      <c r="D1475" s="16" t="s">
        <v>4792</v>
      </c>
      <c r="E1475" s="16" t="s">
        <v>4793</v>
      </c>
      <c r="F1475" s="16" t="s">
        <v>4794</v>
      </c>
      <c r="G1475" s="16" t="s">
        <v>4795</v>
      </c>
      <c r="H1475" s="16" t="s">
        <v>4796</v>
      </c>
      <c r="I1475" s="16" t="s">
        <v>198</v>
      </c>
      <c r="J1475" s="16" t="s">
        <v>199</v>
      </c>
      <c r="K1475" s="16">
        <v>2.639891</v>
      </c>
      <c r="L1475" s="36">
        <v>2047</v>
      </c>
      <c r="M1475" s="16">
        <v>456</v>
      </c>
      <c r="N1475" s="16">
        <v>345</v>
      </c>
      <c r="O1475" s="16">
        <v>598</v>
      </c>
      <c r="P1475" s="16">
        <v>485</v>
      </c>
      <c r="Q1475" s="16">
        <v>163</v>
      </c>
      <c r="R1475" s="16">
        <v>2</v>
      </c>
      <c r="S1475" s="16">
        <v>20.158000000000001</v>
      </c>
      <c r="T1475" s="16">
        <v>0</v>
      </c>
      <c r="U1475" s="16">
        <v>0.65934987599999995</v>
      </c>
      <c r="V1475" s="16">
        <v>5</v>
      </c>
      <c r="W1475" s="16">
        <v>0.82306299999999999</v>
      </c>
      <c r="X1475" s="16">
        <v>0.42272900000000002</v>
      </c>
      <c r="Y1475" s="16">
        <v>0.87825699999999995</v>
      </c>
      <c r="Z1475" s="16">
        <v>0.51636700000000002</v>
      </c>
      <c r="AA1475" s="37"/>
    </row>
    <row r="1476" spans="1:27">
      <c r="A1476" s="16" t="s">
        <v>139</v>
      </c>
      <c r="B1476" s="16" t="s">
        <v>4926</v>
      </c>
      <c r="C1476" s="16" t="s">
        <v>4927</v>
      </c>
      <c r="D1476" s="16" t="s">
        <v>4928</v>
      </c>
      <c r="E1476" s="16" t="s">
        <v>4924</v>
      </c>
      <c r="F1476" s="16" t="s">
        <v>4925</v>
      </c>
      <c r="G1476" s="16" t="s">
        <v>4795</v>
      </c>
      <c r="H1476" s="16" t="s">
        <v>4796</v>
      </c>
      <c r="I1476" s="16" t="s">
        <v>198</v>
      </c>
      <c r="J1476" s="16" t="s">
        <v>199</v>
      </c>
      <c r="K1476" s="16">
        <v>2.67923</v>
      </c>
      <c r="L1476" s="36">
        <v>1855</v>
      </c>
      <c r="M1476" s="16">
        <v>419</v>
      </c>
      <c r="N1476" s="16">
        <v>315</v>
      </c>
      <c r="O1476" s="16">
        <v>451</v>
      </c>
      <c r="P1476" s="16">
        <v>466</v>
      </c>
      <c r="Q1476" s="16">
        <v>204</v>
      </c>
      <c r="R1476" s="16" t="s">
        <v>225</v>
      </c>
      <c r="S1476" s="16">
        <v>9.0102899999999995</v>
      </c>
      <c r="T1476" s="16">
        <v>0</v>
      </c>
      <c r="U1476" s="16">
        <v>0.65606632200000004</v>
      </c>
      <c r="V1476" s="16">
        <v>5</v>
      </c>
      <c r="W1476" s="16">
        <v>0.83645099999999994</v>
      </c>
      <c r="X1476" s="16">
        <v>0.52454900000000004</v>
      </c>
      <c r="Y1476" s="16">
        <v>0.8</v>
      </c>
      <c r="Z1476" s="16">
        <v>0.51296600000000003</v>
      </c>
      <c r="AA1476" s="37"/>
    </row>
    <row r="1477" spans="1:27">
      <c r="A1477" s="16" t="s">
        <v>139</v>
      </c>
      <c r="B1477" s="16" t="s">
        <v>4929</v>
      </c>
      <c r="C1477" s="16" t="s">
        <v>4930</v>
      </c>
      <c r="D1477" s="16" t="s">
        <v>4931</v>
      </c>
      <c r="E1477" s="16" t="s">
        <v>4932</v>
      </c>
      <c r="F1477" s="16" t="s">
        <v>4933</v>
      </c>
      <c r="G1477" s="16" t="s">
        <v>4795</v>
      </c>
      <c r="H1477" s="16" t="s">
        <v>4796</v>
      </c>
      <c r="I1477" s="16" t="s">
        <v>198</v>
      </c>
      <c r="J1477" s="16" t="s">
        <v>199</v>
      </c>
      <c r="K1477" s="16">
        <v>2.206502</v>
      </c>
      <c r="L1477" s="36">
        <v>1841</v>
      </c>
      <c r="M1477" s="16">
        <v>373</v>
      </c>
      <c r="N1477" s="16">
        <v>289</v>
      </c>
      <c r="O1477" s="16">
        <v>480</v>
      </c>
      <c r="P1477" s="16">
        <v>426</v>
      </c>
      <c r="Q1477" s="16">
        <v>273</v>
      </c>
      <c r="R1477" s="16" t="s">
        <v>225</v>
      </c>
      <c r="S1477" s="16">
        <v>10.3766</v>
      </c>
      <c r="T1477" s="16">
        <v>0</v>
      </c>
      <c r="U1477" s="16">
        <v>0.75193419399999994</v>
      </c>
      <c r="V1477" s="16">
        <v>7</v>
      </c>
      <c r="W1477" s="16">
        <v>0.80945999999999996</v>
      </c>
      <c r="X1477" s="16">
        <v>0.25179499999999999</v>
      </c>
      <c r="Y1477" s="16">
        <v>0.9</v>
      </c>
      <c r="Z1477" s="16">
        <v>0.24413399999999999</v>
      </c>
      <c r="AA1477" s="37"/>
    </row>
    <row r="1478" spans="1:27">
      <c r="A1478" s="16" t="s">
        <v>139</v>
      </c>
      <c r="B1478" s="16" t="s">
        <v>4934</v>
      </c>
      <c r="C1478" s="16" t="s">
        <v>4935</v>
      </c>
      <c r="D1478" s="16" t="s">
        <v>4936</v>
      </c>
      <c r="E1478" s="16" t="s">
        <v>4919</v>
      </c>
      <c r="F1478" s="16" t="s">
        <v>4920</v>
      </c>
      <c r="G1478" s="16" t="s">
        <v>4795</v>
      </c>
      <c r="H1478" s="16" t="s">
        <v>4796</v>
      </c>
      <c r="I1478" s="16" t="s">
        <v>198</v>
      </c>
      <c r="J1478" s="16" t="s">
        <v>199</v>
      </c>
      <c r="K1478" s="16">
        <v>1.9821880000000001</v>
      </c>
      <c r="L1478" s="36">
        <v>1725</v>
      </c>
      <c r="M1478" s="16">
        <v>356</v>
      </c>
      <c r="N1478" s="16">
        <v>323</v>
      </c>
      <c r="O1478" s="16">
        <v>401</v>
      </c>
      <c r="P1478" s="16">
        <v>418</v>
      </c>
      <c r="Q1478" s="16">
        <v>227</v>
      </c>
      <c r="R1478" s="16">
        <v>2</v>
      </c>
      <c r="S1478" s="16">
        <v>10.6934</v>
      </c>
      <c r="T1478" s="16">
        <v>4.6984599999999999</v>
      </c>
      <c r="U1478" s="16">
        <v>1.0346056910000001</v>
      </c>
      <c r="V1478" s="16">
        <v>5</v>
      </c>
      <c r="W1478" s="16">
        <v>0.80156300000000003</v>
      </c>
      <c r="X1478" s="16">
        <v>2.8300000000000001E-3</v>
      </c>
      <c r="Y1478" s="16">
        <v>0.8</v>
      </c>
      <c r="Z1478" s="16">
        <v>0.377359</v>
      </c>
      <c r="AA1478" s="37"/>
    </row>
    <row r="1479" spans="1:27">
      <c r="A1479" s="16" t="s">
        <v>139</v>
      </c>
      <c r="B1479" s="16" t="s">
        <v>4937</v>
      </c>
      <c r="C1479" s="16" t="s">
        <v>4938</v>
      </c>
      <c r="D1479" s="16" t="s">
        <v>4939</v>
      </c>
      <c r="E1479" s="16" t="s">
        <v>4940</v>
      </c>
      <c r="F1479" s="16" t="s">
        <v>4941</v>
      </c>
      <c r="G1479" s="16" t="s">
        <v>4795</v>
      </c>
      <c r="H1479" s="16" t="s">
        <v>4796</v>
      </c>
      <c r="I1479" s="16" t="s">
        <v>198</v>
      </c>
      <c r="J1479" s="16" t="s">
        <v>199</v>
      </c>
      <c r="K1479" s="16">
        <v>1.9499139999999999</v>
      </c>
      <c r="L1479" s="36">
        <v>1887</v>
      </c>
      <c r="M1479" s="16">
        <v>436</v>
      </c>
      <c r="N1479" s="16">
        <v>373</v>
      </c>
      <c r="O1479" s="16">
        <v>475</v>
      </c>
      <c r="P1479" s="16">
        <v>418</v>
      </c>
      <c r="Q1479" s="16">
        <v>185</v>
      </c>
      <c r="R1479" s="16">
        <v>2</v>
      </c>
      <c r="S1479" s="16">
        <v>15.746499999999999</v>
      </c>
      <c r="T1479" s="16">
        <v>4.3896899999999999</v>
      </c>
      <c r="U1479" s="16">
        <v>1.212760874</v>
      </c>
      <c r="V1479" s="16">
        <v>3</v>
      </c>
      <c r="W1479" s="16">
        <v>0.80518100000000004</v>
      </c>
      <c r="X1479" s="16">
        <v>0</v>
      </c>
      <c r="Y1479" s="16">
        <v>0.8</v>
      </c>
      <c r="Z1479" s="16">
        <v>0.34338000000000002</v>
      </c>
      <c r="AA1479" s="37"/>
    </row>
    <row r="1480" spans="1:27">
      <c r="A1480" s="16" t="s">
        <v>139</v>
      </c>
      <c r="B1480" s="16" t="s">
        <v>4942</v>
      </c>
      <c r="C1480" s="16" t="s">
        <v>4943</v>
      </c>
      <c r="D1480" s="16" t="s">
        <v>4944</v>
      </c>
      <c r="E1480" s="16" t="s">
        <v>4919</v>
      </c>
      <c r="F1480" s="16" t="s">
        <v>4920</v>
      </c>
      <c r="G1480" s="16" t="s">
        <v>4795</v>
      </c>
      <c r="H1480" s="16" t="s">
        <v>4796</v>
      </c>
      <c r="I1480" s="16" t="s">
        <v>198</v>
      </c>
      <c r="J1480" s="16" t="s">
        <v>199</v>
      </c>
      <c r="K1480" s="16">
        <v>2.367699</v>
      </c>
      <c r="L1480" s="36">
        <v>1793</v>
      </c>
      <c r="M1480" s="16">
        <v>467</v>
      </c>
      <c r="N1480" s="16">
        <v>276</v>
      </c>
      <c r="O1480" s="16">
        <v>435</v>
      </c>
      <c r="P1480" s="16">
        <v>453</v>
      </c>
      <c r="Q1480" s="16">
        <v>162</v>
      </c>
      <c r="R1480" s="16">
        <v>2</v>
      </c>
      <c r="S1480" s="16">
        <v>13.0236</v>
      </c>
      <c r="T1480" s="16">
        <v>0</v>
      </c>
      <c r="U1480" s="16">
        <v>1.0463341260000001</v>
      </c>
      <c r="V1480" s="16">
        <v>2</v>
      </c>
      <c r="W1480" s="16">
        <v>0.83452000000000004</v>
      </c>
      <c r="X1480" s="16">
        <v>0.26020700000000002</v>
      </c>
      <c r="Y1480" s="16">
        <v>0.812442</v>
      </c>
      <c r="Z1480" s="16">
        <v>0.46047500000000002</v>
      </c>
      <c r="AA1480" s="37"/>
    </row>
    <row r="1481" spans="1:27">
      <c r="A1481" s="16" t="s">
        <v>139</v>
      </c>
      <c r="B1481" s="16" t="s">
        <v>4945</v>
      </c>
      <c r="C1481" s="16" t="s">
        <v>4946</v>
      </c>
      <c r="D1481" s="16" t="s">
        <v>4947</v>
      </c>
      <c r="E1481" s="16" t="s">
        <v>4940</v>
      </c>
      <c r="F1481" s="16" t="s">
        <v>4941</v>
      </c>
      <c r="G1481" s="16" t="s">
        <v>4795</v>
      </c>
      <c r="H1481" s="16" t="s">
        <v>4796</v>
      </c>
      <c r="I1481" s="16" t="s">
        <v>198</v>
      </c>
      <c r="J1481" s="16" t="s">
        <v>199</v>
      </c>
      <c r="K1481" s="16">
        <v>2.3333740000000001</v>
      </c>
      <c r="L1481" s="36">
        <v>2321</v>
      </c>
      <c r="M1481" s="16">
        <v>607</v>
      </c>
      <c r="N1481" s="16">
        <v>353</v>
      </c>
      <c r="O1481" s="16">
        <v>631</v>
      </c>
      <c r="P1481" s="16">
        <v>539</v>
      </c>
      <c r="Q1481" s="16">
        <v>191</v>
      </c>
      <c r="R1481" s="16">
        <v>3</v>
      </c>
      <c r="S1481" s="16">
        <v>22.489799999999999</v>
      </c>
      <c r="T1481" s="16">
        <v>0</v>
      </c>
      <c r="U1481" s="16">
        <v>1.0639171999999999</v>
      </c>
      <c r="V1481" s="16">
        <v>3</v>
      </c>
      <c r="W1481" s="16">
        <v>0.85109199999999996</v>
      </c>
      <c r="X1481" s="16">
        <v>6.0464999999999998E-2</v>
      </c>
      <c r="Y1481" s="16">
        <v>0.8</v>
      </c>
      <c r="Z1481" s="16">
        <v>0.61821499999999996</v>
      </c>
      <c r="AA1481" s="37"/>
    </row>
    <row r="1482" spans="1:27">
      <c r="A1482" s="16" t="s">
        <v>139</v>
      </c>
      <c r="B1482" s="16" t="s">
        <v>4948</v>
      </c>
      <c r="C1482" s="16" t="s">
        <v>4949</v>
      </c>
      <c r="D1482" s="16" t="s">
        <v>4950</v>
      </c>
      <c r="E1482" s="16" t="s">
        <v>4940</v>
      </c>
      <c r="F1482" s="16" t="s">
        <v>4941</v>
      </c>
      <c r="G1482" s="16" t="s">
        <v>4795</v>
      </c>
      <c r="H1482" s="16" t="s">
        <v>4796</v>
      </c>
      <c r="I1482" s="16" t="s">
        <v>198</v>
      </c>
      <c r="J1482" s="16" t="s">
        <v>199</v>
      </c>
      <c r="K1482" s="16">
        <v>2.4404159999999999</v>
      </c>
      <c r="L1482" s="36">
        <v>2040</v>
      </c>
      <c r="M1482" s="16">
        <v>498</v>
      </c>
      <c r="N1482" s="16">
        <v>356</v>
      </c>
      <c r="O1482" s="16">
        <v>555</v>
      </c>
      <c r="P1482" s="16">
        <v>444</v>
      </c>
      <c r="Q1482" s="16">
        <v>187</v>
      </c>
      <c r="R1482" s="16" t="s">
        <v>214</v>
      </c>
      <c r="S1482" s="16">
        <v>18.097799999999999</v>
      </c>
      <c r="T1482" s="16">
        <v>0</v>
      </c>
      <c r="U1482" s="16">
        <v>0.82404112299999999</v>
      </c>
      <c r="V1482" s="16">
        <v>5</v>
      </c>
      <c r="W1482" s="16">
        <v>0.84242799999999995</v>
      </c>
      <c r="X1482" s="16">
        <v>0.27735799999999999</v>
      </c>
      <c r="Y1482" s="16">
        <v>0.80095300000000003</v>
      </c>
      <c r="Z1482" s="16">
        <v>0.51858800000000005</v>
      </c>
      <c r="AA1482" s="37"/>
    </row>
    <row r="1483" spans="1:27">
      <c r="A1483" s="16" t="s">
        <v>139</v>
      </c>
      <c r="B1483" s="16" t="s">
        <v>4951</v>
      </c>
      <c r="C1483" s="16" t="s">
        <v>4952</v>
      </c>
      <c r="D1483" s="16" t="s">
        <v>4953</v>
      </c>
      <c r="E1483" s="16" t="s">
        <v>4954</v>
      </c>
      <c r="F1483" s="16" t="s">
        <v>4955</v>
      </c>
      <c r="G1483" s="16" t="s">
        <v>4795</v>
      </c>
      <c r="H1483" s="16" t="s">
        <v>4796</v>
      </c>
      <c r="I1483" s="16" t="s">
        <v>198</v>
      </c>
      <c r="J1483" s="16" t="s">
        <v>199</v>
      </c>
      <c r="K1483" s="16">
        <v>2.1676099999999998</v>
      </c>
      <c r="L1483" s="36">
        <v>1894</v>
      </c>
      <c r="M1483" s="16">
        <v>530</v>
      </c>
      <c r="N1483" s="16">
        <v>306</v>
      </c>
      <c r="O1483" s="16">
        <v>508</v>
      </c>
      <c r="P1483" s="16">
        <v>375</v>
      </c>
      <c r="Q1483" s="16">
        <v>175</v>
      </c>
      <c r="R1483" s="16" t="s">
        <v>225</v>
      </c>
      <c r="S1483" s="16">
        <v>7.0840500000000004</v>
      </c>
      <c r="T1483" s="16">
        <v>0</v>
      </c>
      <c r="U1483" s="16">
        <v>1.092334578</v>
      </c>
      <c r="V1483" s="16">
        <v>3</v>
      </c>
      <c r="W1483" s="16">
        <v>0.81909500000000002</v>
      </c>
      <c r="X1483" s="16">
        <v>0.136994</v>
      </c>
      <c r="Y1483" s="16">
        <v>0.9</v>
      </c>
      <c r="Z1483" s="16">
        <v>0.3</v>
      </c>
      <c r="AA1483" s="37"/>
    </row>
    <row r="1484" spans="1:27">
      <c r="A1484" s="16" t="s">
        <v>139</v>
      </c>
      <c r="B1484" s="16" t="s">
        <v>4956</v>
      </c>
      <c r="C1484" s="16" t="s">
        <v>4957</v>
      </c>
      <c r="D1484" s="16" t="s">
        <v>4958</v>
      </c>
      <c r="E1484" s="16" t="s">
        <v>4959</v>
      </c>
      <c r="F1484" s="16" t="s">
        <v>4960</v>
      </c>
      <c r="G1484" s="16" t="s">
        <v>4795</v>
      </c>
      <c r="H1484" s="16" t="s">
        <v>4796</v>
      </c>
      <c r="I1484" s="16" t="s">
        <v>198</v>
      </c>
      <c r="J1484" s="16" t="s">
        <v>199</v>
      </c>
      <c r="K1484" s="16">
        <v>2.036025</v>
      </c>
      <c r="L1484" s="36">
        <v>2067</v>
      </c>
      <c r="M1484" s="16">
        <v>429</v>
      </c>
      <c r="N1484" s="16">
        <v>329</v>
      </c>
      <c r="O1484" s="16">
        <v>543</v>
      </c>
      <c r="P1484" s="16">
        <v>550</v>
      </c>
      <c r="Q1484" s="16">
        <v>216</v>
      </c>
      <c r="R1484" s="16" t="s">
        <v>225</v>
      </c>
      <c r="S1484" s="16">
        <v>7.9218700000000002</v>
      </c>
      <c r="T1484" s="16">
        <v>2.0505800000000001</v>
      </c>
      <c r="U1484" s="16">
        <v>0.91009412899999997</v>
      </c>
      <c r="V1484" s="16">
        <v>6</v>
      </c>
      <c r="W1484" s="16">
        <v>0.80771300000000001</v>
      </c>
      <c r="X1484" s="16">
        <v>4.0466000000000002E-2</v>
      </c>
      <c r="Y1484" s="16">
        <v>0.9</v>
      </c>
      <c r="Z1484" s="16">
        <v>0.29864400000000002</v>
      </c>
      <c r="AA1484" s="37"/>
    </row>
    <row r="1485" spans="1:27">
      <c r="A1485" s="16" t="s">
        <v>139</v>
      </c>
      <c r="B1485" s="16" t="s">
        <v>4961</v>
      </c>
      <c r="C1485" s="16" t="s">
        <v>4962</v>
      </c>
      <c r="D1485" s="16" t="s">
        <v>4963</v>
      </c>
      <c r="E1485" s="16" t="s">
        <v>4954</v>
      </c>
      <c r="F1485" s="16" t="s">
        <v>4955</v>
      </c>
      <c r="G1485" s="16" t="s">
        <v>4795</v>
      </c>
      <c r="H1485" s="16" t="s">
        <v>4796</v>
      </c>
      <c r="I1485" s="16" t="s">
        <v>198</v>
      </c>
      <c r="J1485" s="16" t="s">
        <v>199</v>
      </c>
      <c r="K1485" s="16">
        <v>1.95444</v>
      </c>
      <c r="L1485" s="36">
        <v>2222</v>
      </c>
      <c r="M1485" s="16">
        <v>685</v>
      </c>
      <c r="N1485" s="16">
        <v>381</v>
      </c>
      <c r="O1485" s="16">
        <v>588</v>
      </c>
      <c r="P1485" s="16">
        <v>396</v>
      </c>
      <c r="Q1485" s="16">
        <v>172</v>
      </c>
      <c r="R1485" s="16">
        <v>2</v>
      </c>
      <c r="S1485" s="16">
        <v>7.6468600000000002</v>
      </c>
      <c r="T1485" s="16">
        <v>3.9463300000000001</v>
      </c>
      <c r="U1485" s="16">
        <v>1.220065763</v>
      </c>
      <c r="V1485" s="16">
        <v>3</v>
      </c>
      <c r="W1485" s="16">
        <v>0.80231699999999995</v>
      </c>
      <c r="X1485" s="16">
        <v>3.8000000000000002E-4</v>
      </c>
      <c r="Y1485" s="16">
        <v>0.86429900000000004</v>
      </c>
      <c r="Z1485" s="16">
        <v>0.28747600000000001</v>
      </c>
      <c r="AA1485" s="37"/>
    </row>
    <row r="1486" spans="1:27">
      <c r="A1486" s="16" t="s">
        <v>139</v>
      </c>
      <c r="B1486" s="16" t="s">
        <v>4964</v>
      </c>
      <c r="C1486" s="16" t="s">
        <v>4965</v>
      </c>
      <c r="D1486" s="16" t="s">
        <v>4966</v>
      </c>
      <c r="E1486" s="16" t="s">
        <v>4954</v>
      </c>
      <c r="F1486" s="16" t="s">
        <v>4955</v>
      </c>
      <c r="G1486" s="16" t="s">
        <v>4795</v>
      </c>
      <c r="H1486" s="16" t="s">
        <v>4796</v>
      </c>
      <c r="I1486" s="16" t="s">
        <v>198</v>
      </c>
      <c r="J1486" s="16" t="s">
        <v>199</v>
      </c>
      <c r="K1486" s="16">
        <v>2.2632729999999999</v>
      </c>
      <c r="L1486" s="36">
        <v>1965</v>
      </c>
      <c r="M1486" s="16">
        <v>579</v>
      </c>
      <c r="N1486" s="16">
        <v>321</v>
      </c>
      <c r="O1486" s="16">
        <v>441</v>
      </c>
      <c r="P1486" s="16">
        <v>455</v>
      </c>
      <c r="Q1486" s="16">
        <v>169</v>
      </c>
      <c r="R1486" s="16" t="s">
        <v>225</v>
      </c>
      <c r="S1486" s="16">
        <v>5.43771</v>
      </c>
      <c r="T1486" s="16">
        <v>0</v>
      </c>
      <c r="U1486" s="16">
        <v>1.023603958</v>
      </c>
      <c r="V1486" s="16">
        <v>3</v>
      </c>
      <c r="W1486" s="16">
        <v>0.82577299999999998</v>
      </c>
      <c r="X1486" s="16">
        <v>0.25706899999999999</v>
      </c>
      <c r="Y1486" s="16">
        <v>0.86696799999999996</v>
      </c>
      <c r="Z1486" s="16">
        <v>0.3</v>
      </c>
      <c r="AA1486" s="37"/>
    </row>
    <row r="1487" spans="1:27">
      <c r="A1487" s="16" t="s">
        <v>139</v>
      </c>
      <c r="B1487" s="16" t="s">
        <v>4967</v>
      </c>
      <c r="C1487" s="16" t="s">
        <v>4968</v>
      </c>
      <c r="D1487" s="16" t="s">
        <v>4969</v>
      </c>
      <c r="E1487" s="16" t="s">
        <v>4959</v>
      </c>
      <c r="F1487" s="16" t="s">
        <v>4960</v>
      </c>
      <c r="G1487" s="16" t="s">
        <v>4795</v>
      </c>
      <c r="H1487" s="16" t="s">
        <v>4796</v>
      </c>
      <c r="I1487" s="16" t="s">
        <v>198</v>
      </c>
      <c r="J1487" s="16" t="s">
        <v>199</v>
      </c>
      <c r="K1487" s="16">
        <v>2.157851</v>
      </c>
      <c r="L1487" s="36">
        <v>1561</v>
      </c>
      <c r="M1487" s="16">
        <v>467</v>
      </c>
      <c r="N1487" s="16">
        <v>243</v>
      </c>
      <c r="O1487" s="16">
        <v>380</v>
      </c>
      <c r="P1487" s="16">
        <v>352</v>
      </c>
      <c r="Q1487" s="16">
        <v>119</v>
      </c>
      <c r="R1487" s="16" t="s">
        <v>225</v>
      </c>
      <c r="S1487" s="16">
        <v>7.8450499999999996</v>
      </c>
      <c r="T1487" s="16">
        <v>0</v>
      </c>
      <c r="U1487" s="16">
        <v>1.3131711660000001</v>
      </c>
      <c r="V1487" s="16">
        <v>2</v>
      </c>
      <c r="W1487" s="16">
        <v>0.82621</v>
      </c>
      <c r="X1487" s="16">
        <v>0.16803799999999999</v>
      </c>
      <c r="Y1487" s="16">
        <v>0.87612299999999999</v>
      </c>
      <c r="Z1487" s="16">
        <v>0.30270900000000001</v>
      </c>
      <c r="AA1487" s="37"/>
    </row>
    <row r="1488" spans="1:27">
      <c r="A1488" s="16" t="s">
        <v>139</v>
      </c>
      <c r="B1488" s="16" t="s">
        <v>4970</v>
      </c>
      <c r="C1488" s="16" t="s">
        <v>4971</v>
      </c>
      <c r="D1488" s="16" t="s">
        <v>4972</v>
      </c>
      <c r="E1488" s="16" t="s">
        <v>4959</v>
      </c>
      <c r="F1488" s="16" t="s">
        <v>4960</v>
      </c>
      <c r="G1488" s="16" t="s">
        <v>4795</v>
      </c>
      <c r="H1488" s="16" t="s">
        <v>4796</v>
      </c>
      <c r="I1488" s="16" t="s">
        <v>198</v>
      </c>
      <c r="J1488" s="16" t="s">
        <v>199</v>
      </c>
      <c r="K1488" s="16">
        <v>2.3007330000000001</v>
      </c>
      <c r="L1488" s="36">
        <v>1769</v>
      </c>
      <c r="M1488" s="16">
        <v>435</v>
      </c>
      <c r="N1488" s="16">
        <v>254</v>
      </c>
      <c r="O1488" s="16">
        <v>450</v>
      </c>
      <c r="P1488" s="16">
        <v>461</v>
      </c>
      <c r="Q1488" s="16">
        <v>169</v>
      </c>
      <c r="R1488" s="16" t="s">
        <v>225</v>
      </c>
      <c r="S1488" s="16">
        <v>9.2146899999999992</v>
      </c>
      <c r="T1488" s="16">
        <v>0</v>
      </c>
      <c r="U1488" s="16">
        <v>0.823892862</v>
      </c>
      <c r="V1488" s="16">
        <v>5</v>
      </c>
      <c r="W1488" s="16">
        <v>0.86721599999999999</v>
      </c>
      <c r="X1488" s="16">
        <v>0.29597099999999998</v>
      </c>
      <c r="Y1488" s="16">
        <v>0.80128200000000005</v>
      </c>
      <c r="Z1488" s="16">
        <v>0.36402200000000001</v>
      </c>
      <c r="AA1488" s="37"/>
    </row>
    <row r="1489" spans="1:27">
      <c r="A1489" s="16" t="s">
        <v>139</v>
      </c>
      <c r="B1489" s="16" t="s">
        <v>4973</v>
      </c>
      <c r="C1489" s="16" t="s">
        <v>4974</v>
      </c>
      <c r="D1489" s="16" t="s">
        <v>4975</v>
      </c>
      <c r="E1489" s="16" t="s">
        <v>4824</v>
      </c>
      <c r="F1489" s="16" t="s">
        <v>4825</v>
      </c>
      <c r="G1489" s="16" t="s">
        <v>4606</v>
      </c>
      <c r="H1489" s="16" t="s">
        <v>4607</v>
      </c>
      <c r="I1489" s="16" t="s">
        <v>198</v>
      </c>
      <c r="J1489" s="16" t="s">
        <v>199</v>
      </c>
      <c r="K1489" s="16">
        <v>2.5581689999999999</v>
      </c>
      <c r="L1489" s="36">
        <v>1703</v>
      </c>
      <c r="M1489" s="16">
        <v>294</v>
      </c>
      <c r="N1489" s="16">
        <v>340</v>
      </c>
      <c r="O1489" s="16">
        <v>401</v>
      </c>
      <c r="P1489" s="16">
        <v>431</v>
      </c>
      <c r="Q1489" s="16">
        <v>237</v>
      </c>
      <c r="R1489" s="16">
        <v>2</v>
      </c>
      <c r="S1489" s="16">
        <v>10.909000000000001</v>
      </c>
      <c r="T1489" s="16">
        <v>0</v>
      </c>
      <c r="U1489" s="16">
        <v>0.80515868999999995</v>
      </c>
      <c r="V1489" s="16">
        <v>4</v>
      </c>
      <c r="W1489" s="16">
        <v>0.83490200000000003</v>
      </c>
      <c r="X1489" s="16">
        <v>0.440137</v>
      </c>
      <c r="Y1489" s="16">
        <v>0.89888199999999996</v>
      </c>
      <c r="Z1489" s="16">
        <v>0.38584800000000002</v>
      </c>
      <c r="AA1489" s="37"/>
    </row>
    <row r="1490" spans="1:27">
      <c r="A1490" s="16" t="s">
        <v>139</v>
      </c>
      <c r="B1490" s="16" t="s">
        <v>4976</v>
      </c>
      <c r="C1490" s="16" t="s">
        <v>4977</v>
      </c>
      <c r="D1490" s="16" t="s">
        <v>4978</v>
      </c>
      <c r="E1490" s="16" t="s">
        <v>4824</v>
      </c>
      <c r="F1490" s="16" t="s">
        <v>4825</v>
      </c>
      <c r="G1490" s="16" t="s">
        <v>4606</v>
      </c>
      <c r="H1490" s="16" t="s">
        <v>4607</v>
      </c>
      <c r="I1490" s="16" t="s">
        <v>198</v>
      </c>
      <c r="J1490" s="16" t="s">
        <v>199</v>
      </c>
      <c r="K1490" s="16">
        <v>2.409834</v>
      </c>
      <c r="L1490" s="36">
        <v>2073</v>
      </c>
      <c r="M1490" s="16">
        <v>466</v>
      </c>
      <c r="N1490" s="16">
        <v>374</v>
      </c>
      <c r="O1490" s="16">
        <v>544</v>
      </c>
      <c r="P1490" s="16">
        <v>479</v>
      </c>
      <c r="Q1490" s="16">
        <v>210</v>
      </c>
      <c r="R1490" s="16">
        <v>2</v>
      </c>
      <c r="S1490" s="16">
        <v>12.076700000000001</v>
      </c>
      <c r="T1490" s="16">
        <v>0</v>
      </c>
      <c r="U1490" s="16">
        <v>0.81371578200000005</v>
      </c>
      <c r="V1490" s="16">
        <v>5</v>
      </c>
      <c r="W1490" s="16">
        <v>0.81149199999999999</v>
      </c>
      <c r="X1490" s="16">
        <v>0.27785100000000001</v>
      </c>
      <c r="Y1490" s="16">
        <v>0.9</v>
      </c>
      <c r="Z1490" s="16">
        <v>0.42593799999999998</v>
      </c>
      <c r="AA1490" s="37"/>
    </row>
    <row r="1491" spans="1:27">
      <c r="A1491" s="16" t="s">
        <v>139</v>
      </c>
      <c r="B1491" s="16" t="s">
        <v>4821</v>
      </c>
      <c r="C1491" s="16" t="s">
        <v>4822</v>
      </c>
      <c r="D1491" s="16" t="s">
        <v>4823</v>
      </c>
      <c r="E1491" s="16" t="s">
        <v>4824</v>
      </c>
      <c r="F1491" s="16" t="s">
        <v>4825</v>
      </c>
      <c r="G1491" s="16" t="s">
        <v>4606</v>
      </c>
      <c r="H1491" s="16" t="s">
        <v>4607</v>
      </c>
      <c r="I1491" s="16" t="s">
        <v>198</v>
      </c>
      <c r="J1491" s="16" t="s">
        <v>199</v>
      </c>
      <c r="K1491" s="16">
        <v>2.5119669999999998</v>
      </c>
      <c r="L1491" s="36">
        <v>1814</v>
      </c>
      <c r="M1491" s="16">
        <v>374</v>
      </c>
      <c r="N1491" s="16">
        <v>387</v>
      </c>
      <c r="O1491" s="16">
        <v>406</v>
      </c>
      <c r="P1491" s="16">
        <v>449</v>
      </c>
      <c r="Q1491" s="16">
        <v>198</v>
      </c>
      <c r="R1491" s="16">
        <v>2</v>
      </c>
      <c r="S1491" s="16">
        <v>10.7712</v>
      </c>
      <c r="T1491" s="16">
        <v>2.3398400000000001</v>
      </c>
      <c r="U1491" s="16">
        <v>0.92752830600000002</v>
      </c>
      <c r="V1491" s="16">
        <v>3</v>
      </c>
      <c r="W1491" s="16">
        <v>0.868197</v>
      </c>
      <c r="X1491" s="16">
        <v>0.363458</v>
      </c>
      <c r="Y1491" s="16">
        <v>0.9</v>
      </c>
      <c r="Z1491" s="16">
        <v>0.37808900000000001</v>
      </c>
      <c r="AA1491" s="37"/>
    </row>
    <row r="1492" spans="1:27">
      <c r="A1492" s="16" t="s">
        <v>139</v>
      </c>
      <c r="B1492" s="16" t="s">
        <v>4979</v>
      </c>
      <c r="C1492" s="16" t="s">
        <v>4980</v>
      </c>
      <c r="D1492" s="16" t="s">
        <v>4981</v>
      </c>
      <c r="E1492" s="16" t="s">
        <v>4982</v>
      </c>
      <c r="F1492" s="16" t="s">
        <v>4983</v>
      </c>
      <c r="G1492" s="16" t="s">
        <v>4606</v>
      </c>
      <c r="H1492" s="16" t="s">
        <v>4607</v>
      </c>
      <c r="I1492" s="16" t="s">
        <v>198</v>
      </c>
      <c r="J1492" s="16" t="s">
        <v>199</v>
      </c>
      <c r="K1492" s="16">
        <v>2.736043</v>
      </c>
      <c r="L1492" s="36">
        <v>1902</v>
      </c>
      <c r="M1492" s="16">
        <v>537</v>
      </c>
      <c r="N1492" s="16">
        <v>332</v>
      </c>
      <c r="O1492" s="16">
        <v>431</v>
      </c>
      <c r="P1492" s="16">
        <v>405</v>
      </c>
      <c r="Q1492" s="16">
        <v>197</v>
      </c>
      <c r="R1492" s="16" t="s">
        <v>225</v>
      </c>
      <c r="S1492" s="16">
        <v>7.3803000000000001</v>
      </c>
      <c r="T1492" s="16">
        <v>0</v>
      </c>
      <c r="U1492" s="16">
        <v>0.97260136399999997</v>
      </c>
      <c r="V1492" s="16">
        <v>2</v>
      </c>
      <c r="W1492" s="16">
        <v>0.84383699999999995</v>
      </c>
      <c r="X1492" s="16">
        <v>0.51691699999999996</v>
      </c>
      <c r="Y1492" s="16">
        <v>0.88862200000000002</v>
      </c>
      <c r="Z1492" s="16">
        <v>0.49087799999999998</v>
      </c>
      <c r="AA1492" s="37"/>
    </row>
    <row r="1493" spans="1:27">
      <c r="A1493" s="16" t="s">
        <v>139</v>
      </c>
      <c r="B1493" s="16" t="s">
        <v>4733</v>
      </c>
      <c r="C1493" s="16" t="s">
        <v>4734</v>
      </c>
      <c r="D1493" s="16" t="s">
        <v>4735</v>
      </c>
      <c r="E1493" s="16" t="s">
        <v>4712</v>
      </c>
      <c r="F1493" s="16" t="s">
        <v>4713</v>
      </c>
      <c r="G1493" s="16" t="s">
        <v>4606</v>
      </c>
      <c r="H1493" s="16" t="s">
        <v>4607</v>
      </c>
      <c r="I1493" s="16" t="s">
        <v>198</v>
      </c>
      <c r="J1493" s="16" t="s">
        <v>199</v>
      </c>
      <c r="K1493" s="16">
        <v>2.3389609999999998</v>
      </c>
      <c r="L1493" s="36">
        <v>1785</v>
      </c>
      <c r="M1493" s="16">
        <v>358</v>
      </c>
      <c r="N1493" s="16">
        <v>309</v>
      </c>
      <c r="O1493" s="16">
        <v>469</v>
      </c>
      <c r="P1493" s="16">
        <v>406</v>
      </c>
      <c r="Q1493" s="16">
        <v>243</v>
      </c>
      <c r="R1493" s="16" t="s">
        <v>225</v>
      </c>
      <c r="S1493" s="16">
        <v>12.098699999999999</v>
      </c>
      <c r="T1493" s="16">
        <v>0</v>
      </c>
      <c r="U1493" s="16">
        <v>0.850185419</v>
      </c>
      <c r="V1493" s="16">
        <v>5</v>
      </c>
      <c r="W1493" s="16">
        <v>0.82317200000000001</v>
      </c>
      <c r="X1493" s="16">
        <v>0.29259299999999999</v>
      </c>
      <c r="Y1493" s="16">
        <v>0.9</v>
      </c>
      <c r="Z1493" s="16">
        <v>0.32525599999999999</v>
      </c>
      <c r="AA1493" s="37"/>
    </row>
    <row r="1494" spans="1:27">
      <c r="A1494" s="16" t="s">
        <v>139</v>
      </c>
      <c r="B1494" s="16" t="s">
        <v>4984</v>
      </c>
      <c r="C1494" s="16" t="s">
        <v>4985</v>
      </c>
      <c r="D1494" s="16" t="s">
        <v>4986</v>
      </c>
      <c r="E1494" s="16" t="s">
        <v>4982</v>
      </c>
      <c r="F1494" s="16" t="s">
        <v>4983</v>
      </c>
      <c r="G1494" s="16" t="s">
        <v>4606</v>
      </c>
      <c r="H1494" s="16" t="s">
        <v>4607</v>
      </c>
      <c r="I1494" s="16" t="s">
        <v>198</v>
      </c>
      <c r="J1494" s="16" t="s">
        <v>199</v>
      </c>
      <c r="K1494" s="16">
        <v>2.8438430000000001</v>
      </c>
      <c r="L1494" s="36">
        <v>1700</v>
      </c>
      <c r="M1494" s="16">
        <v>452</v>
      </c>
      <c r="N1494" s="16">
        <v>268</v>
      </c>
      <c r="O1494" s="16">
        <v>372</v>
      </c>
      <c r="P1494" s="16">
        <v>416</v>
      </c>
      <c r="Q1494" s="16">
        <v>192</v>
      </c>
      <c r="R1494" s="16" t="s">
        <v>225</v>
      </c>
      <c r="S1494" s="16">
        <v>9.8512599999999999</v>
      </c>
      <c r="T1494" s="16">
        <v>0</v>
      </c>
      <c r="U1494" s="16">
        <v>0.80659781399999997</v>
      </c>
      <c r="V1494" s="16">
        <v>3</v>
      </c>
      <c r="W1494" s="16">
        <v>0.86183699999999996</v>
      </c>
      <c r="X1494" s="16">
        <v>0.471746</v>
      </c>
      <c r="Y1494" s="16">
        <v>0.80843100000000001</v>
      </c>
      <c r="Z1494" s="16">
        <v>0.70307900000000001</v>
      </c>
      <c r="AA1494" s="37"/>
    </row>
    <row r="1495" spans="1:27">
      <c r="A1495" s="16"/>
      <c r="B1495" s="16"/>
      <c r="C1495" s="16"/>
      <c r="D1495" s="16"/>
      <c r="E1495" s="16"/>
      <c r="F1495" s="16"/>
      <c r="G1495" s="16"/>
      <c r="H1495" s="16"/>
      <c r="I1495" s="16"/>
      <c r="J1495" s="16"/>
      <c r="K1495" s="16">
        <f>MEDIAN(K1464:K1494)</f>
        <v>2.2470370000000002</v>
      </c>
      <c r="L1495" s="36">
        <f>AVERAGE(L1464:L1494)</f>
        <v>1905.1935483870968</v>
      </c>
      <c r="M1495" s="16">
        <f t="shared" ref="M1495:Q1495" si="128">SUM(M1464:M1494)</f>
        <v>14766</v>
      </c>
      <c r="N1495" s="16">
        <f t="shared" si="128"/>
        <v>10053</v>
      </c>
      <c r="O1495" s="16">
        <f t="shared" si="128"/>
        <v>14306</v>
      </c>
      <c r="P1495" s="16">
        <f t="shared" si="128"/>
        <v>13723</v>
      </c>
      <c r="Q1495" s="16">
        <f t="shared" si="128"/>
        <v>6213</v>
      </c>
      <c r="R1495" s="16"/>
      <c r="S1495" s="16">
        <f t="shared" ref="S1495:U1495" si="129">MIN(S1464:S1494)</f>
        <v>5.43771</v>
      </c>
      <c r="T1495" s="16">
        <f t="shared" si="129"/>
        <v>0</v>
      </c>
      <c r="U1495" s="16">
        <f t="shared" si="129"/>
        <v>0.65606632200000004</v>
      </c>
      <c r="V1495" s="16">
        <f>MEDIAN(V1464:V1494)</f>
        <v>3</v>
      </c>
      <c r="W1495" s="16"/>
      <c r="X1495" s="16"/>
      <c r="Y1495" s="16"/>
      <c r="Z1495" s="16"/>
      <c r="AA1495" s="37"/>
    </row>
    <row r="1496" spans="1:27">
      <c r="A1496" s="16" t="s">
        <v>132</v>
      </c>
      <c r="B1496" s="16" t="s">
        <v>4973</v>
      </c>
      <c r="C1496" s="16" t="s">
        <v>4974</v>
      </c>
      <c r="D1496" s="16" t="s">
        <v>4975</v>
      </c>
      <c r="E1496" s="16" t="s">
        <v>4824</v>
      </c>
      <c r="F1496" s="16" t="s">
        <v>4825</v>
      </c>
      <c r="G1496" s="16" t="s">
        <v>4606</v>
      </c>
      <c r="H1496" s="16" t="s">
        <v>4607</v>
      </c>
      <c r="I1496" s="16" t="s">
        <v>198</v>
      </c>
      <c r="J1496" s="16" t="s">
        <v>199</v>
      </c>
      <c r="K1496" s="16">
        <v>2.5581689999999999</v>
      </c>
      <c r="L1496" s="36">
        <v>1703</v>
      </c>
      <c r="M1496" s="16">
        <v>294</v>
      </c>
      <c r="N1496" s="16">
        <v>340</v>
      </c>
      <c r="O1496" s="16">
        <v>401</v>
      </c>
      <c r="P1496" s="16">
        <v>431</v>
      </c>
      <c r="Q1496" s="16">
        <v>237</v>
      </c>
      <c r="R1496" s="16">
        <v>2</v>
      </c>
      <c r="S1496" s="16">
        <v>10.909000000000001</v>
      </c>
      <c r="T1496" s="16">
        <v>0</v>
      </c>
      <c r="U1496" s="16">
        <v>0.80515868999999995</v>
      </c>
      <c r="V1496" s="16">
        <v>4</v>
      </c>
      <c r="W1496" s="16">
        <v>0.83490200000000003</v>
      </c>
      <c r="X1496" s="16">
        <v>0.440137</v>
      </c>
      <c r="Y1496" s="16">
        <v>0.89888199999999996</v>
      </c>
      <c r="Z1496" s="16">
        <v>0.38584800000000002</v>
      </c>
      <c r="AA1496" s="37"/>
    </row>
    <row r="1497" spans="1:27">
      <c r="A1497" s="16" t="s">
        <v>132</v>
      </c>
      <c r="B1497" s="16" t="s">
        <v>4976</v>
      </c>
      <c r="C1497" s="16" t="s">
        <v>4977</v>
      </c>
      <c r="D1497" s="16" t="s">
        <v>4978</v>
      </c>
      <c r="E1497" s="16" t="s">
        <v>4824</v>
      </c>
      <c r="F1497" s="16" t="s">
        <v>4825</v>
      </c>
      <c r="G1497" s="16" t="s">
        <v>4606</v>
      </c>
      <c r="H1497" s="16" t="s">
        <v>4607</v>
      </c>
      <c r="I1497" s="16" t="s">
        <v>198</v>
      </c>
      <c r="J1497" s="16" t="s">
        <v>199</v>
      </c>
      <c r="K1497" s="16">
        <v>2.409834</v>
      </c>
      <c r="L1497" s="36">
        <v>2073</v>
      </c>
      <c r="M1497" s="16">
        <v>466</v>
      </c>
      <c r="N1497" s="16">
        <v>374</v>
      </c>
      <c r="O1497" s="16">
        <v>544</v>
      </c>
      <c r="P1497" s="16">
        <v>479</v>
      </c>
      <c r="Q1497" s="16">
        <v>210</v>
      </c>
      <c r="R1497" s="16">
        <v>2</v>
      </c>
      <c r="S1497" s="16">
        <v>12.076700000000001</v>
      </c>
      <c r="T1497" s="16">
        <v>0</v>
      </c>
      <c r="U1497" s="16">
        <v>0.81371578200000005</v>
      </c>
      <c r="V1497" s="16">
        <v>5</v>
      </c>
      <c r="W1497" s="16">
        <v>0.81149199999999999</v>
      </c>
      <c r="X1497" s="16">
        <v>0.27785100000000001</v>
      </c>
      <c r="Y1497" s="16">
        <v>0.9</v>
      </c>
      <c r="Z1497" s="16">
        <v>0.42593799999999998</v>
      </c>
      <c r="AA1497" s="37"/>
    </row>
    <row r="1498" spans="1:27">
      <c r="A1498" s="16" t="s">
        <v>132</v>
      </c>
      <c r="B1498" s="16" t="s">
        <v>4790</v>
      </c>
      <c r="C1498" s="16" t="s">
        <v>4791</v>
      </c>
      <c r="D1498" s="16" t="s">
        <v>4792</v>
      </c>
      <c r="E1498" s="16" t="s">
        <v>4793</v>
      </c>
      <c r="F1498" s="16" t="s">
        <v>4794</v>
      </c>
      <c r="G1498" s="16" t="s">
        <v>4795</v>
      </c>
      <c r="H1498" s="16" t="s">
        <v>4796</v>
      </c>
      <c r="I1498" s="16" t="s">
        <v>198</v>
      </c>
      <c r="J1498" s="16" t="s">
        <v>199</v>
      </c>
      <c r="K1498" s="16">
        <v>2.639891</v>
      </c>
      <c r="L1498" s="36">
        <v>2047</v>
      </c>
      <c r="M1498" s="16">
        <v>456</v>
      </c>
      <c r="N1498" s="16">
        <v>345</v>
      </c>
      <c r="O1498" s="16">
        <v>598</v>
      </c>
      <c r="P1498" s="16">
        <v>485</v>
      </c>
      <c r="Q1498" s="16">
        <v>163</v>
      </c>
      <c r="R1498" s="16">
        <v>2</v>
      </c>
      <c r="S1498" s="16">
        <v>20.158000000000001</v>
      </c>
      <c r="T1498" s="16">
        <v>0</v>
      </c>
      <c r="U1498" s="16">
        <v>0.65934987599999995</v>
      </c>
      <c r="V1498" s="16">
        <v>5</v>
      </c>
      <c r="W1498" s="16">
        <v>0.82306299999999999</v>
      </c>
      <c r="X1498" s="16">
        <v>0.42272900000000002</v>
      </c>
      <c r="Y1498" s="16">
        <v>0.87825699999999995</v>
      </c>
      <c r="Z1498" s="16">
        <v>0.51636700000000002</v>
      </c>
      <c r="AA1498" s="37"/>
    </row>
    <row r="1499" spans="1:27">
      <c r="A1499" s="16" t="s">
        <v>132</v>
      </c>
      <c r="B1499" s="16" t="s">
        <v>4797</v>
      </c>
      <c r="C1499" s="16" t="s">
        <v>4798</v>
      </c>
      <c r="D1499" s="16" t="s">
        <v>4799</v>
      </c>
      <c r="E1499" s="16" t="s">
        <v>4800</v>
      </c>
      <c r="F1499" s="16" t="s">
        <v>4801</v>
      </c>
      <c r="G1499" s="16" t="s">
        <v>4795</v>
      </c>
      <c r="H1499" s="16" t="s">
        <v>4796</v>
      </c>
      <c r="I1499" s="16" t="s">
        <v>198</v>
      </c>
      <c r="J1499" s="16" t="s">
        <v>199</v>
      </c>
      <c r="K1499" s="16">
        <v>2.77765</v>
      </c>
      <c r="L1499" s="36">
        <v>2266</v>
      </c>
      <c r="M1499" s="16">
        <v>360</v>
      </c>
      <c r="N1499" s="16">
        <v>391</v>
      </c>
      <c r="O1499" s="16">
        <v>695</v>
      </c>
      <c r="P1499" s="16">
        <v>573</v>
      </c>
      <c r="Q1499" s="16">
        <v>247</v>
      </c>
      <c r="R1499" s="16" t="s">
        <v>225</v>
      </c>
      <c r="S1499" s="16">
        <v>28.723500000000001</v>
      </c>
      <c r="T1499" s="16">
        <v>0</v>
      </c>
      <c r="U1499" s="16">
        <v>0.63467351900000002</v>
      </c>
      <c r="V1499" s="16">
        <v>4</v>
      </c>
      <c r="W1499" s="16">
        <v>0.82101299999999999</v>
      </c>
      <c r="X1499" s="16">
        <v>0.31345899999999999</v>
      </c>
      <c r="Y1499" s="16">
        <v>0.87710500000000002</v>
      </c>
      <c r="Z1499" s="16">
        <v>0.76575099999999996</v>
      </c>
      <c r="AA1499" s="37"/>
    </row>
    <row r="1500" spans="1:27">
      <c r="A1500" s="16" t="s">
        <v>132</v>
      </c>
      <c r="B1500" s="16" t="s">
        <v>4987</v>
      </c>
      <c r="C1500" s="16" t="s">
        <v>4988</v>
      </c>
      <c r="D1500" s="16" t="s">
        <v>4989</v>
      </c>
      <c r="E1500" s="16" t="s">
        <v>4800</v>
      </c>
      <c r="F1500" s="16" t="s">
        <v>4801</v>
      </c>
      <c r="G1500" s="16" t="s">
        <v>4795</v>
      </c>
      <c r="H1500" s="16" t="s">
        <v>4796</v>
      </c>
      <c r="I1500" s="16" t="s">
        <v>198</v>
      </c>
      <c r="J1500" s="16" t="s">
        <v>199</v>
      </c>
      <c r="K1500" s="16">
        <v>2.6840850000000001</v>
      </c>
      <c r="L1500" s="36">
        <v>1940</v>
      </c>
      <c r="M1500" s="16">
        <v>432</v>
      </c>
      <c r="N1500" s="16">
        <v>332</v>
      </c>
      <c r="O1500" s="16">
        <v>494</v>
      </c>
      <c r="P1500" s="16">
        <v>471</v>
      </c>
      <c r="Q1500" s="16">
        <v>211</v>
      </c>
      <c r="R1500" s="16" t="s">
        <v>225</v>
      </c>
      <c r="S1500" s="16">
        <v>6.4279900000000003</v>
      </c>
      <c r="T1500" s="16">
        <v>0</v>
      </c>
      <c r="U1500" s="16">
        <v>0.65955103000000004</v>
      </c>
      <c r="V1500" s="16">
        <v>4</v>
      </c>
      <c r="W1500" s="16">
        <v>0.82657800000000003</v>
      </c>
      <c r="X1500" s="16">
        <v>0.63693999999999995</v>
      </c>
      <c r="Y1500" s="16">
        <v>0.9</v>
      </c>
      <c r="Z1500" s="16">
        <v>0.32181100000000001</v>
      </c>
      <c r="AA1500" s="37"/>
    </row>
    <row r="1501" spans="1:27">
      <c r="A1501" s="16" t="s">
        <v>132</v>
      </c>
      <c r="B1501" s="16" t="s">
        <v>4990</v>
      </c>
      <c r="C1501" s="16" t="s">
        <v>4991</v>
      </c>
      <c r="D1501" s="16" t="s">
        <v>4992</v>
      </c>
      <c r="E1501" s="16" t="s">
        <v>4800</v>
      </c>
      <c r="F1501" s="16" t="s">
        <v>4801</v>
      </c>
      <c r="G1501" s="16" t="s">
        <v>4795</v>
      </c>
      <c r="H1501" s="16" t="s">
        <v>4796</v>
      </c>
      <c r="I1501" s="16" t="s">
        <v>198</v>
      </c>
      <c r="J1501" s="16" t="s">
        <v>199</v>
      </c>
      <c r="K1501" s="16">
        <v>2.6729850000000002</v>
      </c>
      <c r="L1501" s="36">
        <v>2351</v>
      </c>
      <c r="M1501" s="16">
        <v>465</v>
      </c>
      <c r="N1501" s="16">
        <v>437</v>
      </c>
      <c r="O1501" s="16">
        <v>717</v>
      </c>
      <c r="P1501" s="16">
        <v>571</v>
      </c>
      <c r="Q1501" s="16">
        <v>161</v>
      </c>
      <c r="R1501" s="16" t="s">
        <v>225</v>
      </c>
      <c r="S1501" s="16">
        <v>19.678899999999999</v>
      </c>
      <c r="T1501" s="16">
        <v>0</v>
      </c>
      <c r="U1501" s="16">
        <v>0.67743846799999996</v>
      </c>
      <c r="V1501" s="16">
        <v>4</v>
      </c>
      <c r="W1501" s="16">
        <v>0.83552300000000002</v>
      </c>
      <c r="X1501" s="16">
        <v>0.53065799999999996</v>
      </c>
      <c r="Y1501" s="16">
        <v>0.9</v>
      </c>
      <c r="Z1501" s="16">
        <v>0.41008800000000001</v>
      </c>
      <c r="AA1501" s="37"/>
    </row>
    <row r="1502" spans="1:27">
      <c r="A1502" s="16" t="s">
        <v>132</v>
      </c>
      <c r="B1502" s="16" t="s">
        <v>4993</v>
      </c>
      <c r="C1502" s="16" t="s">
        <v>4994</v>
      </c>
      <c r="D1502" s="16" t="s">
        <v>4995</v>
      </c>
      <c r="E1502" s="16" t="s">
        <v>4793</v>
      </c>
      <c r="F1502" s="16" t="s">
        <v>4794</v>
      </c>
      <c r="G1502" s="16" t="s">
        <v>4795</v>
      </c>
      <c r="H1502" s="16" t="s">
        <v>4796</v>
      </c>
      <c r="I1502" s="16" t="s">
        <v>198</v>
      </c>
      <c r="J1502" s="16" t="s">
        <v>199</v>
      </c>
      <c r="K1502" s="16">
        <v>2.5710500000000001</v>
      </c>
      <c r="L1502" s="36">
        <v>2419</v>
      </c>
      <c r="M1502" s="16">
        <v>576</v>
      </c>
      <c r="N1502" s="16">
        <v>372</v>
      </c>
      <c r="O1502" s="16">
        <v>675</v>
      </c>
      <c r="P1502" s="16">
        <v>502</v>
      </c>
      <c r="Q1502" s="16">
        <v>294</v>
      </c>
      <c r="R1502" s="16">
        <v>2</v>
      </c>
      <c r="S1502" s="16">
        <v>15.458600000000001</v>
      </c>
      <c r="T1502" s="16">
        <v>0</v>
      </c>
      <c r="U1502" s="16">
        <v>0.73809460299999996</v>
      </c>
      <c r="V1502" s="16">
        <v>5</v>
      </c>
      <c r="W1502" s="16">
        <v>0.83570699999999998</v>
      </c>
      <c r="X1502" s="16">
        <v>0.56684000000000001</v>
      </c>
      <c r="Y1502" s="16">
        <v>0.9</v>
      </c>
      <c r="Z1502" s="16">
        <v>0.27194000000000002</v>
      </c>
      <c r="AA1502" s="37"/>
    </row>
    <row r="1503" spans="1:27">
      <c r="A1503" s="16" t="s">
        <v>132</v>
      </c>
      <c r="B1503" s="16" t="s">
        <v>4996</v>
      </c>
      <c r="C1503" s="16" t="s">
        <v>4997</v>
      </c>
      <c r="D1503" s="16" t="s">
        <v>4998</v>
      </c>
      <c r="E1503" s="16" t="s">
        <v>4793</v>
      </c>
      <c r="F1503" s="16" t="s">
        <v>4794</v>
      </c>
      <c r="G1503" s="16" t="s">
        <v>4795</v>
      </c>
      <c r="H1503" s="16" t="s">
        <v>4796</v>
      </c>
      <c r="I1503" s="16" t="s">
        <v>198</v>
      </c>
      <c r="J1503" s="16" t="s">
        <v>199</v>
      </c>
      <c r="K1503" s="16">
        <v>2.5054129999999999</v>
      </c>
      <c r="L1503" s="36">
        <v>2309</v>
      </c>
      <c r="M1503" s="16">
        <v>497</v>
      </c>
      <c r="N1503" s="16">
        <v>360</v>
      </c>
      <c r="O1503" s="16">
        <v>729</v>
      </c>
      <c r="P1503" s="16">
        <v>556</v>
      </c>
      <c r="Q1503" s="16">
        <v>167</v>
      </c>
      <c r="R1503" s="16">
        <v>2</v>
      </c>
      <c r="S1503" s="16">
        <v>20.519600000000001</v>
      </c>
      <c r="T1503" s="16">
        <v>0</v>
      </c>
      <c r="U1503" s="16">
        <v>0.74221252400000004</v>
      </c>
      <c r="V1503" s="16">
        <v>5</v>
      </c>
      <c r="W1503" s="16">
        <v>0.82117799999999996</v>
      </c>
      <c r="X1503" s="16">
        <v>0.31491000000000002</v>
      </c>
      <c r="Y1503" s="16">
        <v>0.9</v>
      </c>
      <c r="Z1503" s="16">
        <v>0.46246399999999999</v>
      </c>
      <c r="AA1503" s="37"/>
    </row>
    <row r="1504" spans="1:27">
      <c r="A1504" s="16"/>
      <c r="B1504" s="16"/>
      <c r="C1504" s="16"/>
      <c r="D1504" s="16"/>
      <c r="E1504" s="16"/>
      <c r="F1504" s="16"/>
      <c r="G1504" s="16"/>
      <c r="H1504" s="16"/>
      <c r="I1504" s="16"/>
      <c r="J1504" s="16"/>
      <c r="K1504" s="16">
        <f>MEDIAN(K1496:K1503)</f>
        <v>2.6054705</v>
      </c>
      <c r="L1504" s="36">
        <f>AVERAGE(L1496:L1503)</f>
        <v>2138.5</v>
      </c>
      <c r="M1504" s="16">
        <f t="shared" ref="M1504:Q1504" si="130">SUM(M1496:M1503)</f>
        <v>3546</v>
      </c>
      <c r="N1504" s="16">
        <f t="shared" si="130"/>
        <v>2951</v>
      </c>
      <c r="O1504" s="16">
        <f t="shared" si="130"/>
        <v>4853</v>
      </c>
      <c r="P1504" s="16">
        <f t="shared" si="130"/>
        <v>4068</v>
      </c>
      <c r="Q1504" s="16">
        <f t="shared" si="130"/>
        <v>1690</v>
      </c>
      <c r="R1504" s="16"/>
      <c r="S1504" s="16">
        <f t="shared" ref="S1504:U1504" si="131">MIN(S1496:S1503)</f>
        <v>6.4279900000000003</v>
      </c>
      <c r="T1504" s="16">
        <f t="shared" si="131"/>
        <v>0</v>
      </c>
      <c r="U1504" s="16">
        <f t="shared" si="131"/>
        <v>0.63467351900000002</v>
      </c>
      <c r="V1504" s="16">
        <f>MEDIAN(V1496:V1503)</f>
        <v>4.5</v>
      </c>
      <c r="W1504" s="16"/>
      <c r="X1504" s="16"/>
      <c r="Y1504" s="16"/>
      <c r="Z1504" s="16"/>
      <c r="AA1504" s="37"/>
    </row>
    <row r="1505" spans="1:27">
      <c r="A1505" s="16" t="s">
        <v>133</v>
      </c>
      <c r="B1505" s="16" t="s">
        <v>4999</v>
      </c>
      <c r="C1505" s="16" t="s">
        <v>5000</v>
      </c>
      <c r="D1505" s="16" t="s">
        <v>5001</v>
      </c>
      <c r="E1505" s="16" t="s">
        <v>4579</v>
      </c>
      <c r="F1505" s="16" t="s">
        <v>4580</v>
      </c>
      <c r="G1505" s="16" t="s">
        <v>4517</v>
      </c>
      <c r="H1505" s="16" t="s">
        <v>4518</v>
      </c>
      <c r="I1505" s="16" t="s">
        <v>198</v>
      </c>
      <c r="J1505" s="16" t="s">
        <v>199</v>
      </c>
      <c r="K1505" s="16">
        <v>2.3107760000000002</v>
      </c>
      <c r="L1505" s="36">
        <v>1705</v>
      </c>
      <c r="M1505" s="16">
        <v>393</v>
      </c>
      <c r="N1505" s="16">
        <v>181</v>
      </c>
      <c r="O1505" s="16">
        <v>309</v>
      </c>
      <c r="P1505" s="16">
        <v>510</v>
      </c>
      <c r="Q1505" s="16">
        <v>312</v>
      </c>
      <c r="R1505" s="16">
        <v>2</v>
      </c>
      <c r="S1505" s="16">
        <v>9.3230299999999993</v>
      </c>
      <c r="T1505" s="16">
        <v>4.5760399999999999</v>
      </c>
      <c r="U1505" s="16">
        <v>0.59127428500000001</v>
      </c>
      <c r="V1505" s="16">
        <v>10</v>
      </c>
      <c r="W1505" s="16">
        <v>0.90430999999999995</v>
      </c>
      <c r="X1505" s="16">
        <v>0.14306199999999999</v>
      </c>
      <c r="Y1505" s="16">
        <v>0.8</v>
      </c>
      <c r="Z1505" s="16">
        <v>0.46139599999999997</v>
      </c>
      <c r="AA1505" s="37"/>
    </row>
    <row r="1506" spans="1:27">
      <c r="A1506" s="16" t="s">
        <v>133</v>
      </c>
      <c r="B1506" s="16" t="s">
        <v>5002</v>
      </c>
      <c r="C1506" s="16" t="s">
        <v>5003</v>
      </c>
      <c r="D1506" s="16" t="s">
        <v>5004</v>
      </c>
      <c r="E1506" s="16" t="s">
        <v>4579</v>
      </c>
      <c r="F1506" s="16" t="s">
        <v>4580</v>
      </c>
      <c r="G1506" s="16" t="s">
        <v>4517</v>
      </c>
      <c r="H1506" s="16" t="s">
        <v>4518</v>
      </c>
      <c r="I1506" s="16" t="s">
        <v>198</v>
      </c>
      <c r="J1506" s="16" t="s">
        <v>199</v>
      </c>
      <c r="K1506" s="16">
        <v>2.0686789999999999</v>
      </c>
      <c r="L1506" s="36">
        <v>1642</v>
      </c>
      <c r="M1506" s="16">
        <v>234</v>
      </c>
      <c r="N1506" s="16">
        <v>197</v>
      </c>
      <c r="O1506" s="16">
        <v>453</v>
      </c>
      <c r="P1506" s="16">
        <v>442</v>
      </c>
      <c r="Q1506" s="16">
        <v>316</v>
      </c>
      <c r="R1506" s="16" t="s">
        <v>225</v>
      </c>
      <c r="S1506" s="16">
        <v>12.092700000000001</v>
      </c>
      <c r="T1506" s="16">
        <v>0</v>
      </c>
      <c r="U1506" s="16">
        <v>0.76518609800000004</v>
      </c>
      <c r="V1506" s="16">
        <v>9</v>
      </c>
      <c r="W1506" s="16">
        <v>0.84271200000000002</v>
      </c>
      <c r="X1506" s="16">
        <v>0.123033</v>
      </c>
      <c r="Y1506" s="16">
        <v>0.8</v>
      </c>
      <c r="Z1506" s="16">
        <v>0.30294900000000002</v>
      </c>
      <c r="AA1506" s="37"/>
    </row>
    <row r="1507" spans="1:27">
      <c r="A1507" s="16" t="s">
        <v>133</v>
      </c>
      <c r="B1507" s="16" t="s">
        <v>5005</v>
      </c>
      <c r="C1507" s="16" t="s">
        <v>5006</v>
      </c>
      <c r="D1507" s="16" t="s">
        <v>5007</v>
      </c>
      <c r="E1507" s="16" t="s">
        <v>4579</v>
      </c>
      <c r="F1507" s="16" t="s">
        <v>4580</v>
      </c>
      <c r="G1507" s="16" t="s">
        <v>4517</v>
      </c>
      <c r="H1507" s="16" t="s">
        <v>4518</v>
      </c>
      <c r="I1507" s="16" t="s">
        <v>198</v>
      </c>
      <c r="J1507" s="16" t="s">
        <v>199</v>
      </c>
      <c r="K1507" s="16">
        <v>2.4605980000000001</v>
      </c>
      <c r="L1507" s="36">
        <v>1682</v>
      </c>
      <c r="M1507" s="16">
        <v>342</v>
      </c>
      <c r="N1507" s="16">
        <v>198</v>
      </c>
      <c r="O1507" s="16">
        <v>329</v>
      </c>
      <c r="P1507" s="16">
        <v>456</v>
      </c>
      <c r="Q1507" s="16">
        <v>357</v>
      </c>
      <c r="R1507" s="16">
        <v>2</v>
      </c>
      <c r="S1507" s="16">
        <v>12.8977</v>
      </c>
      <c r="T1507" s="16">
        <v>5.4862399999999996</v>
      </c>
      <c r="U1507" s="16">
        <v>0.52897313300000004</v>
      </c>
      <c r="V1507" s="16">
        <v>10</v>
      </c>
      <c r="W1507" s="16">
        <v>0.90502700000000003</v>
      </c>
      <c r="X1507" s="16">
        <v>0.21418799999999999</v>
      </c>
      <c r="Y1507" s="16">
        <v>0.8</v>
      </c>
      <c r="Z1507" s="16">
        <v>0.54864100000000005</v>
      </c>
      <c r="AA1507" s="37"/>
    </row>
    <row r="1508" spans="1:27">
      <c r="A1508" s="16" t="s">
        <v>133</v>
      </c>
      <c r="B1508" s="16" t="s">
        <v>5008</v>
      </c>
      <c r="C1508" s="16" t="s">
        <v>5009</v>
      </c>
      <c r="D1508" s="16" t="s">
        <v>5010</v>
      </c>
      <c r="E1508" s="16" t="s">
        <v>4574</v>
      </c>
      <c r="F1508" s="16" t="s">
        <v>4575</v>
      </c>
      <c r="G1508" s="16" t="s">
        <v>4517</v>
      </c>
      <c r="H1508" s="16" t="s">
        <v>4518</v>
      </c>
      <c r="I1508" s="16" t="s">
        <v>198</v>
      </c>
      <c r="J1508" s="16" t="s">
        <v>199</v>
      </c>
      <c r="K1508" s="16">
        <v>2.3339020000000001</v>
      </c>
      <c r="L1508" s="36">
        <v>2108</v>
      </c>
      <c r="M1508" s="16">
        <v>460</v>
      </c>
      <c r="N1508" s="16">
        <v>313</v>
      </c>
      <c r="O1508" s="16">
        <v>620</v>
      </c>
      <c r="P1508" s="16">
        <v>544</v>
      </c>
      <c r="Q1508" s="16">
        <v>171</v>
      </c>
      <c r="R1508" s="16" t="s">
        <v>225</v>
      </c>
      <c r="S1508" s="16">
        <v>6.2897699999999999</v>
      </c>
      <c r="T1508" s="16">
        <v>0</v>
      </c>
      <c r="U1508" s="16">
        <v>0.73763764700000001</v>
      </c>
      <c r="V1508" s="16">
        <v>6</v>
      </c>
      <c r="W1508" s="16">
        <v>0.90170600000000001</v>
      </c>
      <c r="X1508" s="16">
        <v>0.206538</v>
      </c>
      <c r="Y1508" s="16">
        <v>0.8</v>
      </c>
      <c r="Z1508" s="16">
        <v>0.42343799999999998</v>
      </c>
      <c r="AA1508" s="37"/>
    </row>
    <row r="1509" spans="1:27">
      <c r="A1509" s="16" t="s">
        <v>133</v>
      </c>
      <c r="B1509" s="16" t="s">
        <v>5011</v>
      </c>
      <c r="C1509" s="16" t="s">
        <v>5012</v>
      </c>
      <c r="D1509" s="16" t="s">
        <v>5013</v>
      </c>
      <c r="E1509" s="16" t="s">
        <v>4574</v>
      </c>
      <c r="F1509" s="16" t="s">
        <v>4575</v>
      </c>
      <c r="G1509" s="16" t="s">
        <v>4517</v>
      </c>
      <c r="H1509" s="16" t="s">
        <v>4518</v>
      </c>
      <c r="I1509" s="16" t="s">
        <v>198</v>
      </c>
      <c r="J1509" s="16" t="s">
        <v>199</v>
      </c>
      <c r="K1509" s="16">
        <v>2.2751519999999998</v>
      </c>
      <c r="L1509" s="36">
        <v>1534</v>
      </c>
      <c r="M1509" s="16">
        <v>339</v>
      </c>
      <c r="N1509" s="16">
        <v>186</v>
      </c>
      <c r="O1509" s="16">
        <v>326</v>
      </c>
      <c r="P1509" s="16">
        <v>432</v>
      </c>
      <c r="Q1509" s="16">
        <v>251</v>
      </c>
      <c r="R1509" s="16">
        <v>2</v>
      </c>
      <c r="S1509" s="16">
        <v>16.176600000000001</v>
      </c>
      <c r="T1509" s="16">
        <v>0</v>
      </c>
      <c r="U1509" s="16">
        <v>0.77260097800000005</v>
      </c>
      <c r="V1509" s="16">
        <v>7</v>
      </c>
      <c r="W1509" s="16">
        <v>0.90273800000000004</v>
      </c>
      <c r="X1509" s="16">
        <v>0.17294000000000001</v>
      </c>
      <c r="Y1509" s="16">
        <v>0.8</v>
      </c>
      <c r="Z1509" s="16">
        <v>0.39643899999999999</v>
      </c>
      <c r="AA1509" s="37"/>
    </row>
    <row r="1510" spans="1:27">
      <c r="A1510" s="16"/>
      <c r="B1510" s="16"/>
      <c r="C1510" s="16"/>
      <c r="D1510" s="16"/>
      <c r="E1510" s="16"/>
      <c r="F1510" s="16"/>
      <c r="G1510" s="16"/>
      <c r="H1510" s="16"/>
      <c r="I1510" s="16"/>
      <c r="J1510" s="16"/>
      <c r="K1510" s="16">
        <f>MEDIAN(K1505:K1509)</f>
        <v>2.3107760000000002</v>
      </c>
      <c r="L1510" s="36">
        <f>AVERAGE(L1505:L1509)</f>
        <v>1734.2</v>
      </c>
      <c r="M1510" s="16">
        <f t="shared" ref="M1510:Q1510" si="132">SUM(M1505:M1509)</f>
        <v>1768</v>
      </c>
      <c r="N1510" s="16">
        <f t="shared" si="132"/>
        <v>1075</v>
      </c>
      <c r="O1510" s="16">
        <f t="shared" si="132"/>
        <v>2037</v>
      </c>
      <c r="P1510" s="16">
        <f t="shared" si="132"/>
        <v>2384</v>
      </c>
      <c r="Q1510" s="16">
        <f t="shared" si="132"/>
        <v>1407</v>
      </c>
      <c r="R1510" s="16"/>
      <c r="S1510" s="16">
        <f t="shared" ref="S1510:U1510" si="133">MIN(S1505:S1509)</f>
        <v>6.2897699999999999</v>
      </c>
      <c r="T1510" s="16">
        <f t="shared" si="133"/>
        <v>0</v>
      </c>
      <c r="U1510" s="16">
        <f t="shared" si="133"/>
        <v>0.52897313300000004</v>
      </c>
      <c r="V1510" s="16">
        <f>MEDIAN(V1505:V1509)</f>
        <v>9</v>
      </c>
      <c r="W1510" s="16"/>
      <c r="X1510" s="16"/>
      <c r="Y1510" s="16"/>
      <c r="Z1510" s="16"/>
      <c r="AA1510" s="37"/>
    </row>
    <row r="1511" spans="1:27">
      <c r="A1511" s="16" t="s">
        <v>134</v>
      </c>
      <c r="B1511" s="16" t="s">
        <v>5014</v>
      </c>
      <c r="C1511" s="16" t="s">
        <v>5015</v>
      </c>
      <c r="D1511" s="16" t="s">
        <v>5016</v>
      </c>
      <c r="E1511" s="16" t="s">
        <v>5017</v>
      </c>
      <c r="F1511" s="16" t="s">
        <v>5018</v>
      </c>
      <c r="G1511" s="16" t="s">
        <v>4606</v>
      </c>
      <c r="H1511" s="16" t="s">
        <v>4607</v>
      </c>
      <c r="I1511" s="16" t="s">
        <v>198</v>
      </c>
      <c r="J1511" s="16" t="s">
        <v>199</v>
      </c>
      <c r="K1511" s="16">
        <v>2.3662290000000001</v>
      </c>
      <c r="L1511" s="36">
        <v>1557</v>
      </c>
      <c r="M1511" s="16">
        <v>279</v>
      </c>
      <c r="N1511" s="16">
        <v>292</v>
      </c>
      <c r="O1511" s="16">
        <v>342</v>
      </c>
      <c r="P1511" s="16">
        <v>430</v>
      </c>
      <c r="Q1511" s="16">
        <v>214</v>
      </c>
      <c r="R1511" s="16" t="s">
        <v>225</v>
      </c>
      <c r="S1511" s="16">
        <v>9.6457899999999999</v>
      </c>
      <c r="T1511" s="16">
        <v>0</v>
      </c>
      <c r="U1511" s="16">
        <v>0.69794097799999999</v>
      </c>
      <c r="V1511" s="16">
        <v>7</v>
      </c>
      <c r="W1511" s="16">
        <v>0.91243700000000005</v>
      </c>
      <c r="X1511" s="16">
        <v>0.214534</v>
      </c>
      <c r="Y1511" s="16">
        <v>0.8</v>
      </c>
      <c r="Z1511" s="16">
        <v>0.43932900000000003</v>
      </c>
      <c r="AA1511" s="37"/>
    </row>
    <row r="1512" spans="1:27">
      <c r="A1512" s="16" t="s">
        <v>134</v>
      </c>
      <c r="B1512" s="16" t="s">
        <v>5019</v>
      </c>
      <c r="C1512" s="16" t="s">
        <v>5020</v>
      </c>
      <c r="D1512" s="16" t="s">
        <v>5021</v>
      </c>
      <c r="E1512" s="16" t="s">
        <v>5017</v>
      </c>
      <c r="F1512" s="16" t="s">
        <v>5018</v>
      </c>
      <c r="G1512" s="16" t="s">
        <v>4606</v>
      </c>
      <c r="H1512" s="16" t="s">
        <v>4607</v>
      </c>
      <c r="I1512" s="16" t="s">
        <v>198</v>
      </c>
      <c r="J1512" s="16" t="s">
        <v>199</v>
      </c>
      <c r="K1512" s="16">
        <v>2.1535500000000001</v>
      </c>
      <c r="L1512" s="36">
        <v>1427</v>
      </c>
      <c r="M1512" s="16">
        <v>289</v>
      </c>
      <c r="N1512" s="16">
        <v>214</v>
      </c>
      <c r="O1512" s="16">
        <v>244</v>
      </c>
      <c r="P1512" s="16">
        <v>398</v>
      </c>
      <c r="Q1512" s="16">
        <v>282</v>
      </c>
      <c r="R1512" s="16">
        <v>2</v>
      </c>
      <c r="S1512" s="16">
        <v>10.9099</v>
      </c>
      <c r="T1512" s="16">
        <v>2.1619899999999999</v>
      </c>
      <c r="U1512" s="16">
        <v>0.83098495999999999</v>
      </c>
      <c r="V1512" s="16">
        <v>8</v>
      </c>
      <c r="W1512" s="16">
        <v>0.90140500000000001</v>
      </c>
      <c r="X1512" s="16">
        <v>0.13797200000000001</v>
      </c>
      <c r="Y1512" s="16">
        <v>0.8</v>
      </c>
      <c r="Z1512" s="16">
        <v>0.30865999999999999</v>
      </c>
      <c r="AA1512" s="37"/>
    </row>
    <row r="1513" spans="1:27">
      <c r="A1513" s="16" t="s">
        <v>134</v>
      </c>
      <c r="B1513" s="16" t="s">
        <v>5022</v>
      </c>
      <c r="C1513" s="16" t="s">
        <v>5023</v>
      </c>
      <c r="D1513" s="16" t="s">
        <v>5024</v>
      </c>
      <c r="E1513" s="16" t="s">
        <v>5025</v>
      </c>
      <c r="F1513" s="16" t="s">
        <v>5026</v>
      </c>
      <c r="G1513" s="16" t="s">
        <v>4606</v>
      </c>
      <c r="H1513" s="16" t="s">
        <v>4607</v>
      </c>
      <c r="I1513" s="16" t="s">
        <v>198</v>
      </c>
      <c r="J1513" s="16" t="s">
        <v>199</v>
      </c>
      <c r="K1513" s="16">
        <v>2.1393049999999998</v>
      </c>
      <c r="L1513" s="36">
        <v>1728</v>
      </c>
      <c r="M1513" s="16">
        <v>321</v>
      </c>
      <c r="N1513" s="16">
        <v>192</v>
      </c>
      <c r="O1513" s="16">
        <v>309</v>
      </c>
      <c r="P1513" s="16">
        <v>490</v>
      </c>
      <c r="Q1513" s="16">
        <v>416</v>
      </c>
      <c r="R1513" s="16">
        <v>2</v>
      </c>
      <c r="S1513" s="16">
        <v>8.1696500000000007</v>
      </c>
      <c r="T1513" s="16">
        <v>2.2343199999999999</v>
      </c>
      <c r="U1513" s="16">
        <v>0.79877648000000001</v>
      </c>
      <c r="V1513" s="16">
        <v>8</v>
      </c>
      <c r="W1513" s="16">
        <v>0.90276299999999998</v>
      </c>
      <c r="X1513" s="16">
        <v>8.7857000000000005E-2</v>
      </c>
      <c r="Y1513" s="16">
        <v>0.8</v>
      </c>
      <c r="Z1513" s="16">
        <v>0.34062500000000001</v>
      </c>
      <c r="AA1513" s="37"/>
    </row>
    <row r="1514" spans="1:27">
      <c r="A1514" s="16" t="s">
        <v>134</v>
      </c>
      <c r="B1514" s="16" t="s">
        <v>5027</v>
      </c>
      <c r="C1514" s="16" t="s">
        <v>5028</v>
      </c>
      <c r="D1514" s="16" t="s">
        <v>5029</v>
      </c>
      <c r="E1514" s="16" t="s">
        <v>5030</v>
      </c>
      <c r="F1514" s="16" t="s">
        <v>5031</v>
      </c>
      <c r="G1514" s="16" t="s">
        <v>4606</v>
      </c>
      <c r="H1514" s="16" t="s">
        <v>4607</v>
      </c>
      <c r="I1514" s="16" t="s">
        <v>198</v>
      </c>
      <c r="J1514" s="16" t="s">
        <v>199</v>
      </c>
      <c r="K1514" s="16">
        <v>2.5354990000000002</v>
      </c>
      <c r="L1514" s="36">
        <v>2014</v>
      </c>
      <c r="M1514" s="16">
        <v>393</v>
      </c>
      <c r="N1514" s="16">
        <v>307</v>
      </c>
      <c r="O1514" s="16">
        <v>509</v>
      </c>
      <c r="P1514" s="16">
        <v>476</v>
      </c>
      <c r="Q1514" s="16">
        <v>329</v>
      </c>
      <c r="R1514" s="16">
        <v>2</v>
      </c>
      <c r="S1514" s="16">
        <v>18.1204</v>
      </c>
      <c r="T1514" s="16">
        <v>0</v>
      </c>
      <c r="U1514" s="16">
        <v>0.58950644100000005</v>
      </c>
      <c r="V1514" s="16">
        <v>8</v>
      </c>
      <c r="W1514" s="16">
        <v>0.92551499999999998</v>
      </c>
      <c r="X1514" s="16">
        <v>0.34800599999999998</v>
      </c>
      <c r="Y1514" s="16">
        <v>0.8</v>
      </c>
      <c r="Z1514" s="16">
        <v>0.46395500000000001</v>
      </c>
      <c r="AA1514" s="37"/>
    </row>
    <row r="1515" spans="1:27">
      <c r="A1515" s="16" t="s">
        <v>134</v>
      </c>
      <c r="B1515" s="16" t="s">
        <v>5032</v>
      </c>
      <c r="C1515" s="16" t="s">
        <v>5033</v>
      </c>
      <c r="D1515" s="16" t="s">
        <v>5034</v>
      </c>
      <c r="E1515" s="16" t="s">
        <v>5017</v>
      </c>
      <c r="F1515" s="16" t="s">
        <v>5018</v>
      </c>
      <c r="G1515" s="16" t="s">
        <v>4606</v>
      </c>
      <c r="H1515" s="16" t="s">
        <v>4607</v>
      </c>
      <c r="I1515" s="16" t="s">
        <v>198</v>
      </c>
      <c r="J1515" s="16" t="s">
        <v>199</v>
      </c>
      <c r="K1515" s="16">
        <v>2.2010890000000001</v>
      </c>
      <c r="L1515" s="36">
        <v>1325</v>
      </c>
      <c r="M1515" s="16">
        <v>232</v>
      </c>
      <c r="N1515" s="16">
        <v>171</v>
      </c>
      <c r="O1515" s="16">
        <v>254</v>
      </c>
      <c r="P1515" s="16">
        <v>429</v>
      </c>
      <c r="Q1515" s="16">
        <v>239</v>
      </c>
      <c r="R1515" s="16" t="s">
        <v>225</v>
      </c>
      <c r="S1515" s="16">
        <v>5.4122000000000003</v>
      </c>
      <c r="T1515" s="16">
        <v>0</v>
      </c>
      <c r="U1515" s="16">
        <v>0.68346608200000003</v>
      </c>
      <c r="V1515" s="16">
        <v>10</v>
      </c>
      <c r="W1515" s="16">
        <v>0.90637599999999996</v>
      </c>
      <c r="X1515" s="16">
        <v>9.7806000000000004E-2</v>
      </c>
      <c r="Y1515" s="16">
        <v>0.8</v>
      </c>
      <c r="Z1515" s="16">
        <v>0.41743799999999998</v>
      </c>
      <c r="AA1515" s="37"/>
    </row>
    <row r="1516" spans="1:27">
      <c r="A1516" s="16" t="s">
        <v>134</v>
      </c>
      <c r="B1516" s="16" t="s">
        <v>5035</v>
      </c>
      <c r="C1516" s="16" t="s">
        <v>5036</v>
      </c>
      <c r="D1516" s="16" t="s">
        <v>5037</v>
      </c>
      <c r="E1516" s="16" t="s">
        <v>5017</v>
      </c>
      <c r="F1516" s="16" t="s">
        <v>5018</v>
      </c>
      <c r="G1516" s="16" t="s">
        <v>4606</v>
      </c>
      <c r="H1516" s="16" t="s">
        <v>4607</v>
      </c>
      <c r="I1516" s="16" t="s">
        <v>198</v>
      </c>
      <c r="J1516" s="16" t="s">
        <v>199</v>
      </c>
      <c r="K1516" s="16">
        <v>2.1185010000000002</v>
      </c>
      <c r="L1516" s="36">
        <v>1573</v>
      </c>
      <c r="M1516" s="16">
        <v>370</v>
      </c>
      <c r="N1516" s="16">
        <v>297</v>
      </c>
      <c r="O1516" s="16">
        <v>324</v>
      </c>
      <c r="P1516" s="16">
        <v>381</v>
      </c>
      <c r="Q1516" s="16">
        <v>201</v>
      </c>
      <c r="R1516" s="16" t="s">
        <v>214</v>
      </c>
      <c r="S1516" s="16">
        <v>9.2457899999999995</v>
      </c>
      <c r="T1516" s="16">
        <v>0</v>
      </c>
      <c r="U1516" s="16">
        <v>1.125197856</v>
      </c>
      <c r="V1516" s="16">
        <v>3</v>
      </c>
      <c r="W1516" s="16">
        <v>0.90238600000000002</v>
      </c>
      <c r="X1516" s="16">
        <v>0.132159</v>
      </c>
      <c r="Y1516" s="16">
        <v>0.8</v>
      </c>
      <c r="Z1516" s="16">
        <v>0.29232399999999997</v>
      </c>
      <c r="AA1516" s="37"/>
    </row>
    <row r="1517" spans="1:27">
      <c r="A1517" s="16"/>
      <c r="B1517" s="16"/>
      <c r="C1517" s="16"/>
      <c r="D1517" s="16"/>
      <c r="E1517" s="16"/>
      <c r="F1517" s="16"/>
      <c r="G1517" s="16"/>
      <c r="H1517" s="16"/>
      <c r="I1517" s="16"/>
      <c r="J1517" s="16"/>
      <c r="K1517" s="16">
        <f>MAX(K1511:K1516)</f>
        <v>2.5354990000000002</v>
      </c>
      <c r="L1517" s="36">
        <f>AVERAGE(L1511:L1516)</f>
        <v>1604</v>
      </c>
      <c r="M1517" s="16">
        <f t="shared" ref="M1517:Q1517" si="134">SUM(M1511:M1516)</f>
        <v>1884</v>
      </c>
      <c r="N1517" s="16">
        <f t="shared" si="134"/>
        <v>1473</v>
      </c>
      <c r="O1517" s="16">
        <f t="shared" si="134"/>
        <v>1982</v>
      </c>
      <c r="P1517" s="16">
        <f t="shared" si="134"/>
        <v>2604</v>
      </c>
      <c r="Q1517" s="16">
        <f t="shared" si="134"/>
        <v>1681</v>
      </c>
      <c r="R1517" s="16"/>
      <c r="S1517" s="16">
        <f t="shared" ref="S1517:U1517" si="135">MEDIAN(S1511:S1516)</f>
        <v>9.4457899999999988</v>
      </c>
      <c r="T1517" s="16">
        <f t="shared" si="135"/>
        <v>0</v>
      </c>
      <c r="U1517" s="16">
        <f t="shared" si="135"/>
        <v>0.748358729</v>
      </c>
      <c r="V1517" s="16">
        <f>MAX(V1511:V1516)</f>
        <v>10</v>
      </c>
      <c r="W1517" s="16"/>
      <c r="X1517" s="16"/>
      <c r="Y1517" s="16"/>
      <c r="Z1517" s="16"/>
      <c r="AA1517" s="37"/>
    </row>
    <row r="1518" spans="1:27">
      <c r="A1518" s="16" t="s">
        <v>135</v>
      </c>
      <c r="B1518" s="16" t="s">
        <v>5027</v>
      </c>
      <c r="C1518" s="16" t="s">
        <v>5028</v>
      </c>
      <c r="D1518" s="16" t="s">
        <v>5029</v>
      </c>
      <c r="E1518" s="16" t="s">
        <v>5030</v>
      </c>
      <c r="F1518" s="16" t="s">
        <v>5031</v>
      </c>
      <c r="G1518" s="16" t="s">
        <v>4606</v>
      </c>
      <c r="H1518" s="16" t="s">
        <v>4607</v>
      </c>
      <c r="I1518" s="16" t="s">
        <v>198</v>
      </c>
      <c r="J1518" s="16" t="s">
        <v>199</v>
      </c>
      <c r="K1518" s="16">
        <v>2.5354990000000002</v>
      </c>
      <c r="L1518" s="36">
        <v>2014</v>
      </c>
      <c r="M1518" s="16">
        <v>393</v>
      </c>
      <c r="N1518" s="16">
        <v>307</v>
      </c>
      <c r="O1518" s="16">
        <v>509</v>
      </c>
      <c r="P1518" s="16">
        <v>476</v>
      </c>
      <c r="Q1518" s="16">
        <v>329</v>
      </c>
      <c r="R1518" s="16">
        <v>2</v>
      </c>
      <c r="S1518" s="16">
        <v>18.1204</v>
      </c>
      <c r="T1518" s="16">
        <v>0</v>
      </c>
      <c r="U1518" s="16">
        <v>0.58950644100000005</v>
      </c>
      <c r="V1518" s="16">
        <v>8</v>
      </c>
      <c r="W1518" s="16">
        <v>0.92551499999999998</v>
      </c>
      <c r="X1518" s="16">
        <v>0.34800599999999998</v>
      </c>
      <c r="Y1518" s="16">
        <v>0.8</v>
      </c>
      <c r="Z1518" s="16">
        <v>0.46395500000000001</v>
      </c>
      <c r="AA1518" s="37"/>
    </row>
    <row r="1519" spans="1:27">
      <c r="A1519" s="16" t="s">
        <v>135</v>
      </c>
      <c r="B1519" s="16" t="s">
        <v>5038</v>
      </c>
      <c r="C1519" s="16" t="s">
        <v>5039</v>
      </c>
      <c r="D1519" s="16" t="s">
        <v>5040</v>
      </c>
      <c r="E1519" s="16" t="s">
        <v>5025</v>
      </c>
      <c r="F1519" s="16" t="s">
        <v>5026</v>
      </c>
      <c r="G1519" s="16" t="s">
        <v>4606</v>
      </c>
      <c r="H1519" s="16" t="s">
        <v>4607</v>
      </c>
      <c r="I1519" s="16" t="s">
        <v>198</v>
      </c>
      <c r="J1519" s="16" t="s">
        <v>199</v>
      </c>
      <c r="K1519" s="16">
        <v>2.2100900000000001</v>
      </c>
      <c r="L1519" s="36">
        <v>1658</v>
      </c>
      <c r="M1519" s="16">
        <v>322</v>
      </c>
      <c r="N1519" s="16">
        <v>321</v>
      </c>
      <c r="O1519" s="16">
        <v>325</v>
      </c>
      <c r="P1519" s="16">
        <v>463</v>
      </c>
      <c r="Q1519" s="16">
        <v>227</v>
      </c>
      <c r="R1519" s="16">
        <v>2</v>
      </c>
      <c r="S1519" s="16">
        <v>9.7421600000000002</v>
      </c>
      <c r="T1519" s="16">
        <v>3.1728700000000001</v>
      </c>
      <c r="U1519" s="16">
        <v>0.95944027600000004</v>
      </c>
      <c r="V1519" s="16">
        <v>4</v>
      </c>
      <c r="W1519" s="16">
        <v>0.90720699999999999</v>
      </c>
      <c r="X1519" s="16">
        <v>0.118214</v>
      </c>
      <c r="Y1519" s="16">
        <v>0.8</v>
      </c>
      <c r="Z1519" s="16">
        <v>0.38838499999999998</v>
      </c>
      <c r="AA1519" s="37"/>
    </row>
    <row r="1520" spans="1:27">
      <c r="A1520" s="16" t="s">
        <v>135</v>
      </c>
      <c r="B1520" s="16" t="s">
        <v>5014</v>
      </c>
      <c r="C1520" s="16" t="s">
        <v>5015</v>
      </c>
      <c r="D1520" s="16" t="s">
        <v>5016</v>
      </c>
      <c r="E1520" s="16" t="s">
        <v>5017</v>
      </c>
      <c r="F1520" s="16" t="s">
        <v>5018</v>
      </c>
      <c r="G1520" s="16" t="s">
        <v>4606</v>
      </c>
      <c r="H1520" s="16" t="s">
        <v>4607</v>
      </c>
      <c r="I1520" s="16" t="s">
        <v>198</v>
      </c>
      <c r="J1520" s="16" t="s">
        <v>199</v>
      </c>
      <c r="K1520" s="16">
        <v>2.3662290000000001</v>
      </c>
      <c r="L1520" s="36">
        <v>1557</v>
      </c>
      <c r="M1520" s="16">
        <v>279</v>
      </c>
      <c r="N1520" s="16">
        <v>292</v>
      </c>
      <c r="O1520" s="16">
        <v>342</v>
      </c>
      <c r="P1520" s="16">
        <v>430</v>
      </c>
      <c r="Q1520" s="16">
        <v>214</v>
      </c>
      <c r="R1520" s="16" t="s">
        <v>225</v>
      </c>
      <c r="S1520" s="16">
        <v>9.6457899999999999</v>
      </c>
      <c r="T1520" s="16">
        <v>0</v>
      </c>
      <c r="U1520" s="16">
        <v>0.69794097799999999</v>
      </c>
      <c r="V1520" s="16">
        <v>7</v>
      </c>
      <c r="W1520" s="16">
        <v>0.91243700000000005</v>
      </c>
      <c r="X1520" s="16">
        <v>0.214534</v>
      </c>
      <c r="Y1520" s="16">
        <v>0.8</v>
      </c>
      <c r="Z1520" s="16">
        <v>0.43932900000000003</v>
      </c>
      <c r="AA1520" s="37"/>
    </row>
    <row r="1521" spans="1:27">
      <c r="A1521" s="16" t="s">
        <v>135</v>
      </c>
      <c r="B1521" s="16" t="s">
        <v>5041</v>
      </c>
      <c r="C1521" s="16" t="s">
        <v>5042</v>
      </c>
      <c r="D1521" s="16" t="s">
        <v>5043</v>
      </c>
      <c r="E1521" s="16" t="s">
        <v>5025</v>
      </c>
      <c r="F1521" s="16" t="s">
        <v>5026</v>
      </c>
      <c r="G1521" s="16" t="s">
        <v>4606</v>
      </c>
      <c r="H1521" s="16" t="s">
        <v>4607</v>
      </c>
      <c r="I1521" s="16" t="s">
        <v>198</v>
      </c>
      <c r="J1521" s="16" t="s">
        <v>199</v>
      </c>
      <c r="K1521" s="16">
        <v>2.7947519999999999</v>
      </c>
      <c r="L1521" s="36">
        <v>1460</v>
      </c>
      <c r="M1521" s="16">
        <v>267</v>
      </c>
      <c r="N1521" s="16">
        <v>236</v>
      </c>
      <c r="O1521" s="16">
        <v>423</v>
      </c>
      <c r="P1521" s="16">
        <v>340</v>
      </c>
      <c r="Q1521" s="16">
        <v>194</v>
      </c>
      <c r="R1521" s="16">
        <v>3</v>
      </c>
      <c r="S1521" s="16">
        <v>17.836300000000001</v>
      </c>
      <c r="T1521" s="16">
        <v>8.8363300000000002</v>
      </c>
      <c r="U1521" s="16">
        <v>0.70358996500000004</v>
      </c>
      <c r="V1521" s="16">
        <v>4</v>
      </c>
      <c r="W1521" s="16">
        <v>0.92274100000000003</v>
      </c>
      <c r="X1521" s="16">
        <v>0.362178</v>
      </c>
      <c r="Y1521" s="16">
        <v>0.8</v>
      </c>
      <c r="Z1521" s="16">
        <v>0.73852899999999999</v>
      </c>
      <c r="AA1521" s="37"/>
    </row>
    <row r="1522" spans="1:27">
      <c r="A1522" s="16" t="s">
        <v>135</v>
      </c>
      <c r="B1522" s="16" t="s">
        <v>5044</v>
      </c>
      <c r="C1522" s="16" t="s">
        <v>5045</v>
      </c>
      <c r="D1522" s="16" t="s">
        <v>5046</v>
      </c>
      <c r="E1522" s="16" t="s">
        <v>5025</v>
      </c>
      <c r="F1522" s="16" t="s">
        <v>5026</v>
      </c>
      <c r="G1522" s="16" t="s">
        <v>4606</v>
      </c>
      <c r="H1522" s="16" t="s">
        <v>4607</v>
      </c>
      <c r="I1522" s="16" t="s">
        <v>198</v>
      </c>
      <c r="J1522" s="16" t="s">
        <v>199</v>
      </c>
      <c r="K1522" s="16">
        <v>2.5848589999999998</v>
      </c>
      <c r="L1522" s="36">
        <v>1879</v>
      </c>
      <c r="M1522" s="16">
        <v>309</v>
      </c>
      <c r="N1522" s="16">
        <v>331</v>
      </c>
      <c r="O1522" s="16">
        <v>558</v>
      </c>
      <c r="P1522" s="16">
        <v>474</v>
      </c>
      <c r="Q1522" s="16">
        <v>207</v>
      </c>
      <c r="R1522" s="16">
        <v>2</v>
      </c>
      <c r="S1522" s="16">
        <v>15.711499999999999</v>
      </c>
      <c r="T1522" s="16">
        <v>2.6915399999999998</v>
      </c>
      <c r="U1522" s="16">
        <v>0.55327973100000005</v>
      </c>
      <c r="V1522" s="16">
        <v>7</v>
      </c>
      <c r="W1522" s="16">
        <v>0.91214799999999996</v>
      </c>
      <c r="X1522" s="16">
        <v>0.23066</v>
      </c>
      <c r="Y1522" s="16">
        <v>0.8</v>
      </c>
      <c r="Z1522" s="16">
        <v>0.64531000000000005</v>
      </c>
      <c r="AA1522" s="37"/>
    </row>
    <row r="1523" spans="1:27">
      <c r="A1523" s="16" t="s">
        <v>135</v>
      </c>
      <c r="B1523" s="16" t="s">
        <v>5047</v>
      </c>
      <c r="C1523" s="16" t="s">
        <v>5048</v>
      </c>
      <c r="D1523" s="16" t="s">
        <v>5049</v>
      </c>
      <c r="E1523" s="16" t="s">
        <v>5025</v>
      </c>
      <c r="F1523" s="16" t="s">
        <v>5026</v>
      </c>
      <c r="G1523" s="16" t="s">
        <v>4606</v>
      </c>
      <c r="H1523" s="16" t="s">
        <v>4607</v>
      </c>
      <c r="I1523" s="16" t="s">
        <v>198</v>
      </c>
      <c r="J1523" s="16" t="s">
        <v>199</v>
      </c>
      <c r="K1523" s="16">
        <v>2.355426</v>
      </c>
      <c r="L1523" s="36">
        <v>1671</v>
      </c>
      <c r="M1523" s="16">
        <v>398</v>
      </c>
      <c r="N1523" s="16">
        <v>278</v>
      </c>
      <c r="O1523" s="16">
        <v>367</v>
      </c>
      <c r="P1523" s="16">
        <v>427</v>
      </c>
      <c r="Q1523" s="16">
        <v>201</v>
      </c>
      <c r="R1523" s="16" t="s">
        <v>225</v>
      </c>
      <c r="S1523" s="16">
        <v>11.4192</v>
      </c>
      <c r="T1523" s="16">
        <v>0</v>
      </c>
      <c r="U1523" s="16">
        <v>0.66678568599999999</v>
      </c>
      <c r="V1523" s="16">
        <v>7</v>
      </c>
      <c r="W1523" s="16">
        <v>0.90697700000000003</v>
      </c>
      <c r="X1523" s="16">
        <v>0.183529</v>
      </c>
      <c r="Y1523" s="16">
        <v>0.8</v>
      </c>
      <c r="Z1523" s="16">
        <v>0.47499999999999998</v>
      </c>
      <c r="AA1523" s="37"/>
    </row>
    <row r="1524" spans="1:27">
      <c r="A1524" s="16" t="s">
        <v>135</v>
      </c>
      <c r="B1524" s="16" t="s">
        <v>5050</v>
      </c>
      <c r="C1524" s="16" t="s">
        <v>5051</v>
      </c>
      <c r="D1524" s="16" t="s">
        <v>5052</v>
      </c>
      <c r="E1524" s="16" t="s">
        <v>5053</v>
      </c>
      <c r="F1524" s="16" t="s">
        <v>5054</v>
      </c>
      <c r="G1524" s="16" t="s">
        <v>4606</v>
      </c>
      <c r="H1524" s="16" t="s">
        <v>4607</v>
      </c>
      <c r="I1524" s="16" t="s">
        <v>198</v>
      </c>
      <c r="J1524" s="16" t="s">
        <v>199</v>
      </c>
      <c r="K1524" s="16">
        <v>2.5726260000000001</v>
      </c>
      <c r="L1524" s="36">
        <v>1689</v>
      </c>
      <c r="M1524" s="16">
        <v>278</v>
      </c>
      <c r="N1524" s="16">
        <v>265</v>
      </c>
      <c r="O1524" s="16">
        <v>505</v>
      </c>
      <c r="P1524" s="16">
        <v>440</v>
      </c>
      <c r="Q1524" s="16">
        <v>201</v>
      </c>
      <c r="R1524" s="16">
        <v>3</v>
      </c>
      <c r="S1524" s="16">
        <v>18.751000000000001</v>
      </c>
      <c r="T1524" s="16">
        <v>10.344799999999999</v>
      </c>
      <c r="U1524" s="16">
        <v>0.58891285999999998</v>
      </c>
      <c r="V1524" s="16">
        <v>7</v>
      </c>
      <c r="W1524" s="16">
        <v>0.91396599999999995</v>
      </c>
      <c r="X1524" s="16">
        <v>0.28534300000000001</v>
      </c>
      <c r="Y1524" s="16">
        <v>0.8</v>
      </c>
      <c r="Z1524" s="16">
        <v>0.56654300000000002</v>
      </c>
      <c r="AA1524" s="37"/>
    </row>
    <row r="1525" spans="1:27">
      <c r="A1525" s="16" t="s">
        <v>135</v>
      </c>
      <c r="B1525" s="16" t="s">
        <v>5055</v>
      </c>
      <c r="C1525" s="16" t="s">
        <v>5056</v>
      </c>
      <c r="D1525" s="16" t="s">
        <v>5057</v>
      </c>
      <c r="E1525" s="16" t="s">
        <v>5017</v>
      </c>
      <c r="F1525" s="16" t="s">
        <v>5018</v>
      </c>
      <c r="G1525" s="16" t="s">
        <v>4606</v>
      </c>
      <c r="H1525" s="16" t="s">
        <v>4607</v>
      </c>
      <c r="I1525" s="16" t="s">
        <v>198</v>
      </c>
      <c r="J1525" s="16" t="s">
        <v>199</v>
      </c>
      <c r="K1525" s="16">
        <v>2.3965000000000001</v>
      </c>
      <c r="L1525" s="36">
        <v>1622</v>
      </c>
      <c r="M1525" s="16">
        <v>311</v>
      </c>
      <c r="N1525" s="16">
        <v>226</v>
      </c>
      <c r="O1525" s="16">
        <v>343</v>
      </c>
      <c r="P1525" s="16">
        <v>457</v>
      </c>
      <c r="Q1525" s="16">
        <v>285</v>
      </c>
      <c r="R1525" s="16">
        <v>3</v>
      </c>
      <c r="S1525" s="16">
        <v>17.506599999999999</v>
      </c>
      <c r="T1525" s="16">
        <v>1.9488399999999999</v>
      </c>
      <c r="U1525" s="16">
        <v>0.81322929799999999</v>
      </c>
      <c r="V1525" s="16">
        <v>5</v>
      </c>
      <c r="W1525" s="16">
        <v>0.91149999999999998</v>
      </c>
      <c r="X1525" s="16">
        <v>0.17871300000000001</v>
      </c>
      <c r="Y1525" s="16">
        <v>0.8</v>
      </c>
      <c r="Z1525" s="16">
        <v>0.5</v>
      </c>
      <c r="AA1525" s="37"/>
    </row>
    <row r="1526" spans="1:27">
      <c r="A1526" s="16" t="s">
        <v>135</v>
      </c>
      <c r="B1526" s="16" t="s">
        <v>5058</v>
      </c>
      <c r="C1526" s="16" t="s">
        <v>5059</v>
      </c>
      <c r="D1526" s="16" t="s">
        <v>5060</v>
      </c>
      <c r="E1526" s="16" t="s">
        <v>5017</v>
      </c>
      <c r="F1526" s="16" t="s">
        <v>5018</v>
      </c>
      <c r="G1526" s="16" t="s">
        <v>4606</v>
      </c>
      <c r="H1526" s="16" t="s">
        <v>4607</v>
      </c>
      <c r="I1526" s="16" t="s">
        <v>198</v>
      </c>
      <c r="J1526" s="16" t="s">
        <v>199</v>
      </c>
      <c r="K1526" s="16">
        <v>2.4209619999999998</v>
      </c>
      <c r="L1526" s="36">
        <v>1460</v>
      </c>
      <c r="M1526" s="16">
        <v>264</v>
      </c>
      <c r="N1526" s="16">
        <v>275</v>
      </c>
      <c r="O1526" s="16">
        <v>282</v>
      </c>
      <c r="P1526" s="16">
        <v>428</v>
      </c>
      <c r="Q1526" s="16">
        <v>211</v>
      </c>
      <c r="R1526" s="16">
        <v>3</v>
      </c>
      <c r="S1526" s="16">
        <v>17.103899999999999</v>
      </c>
      <c r="T1526" s="16">
        <v>3.8546</v>
      </c>
      <c r="U1526" s="16">
        <v>0.63754841699999998</v>
      </c>
      <c r="V1526" s="16">
        <v>8</v>
      </c>
      <c r="W1526" s="16">
        <v>0.91076900000000005</v>
      </c>
      <c r="X1526" s="16">
        <v>0.23885700000000001</v>
      </c>
      <c r="Y1526" s="16">
        <v>0.8</v>
      </c>
      <c r="Z1526" s="16">
        <v>0.46672999999999998</v>
      </c>
      <c r="AA1526" s="37"/>
    </row>
    <row r="1527" spans="1:27">
      <c r="A1527" s="16" t="s">
        <v>135</v>
      </c>
      <c r="B1527" s="16" t="s">
        <v>5061</v>
      </c>
      <c r="C1527" s="16" t="s">
        <v>5062</v>
      </c>
      <c r="D1527" s="16" t="s">
        <v>5063</v>
      </c>
      <c r="E1527" s="16" t="s">
        <v>5053</v>
      </c>
      <c r="F1527" s="16" t="s">
        <v>5054</v>
      </c>
      <c r="G1527" s="16" t="s">
        <v>4606</v>
      </c>
      <c r="H1527" s="16" t="s">
        <v>4607</v>
      </c>
      <c r="I1527" s="16" t="s">
        <v>198</v>
      </c>
      <c r="J1527" s="16" t="s">
        <v>199</v>
      </c>
      <c r="K1527" s="16">
        <v>2.8018459999999998</v>
      </c>
      <c r="L1527" s="36">
        <v>2068</v>
      </c>
      <c r="M1527" s="16">
        <v>353</v>
      </c>
      <c r="N1527" s="16">
        <v>400</v>
      </c>
      <c r="O1527" s="16">
        <v>634</v>
      </c>
      <c r="P1527" s="16">
        <v>467</v>
      </c>
      <c r="Q1527" s="16">
        <v>214</v>
      </c>
      <c r="R1527" s="16">
        <v>4</v>
      </c>
      <c r="S1527" s="16">
        <v>22.3279</v>
      </c>
      <c r="T1527" s="16">
        <v>1.7289399999999999</v>
      </c>
      <c r="U1527" s="16">
        <v>0.56735669399999999</v>
      </c>
      <c r="V1527" s="16">
        <v>6</v>
      </c>
      <c r="W1527" s="16">
        <v>0.91702600000000001</v>
      </c>
      <c r="X1527" s="16">
        <v>0.39093699999999998</v>
      </c>
      <c r="Y1527" s="16">
        <v>0.8</v>
      </c>
      <c r="Z1527" s="16">
        <v>0.69446200000000002</v>
      </c>
      <c r="AA1527" s="37"/>
    </row>
    <row r="1528" spans="1:27">
      <c r="A1528" s="16" t="s">
        <v>135</v>
      </c>
      <c r="B1528" s="16" t="s">
        <v>5064</v>
      </c>
      <c r="C1528" s="16" t="s">
        <v>5065</v>
      </c>
      <c r="D1528" s="16" t="s">
        <v>5066</v>
      </c>
      <c r="E1528" s="16" t="s">
        <v>5053</v>
      </c>
      <c r="F1528" s="16" t="s">
        <v>5054</v>
      </c>
      <c r="G1528" s="16" t="s">
        <v>4606</v>
      </c>
      <c r="H1528" s="16" t="s">
        <v>4607</v>
      </c>
      <c r="I1528" s="16" t="s">
        <v>198</v>
      </c>
      <c r="J1528" s="16" t="s">
        <v>199</v>
      </c>
      <c r="K1528" s="16">
        <v>2.4396949999999999</v>
      </c>
      <c r="L1528" s="36">
        <v>1735</v>
      </c>
      <c r="M1528" s="16">
        <v>261</v>
      </c>
      <c r="N1528" s="16">
        <v>335</v>
      </c>
      <c r="O1528" s="16">
        <v>526</v>
      </c>
      <c r="P1528" s="16">
        <v>371</v>
      </c>
      <c r="Q1528" s="16">
        <v>242</v>
      </c>
      <c r="R1528" s="16">
        <v>4</v>
      </c>
      <c r="S1528" s="16">
        <v>23.1892</v>
      </c>
      <c r="T1528" s="16">
        <v>14.475300000000001</v>
      </c>
      <c r="U1528" s="16">
        <v>0.66960841100000001</v>
      </c>
      <c r="V1528" s="16">
        <v>7</v>
      </c>
      <c r="W1528" s="16">
        <v>0.905802</v>
      </c>
      <c r="X1528" s="16">
        <v>0.21154999999999999</v>
      </c>
      <c r="Y1528" s="16">
        <v>0.8</v>
      </c>
      <c r="Z1528" s="16">
        <v>0.51561999999999997</v>
      </c>
      <c r="AA1528" s="37"/>
    </row>
    <row r="1529" spans="1:27">
      <c r="A1529" s="16"/>
      <c r="B1529" s="16"/>
      <c r="C1529" s="16"/>
      <c r="D1529" s="16"/>
      <c r="E1529" s="16"/>
      <c r="F1529" s="16"/>
      <c r="G1529" s="16"/>
      <c r="H1529" s="16"/>
      <c r="I1529" s="16"/>
      <c r="J1529" s="16"/>
      <c r="K1529" s="16">
        <f>MEDIAN(K1518:K1528)</f>
        <v>2.4396949999999999</v>
      </c>
      <c r="L1529" s="36">
        <f>AVERAGE(L1518:L1528)</f>
        <v>1710.2727272727273</v>
      </c>
      <c r="M1529" s="16">
        <f t="shared" ref="M1529:Q1529" si="136">SUM(M1518:M1528)</f>
        <v>3435</v>
      </c>
      <c r="N1529" s="16">
        <f t="shared" si="136"/>
        <v>3266</v>
      </c>
      <c r="O1529" s="16">
        <f t="shared" si="136"/>
        <v>4814</v>
      </c>
      <c r="P1529" s="16">
        <f t="shared" si="136"/>
        <v>4773</v>
      </c>
      <c r="Q1529" s="16">
        <f t="shared" si="136"/>
        <v>2525</v>
      </c>
      <c r="R1529" s="16"/>
      <c r="S1529" s="16">
        <f t="shared" ref="S1529:U1529" si="137">MIN(S1518:S1528)</f>
        <v>9.6457899999999999</v>
      </c>
      <c r="T1529" s="16">
        <f t="shared" si="137"/>
        <v>0</v>
      </c>
      <c r="U1529" s="16">
        <f t="shared" si="137"/>
        <v>0.55327973100000005</v>
      </c>
      <c r="V1529" s="16">
        <f>MEDIAN(V1518:V1528)</f>
        <v>7</v>
      </c>
      <c r="W1529" s="16"/>
      <c r="X1529" s="16"/>
      <c r="Y1529" s="16"/>
      <c r="Z1529" s="16"/>
      <c r="AA1529" s="37"/>
    </row>
    <row r="1530" spans="1:27">
      <c r="A1530" s="16" t="s">
        <v>136</v>
      </c>
      <c r="B1530" s="16" t="s">
        <v>5067</v>
      </c>
      <c r="C1530" s="16" t="s">
        <v>5068</v>
      </c>
      <c r="D1530" s="16" t="s">
        <v>5069</v>
      </c>
      <c r="E1530" s="16" t="s">
        <v>5070</v>
      </c>
      <c r="F1530" s="16" t="s">
        <v>5071</v>
      </c>
      <c r="G1530" s="16" t="s">
        <v>5072</v>
      </c>
      <c r="H1530" s="16" t="s">
        <v>5073</v>
      </c>
      <c r="I1530" s="16" t="s">
        <v>198</v>
      </c>
      <c r="J1530" s="16" t="s">
        <v>199</v>
      </c>
      <c r="K1530" s="16">
        <v>3.1020080000000001</v>
      </c>
      <c r="L1530" s="36">
        <v>1307</v>
      </c>
      <c r="M1530" s="16">
        <v>159</v>
      </c>
      <c r="N1530" s="16">
        <v>317</v>
      </c>
      <c r="O1530" s="16">
        <v>297</v>
      </c>
      <c r="P1530" s="16">
        <v>242</v>
      </c>
      <c r="Q1530" s="16">
        <v>292</v>
      </c>
      <c r="R1530" s="16" t="s">
        <v>302</v>
      </c>
      <c r="S1530" s="16">
        <v>53.815899999999999</v>
      </c>
      <c r="T1530" s="16">
        <v>26.113199999999999</v>
      </c>
      <c r="U1530" s="16">
        <v>0.35451813799999998</v>
      </c>
      <c r="V1530" s="16">
        <v>7</v>
      </c>
      <c r="W1530" s="16">
        <v>0.92048200000000002</v>
      </c>
      <c r="X1530" s="16">
        <v>0.45590599999999998</v>
      </c>
      <c r="Y1530" s="16">
        <v>0.8</v>
      </c>
      <c r="Z1530" s="16">
        <v>0.91235100000000002</v>
      </c>
      <c r="AA1530" s="37"/>
    </row>
    <row r="1531" spans="1:27">
      <c r="A1531" s="16" t="s">
        <v>136</v>
      </c>
      <c r="B1531" s="16" t="s">
        <v>5074</v>
      </c>
      <c r="C1531" s="16" t="s">
        <v>5075</v>
      </c>
      <c r="D1531" s="16" t="s">
        <v>5076</v>
      </c>
      <c r="E1531" s="16" t="s">
        <v>5070</v>
      </c>
      <c r="F1531" s="16" t="s">
        <v>5071</v>
      </c>
      <c r="G1531" s="16" t="s">
        <v>5072</v>
      </c>
      <c r="H1531" s="16" t="s">
        <v>5073</v>
      </c>
      <c r="I1531" s="16" t="s">
        <v>198</v>
      </c>
      <c r="J1531" s="16" t="s">
        <v>199</v>
      </c>
      <c r="K1531" s="16">
        <v>2.7697669999999999</v>
      </c>
      <c r="L1531" s="36">
        <v>1191</v>
      </c>
      <c r="M1531" s="16">
        <v>173</v>
      </c>
      <c r="N1531" s="16">
        <v>255</v>
      </c>
      <c r="O1531" s="16">
        <v>269</v>
      </c>
      <c r="P1531" s="16">
        <v>328</v>
      </c>
      <c r="Q1531" s="16">
        <v>166</v>
      </c>
      <c r="R1531" s="16" t="s">
        <v>302</v>
      </c>
      <c r="S1531" s="16">
        <v>31.103100000000001</v>
      </c>
      <c r="T1531" s="16">
        <v>21.651</v>
      </c>
      <c r="U1531" s="16">
        <v>0.93816100999999996</v>
      </c>
      <c r="V1531" s="16">
        <v>2</v>
      </c>
      <c r="W1531" s="16">
        <v>0.91395300000000002</v>
      </c>
      <c r="X1531" s="16">
        <v>4.0952000000000002E-2</v>
      </c>
      <c r="Y1531" s="16">
        <v>0.8</v>
      </c>
      <c r="Z1531" s="16">
        <v>1</v>
      </c>
      <c r="AA1531" s="37"/>
    </row>
    <row r="1532" spans="1:27">
      <c r="A1532" s="16" t="s">
        <v>136</v>
      </c>
      <c r="B1532" s="16" t="s">
        <v>5077</v>
      </c>
      <c r="C1532" s="16" t="s">
        <v>5078</v>
      </c>
      <c r="D1532" s="16" t="s">
        <v>5079</v>
      </c>
      <c r="E1532" s="16" t="s">
        <v>5070</v>
      </c>
      <c r="F1532" s="16" t="s">
        <v>5071</v>
      </c>
      <c r="G1532" s="16" t="s">
        <v>5072</v>
      </c>
      <c r="H1532" s="16" t="s">
        <v>5073</v>
      </c>
      <c r="I1532" s="16" t="s">
        <v>198</v>
      </c>
      <c r="J1532" s="16" t="s">
        <v>199</v>
      </c>
      <c r="K1532" s="16">
        <v>3.0429819999999999</v>
      </c>
      <c r="L1532" s="36">
        <v>1768</v>
      </c>
      <c r="M1532" s="16">
        <v>146</v>
      </c>
      <c r="N1532" s="16">
        <v>528</v>
      </c>
      <c r="O1532" s="16">
        <v>614</v>
      </c>
      <c r="P1532" s="16">
        <v>344</v>
      </c>
      <c r="Q1532" s="16">
        <v>136</v>
      </c>
      <c r="R1532" s="16">
        <v>5</v>
      </c>
      <c r="S1532" s="16">
        <v>29.6877</v>
      </c>
      <c r="T1532" s="16">
        <v>16.918700000000001</v>
      </c>
      <c r="U1532" s="16">
        <v>0.42247868100000002</v>
      </c>
      <c r="V1532" s="16">
        <v>6</v>
      </c>
      <c r="W1532" s="16">
        <v>0.93654999999999999</v>
      </c>
      <c r="X1532" s="16">
        <v>0.28224900000000003</v>
      </c>
      <c r="Y1532" s="16">
        <v>0.8</v>
      </c>
      <c r="Z1532" s="16">
        <v>1</v>
      </c>
      <c r="AA1532" s="37"/>
    </row>
    <row r="1533" spans="1:27">
      <c r="A1533" s="16" t="s">
        <v>136</v>
      </c>
      <c r="B1533" s="16" t="s">
        <v>5080</v>
      </c>
      <c r="C1533" s="16" t="s">
        <v>5081</v>
      </c>
      <c r="D1533" s="16" t="s">
        <v>5082</v>
      </c>
      <c r="E1533" s="16" t="s">
        <v>5070</v>
      </c>
      <c r="F1533" s="16" t="s">
        <v>5071</v>
      </c>
      <c r="G1533" s="16" t="s">
        <v>5072</v>
      </c>
      <c r="H1533" s="16" t="s">
        <v>5073</v>
      </c>
      <c r="I1533" s="16" t="s">
        <v>198</v>
      </c>
      <c r="J1533" s="16" t="s">
        <v>199</v>
      </c>
      <c r="K1533" s="16">
        <v>2.8191069999999998</v>
      </c>
      <c r="L1533" s="36">
        <v>1631</v>
      </c>
      <c r="M1533" s="16">
        <v>179</v>
      </c>
      <c r="N1533" s="16">
        <v>391</v>
      </c>
      <c r="O1533" s="16">
        <v>409</v>
      </c>
      <c r="P1533" s="16">
        <v>412</v>
      </c>
      <c r="Q1533" s="16">
        <v>240</v>
      </c>
      <c r="R1533" s="16" t="s">
        <v>302</v>
      </c>
      <c r="S1533" s="16">
        <v>46.262</v>
      </c>
      <c r="T1533" s="16">
        <v>16.6264</v>
      </c>
      <c r="U1533" s="16">
        <v>0.48034127399999998</v>
      </c>
      <c r="V1533" s="16">
        <v>7</v>
      </c>
      <c r="W1533" s="16">
        <v>0.91315100000000005</v>
      </c>
      <c r="X1533" s="16">
        <v>0.215725</v>
      </c>
      <c r="Y1533" s="16">
        <v>0.8</v>
      </c>
      <c r="Z1533" s="16">
        <v>0.89142200000000005</v>
      </c>
      <c r="AA1533" s="37"/>
    </row>
    <row r="1534" spans="1:27">
      <c r="A1534" s="16" t="s">
        <v>136</v>
      </c>
      <c r="B1534" s="16" t="s">
        <v>5083</v>
      </c>
      <c r="C1534" s="16" t="s">
        <v>5084</v>
      </c>
      <c r="D1534" s="16" t="s">
        <v>5085</v>
      </c>
      <c r="E1534" s="16" t="s">
        <v>5070</v>
      </c>
      <c r="F1534" s="16" t="s">
        <v>5071</v>
      </c>
      <c r="G1534" s="16" t="s">
        <v>5072</v>
      </c>
      <c r="H1534" s="16" t="s">
        <v>5073</v>
      </c>
      <c r="I1534" s="16" t="s">
        <v>198</v>
      </c>
      <c r="J1534" s="16" t="s">
        <v>199</v>
      </c>
      <c r="K1534" s="16">
        <v>2.8923420000000002</v>
      </c>
      <c r="L1534" s="36">
        <v>1471</v>
      </c>
      <c r="M1534" s="16">
        <v>182</v>
      </c>
      <c r="N1534" s="16">
        <v>402</v>
      </c>
      <c r="O1534" s="16">
        <v>411</v>
      </c>
      <c r="P1534" s="16">
        <v>319</v>
      </c>
      <c r="Q1534" s="16">
        <v>157</v>
      </c>
      <c r="R1534" s="16" t="s">
        <v>302</v>
      </c>
      <c r="S1534" s="16">
        <v>31.480799999999999</v>
      </c>
      <c r="T1534" s="16">
        <v>22.975999999999999</v>
      </c>
      <c r="U1534" s="16">
        <v>0.486486688</v>
      </c>
      <c r="V1534" s="16">
        <v>6</v>
      </c>
      <c r="W1534" s="16">
        <v>0.92387399999999997</v>
      </c>
      <c r="X1534" s="16">
        <v>0.20177</v>
      </c>
      <c r="Y1534" s="16">
        <v>0.8</v>
      </c>
      <c r="Z1534" s="16">
        <v>0.94887900000000003</v>
      </c>
      <c r="AA1534" s="37"/>
    </row>
    <row r="1535" spans="1:27">
      <c r="A1535" s="16" t="s">
        <v>136</v>
      </c>
      <c r="B1535" s="16" t="s">
        <v>5086</v>
      </c>
      <c r="C1535" s="16" t="s">
        <v>5087</v>
      </c>
      <c r="D1535" s="16" t="s">
        <v>5088</v>
      </c>
      <c r="E1535" s="16" t="s">
        <v>5089</v>
      </c>
      <c r="F1535" s="16" t="s">
        <v>5090</v>
      </c>
      <c r="G1535" s="16" t="s">
        <v>5072</v>
      </c>
      <c r="H1535" s="16" t="s">
        <v>5073</v>
      </c>
      <c r="I1535" s="16" t="s">
        <v>198</v>
      </c>
      <c r="J1535" s="16" t="s">
        <v>199</v>
      </c>
      <c r="K1535" s="16">
        <v>2.5628120000000001</v>
      </c>
      <c r="L1535" s="36">
        <v>1358</v>
      </c>
      <c r="M1535" s="16">
        <v>185</v>
      </c>
      <c r="N1535" s="16">
        <v>378</v>
      </c>
      <c r="O1535" s="16">
        <v>357</v>
      </c>
      <c r="P1535" s="16">
        <v>304</v>
      </c>
      <c r="Q1535" s="16">
        <v>134</v>
      </c>
      <c r="R1535" s="16">
        <v>4</v>
      </c>
      <c r="S1535" s="16">
        <v>26.2578</v>
      </c>
      <c r="T1535" s="16">
        <v>0</v>
      </c>
      <c r="U1535" s="16">
        <v>0.69361554800000003</v>
      </c>
      <c r="V1535" s="16">
        <v>5</v>
      </c>
      <c r="W1535" s="16">
        <v>0.91655299999999995</v>
      </c>
      <c r="X1535" s="16">
        <v>8.8940000000000005E-2</v>
      </c>
      <c r="Y1535" s="16">
        <v>0.8</v>
      </c>
      <c r="Z1535" s="16">
        <v>0.763073</v>
      </c>
      <c r="AA1535" s="37"/>
    </row>
    <row r="1536" spans="1:27">
      <c r="A1536" s="16" t="s">
        <v>136</v>
      </c>
      <c r="B1536" s="16" t="s">
        <v>5091</v>
      </c>
      <c r="C1536" s="16" t="s">
        <v>5092</v>
      </c>
      <c r="D1536" s="16" t="s">
        <v>5093</v>
      </c>
      <c r="E1536" s="16" t="s">
        <v>5094</v>
      </c>
      <c r="F1536" s="16" t="s">
        <v>5095</v>
      </c>
      <c r="G1536" s="16" t="s">
        <v>5072</v>
      </c>
      <c r="H1536" s="16" t="s">
        <v>5073</v>
      </c>
      <c r="I1536" s="16" t="s">
        <v>198</v>
      </c>
      <c r="J1536" s="16" t="s">
        <v>199</v>
      </c>
      <c r="K1536" s="16">
        <v>2.8526099999999999</v>
      </c>
      <c r="L1536" s="36">
        <v>1247</v>
      </c>
      <c r="M1536" s="16">
        <v>236</v>
      </c>
      <c r="N1536" s="16">
        <v>273</v>
      </c>
      <c r="O1536" s="16">
        <v>301</v>
      </c>
      <c r="P1536" s="16">
        <v>297</v>
      </c>
      <c r="Q1536" s="16">
        <v>140</v>
      </c>
      <c r="R1536" s="16" t="s">
        <v>302</v>
      </c>
      <c r="S1536" s="16">
        <v>45.971699999999998</v>
      </c>
      <c r="T1536" s="16">
        <v>26.387599999999999</v>
      </c>
      <c r="U1536" s="16">
        <v>0.80820213900000004</v>
      </c>
      <c r="V1536" s="16">
        <v>2</v>
      </c>
      <c r="W1536" s="16">
        <v>0.93493999999999999</v>
      </c>
      <c r="X1536" s="16">
        <v>0.28825899999999999</v>
      </c>
      <c r="Y1536" s="16">
        <v>0.8</v>
      </c>
      <c r="Z1536" s="16">
        <v>0.86788600000000005</v>
      </c>
      <c r="AA1536" s="37"/>
    </row>
    <row r="1537" spans="1:27">
      <c r="A1537" s="16" t="s">
        <v>136</v>
      </c>
      <c r="B1537" s="16" t="s">
        <v>5096</v>
      </c>
      <c r="C1537" s="16" t="s">
        <v>5097</v>
      </c>
      <c r="D1537" s="16" t="s">
        <v>5098</v>
      </c>
      <c r="E1537" s="16" t="s">
        <v>5094</v>
      </c>
      <c r="F1537" s="16" t="s">
        <v>5095</v>
      </c>
      <c r="G1537" s="16" t="s">
        <v>5072</v>
      </c>
      <c r="H1537" s="16" t="s">
        <v>5073</v>
      </c>
      <c r="I1537" s="16" t="s">
        <v>198</v>
      </c>
      <c r="J1537" s="16" t="s">
        <v>199</v>
      </c>
      <c r="K1537" s="16">
        <v>3.0355560000000001</v>
      </c>
      <c r="L1537" s="36">
        <v>1313</v>
      </c>
      <c r="M1537" s="16">
        <v>155</v>
      </c>
      <c r="N1537" s="16">
        <v>304</v>
      </c>
      <c r="O1537" s="16">
        <v>358</v>
      </c>
      <c r="P1537" s="16">
        <v>344</v>
      </c>
      <c r="Q1537" s="16">
        <v>152</v>
      </c>
      <c r="R1537" s="16" t="s">
        <v>302</v>
      </c>
      <c r="S1537" s="16">
        <v>43.158299999999997</v>
      </c>
      <c r="T1537" s="16">
        <v>23.5855</v>
      </c>
      <c r="U1537" s="16">
        <v>0.73784174899999999</v>
      </c>
      <c r="V1537" s="16">
        <v>3</v>
      </c>
      <c r="W1537" s="16">
        <v>0.93644400000000005</v>
      </c>
      <c r="X1537" s="16">
        <v>0.49797799999999998</v>
      </c>
      <c r="Y1537" s="16">
        <v>0.8</v>
      </c>
      <c r="Z1537" s="16">
        <v>0.80448399999999998</v>
      </c>
      <c r="AA1537" s="37"/>
    </row>
    <row r="1538" spans="1:27">
      <c r="A1538" s="16" t="s">
        <v>136</v>
      </c>
      <c r="B1538" s="16" t="s">
        <v>5099</v>
      </c>
      <c r="C1538" s="16" t="s">
        <v>5100</v>
      </c>
      <c r="D1538" s="16" t="s">
        <v>5101</v>
      </c>
      <c r="E1538" s="16" t="s">
        <v>5094</v>
      </c>
      <c r="F1538" s="16" t="s">
        <v>5095</v>
      </c>
      <c r="G1538" s="16" t="s">
        <v>5072</v>
      </c>
      <c r="H1538" s="16" t="s">
        <v>5073</v>
      </c>
      <c r="I1538" s="16" t="s">
        <v>198</v>
      </c>
      <c r="J1538" s="16" t="s">
        <v>199</v>
      </c>
      <c r="K1538" s="16">
        <v>3.0468790000000001</v>
      </c>
      <c r="L1538" s="36">
        <v>1715</v>
      </c>
      <c r="M1538" s="16">
        <v>285</v>
      </c>
      <c r="N1538" s="16">
        <v>335</v>
      </c>
      <c r="O1538" s="16">
        <v>541</v>
      </c>
      <c r="P1538" s="16">
        <v>341</v>
      </c>
      <c r="Q1538" s="16">
        <v>213</v>
      </c>
      <c r="R1538" s="16" t="s">
        <v>668</v>
      </c>
      <c r="S1538" s="16">
        <v>61.658999999999999</v>
      </c>
      <c r="T1538" s="16">
        <v>24.0763</v>
      </c>
      <c r="U1538" s="16">
        <v>0.54384183900000005</v>
      </c>
      <c r="V1538" s="16">
        <v>4</v>
      </c>
      <c r="W1538" s="16">
        <v>0.92313299999999998</v>
      </c>
      <c r="X1538" s="16">
        <v>0.35505599999999998</v>
      </c>
      <c r="Y1538" s="16">
        <v>0.8</v>
      </c>
      <c r="Z1538" s="16">
        <v>0.96052000000000004</v>
      </c>
      <c r="AA1538" s="37"/>
    </row>
    <row r="1539" spans="1:27">
      <c r="A1539" s="16" t="s">
        <v>136</v>
      </c>
      <c r="B1539" s="16" t="s">
        <v>5102</v>
      </c>
      <c r="C1539" s="16" t="s">
        <v>5103</v>
      </c>
      <c r="D1539" s="16" t="s">
        <v>5104</v>
      </c>
      <c r="E1539" s="16" t="s">
        <v>5094</v>
      </c>
      <c r="F1539" s="16" t="s">
        <v>5095</v>
      </c>
      <c r="G1539" s="16" t="s">
        <v>5072</v>
      </c>
      <c r="H1539" s="16" t="s">
        <v>5073</v>
      </c>
      <c r="I1539" s="16" t="s">
        <v>198</v>
      </c>
      <c r="J1539" s="16" t="s">
        <v>199</v>
      </c>
      <c r="K1539" s="16">
        <v>3.0201549999999999</v>
      </c>
      <c r="L1539" s="36">
        <v>1466</v>
      </c>
      <c r="M1539" s="16">
        <v>255</v>
      </c>
      <c r="N1539" s="16">
        <v>267</v>
      </c>
      <c r="O1539" s="16">
        <v>385</v>
      </c>
      <c r="P1539" s="16">
        <v>339</v>
      </c>
      <c r="Q1539" s="16">
        <v>220</v>
      </c>
      <c r="R1539" s="16" t="s">
        <v>302</v>
      </c>
      <c r="S1539" s="16">
        <v>57.486800000000002</v>
      </c>
      <c r="T1539" s="16">
        <v>24.6891</v>
      </c>
      <c r="U1539" s="16">
        <v>0.87514323699999996</v>
      </c>
      <c r="V1539" s="16">
        <v>2</v>
      </c>
      <c r="W1539" s="16">
        <v>0.91963799999999996</v>
      </c>
      <c r="X1539" s="16">
        <v>0.35869000000000001</v>
      </c>
      <c r="Y1539" s="16">
        <v>0.8</v>
      </c>
      <c r="Z1539" s="16">
        <v>0.92842599999999997</v>
      </c>
      <c r="AA1539" s="37"/>
    </row>
    <row r="1540" spans="1:27">
      <c r="A1540" s="16" t="s">
        <v>136</v>
      </c>
      <c r="B1540" s="16" t="s">
        <v>5105</v>
      </c>
      <c r="C1540" s="16" t="s">
        <v>5106</v>
      </c>
      <c r="D1540" s="16" t="s">
        <v>5107</v>
      </c>
      <c r="E1540" s="16" t="s">
        <v>5094</v>
      </c>
      <c r="F1540" s="16" t="s">
        <v>5095</v>
      </c>
      <c r="G1540" s="16" t="s">
        <v>5072</v>
      </c>
      <c r="H1540" s="16" t="s">
        <v>5073</v>
      </c>
      <c r="I1540" s="16" t="s">
        <v>198</v>
      </c>
      <c r="J1540" s="16" t="s">
        <v>199</v>
      </c>
      <c r="K1540" s="16">
        <v>2.9548390000000002</v>
      </c>
      <c r="L1540" s="36">
        <v>1712</v>
      </c>
      <c r="M1540" s="16">
        <v>316</v>
      </c>
      <c r="N1540" s="16">
        <v>376</v>
      </c>
      <c r="O1540" s="16">
        <v>408</v>
      </c>
      <c r="P1540" s="16">
        <v>375</v>
      </c>
      <c r="Q1540" s="16">
        <v>237</v>
      </c>
      <c r="R1540" s="16" t="s">
        <v>302</v>
      </c>
      <c r="S1540" s="16">
        <v>52.306600000000003</v>
      </c>
      <c r="T1540" s="16">
        <v>21.991599999999998</v>
      </c>
      <c r="U1540" s="16">
        <v>0.68199019599999999</v>
      </c>
      <c r="V1540" s="16">
        <v>2</v>
      </c>
      <c r="W1540" s="16">
        <v>0.93225800000000003</v>
      </c>
      <c r="X1540" s="16">
        <v>0.356543</v>
      </c>
      <c r="Y1540" s="16">
        <v>0.8</v>
      </c>
      <c r="Z1540" s="16">
        <v>0.89605900000000005</v>
      </c>
      <c r="AA1540" s="37"/>
    </row>
    <row r="1541" spans="1:27">
      <c r="A1541" s="16" t="s">
        <v>136</v>
      </c>
      <c r="B1541" s="16" t="s">
        <v>5108</v>
      </c>
      <c r="C1541" s="16" t="s">
        <v>5109</v>
      </c>
      <c r="D1541" s="16" t="s">
        <v>5110</v>
      </c>
      <c r="E1541" s="16" t="s">
        <v>5089</v>
      </c>
      <c r="F1541" s="16" t="s">
        <v>5090</v>
      </c>
      <c r="G1541" s="16" t="s">
        <v>5072</v>
      </c>
      <c r="H1541" s="16" t="s">
        <v>5073</v>
      </c>
      <c r="I1541" s="16" t="s">
        <v>198</v>
      </c>
      <c r="J1541" s="16" t="s">
        <v>199</v>
      </c>
      <c r="K1541" s="16">
        <v>2.5949420000000001</v>
      </c>
      <c r="L1541" s="36">
        <v>1371</v>
      </c>
      <c r="M1541" s="16">
        <v>125</v>
      </c>
      <c r="N1541" s="16">
        <v>346</v>
      </c>
      <c r="O1541" s="16">
        <v>489</v>
      </c>
      <c r="P1541" s="16">
        <v>272</v>
      </c>
      <c r="Q1541" s="16">
        <v>139</v>
      </c>
      <c r="R1541" s="16">
        <v>5</v>
      </c>
      <c r="S1541" s="16">
        <v>29.714700000000001</v>
      </c>
      <c r="T1541" s="16">
        <v>15.1814</v>
      </c>
      <c r="U1541" s="16">
        <v>0.71214292999999995</v>
      </c>
      <c r="V1541" s="16">
        <v>5</v>
      </c>
      <c r="W1541" s="16">
        <v>0.92373499999999997</v>
      </c>
      <c r="X1541" s="16">
        <v>8.8888999999999996E-2</v>
      </c>
      <c r="Y1541" s="16">
        <v>0.8</v>
      </c>
      <c r="Z1541" s="16">
        <v>0.80196800000000001</v>
      </c>
      <c r="AA1541" s="37"/>
    </row>
    <row r="1542" spans="1:27">
      <c r="A1542" s="16" t="s">
        <v>136</v>
      </c>
      <c r="B1542" s="16" t="s">
        <v>5111</v>
      </c>
      <c r="C1542" s="16" t="s">
        <v>5112</v>
      </c>
      <c r="D1542" s="16" t="s">
        <v>5113</v>
      </c>
      <c r="E1542" s="16" t="s">
        <v>5114</v>
      </c>
      <c r="F1542" s="16" t="s">
        <v>5115</v>
      </c>
      <c r="G1542" s="16" t="s">
        <v>5072</v>
      </c>
      <c r="H1542" s="16" t="s">
        <v>5073</v>
      </c>
      <c r="I1542" s="16" t="s">
        <v>198</v>
      </c>
      <c r="J1542" s="16" t="s">
        <v>199</v>
      </c>
      <c r="K1542" s="16">
        <v>2.7792020000000002</v>
      </c>
      <c r="L1542" s="36">
        <v>1748</v>
      </c>
      <c r="M1542" s="16">
        <v>379</v>
      </c>
      <c r="N1542" s="16">
        <v>393</v>
      </c>
      <c r="O1542" s="16">
        <v>392</v>
      </c>
      <c r="P1542" s="16">
        <v>429</v>
      </c>
      <c r="Q1542" s="16">
        <v>155</v>
      </c>
      <c r="R1542" s="16">
        <v>5</v>
      </c>
      <c r="S1542" s="16">
        <v>36.430599999999998</v>
      </c>
      <c r="T1542" s="16">
        <v>8.9035700000000002</v>
      </c>
      <c r="U1542" s="16">
        <v>0.92256622399999999</v>
      </c>
      <c r="V1542" s="16">
        <v>2</v>
      </c>
      <c r="W1542" s="16">
        <v>0.92457999999999996</v>
      </c>
      <c r="X1542" s="16">
        <v>9.6465999999999996E-2</v>
      </c>
      <c r="Y1542" s="16">
        <v>0.8</v>
      </c>
      <c r="Z1542" s="16">
        <v>0.96137799999999995</v>
      </c>
      <c r="AA1542" s="37"/>
    </row>
    <row r="1543" spans="1:27">
      <c r="A1543" s="16" t="s">
        <v>136</v>
      </c>
      <c r="B1543" s="16" t="s">
        <v>5116</v>
      </c>
      <c r="C1543" s="16" t="s">
        <v>5117</v>
      </c>
      <c r="D1543" s="16" t="s">
        <v>5118</v>
      </c>
      <c r="E1543" s="16" t="s">
        <v>5089</v>
      </c>
      <c r="F1543" s="16" t="s">
        <v>5090</v>
      </c>
      <c r="G1543" s="16" t="s">
        <v>5072</v>
      </c>
      <c r="H1543" s="16" t="s">
        <v>5073</v>
      </c>
      <c r="I1543" s="16" t="s">
        <v>198</v>
      </c>
      <c r="J1543" s="16" t="s">
        <v>199</v>
      </c>
      <c r="K1543" s="16">
        <v>2.9705879999999998</v>
      </c>
      <c r="L1543" s="36">
        <v>1736</v>
      </c>
      <c r="M1543" s="16">
        <v>145</v>
      </c>
      <c r="N1543" s="16">
        <v>531</v>
      </c>
      <c r="O1543" s="16">
        <v>630</v>
      </c>
      <c r="P1543" s="16">
        <v>319</v>
      </c>
      <c r="Q1543" s="16">
        <v>111</v>
      </c>
      <c r="R1543" s="16">
        <v>5</v>
      </c>
      <c r="S1543" s="16">
        <v>24.682600000000001</v>
      </c>
      <c r="T1543" s="16">
        <v>20.340800000000002</v>
      </c>
      <c r="U1543" s="16">
        <v>0.501044245</v>
      </c>
      <c r="V1543" s="16">
        <v>5</v>
      </c>
      <c r="W1543" s="16">
        <v>0.97009800000000002</v>
      </c>
      <c r="X1543" s="16">
        <v>0.24757299999999999</v>
      </c>
      <c r="Y1543" s="16">
        <v>0.8</v>
      </c>
      <c r="Z1543" s="16">
        <v>0.99082099999999995</v>
      </c>
      <c r="AA1543" s="37"/>
    </row>
    <row r="1544" spans="1:27">
      <c r="A1544" s="16" t="s">
        <v>136</v>
      </c>
      <c r="B1544" s="16" t="s">
        <v>5119</v>
      </c>
      <c r="C1544" s="16" t="s">
        <v>5120</v>
      </c>
      <c r="D1544" s="16" t="s">
        <v>5121</v>
      </c>
      <c r="E1544" s="16" t="s">
        <v>5122</v>
      </c>
      <c r="F1544" s="16" t="s">
        <v>5123</v>
      </c>
      <c r="G1544" s="16" t="s">
        <v>5072</v>
      </c>
      <c r="H1544" s="16" t="s">
        <v>5073</v>
      </c>
      <c r="I1544" s="16" t="s">
        <v>198</v>
      </c>
      <c r="J1544" s="16" t="s">
        <v>199</v>
      </c>
      <c r="K1544" s="16">
        <v>2.6524559999999999</v>
      </c>
      <c r="L1544" s="36">
        <v>1641</v>
      </c>
      <c r="M1544" s="16">
        <v>248</v>
      </c>
      <c r="N1544" s="16">
        <v>363</v>
      </c>
      <c r="O1544" s="16">
        <v>546</v>
      </c>
      <c r="P1544" s="16">
        <v>339</v>
      </c>
      <c r="Q1544" s="16">
        <v>145</v>
      </c>
      <c r="R1544" s="16">
        <v>5</v>
      </c>
      <c r="S1544" s="16">
        <v>29.341200000000001</v>
      </c>
      <c r="T1544" s="16">
        <v>11.5343</v>
      </c>
      <c r="U1544" s="16">
        <v>0.81621440999999995</v>
      </c>
      <c r="V1544" s="16">
        <v>4</v>
      </c>
      <c r="W1544" s="16">
        <v>0.92824600000000002</v>
      </c>
      <c r="X1544" s="16">
        <v>0.36818200000000001</v>
      </c>
      <c r="Y1544" s="16">
        <v>0.8</v>
      </c>
      <c r="Z1544" s="16">
        <v>0.55638299999999996</v>
      </c>
      <c r="AA1544" s="37"/>
    </row>
    <row r="1545" spans="1:27">
      <c r="A1545" s="16" t="s">
        <v>136</v>
      </c>
      <c r="B1545" s="16" t="s">
        <v>5124</v>
      </c>
      <c r="C1545" s="16" t="s">
        <v>5125</v>
      </c>
      <c r="D1545" s="16" t="s">
        <v>5126</v>
      </c>
      <c r="E1545" s="16" t="s">
        <v>5122</v>
      </c>
      <c r="F1545" s="16" t="s">
        <v>5123</v>
      </c>
      <c r="G1545" s="16" t="s">
        <v>5072</v>
      </c>
      <c r="H1545" s="16" t="s">
        <v>5073</v>
      </c>
      <c r="I1545" s="16" t="s">
        <v>198</v>
      </c>
      <c r="J1545" s="16" t="s">
        <v>199</v>
      </c>
      <c r="K1545" s="16">
        <v>2.6570079999999998</v>
      </c>
      <c r="L1545" s="36">
        <v>1319</v>
      </c>
      <c r="M1545" s="16">
        <v>237</v>
      </c>
      <c r="N1545" s="16">
        <v>217</v>
      </c>
      <c r="O1545" s="16">
        <v>312</v>
      </c>
      <c r="P1545" s="16">
        <v>372</v>
      </c>
      <c r="Q1545" s="16">
        <v>181</v>
      </c>
      <c r="R1545" s="16">
        <v>4</v>
      </c>
      <c r="S1545" s="16">
        <v>23.2471</v>
      </c>
      <c r="T1545" s="16">
        <v>5.7051800000000004</v>
      </c>
      <c r="U1545" s="16">
        <v>0.67751437999999997</v>
      </c>
      <c r="V1545" s="16">
        <v>5</v>
      </c>
      <c r="W1545" s="16">
        <v>0.92178000000000004</v>
      </c>
      <c r="X1545" s="16">
        <v>0.363842</v>
      </c>
      <c r="Y1545" s="16">
        <v>0.8</v>
      </c>
      <c r="Z1545" s="16">
        <v>0.574102</v>
      </c>
      <c r="AA1545" s="37"/>
    </row>
    <row r="1546" spans="1:27">
      <c r="A1546" s="16" t="s">
        <v>136</v>
      </c>
      <c r="B1546" s="16" t="s">
        <v>5027</v>
      </c>
      <c r="C1546" s="16" t="s">
        <v>5028</v>
      </c>
      <c r="D1546" s="16" t="s">
        <v>5029</v>
      </c>
      <c r="E1546" s="16" t="s">
        <v>5030</v>
      </c>
      <c r="F1546" s="16" t="s">
        <v>5031</v>
      </c>
      <c r="G1546" s="16" t="s">
        <v>4606</v>
      </c>
      <c r="H1546" s="16" t="s">
        <v>4607</v>
      </c>
      <c r="I1546" s="16" t="s">
        <v>198</v>
      </c>
      <c r="J1546" s="16" t="s">
        <v>199</v>
      </c>
      <c r="K1546" s="16">
        <v>2.5354990000000002</v>
      </c>
      <c r="L1546" s="36">
        <v>2014</v>
      </c>
      <c r="M1546" s="16">
        <v>393</v>
      </c>
      <c r="N1546" s="16">
        <v>307</v>
      </c>
      <c r="O1546" s="16">
        <v>509</v>
      </c>
      <c r="P1546" s="16">
        <v>476</v>
      </c>
      <c r="Q1546" s="16">
        <v>329</v>
      </c>
      <c r="R1546" s="16">
        <v>2</v>
      </c>
      <c r="S1546" s="16">
        <v>18.1204</v>
      </c>
      <c r="T1546" s="16">
        <v>0</v>
      </c>
      <c r="U1546" s="16">
        <v>0.58950644100000005</v>
      </c>
      <c r="V1546" s="16">
        <v>8</v>
      </c>
      <c r="W1546" s="16">
        <v>0.92551499999999998</v>
      </c>
      <c r="X1546" s="16">
        <v>0.34800599999999998</v>
      </c>
      <c r="Y1546" s="16">
        <v>0.8</v>
      </c>
      <c r="Z1546" s="16">
        <v>0.46395500000000001</v>
      </c>
      <c r="AA1546" s="37"/>
    </row>
    <row r="1547" spans="1:27">
      <c r="A1547" s="16" t="s">
        <v>136</v>
      </c>
      <c r="B1547" s="16" t="s">
        <v>5127</v>
      </c>
      <c r="C1547" s="16" t="s">
        <v>5128</v>
      </c>
      <c r="D1547" s="16" t="s">
        <v>5129</v>
      </c>
      <c r="E1547" s="16" t="s">
        <v>5030</v>
      </c>
      <c r="F1547" s="16" t="s">
        <v>5031</v>
      </c>
      <c r="G1547" s="16" t="s">
        <v>4606</v>
      </c>
      <c r="H1547" s="16" t="s">
        <v>4607</v>
      </c>
      <c r="I1547" s="16" t="s">
        <v>198</v>
      </c>
      <c r="J1547" s="16" t="s">
        <v>199</v>
      </c>
      <c r="K1547" s="16">
        <v>2.384719</v>
      </c>
      <c r="L1547" s="36">
        <v>1657</v>
      </c>
      <c r="M1547" s="16">
        <v>246</v>
      </c>
      <c r="N1547" s="16">
        <v>297</v>
      </c>
      <c r="O1547" s="16">
        <v>439</v>
      </c>
      <c r="P1547" s="16">
        <v>473</v>
      </c>
      <c r="Q1547" s="16">
        <v>202</v>
      </c>
      <c r="R1547" s="16">
        <v>4</v>
      </c>
      <c r="S1547" s="16">
        <v>25.292000000000002</v>
      </c>
      <c r="T1547" s="16">
        <v>11.8538</v>
      </c>
      <c r="U1547" s="16">
        <v>0.71791776200000001</v>
      </c>
      <c r="V1547" s="16">
        <v>7</v>
      </c>
      <c r="W1547" s="16">
        <v>0.90876400000000002</v>
      </c>
      <c r="X1547" s="16">
        <v>0.18310499999999999</v>
      </c>
      <c r="Y1547" s="16">
        <v>0.8</v>
      </c>
      <c r="Z1547" s="16">
        <v>0.49616300000000002</v>
      </c>
      <c r="AA1547" s="37"/>
    </row>
    <row r="1548" spans="1:27">
      <c r="A1548" s="16" t="s">
        <v>136</v>
      </c>
      <c r="B1548" s="16" t="s">
        <v>5032</v>
      </c>
      <c r="C1548" s="16" t="s">
        <v>5033</v>
      </c>
      <c r="D1548" s="16" t="s">
        <v>5034</v>
      </c>
      <c r="E1548" s="16" t="s">
        <v>5017</v>
      </c>
      <c r="F1548" s="16" t="s">
        <v>5018</v>
      </c>
      <c r="G1548" s="16" t="s">
        <v>4606</v>
      </c>
      <c r="H1548" s="16" t="s">
        <v>4607</v>
      </c>
      <c r="I1548" s="16" t="s">
        <v>198</v>
      </c>
      <c r="J1548" s="16" t="s">
        <v>199</v>
      </c>
      <c r="K1548" s="16">
        <v>2.2010890000000001</v>
      </c>
      <c r="L1548" s="36">
        <v>1325</v>
      </c>
      <c r="M1548" s="16">
        <v>232</v>
      </c>
      <c r="N1548" s="16">
        <v>171</v>
      </c>
      <c r="O1548" s="16">
        <v>254</v>
      </c>
      <c r="P1548" s="16">
        <v>429</v>
      </c>
      <c r="Q1548" s="16">
        <v>239</v>
      </c>
      <c r="R1548" s="16" t="s">
        <v>225</v>
      </c>
      <c r="S1548" s="16">
        <v>5.4122000000000003</v>
      </c>
      <c r="T1548" s="16">
        <v>0</v>
      </c>
      <c r="U1548" s="16">
        <v>0.68346608200000003</v>
      </c>
      <c r="V1548" s="16">
        <v>10</v>
      </c>
      <c r="W1548" s="16">
        <v>0.90637599999999996</v>
      </c>
      <c r="X1548" s="16">
        <v>9.7806000000000004E-2</v>
      </c>
      <c r="Y1548" s="16">
        <v>0.8</v>
      </c>
      <c r="Z1548" s="16">
        <v>0.41743799999999998</v>
      </c>
      <c r="AA1548" s="37"/>
    </row>
    <row r="1549" spans="1:27">
      <c r="A1549" s="16" t="s">
        <v>136</v>
      </c>
      <c r="B1549" s="16" t="s">
        <v>5130</v>
      </c>
      <c r="C1549" s="16" t="s">
        <v>5131</v>
      </c>
      <c r="D1549" s="16" t="s">
        <v>5132</v>
      </c>
      <c r="E1549" s="16" t="s">
        <v>5030</v>
      </c>
      <c r="F1549" s="16" t="s">
        <v>5031</v>
      </c>
      <c r="G1549" s="16" t="s">
        <v>4606</v>
      </c>
      <c r="H1549" s="16" t="s">
        <v>4607</v>
      </c>
      <c r="I1549" s="16" t="s">
        <v>198</v>
      </c>
      <c r="J1549" s="16" t="s">
        <v>199</v>
      </c>
      <c r="K1549" s="16">
        <v>2.4790350000000001</v>
      </c>
      <c r="L1549" s="36">
        <v>1727</v>
      </c>
      <c r="M1549" s="16">
        <v>344</v>
      </c>
      <c r="N1549" s="16">
        <v>289</v>
      </c>
      <c r="O1549" s="16">
        <v>399</v>
      </c>
      <c r="P1549" s="16">
        <v>460</v>
      </c>
      <c r="Q1549" s="16">
        <v>235</v>
      </c>
      <c r="R1549" s="16">
        <v>3</v>
      </c>
      <c r="S1549" s="16">
        <v>19.977499999999999</v>
      </c>
      <c r="T1549" s="16">
        <v>0</v>
      </c>
      <c r="U1549" s="16">
        <v>0.586711596</v>
      </c>
      <c r="V1549" s="16">
        <v>9</v>
      </c>
      <c r="W1549" s="16">
        <v>0.917798</v>
      </c>
      <c r="X1549" s="16">
        <v>0.261654</v>
      </c>
      <c r="Y1549" s="16">
        <v>0.8</v>
      </c>
      <c r="Z1549" s="16">
        <v>0.50317199999999995</v>
      </c>
      <c r="AA1549" s="37"/>
    </row>
    <row r="1550" spans="1:27">
      <c r="A1550" s="16" t="s">
        <v>136</v>
      </c>
      <c r="B1550" s="16" t="s">
        <v>5055</v>
      </c>
      <c r="C1550" s="16" t="s">
        <v>5056</v>
      </c>
      <c r="D1550" s="16" t="s">
        <v>5057</v>
      </c>
      <c r="E1550" s="16" t="s">
        <v>5017</v>
      </c>
      <c r="F1550" s="16" t="s">
        <v>5018</v>
      </c>
      <c r="G1550" s="16" t="s">
        <v>4606</v>
      </c>
      <c r="H1550" s="16" t="s">
        <v>4607</v>
      </c>
      <c r="I1550" s="16" t="s">
        <v>198</v>
      </c>
      <c r="J1550" s="16" t="s">
        <v>199</v>
      </c>
      <c r="K1550" s="16">
        <v>2.3965000000000001</v>
      </c>
      <c r="L1550" s="36">
        <v>1622</v>
      </c>
      <c r="M1550" s="16">
        <v>311</v>
      </c>
      <c r="N1550" s="16">
        <v>226</v>
      </c>
      <c r="O1550" s="16">
        <v>343</v>
      </c>
      <c r="P1550" s="16">
        <v>457</v>
      </c>
      <c r="Q1550" s="16">
        <v>285</v>
      </c>
      <c r="R1550" s="16">
        <v>3</v>
      </c>
      <c r="S1550" s="16">
        <v>17.506599999999999</v>
      </c>
      <c r="T1550" s="16">
        <v>1.9488399999999999</v>
      </c>
      <c r="U1550" s="16">
        <v>0.81322929799999999</v>
      </c>
      <c r="V1550" s="16">
        <v>5</v>
      </c>
      <c r="W1550" s="16">
        <v>0.91149999999999998</v>
      </c>
      <c r="X1550" s="16">
        <v>0.17871300000000001</v>
      </c>
      <c r="Y1550" s="16">
        <v>0.8</v>
      </c>
      <c r="Z1550" s="16">
        <v>0.5</v>
      </c>
      <c r="AA1550" s="37"/>
    </row>
    <row r="1551" spans="1:27">
      <c r="A1551" s="16"/>
      <c r="B1551" s="16"/>
      <c r="C1551" s="16"/>
      <c r="D1551" s="16"/>
      <c r="E1551" s="16"/>
      <c r="F1551" s="16"/>
      <c r="G1551" s="16"/>
      <c r="H1551" s="16"/>
      <c r="I1551" s="16"/>
      <c r="J1551" s="16"/>
      <c r="K1551" s="16">
        <f>MEDIAN(K1530:K1550)</f>
        <v>2.7792020000000002</v>
      </c>
      <c r="L1551" s="36">
        <f>AVERAGE(L1530:L1550)</f>
        <v>1539.952380952381</v>
      </c>
      <c r="M1551" s="16">
        <f t="shared" ref="M1551:Q1551" si="138">SUM(M1530:M1550)</f>
        <v>4931</v>
      </c>
      <c r="N1551" s="16">
        <f t="shared" si="138"/>
        <v>6966</v>
      </c>
      <c r="O1551" s="16">
        <f t="shared" si="138"/>
        <v>8663</v>
      </c>
      <c r="P1551" s="16">
        <f t="shared" si="138"/>
        <v>7671</v>
      </c>
      <c r="Q1551" s="16">
        <f t="shared" si="138"/>
        <v>4108</v>
      </c>
      <c r="R1551" s="16"/>
      <c r="S1551" s="16">
        <f t="shared" ref="S1551:U1551" si="139">MIN(S1530:S1550)</f>
        <v>5.4122000000000003</v>
      </c>
      <c r="T1551" s="16">
        <f t="shared" si="139"/>
        <v>0</v>
      </c>
      <c r="U1551" s="16">
        <f t="shared" si="139"/>
        <v>0.35451813799999998</v>
      </c>
      <c r="V1551" s="16">
        <f>MEDIAN(V1530:V1550)</f>
        <v>5</v>
      </c>
      <c r="W1551" s="16"/>
      <c r="X1551" s="16"/>
      <c r="Y1551" s="16"/>
      <c r="Z1551" s="16"/>
      <c r="AA1551" s="37"/>
    </row>
    <row r="1552" spans="1:27">
      <c r="A1552" s="16" t="s">
        <v>137</v>
      </c>
      <c r="B1552" s="16" t="s">
        <v>4881</v>
      </c>
      <c r="C1552" s="16" t="s">
        <v>4882</v>
      </c>
      <c r="D1552" s="16" t="s">
        <v>4883</v>
      </c>
      <c r="E1552" s="16" t="s">
        <v>4884</v>
      </c>
      <c r="F1552" s="16" t="s">
        <v>4885</v>
      </c>
      <c r="G1552" s="16" t="s">
        <v>4886</v>
      </c>
      <c r="H1552" s="16" t="s">
        <v>4887</v>
      </c>
      <c r="I1552" s="16" t="s">
        <v>198</v>
      </c>
      <c r="J1552" s="16" t="s">
        <v>199</v>
      </c>
      <c r="K1552" s="16">
        <v>1.842778</v>
      </c>
      <c r="L1552" s="36">
        <v>1704</v>
      </c>
      <c r="M1552" s="16">
        <v>431</v>
      </c>
      <c r="N1552" s="16">
        <v>271</v>
      </c>
      <c r="O1552" s="16">
        <v>287</v>
      </c>
      <c r="P1552" s="16">
        <v>455</v>
      </c>
      <c r="Q1552" s="16">
        <v>260</v>
      </c>
      <c r="R1552" s="16" t="s">
        <v>214</v>
      </c>
      <c r="S1552" s="16">
        <v>5.9401400000000004</v>
      </c>
      <c r="T1552" s="16">
        <v>0</v>
      </c>
      <c r="U1552" s="16">
        <v>1.1982292649999999</v>
      </c>
      <c r="V1552" s="16">
        <v>3</v>
      </c>
      <c r="W1552" s="16">
        <v>0.80067299999999997</v>
      </c>
      <c r="X1552" s="16">
        <v>2.2582999999999999E-2</v>
      </c>
      <c r="Y1552" s="16">
        <v>0.9</v>
      </c>
      <c r="Z1552" s="16">
        <v>0.118225</v>
      </c>
      <c r="AA1552" s="37"/>
    </row>
    <row r="1553" spans="1:27">
      <c r="A1553" s="16" t="s">
        <v>137</v>
      </c>
      <c r="B1553" s="16" t="s">
        <v>4893</v>
      </c>
      <c r="C1553" s="16" t="s">
        <v>4894</v>
      </c>
      <c r="D1553" s="16" t="s">
        <v>4895</v>
      </c>
      <c r="E1553" s="16" t="s">
        <v>4884</v>
      </c>
      <c r="F1553" s="16" t="s">
        <v>4885</v>
      </c>
      <c r="G1553" s="16" t="s">
        <v>4886</v>
      </c>
      <c r="H1553" s="16" t="s">
        <v>4887</v>
      </c>
      <c r="I1553" s="16" t="s">
        <v>198</v>
      </c>
      <c r="J1553" s="16" t="s">
        <v>199</v>
      </c>
      <c r="K1553" s="16">
        <v>2.1423220000000001</v>
      </c>
      <c r="L1553" s="36">
        <v>1774</v>
      </c>
      <c r="M1553" s="16">
        <v>433</v>
      </c>
      <c r="N1553" s="16">
        <v>309</v>
      </c>
      <c r="O1553" s="16">
        <v>339</v>
      </c>
      <c r="P1553" s="16">
        <v>471</v>
      </c>
      <c r="Q1553" s="16">
        <v>222</v>
      </c>
      <c r="R1553" s="16">
        <v>2</v>
      </c>
      <c r="S1553" s="16">
        <v>12.0616</v>
      </c>
      <c r="T1553" s="16">
        <v>0</v>
      </c>
      <c r="U1553" s="16">
        <v>1.069902514</v>
      </c>
      <c r="V1553" s="16">
        <v>3</v>
      </c>
      <c r="W1553" s="16">
        <v>0.811971</v>
      </c>
      <c r="X1553" s="16">
        <v>0.19031500000000001</v>
      </c>
      <c r="Y1553" s="16">
        <v>0.9</v>
      </c>
      <c r="Z1553" s="16">
        <v>0.24095800000000001</v>
      </c>
      <c r="AA1553" s="37"/>
    </row>
    <row r="1554" spans="1:27">
      <c r="A1554" s="16" t="s">
        <v>137</v>
      </c>
      <c r="B1554" s="16" t="s">
        <v>4899</v>
      </c>
      <c r="C1554" s="16" t="s">
        <v>4900</v>
      </c>
      <c r="D1554" s="16" t="s">
        <v>4901</v>
      </c>
      <c r="E1554" s="16" t="s">
        <v>4884</v>
      </c>
      <c r="F1554" s="16" t="s">
        <v>4885</v>
      </c>
      <c r="G1554" s="16" t="s">
        <v>4886</v>
      </c>
      <c r="H1554" s="16" t="s">
        <v>4887</v>
      </c>
      <c r="I1554" s="16" t="s">
        <v>198</v>
      </c>
      <c r="J1554" s="16" t="s">
        <v>199</v>
      </c>
      <c r="K1554" s="16">
        <v>1.9402509999999999</v>
      </c>
      <c r="L1554" s="36">
        <v>1731</v>
      </c>
      <c r="M1554" s="16">
        <v>476</v>
      </c>
      <c r="N1554" s="16">
        <v>259</v>
      </c>
      <c r="O1554" s="16">
        <v>344</v>
      </c>
      <c r="P1554" s="16">
        <v>420</v>
      </c>
      <c r="Q1554" s="16">
        <v>232</v>
      </c>
      <c r="R1554" s="16" t="s">
        <v>225</v>
      </c>
      <c r="S1554" s="16">
        <v>9.2688299999999995</v>
      </c>
      <c r="T1554" s="16">
        <v>0</v>
      </c>
      <c r="U1554" s="16">
        <v>1.1278024710000001</v>
      </c>
      <c r="V1554" s="16">
        <v>4</v>
      </c>
      <c r="W1554" s="16">
        <v>0.80342100000000005</v>
      </c>
      <c r="X1554" s="16">
        <v>3.2044999999999997E-2</v>
      </c>
      <c r="Y1554" s="16">
        <v>0.9</v>
      </c>
      <c r="Z1554" s="16">
        <v>0.205233</v>
      </c>
      <c r="AA1554" s="37"/>
    </row>
    <row r="1555" spans="1:27">
      <c r="A1555" s="16" t="s">
        <v>137</v>
      </c>
      <c r="B1555" s="16" t="s">
        <v>5133</v>
      </c>
      <c r="C1555" s="16" t="s">
        <v>5134</v>
      </c>
      <c r="D1555" s="16" t="s">
        <v>5135</v>
      </c>
      <c r="E1555" s="16" t="s">
        <v>5136</v>
      </c>
      <c r="F1555" s="16" t="s">
        <v>5137</v>
      </c>
      <c r="G1555" s="16" t="s">
        <v>4795</v>
      </c>
      <c r="H1555" s="16" t="s">
        <v>4796</v>
      </c>
      <c r="I1555" s="16" t="s">
        <v>198</v>
      </c>
      <c r="J1555" s="16" t="s">
        <v>199</v>
      </c>
      <c r="K1555" s="16">
        <v>2.0706639999999998</v>
      </c>
      <c r="L1555" s="36">
        <v>1536</v>
      </c>
      <c r="M1555" s="16">
        <v>366</v>
      </c>
      <c r="N1555" s="16">
        <v>240</v>
      </c>
      <c r="O1555" s="16">
        <v>368</v>
      </c>
      <c r="P1555" s="16">
        <v>389</v>
      </c>
      <c r="Q1555" s="16">
        <v>173</v>
      </c>
      <c r="R1555" s="16" t="s">
        <v>214</v>
      </c>
      <c r="S1555" s="16">
        <v>3.7883599999999999</v>
      </c>
      <c r="T1555" s="16">
        <v>0</v>
      </c>
      <c r="U1555" s="16">
        <v>0.80559740000000002</v>
      </c>
      <c r="V1555" s="16">
        <v>9</v>
      </c>
      <c r="W1555" s="16">
        <v>0.80048600000000003</v>
      </c>
      <c r="X1555" s="16">
        <v>0.17443400000000001</v>
      </c>
      <c r="Y1555" s="16">
        <v>0.9</v>
      </c>
      <c r="Z1555" s="16">
        <v>0.2</v>
      </c>
      <c r="AA1555" s="37"/>
    </row>
    <row r="1556" spans="1:27">
      <c r="A1556" s="16" t="s">
        <v>137</v>
      </c>
      <c r="B1556" s="16" t="s">
        <v>5138</v>
      </c>
      <c r="C1556" s="16" t="s">
        <v>5139</v>
      </c>
      <c r="D1556" s="16" t="s">
        <v>5140</v>
      </c>
      <c r="E1556" s="16" t="s">
        <v>5136</v>
      </c>
      <c r="F1556" s="16" t="s">
        <v>5137</v>
      </c>
      <c r="G1556" s="16" t="s">
        <v>4795</v>
      </c>
      <c r="H1556" s="16" t="s">
        <v>4796</v>
      </c>
      <c r="I1556" s="16" t="s">
        <v>198</v>
      </c>
      <c r="J1556" s="16" t="s">
        <v>199</v>
      </c>
      <c r="K1556" s="16">
        <v>2.4232659999999999</v>
      </c>
      <c r="L1556" s="36">
        <v>1519</v>
      </c>
      <c r="M1556" s="16">
        <v>316</v>
      </c>
      <c r="N1556" s="16">
        <v>259</v>
      </c>
      <c r="O1556" s="16">
        <v>347</v>
      </c>
      <c r="P1556" s="16">
        <v>388</v>
      </c>
      <c r="Q1556" s="16">
        <v>209</v>
      </c>
      <c r="R1556" s="16">
        <v>2</v>
      </c>
      <c r="S1556" s="16">
        <v>11.8543</v>
      </c>
      <c r="T1556" s="16">
        <v>0</v>
      </c>
      <c r="U1556" s="16">
        <v>0.61421516300000001</v>
      </c>
      <c r="V1556" s="16">
        <v>8</v>
      </c>
      <c r="W1556" s="16">
        <v>0.83030999999999999</v>
      </c>
      <c r="X1556" s="16">
        <v>0.464756</v>
      </c>
      <c r="Y1556" s="16">
        <v>0.9</v>
      </c>
      <c r="Z1556" s="16">
        <v>0.24140900000000001</v>
      </c>
      <c r="AA1556" s="37"/>
    </row>
    <row r="1557" spans="1:27">
      <c r="A1557" s="16" t="s">
        <v>137</v>
      </c>
      <c r="B1557" s="16" t="s">
        <v>5141</v>
      </c>
      <c r="C1557" s="16" t="s">
        <v>5142</v>
      </c>
      <c r="D1557" s="16" t="s">
        <v>5143</v>
      </c>
      <c r="E1557" s="16" t="s">
        <v>5136</v>
      </c>
      <c r="F1557" s="16" t="s">
        <v>5137</v>
      </c>
      <c r="G1557" s="16" t="s">
        <v>4795</v>
      </c>
      <c r="H1557" s="16" t="s">
        <v>4796</v>
      </c>
      <c r="I1557" s="16" t="s">
        <v>198</v>
      </c>
      <c r="J1557" s="16" t="s">
        <v>199</v>
      </c>
      <c r="K1557" s="16">
        <v>2.0779230000000002</v>
      </c>
      <c r="L1557" s="36">
        <v>1905</v>
      </c>
      <c r="M1557" s="16">
        <v>530</v>
      </c>
      <c r="N1557" s="16">
        <v>300</v>
      </c>
      <c r="O1557" s="16">
        <v>417</v>
      </c>
      <c r="P1557" s="16">
        <v>357</v>
      </c>
      <c r="Q1557" s="16">
        <v>301</v>
      </c>
      <c r="R1557" s="16" t="s">
        <v>214</v>
      </c>
      <c r="S1557" s="16">
        <v>3.02054</v>
      </c>
      <c r="T1557" s="16">
        <v>0</v>
      </c>
      <c r="U1557" s="16">
        <v>0.99528222899999996</v>
      </c>
      <c r="V1557" s="16">
        <v>5</v>
      </c>
      <c r="W1557" s="16">
        <v>0.81015800000000004</v>
      </c>
      <c r="X1557" s="16">
        <v>0.22287899999999999</v>
      </c>
      <c r="Y1557" s="16">
        <v>0.9</v>
      </c>
      <c r="Z1557" s="16">
        <v>0.15021699999999999</v>
      </c>
      <c r="AA1557" s="37"/>
    </row>
    <row r="1558" spans="1:27">
      <c r="A1558" s="16" t="s">
        <v>137</v>
      </c>
      <c r="B1558" s="16" t="s">
        <v>5144</v>
      </c>
      <c r="C1558" s="16" t="s">
        <v>5145</v>
      </c>
      <c r="D1558" s="16" t="s">
        <v>5146</v>
      </c>
      <c r="E1558" s="16" t="s">
        <v>5147</v>
      </c>
      <c r="F1558" s="16" t="s">
        <v>5148</v>
      </c>
      <c r="G1558" s="16" t="s">
        <v>4795</v>
      </c>
      <c r="H1558" s="16" t="s">
        <v>4796</v>
      </c>
      <c r="I1558" s="16" t="s">
        <v>198</v>
      </c>
      <c r="J1558" s="16" t="s">
        <v>199</v>
      </c>
      <c r="K1558" s="16">
        <v>2.081385</v>
      </c>
      <c r="L1558" s="36">
        <v>1497</v>
      </c>
      <c r="M1558" s="16">
        <v>253</v>
      </c>
      <c r="N1558" s="16">
        <v>231</v>
      </c>
      <c r="O1558" s="16">
        <v>282</v>
      </c>
      <c r="P1558" s="16">
        <v>422</v>
      </c>
      <c r="Q1558" s="16">
        <v>309</v>
      </c>
      <c r="R1558" s="16" t="s">
        <v>214</v>
      </c>
      <c r="S1558" s="16">
        <v>4.42272</v>
      </c>
      <c r="T1558" s="16">
        <v>0</v>
      </c>
      <c r="U1558" s="16">
        <v>0.79144420500000001</v>
      </c>
      <c r="V1558" s="16">
        <v>8</v>
      </c>
      <c r="W1558" s="16">
        <v>0.804373</v>
      </c>
      <c r="X1558" s="16">
        <v>0.27855200000000002</v>
      </c>
      <c r="Y1558" s="16">
        <v>0.87284300000000004</v>
      </c>
      <c r="Z1558" s="16">
        <v>0.123853</v>
      </c>
      <c r="AA1558" s="37"/>
    </row>
    <row r="1559" spans="1:27">
      <c r="A1559" s="16" t="s">
        <v>137</v>
      </c>
      <c r="B1559" s="16" t="s">
        <v>5149</v>
      </c>
      <c r="C1559" s="16" t="s">
        <v>5150</v>
      </c>
      <c r="D1559" s="16" t="s">
        <v>5151</v>
      </c>
      <c r="E1559" s="16" t="s">
        <v>5147</v>
      </c>
      <c r="F1559" s="16" t="s">
        <v>5148</v>
      </c>
      <c r="G1559" s="16" t="s">
        <v>4795</v>
      </c>
      <c r="H1559" s="16" t="s">
        <v>4796</v>
      </c>
      <c r="I1559" s="16" t="s">
        <v>198</v>
      </c>
      <c r="J1559" s="16" t="s">
        <v>199</v>
      </c>
      <c r="K1559" s="16">
        <v>2.1699099999999998</v>
      </c>
      <c r="L1559" s="36">
        <v>1529</v>
      </c>
      <c r="M1559" s="16">
        <v>234</v>
      </c>
      <c r="N1559" s="16">
        <v>237</v>
      </c>
      <c r="O1559" s="16">
        <v>211</v>
      </c>
      <c r="P1559" s="16">
        <v>484</v>
      </c>
      <c r="Q1559" s="16">
        <v>363</v>
      </c>
      <c r="R1559" s="16">
        <v>2</v>
      </c>
      <c r="S1559" s="16">
        <v>10.8561</v>
      </c>
      <c r="T1559" s="16">
        <v>0</v>
      </c>
      <c r="U1559" s="16">
        <v>0.71744316100000005</v>
      </c>
      <c r="V1559" s="16">
        <v>9</v>
      </c>
      <c r="W1559" s="16">
        <v>0.811832</v>
      </c>
      <c r="X1559" s="16">
        <v>0.242257</v>
      </c>
      <c r="Y1559" s="16">
        <v>0.9</v>
      </c>
      <c r="Z1559" s="16">
        <v>0.21040300000000001</v>
      </c>
      <c r="AA1559" s="37"/>
    </row>
    <row r="1560" spans="1:27">
      <c r="A1560" s="16" t="s">
        <v>137</v>
      </c>
      <c r="B1560" s="16" t="s">
        <v>5152</v>
      </c>
      <c r="C1560" s="16" t="s">
        <v>5153</v>
      </c>
      <c r="D1560" s="16" t="s">
        <v>5154</v>
      </c>
      <c r="E1560" s="16" t="s">
        <v>5155</v>
      </c>
      <c r="F1560" s="16" t="s">
        <v>5156</v>
      </c>
      <c r="G1560" s="16" t="s">
        <v>4795</v>
      </c>
      <c r="H1560" s="16" t="s">
        <v>4796</v>
      </c>
      <c r="I1560" s="16" t="s">
        <v>198</v>
      </c>
      <c r="J1560" s="16" t="s">
        <v>199</v>
      </c>
      <c r="K1560" s="16">
        <v>2.1612239999999998</v>
      </c>
      <c r="L1560" s="36">
        <v>1591</v>
      </c>
      <c r="M1560" s="16">
        <v>334</v>
      </c>
      <c r="N1560" s="16">
        <v>191</v>
      </c>
      <c r="O1560" s="16">
        <v>356</v>
      </c>
      <c r="P1560" s="16">
        <v>485</v>
      </c>
      <c r="Q1560" s="16">
        <v>225</v>
      </c>
      <c r="R1560" s="16" t="s">
        <v>225</v>
      </c>
      <c r="S1560" s="16">
        <v>12.262600000000001</v>
      </c>
      <c r="T1560" s="16">
        <v>0</v>
      </c>
      <c r="U1560" s="16">
        <v>0.69808175500000003</v>
      </c>
      <c r="V1560" s="16">
        <v>9</v>
      </c>
      <c r="W1560" s="16">
        <v>0.80863799999999997</v>
      </c>
      <c r="X1560" s="16">
        <v>0.26654</v>
      </c>
      <c r="Y1560" s="16">
        <v>0.9</v>
      </c>
      <c r="Z1560" s="16">
        <v>0.18415799999999999</v>
      </c>
      <c r="AA1560" s="37"/>
    </row>
    <row r="1561" spans="1:27">
      <c r="A1561" s="16" t="s">
        <v>137</v>
      </c>
      <c r="B1561" s="16" t="s">
        <v>5157</v>
      </c>
      <c r="C1561" s="16" t="s">
        <v>5158</v>
      </c>
      <c r="D1561" s="16" t="s">
        <v>5159</v>
      </c>
      <c r="E1561" s="16" t="s">
        <v>5160</v>
      </c>
      <c r="F1561" s="16" t="s">
        <v>5161</v>
      </c>
      <c r="G1561" s="16" t="s">
        <v>4795</v>
      </c>
      <c r="H1561" s="16" t="s">
        <v>4796</v>
      </c>
      <c r="I1561" s="16" t="s">
        <v>198</v>
      </c>
      <c r="J1561" s="16" t="s">
        <v>199</v>
      </c>
      <c r="K1561" s="16">
        <v>2.2146089999999998</v>
      </c>
      <c r="L1561" s="36">
        <v>1732</v>
      </c>
      <c r="M1561" s="16">
        <v>402</v>
      </c>
      <c r="N1561" s="16">
        <v>265</v>
      </c>
      <c r="O1561" s="16">
        <v>436</v>
      </c>
      <c r="P1561" s="16">
        <v>424</v>
      </c>
      <c r="Q1561" s="16">
        <v>205</v>
      </c>
      <c r="R1561" s="16" t="s">
        <v>214</v>
      </c>
      <c r="S1561" s="16">
        <v>9.2633700000000001</v>
      </c>
      <c r="T1561" s="16">
        <v>0</v>
      </c>
      <c r="U1561" s="16">
        <v>0.79064063900000003</v>
      </c>
      <c r="V1561" s="16">
        <v>8</v>
      </c>
      <c r="W1561" s="16">
        <v>0.80383000000000004</v>
      </c>
      <c r="X1561" s="16">
        <v>0.16778899999999999</v>
      </c>
      <c r="Y1561" s="16">
        <v>0.9</v>
      </c>
      <c r="Z1561" s="16">
        <v>0.34220200000000001</v>
      </c>
      <c r="AA1561" s="37"/>
    </row>
    <row r="1562" spans="1:27">
      <c r="A1562" s="16" t="s">
        <v>137</v>
      </c>
      <c r="B1562" s="16" t="s">
        <v>4929</v>
      </c>
      <c r="C1562" s="16" t="s">
        <v>4930</v>
      </c>
      <c r="D1562" s="16" t="s">
        <v>4931</v>
      </c>
      <c r="E1562" s="16" t="s">
        <v>4932</v>
      </c>
      <c r="F1562" s="16" t="s">
        <v>4933</v>
      </c>
      <c r="G1562" s="16" t="s">
        <v>4795</v>
      </c>
      <c r="H1562" s="16" t="s">
        <v>4796</v>
      </c>
      <c r="I1562" s="16" t="s">
        <v>198</v>
      </c>
      <c r="J1562" s="16" t="s">
        <v>199</v>
      </c>
      <c r="K1562" s="16">
        <v>2.206502</v>
      </c>
      <c r="L1562" s="36">
        <v>1841</v>
      </c>
      <c r="M1562" s="16">
        <v>373</v>
      </c>
      <c r="N1562" s="16">
        <v>289</v>
      </c>
      <c r="O1562" s="16">
        <v>480</v>
      </c>
      <c r="P1562" s="16">
        <v>426</v>
      </c>
      <c r="Q1562" s="16">
        <v>273</v>
      </c>
      <c r="R1562" s="16" t="s">
        <v>225</v>
      </c>
      <c r="S1562" s="16">
        <v>10.3766</v>
      </c>
      <c r="T1562" s="16">
        <v>0</v>
      </c>
      <c r="U1562" s="16">
        <v>0.75193419399999994</v>
      </c>
      <c r="V1562" s="16">
        <v>7</v>
      </c>
      <c r="W1562" s="16">
        <v>0.80945999999999996</v>
      </c>
      <c r="X1562" s="16">
        <v>0.25179499999999999</v>
      </c>
      <c r="Y1562" s="16">
        <v>0.9</v>
      </c>
      <c r="Z1562" s="16">
        <v>0.24413399999999999</v>
      </c>
      <c r="AA1562" s="37"/>
    </row>
    <row r="1563" spans="1:27">
      <c r="A1563" s="16" t="s">
        <v>137</v>
      </c>
      <c r="B1563" s="16" t="s">
        <v>5162</v>
      </c>
      <c r="C1563" s="16" t="s">
        <v>5163</v>
      </c>
      <c r="D1563" s="16" t="s">
        <v>5164</v>
      </c>
      <c r="E1563" s="16" t="s">
        <v>5147</v>
      </c>
      <c r="F1563" s="16" t="s">
        <v>5148</v>
      </c>
      <c r="G1563" s="16" t="s">
        <v>4795</v>
      </c>
      <c r="H1563" s="16" t="s">
        <v>4796</v>
      </c>
      <c r="I1563" s="16" t="s">
        <v>198</v>
      </c>
      <c r="J1563" s="16" t="s">
        <v>199</v>
      </c>
      <c r="K1563" s="16">
        <v>2.2814960000000002</v>
      </c>
      <c r="L1563" s="36">
        <v>1918</v>
      </c>
      <c r="M1563" s="16">
        <v>355</v>
      </c>
      <c r="N1563" s="16">
        <v>278</v>
      </c>
      <c r="O1563" s="16">
        <v>356</v>
      </c>
      <c r="P1563" s="16">
        <v>539</v>
      </c>
      <c r="Q1563" s="16">
        <v>390</v>
      </c>
      <c r="R1563" s="16" t="s">
        <v>225</v>
      </c>
      <c r="S1563" s="16">
        <v>20.992100000000001</v>
      </c>
      <c r="T1563" s="16">
        <v>0</v>
      </c>
      <c r="U1563" s="16">
        <v>0.639527332</v>
      </c>
      <c r="V1563" s="16">
        <v>9</v>
      </c>
      <c r="W1563" s="16">
        <v>0.81099399999999999</v>
      </c>
      <c r="X1563" s="16">
        <v>0.33890799999999999</v>
      </c>
      <c r="Y1563" s="16">
        <v>0.9</v>
      </c>
      <c r="Z1563" s="16">
        <v>0.23170299999999999</v>
      </c>
      <c r="AA1563" s="37"/>
    </row>
    <row r="1564" spans="1:27">
      <c r="A1564" s="16" t="s">
        <v>137</v>
      </c>
      <c r="B1564" s="16" t="s">
        <v>5165</v>
      </c>
      <c r="C1564" s="16" t="s">
        <v>5166</v>
      </c>
      <c r="D1564" s="16" t="s">
        <v>5167</v>
      </c>
      <c r="E1564" s="16" t="s">
        <v>5147</v>
      </c>
      <c r="F1564" s="16" t="s">
        <v>5148</v>
      </c>
      <c r="G1564" s="16" t="s">
        <v>4795</v>
      </c>
      <c r="H1564" s="16" t="s">
        <v>4796</v>
      </c>
      <c r="I1564" s="16" t="s">
        <v>198</v>
      </c>
      <c r="J1564" s="16" t="s">
        <v>199</v>
      </c>
      <c r="K1564" s="16">
        <v>2.269342</v>
      </c>
      <c r="L1564" s="36">
        <v>1363</v>
      </c>
      <c r="M1564" s="16">
        <v>219</v>
      </c>
      <c r="N1564" s="16">
        <v>178</v>
      </c>
      <c r="O1564" s="16">
        <v>208</v>
      </c>
      <c r="P1564" s="16">
        <v>412</v>
      </c>
      <c r="Q1564" s="16">
        <v>346</v>
      </c>
      <c r="R1564" s="16">
        <v>2</v>
      </c>
      <c r="S1564" s="16">
        <v>13.466100000000001</v>
      </c>
      <c r="T1564" s="16">
        <v>2.02867</v>
      </c>
      <c r="U1564" s="16">
        <v>0.713093333</v>
      </c>
      <c r="V1564" s="16">
        <v>7</v>
      </c>
      <c r="W1564" s="16">
        <v>0.82499999999999996</v>
      </c>
      <c r="X1564" s="16">
        <v>0.32318799999999998</v>
      </c>
      <c r="Y1564" s="16">
        <v>0.9</v>
      </c>
      <c r="Z1564" s="16">
        <v>0.22361800000000001</v>
      </c>
      <c r="AA1564" s="37"/>
    </row>
    <row r="1565" spans="1:27">
      <c r="A1565" s="16"/>
      <c r="B1565" s="16"/>
      <c r="C1565" s="16"/>
      <c r="D1565" s="16"/>
      <c r="E1565" s="16"/>
      <c r="F1565" s="16"/>
      <c r="G1565" s="16"/>
      <c r="H1565" s="16"/>
      <c r="I1565" s="16"/>
      <c r="J1565" s="16"/>
      <c r="K1565" s="16">
        <f>MEDIAN(K1552:K1564)</f>
        <v>2.1612239999999998</v>
      </c>
      <c r="L1565" s="36">
        <f>AVERAGE(L1552:L1564)</f>
        <v>1664.6153846153845</v>
      </c>
      <c r="M1565" s="16">
        <f t="shared" ref="M1565:Q1565" si="140">SUM(M1552:M1564)</f>
        <v>4722</v>
      </c>
      <c r="N1565" s="16">
        <f t="shared" si="140"/>
        <v>3307</v>
      </c>
      <c r="O1565" s="16">
        <f t="shared" si="140"/>
        <v>4431</v>
      </c>
      <c r="P1565" s="16">
        <f t="shared" si="140"/>
        <v>5672</v>
      </c>
      <c r="Q1565" s="16">
        <f t="shared" si="140"/>
        <v>3508</v>
      </c>
      <c r="R1565" s="16"/>
      <c r="S1565" s="16">
        <f t="shared" ref="S1565:U1565" si="141">MIN(S1552:S1564)</f>
        <v>3.02054</v>
      </c>
      <c r="T1565" s="16">
        <f t="shared" si="141"/>
        <v>0</v>
      </c>
      <c r="U1565" s="16">
        <f t="shared" si="141"/>
        <v>0.61421516300000001</v>
      </c>
      <c r="V1565" s="16">
        <f>MEDIAN(V1552:V1564)</f>
        <v>8</v>
      </c>
      <c r="W1565" s="16"/>
      <c r="X1565" s="16"/>
      <c r="Y1565" s="16"/>
      <c r="Z1565" s="16"/>
      <c r="AA1565" s="37"/>
    </row>
    <row r="1566" spans="1:27">
      <c r="A1566" s="16" t="s">
        <v>138</v>
      </c>
      <c r="B1566" s="16" t="s">
        <v>5168</v>
      </c>
      <c r="C1566" s="16" t="s">
        <v>5169</v>
      </c>
      <c r="D1566" s="16" t="s">
        <v>5170</v>
      </c>
      <c r="E1566" s="16" t="s">
        <v>5171</v>
      </c>
      <c r="F1566" s="16" t="s">
        <v>5172</v>
      </c>
      <c r="G1566" s="16" t="s">
        <v>5173</v>
      </c>
      <c r="H1566" s="16" t="s">
        <v>5174</v>
      </c>
      <c r="I1566" s="16" t="s">
        <v>198</v>
      </c>
      <c r="J1566" s="16" t="s">
        <v>199</v>
      </c>
      <c r="K1566" s="16">
        <v>2.6868310000000002</v>
      </c>
      <c r="L1566" s="36">
        <v>1902</v>
      </c>
      <c r="M1566" s="16">
        <v>431</v>
      </c>
      <c r="N1566" s="16">
        <v>335</v>
      </c>
      <c r="O1566" s="16">
        <v>632</v>
      </c>
      <c r="P1566" s="16">
        <v>355</v>
      </c>
      <c r="Q1566" s="16">
        <v>149</v>
      </c>
      <c r="R1566" s="16">
        <v>3</v>
      </c>
      <c r="S1566" s="16">
        <v>21.687899999999999</v>
      </c>
      <c r="T1566" s="16">
        <v>0</v>
      </c>
      <c r="U1566" s="16">
        <v>0.75595843399999996</v>
      </c>
      <c r="V1566" s="16">
        <v>4</v>
      </c>
      <c r="W1566" s="16">
        <v>0.90339800000000003</v>
      </c>
      <c r="X1566" s="16">
        <v>0.12582599999999999</v>
      </c>
      <c r="Y1566" s="16">
        <v>0.81085700000000005</v>
      </c>
      <c r="Z1566" s="16">
        <v>0.84480999999999995</v>
      </c>
      <c r="AA1566" s="37"/>
    </row>
    <row r="1567" spans="1:27">
      <c r="A1567" s="16" t="s">
        <v>138</v>
      </c>
      <c r="B1567" s="16" t="s">
        <v>5175</v>
      </c>
      <c r="C1567" s="16" t="s">
        <v>5176</v>
      </c>
      <c r="D1567" s="16" t="s">
        <v>5177</v>
      </c>
      <c r="E1567" s="16" t="s">
        <v>5178</v>
      </c>
      <c r="F1567" s="16" t="s">
        <v>5179</v>
      </c>
      <c r="G1567" s="16" t="s">
        <v>4886</v>
      </c>
      <c r="H1567" s="16" t="s">
        <v>4887</v>
      </c>
      <c r="I1567" s="16" t="s">
        <v>198</v>
      </c>
      <c r="J1567" s="16" t="s">
        <v>199</v>
      </c>
      <c r="K1567" s="16">
        <v>2.2172149999999999</v>
      </c>
      <c r="L1567" s="36">
        <v>1609</v>
      </c>
      <c r="M1567" s="16">
        <v>347</v>
      </c>
      <c r="N1567" s="16">
        <v>212</v>
      </c>
      <c r="O1567" s="16">
        <v>288</v>
      </c>
      <c r="P1567" s="16">
        <v>491</v>
      </c>
      <c r="Q1567" s="16">
        <v>271</v>
      </c>
      <c r="R1567" s="16" t="s">
        <v>225</v>
      </c>
      <c r="S1567" s="16">
        <v>6.1904899999999996</v>
      </c>
      <c r="T1567" s="16">
        <v>2.6430799999999999</v>
      </c>
      <c r="U1567" s="16">
        <v>0.68288038600000001</v>
      </c>
      <c r="V1567" s="16">
        <v>9</v>
      </c>
      <c r="W1567" s="16">
        <v>0.9</v>
      </c>
      <c r="X1567" s="16">
        <v>8.5641999999999996E-2</v>
      </c>
      <c r="Y1567" s="16">
        <v>0.88194600000000001</v>
      </c>
      <c r="Z1567" s="16">
        <v>0.35661599999999999</v>
      </c>
      <c r="AA1567" s="37"/>
    </row>
    <row r="1568" spans="1:27">
      <c r="A1568" s="16" t="s">
        <v>138</v>
      </c>
      <c r="B1568" s="16" t="s">
        <v>5180</v>
      </c>
      <c r="C1568" s="16" t="s">
        <v>5181</v>
      </c>
      <c r="D1568" s="16" t="s">
        <v>5182</v>
      </c>
      <c r="E1568" s="16" t="s">
        <v>5183</v>
      </c>
      <c r="F1568" s="16" t="s">
        <v>5184</v>
      </c>
      <c r="G1568" s="16" t="s">
        <v>4886</v>
      </c>
      <c r="H1568" s="16" t="s">
        <v>4887</v>
      </c>
      <c r="I1568" s="16" t="s">
        <v>198</v>
      </c>
      <c r="J1568" s="16" t="s">
        <v>199</v>
      </c>
      <c r="K1568" s="16">
        <v>2.1989390000000002</v>
      </c>
      <c r="L1568" s="36">
        <v>1814</v>
      </c>
      <c r="M1568" s="16">
        <v>367</v>
      </c>
      <c r="N1568" s="16">
        <v>294</v>
      </c>
      <c r="O1568" s="16">
        <v>400</v>
      </c>
      <c r="P1568" s="16">
        <v>488</v>
      </c>
      <c r="Q1568" s="16">
        <v>265</v>
      </c>
      <c r="R1568" s="16">
        <v>3</v>
      </c>
      <c r="S1568" s="16">
        <v>24.2074</v>
      </c>
      <c r="T1568" s="16">
        <v>6.0459199999999997</v>
      </c>
      <c r="U1568" s="16">
        <v>0.96733671200000004</v>
      </c>
      <c r="V1568" s="16">
        <v>5</v>
      </c>
      <c r="W1568" s="16">
        <v>0.89628600000000003</v>
      </c>
      <c r="X1568" s="16">
        <v>8.2777000000000003E-2</v>
      </c>
      <c r="Y1568" s="16">
        <v>0.9</v>
      </c>
      <c r="Z1568" s="16">
        <v>0.32897199999999999</v>
      </c>
      <c r="AA1568" s="37"/>
    </row>
    <row r="1569" spans="1:27">
      <c r="A1569" s="16" t="s">
        <v>138</v>
      </c>
      <c r="B1569" s="16" t="s">
        <v>5185</v>
      </c>
      <c r="C1569" s="16" t="s">
        <v>5186</v>
      </c>
      <c r="D1569" s="16" t="s">
        <v>5187</v>
      </c>
      <c r="E1569" s="16" t="s">
        <v>5188</v>
      </c>
      <c r="F1569" s="16" t="s">
        <v>5189</v>
      </c>
      <c r="G1569" s="16" t="s">
        <v>4886</v>
      </c>
      <c r="H1569" s="16" t="s">
        <v>4887</v>
      </c>
      <c r="I1569" s="16" t="s">
        <v>198</v>
      </c>
      <c r="J1569" s="16" t="s">
        <v>199</v>
      </c>
      <c r="K1569" s="16">
        <v>2.2344780000000002</v>
      </c>
      <c r="L1569" s="36">
        <v>1570</v>
      </c>
      <c r="M1569" s="16">
        <v>358</v>
      </c>
      <c r="N1569" s="16">
        <v>258</v>
      </c>
      <c r="O1569" s="16">
        <v>290</v>
      </c>
      <c r="P1569" s="16">
        <v>375</v>
      </c>
      <c r="Q1569" s="16">
        <v>289</v>
      </c>
      <c r="R1569" s="16">
        <v>2</v>
      </c>
      <c r="S1569" s="16">
        <v>15.1294</v>
      </c>
      <c r="T1569" s="16">
        <v>0</v>
      </c>
      <c r="U1569" s="16">
        <v>1.073076277</v>
      </c>
      <c r="V1569" s="16">
        <v>3</v>
      </c>
      <c r="W1569" s="16">
        <v>0.84438599999999997</v>
      </c>
      <c r="X1569" s="16">
        <v>0.20346700000000001</v>
      </c>
      <c r="Y1569" s="16">
        <v>0.9</v>
      </c>
      <c r="Z1569" s="16">
        <v>0.28822799999999998</v>
      </c>
      <c r="AA1569" s="37"/>
    </row>
    <row r="1570" spans="1:27">
      <c r="A1570" s="16" t="s">
        <v>138</v>
      </c>
      <c r="B1570" s="16" t="s">
        <v>5190</v>
      </c>
      <c r="C1570" s="16" t="s">
        <v>5191</v>
      </c>
      <c r="D1570" s="16" t="s">
        <v>5192</v>
      </c>
      <c r="E1570" s="16" t="s">
        <v>5188</v>
      </c>
      <c r="F1570" s="16" t="s">
        <v>5189</v>
      </c>
      <c r="G1570" s="16" t="s">
        <v>4886</v>
      </c>
      <c r="H1570" s="16" t="s">
        <v>4887</v>
      </c>
      <c r="I1570" s="16" t="s">
        <v>198</v>
      </c>
      <c r="J1570" s="16" t="s">
        <v>199</v>
      </c>
      <c r="K1570" s="16">
        <v>2.2742460000000002</v>
      </c>
      <c r="L1570" s="36">
        <v>1732</v>
      </c>
      <c r="M1570" s="16">
        <v>472</v>
      </c>
      <c r="N1570" s="16">
        <v>260</v>
      </c>
      <c r="O1570" s="16">
        <v>374</v>
      </c>
      <c r="P1570" s="16">
        <v>386</v>
      </c>
      <c r="Q1570" s="16">
        <v>240</v>
      </c>
      <c r="R1570" s="16" t="s">
        <v>225</v>
      </c>
      <c r="S1570" s="16">
        <v>8.8517499999999991</v>
      </c>
      <c r="T1570" s="16">
        <v>0</v>
      </c>
      <c r="U1570" s="16">
        <v>1.034779399</v>
      </c>
      <c r="V1570" s="16">
        <v>2</v>
      </c>
      <c r="W1570" s="16">
        <v>0.84062499999999996</v>
      </c>
      <c r="X1570" s="16">
        <v>0.228571</v>
      </c>
      <c r="Y1570" s="16">
        <v>0.9</v>
      </c>
      <c r="Z1570" s="16">
        <v>0.31443900000000002</v>
      </c>
      <c r="AA1570" s="37"/>
    </row>
    <row r="1571" spans="1:27">
      <c r="A1571" s="16" t="s">
        <v>138</v>
      </c>
      <c r="B1571" s="16" t="s">
        <v>5193</v>
      </c>
      <c r="C1571" s="16" t="s">
        <v>5194</v>
      </c>
      <c r="D1571" s="16" t="s">
        <v>5195</v>
      </c>
      <c r="E1571" s="16" t="s">
        <v>5188</v>
      </c>
      <c r="F1571" s="16" t="s">
        <v>5189</v>
      </c>
      <c r="G1571" s="16" t="s">
        <v>4886</v>
      </c>
      <c r="H1571" s="16" t="s">
        <v>4887</v>
      </c>
      <c r="I1571" s="16" t="s">
        <v>198</v>
      </c>
      <c r="J1571" s="16" t="s">
        <v>199</v>
      </c>
      <c r="K1571" s="16">
        <v>2.3157770000000002</v>
      </c>
      <c r="L1571" s="36">
        <v>1631</v>
      </c>
      <c r="M1571" s="16">
        <v>383</v>
      </c>
      <c r="N1571" s="16">
        <v>237</v>
      </c>
      <c r="O1571" s="16">
        <v>343</v>
      </c>
      <c r="P1571" s="16">
        <v>397</v>
      </c>
      <c r="Q1571" s="16">
        <v>271</v>
      </c>
      <c r="R1571" s="16" t="s">
        <v>225</v>
      </c>
      <c r="S1571" s="16">
        <v>10.3545</v>
      </c>
      <c r="T1571" s="16">
        <v>0</v>
      </c>
      <c r="U1571" s="16">
        <v>0.96583022500000004</v>
      </c>
      <c r="V1571" s="16">
        <v>4</v>
      </c>
      <c r="W1571" s="16">
        <v>0.84895600000000004</v>
      </c>
      <c r="X1571" s="16">
        <v>0.24310100000000001</v>
      </c>
      <c r="Y1571" s="16">
        <v>0.9</v>
      </c>
      <c r="Z1571" s="16">
        <v>0.33264100000000002</v>
      </c>
      <c r="AA1571" s="37"/>
    </row>
    <row r="1572" spans="1:27">
      <c r="A1572" s="16" t="s">
        <v>138</v>
      </c>
      <c r="B1572" s="16" t="s">
        <v>5196</v>
      </c>
      <c r="C1572" s="16" t="s">
        <v>5197</v>
      </c>
      <c r="D1572" s="16" t="s">
        <v>5198</v>
      </c>
      <c r="E1572" s="16" t="s">
        <v>5199</v>
      </c>
      <c r="F1572" s="16" t="s">
        <v>5200</v>
      </c>
      <c r="G1572" s="16" t="s">
        <v>4886</v>
      </c>
      <c r="H1572" s="16" t="s">
        <v>4887</v>
      </c>
      <c r="I1572" s="16" t="s">
        <v>198</v>
      </c>
      <c r="J1572" s="16" t="s">
        <v>199</v>
      </c>
      <c r="K1572" s="16">
        <v>2.4188990000000001</v>
      </c>
      <c r="L1572" s="36">
        <v>1691</v>
      </c>
      <c r="M1572" s="16">
        <v>411</v>
      </c>
      <c r="N1572" s="16">
        <v>260</v>
      </c>
      <c r="O1572" s="16">
        <v>479</v>
      </c>
      <c r="P1572" s="16">
        <v>361</v>
      </c>
      <c r="Q1572" s="16">
        <v>180</v>
      </c>
      <c r="R1572" s="16" t="s">
        <v>214</v>
      </c>
      <c r="S1572" s="16">
        <v>7.7703600000000002</v>
      </c>
      <c r="T1572" s="16">
        <v>0</v>
      </c>
      <c r="U1572" s="16">
        <v>0.77533430400000003</v>
      </c>
      <c r="V1572" s="16">
        <v>5</v>
      </c>
      <c r="W1572" s="16">
        <v>0.83534200000000003</v>
      </c>
      <c r="X1572" s="16">
        <v>0.18510799999999999</v>
      </c>
      <c r="Y1572" s="16">
        <v>0.9</v>
      </c>
      <c r="Z1572" s="16">
        <v>0.49247400000000002</v>
      </c>
      <c r="AA1572" s="37"/>
    </row>
    <row r="1573" spans="1:27">
      <c r="A1573" s="16" t="s">
        <v>138</v>
      </c>
      <c r="B1573" s="16" t="s">
        <v>5201</v>
      </c>
      <c r="C1573" s="16" t="s">
        <v>5202</v>
      </c>
      <c r="D1573" s="16" t="s">
        <v>5203</v>
      </c>
      <c r="E1573" s="16" t="s">
        <v>5199</v>
      </c>
      <c r="F1573" s="16" t="s">
        <v>5200</v>
      </c>
      <c r="G1573" s="16" t="s">
        <v>4886</v>
      </c>
      <c r="H1573" s="16" t="s">
        <v>4887</v>
      </c>
      <c r="I1573" s="16" t="s">
        <v>198</v>
      </c>
      <c r="J1573" s="16" t="s">
        <v>199</v>
      </c>
      <c r="K1573" s="16">
        <v>2.358069</v>
      </c>
      <c r="L1573" s="36">
        <v>1752</v>
      </c>
      <c r="M1573" s="16">
        <v>303</v>
      </c>
      <c r="N1573" s="16">
        <v>282</v>
      </c>
      <c r="O1573" s="16">
        <v>408</v>
      </c>
      <c r="P1573" s="16">
        <v>452</v>
      </c>
      <c r="Q1573" s="16">
        <v>307</v>
      </c>
      <c r="R1573" s="16">
        <v>2</v>
      </c>
      <c r="S1573" s="16">
        <v>16.684000000000001</v>
      </c>
      <c r="T1573" s="16">
        <v>0</v>
      </c>
      <c r="U1573" s="16">
        <v>0.75585363000000005</v>
      </c>
      <c r="V1573" s="16">
        <v>6</v>
      </c>
      <c r="W1573" s="16">
        <v>0.860483</v>
      </c>
      <c r="X1573" s="16">
        <v>0.176121</v>
      </c>
      <c r="Y1573" s="16">
        <v>0.9</v>
      </c>
      <c r="Z1573" s="16">
        <v>0.42399199999999998</v>
      </c>
      <c r="AA1573" s="37"/>
    </row>
    <row r="1574" spans="1:27">
      <c r="A1574" s="16" t="s">
        <v>138</v>
      </c>
      <c r="B1574" s="16" t="s">
        <v>5204</v>
      </c>
      <c r="C1574" s="16" t="s">
        <v>5205</v>
      </c>
      <c r="D1574" s="16" t="s">
        <v>5206</v>
      </c>
      <c r="E1574" s="16" t="s">
        <v>5199</v>
      </c>
      <c r="F1574" s="16" t="s">
        <v>5200</v>
      </c>
      <c r="G1574" s="16" t="s">
        <v>4886</v>
      </c>
      <c r="H1574" s="16" t="s">
        <v>4887</v>
      </c>
      <c r="I1574" s="16" t="s">
        <v>198</v>
      </c>
      <c r="J1574" s="16" t="s">
        <v>199</v>
      </c>
      <c r="K1574" s="16">
        <v>2.492613</v>
      </c>
      <c r="L1574" s="36">
        <v>2008</v>
      </c>
      <c r="M1574" s="16">
        <v>459</v>
      </c>
      <c r="N1574" s="16">
        <v>300</v>
      </c>
      <c r="O1574" s="16">
        <v>407</v>
      </c>
      <c r="P1574" s="16">
        <v>472</v>
      </c>
      <c r="Q1574" s="16">
        <v>370</v>
      </c>
      <c r="R1574" s="16">
        <v>2</v>
      </c>
      <c r="S1574" s="16">
        <v>16.272600000000001</v>
      </c>
      <c r="T1574" s="16">
        <v>0</v>
      </c>
      <c r="U1574" s="16">
        <v>0.90555377400000003</v>
      </c>
      <c r="V1574" s="16">
        <v>3</v>
      </c>
      <c r="W1574" s="16">
        <v>0.89044999999999996</v>
      </c>
      <c r="X1574" s="16">
        <v>0.30523499999999998</v>
      </c>
      <c r="Y1574" s="16">
        <v>0.9</v>
      </c>
      <c r="Z1574" s="16">
        <v>0.39721499999999998</v>
      </c>
      <c r="AA1574" s="37"/>
    </row>
    <row r="1575" spans="1:27">
      <c r="A1575" s="16" t="s">
        <v>138</v>
      </c>
      <c r="B1575" s="16" t="s">
        <v>5207</v>
      </c>
      <c r="C1575" s="16" t="s">
        <v>5208</v>
      </c>
      <c r="D1575" s="16" t="s">
        <v>5209</v>
      </c>
      <c r="E1575" s="16" t="s">
        <v>5183</v>
      </c>
      <c r="F1575" s="16" t="s">
        <v>5184</v>
      </c>
      <c r="G1575" s="16" t="s">
        <v>4886</v>
      </c>
      <c r="H1575" s="16" t="s">
        <v>4887</v>
      </c>
      <c r="I1575" s="16" t="s">
        <v>198</v>
      </c>
      <c r="J1575" s="16" t="s">
        <v>199</v>
      </c>
      <c r="K1575" s="16">
        <v>2.264713</v>
      </c>
      <c r="L1575" s="36">
        <v>1612</v>
      </c>
      <c r="M1575" s="16">
        <v>381</v>
      </c>
      <c r="N1575" s="16">
        <v>198</v>
      </c>
      <c r="O1575" s="16">
        <v>315</v>
      </c>
      <c r="P1575" s="16">
        <v>406</v>
      </c>
      <c r="Q1575" s="16">
        <v>312</v>
      </c>
      <c r="R1575" s="16" t="s">
        <v>225</v>
      </c>
      <c r="S1575" s="16">
        <v>17.178799999999999</v>
      </c>
      <c r="T1575" s="16">
        <v>0</v>
      </c>
      <c r="U1575" s="16">
        <v>0.82469318199999997</v>
      </c>
      <c r="V1575" s="16">
        <v>5</v>
      </c>
      <c r="W1575" s="16">
        <v>0.86620699999999995</v>
      </c>
      <c r="X1575" s="16">
        <v>0.18578</v>
      </c>
      <c r="Y1575" s="16">
        <v>0.9</v>
      </c>
      <c r="Z1575" s="16">
        <v>0.31668600000000002</v>
      </c>
      <c r="AA1575" s="37"/>
    </row>
    <row r="1576" spans="1:27">
      <c r="A1576" s="16" t="s">
        <v>138</v>
      </c>
      <c r="B1576" s="16" t="s">
        <v>5210</v>
      </c>
      <c r="C1576" s="16" t="s">
        <v>5211</v>
      </c>
      <c r="D1576" s="16" t="s">
        <v>5212</v>
      </c>
      <c r="E1576" s="16" t="s">
        <v>5199</v>
      </c>
      <c r="F1576" s="16" t="s">
        <v>5200</v>
      </c>
      <c r="G1576" s="16" t="s">
        <v>4886</v>
      </c>
      <c r="H1576" s="16" t="s">
        <v>4887</v>
      </c>
      <c r="I1576" s="16" t="s">
        <v>198</v>
      </c>
      <c r="J1576" s="16" t="s">
        <v>199</v>
      </c>
      <c r="K1576" s="16">
        <v>2.5118999999999998</v>
      </c>
      <c r="L1576" s="36">
        <v>1570</v>
      </c>
      <c r="M1576" s="16">
        <v>327</v>
      </c>
      <c r="N1576" s="16">
        <v>268</v>
      </c>
      <c r="O1576" s="16">
        <v>372</v>
      </c>
      <c r="P1576" s="16">
        <v>390</v>
      </c>
      <c r="Q1576" s="16">
        <v>213</v>
      </c>
      <c r="R1576" s="16">
        <v>3</v>
      </c>
      <c r="S1576" s="16">
        <v>20.2593</v>
      </c>
      <c r="T1576" s="16">
        <v>6.8014200000000002</v>
      </c>
      <c r="U1576" s="16">
        <v>0.66049652199999997</v>
      </c>
      <c r="V1576" s="16">
        <v>5</v>
      </c>
      <c r="W1576" s="16">
        <v>0.83169000000000004</v>
      </c>
      <c r="X1576" s="16">
        <v>0.119001</v>
      </c>
      <c r="Y1576" s="16">
        <v>0.9</v>
      </c>
      <c r="Z1576" s="16">
        <v>0.65345200000000003</v>
      </c>
      <c r="AA1576" s="37"/>
    </row>
    <row r="1577" spans="1:27">
      <c r="A1577" s="16" t="s">
        <v>138</v>
      </c>
      <c r="B1577" s="16" t="s">
        <v>5213</v>
      </c>
      <c r="C1577" s="16" t="s">
        <v>5214</v>
      </c>
      <c r="D1577" s="16" t="s">
        <v>5215</v>
      </c>
      <c r="E1577" s="16" t="s">
        <v>5216</v>
      </c>
      <c r="F1577" s="16" t="s">
        <v>5217</v>
      </c>
      <c r="G1577" s="16" t="s">
        <v>4886</v>
      </c>
      <c r="H1577" s="16" t="s">
        <v>4887</v>
      </c>
      <c r="I1577" s="16" t="s">
        <v>198</v>
      </c>
      <c r="J1577" s="16" t="s">
        <v>199</v>
      </c>
      <c r="K1577" s="16">
        <v>2.8587929999999999</v>
      </c>
      <c r="L1577" s="36">
        <v>1970</v>
      </c>
      <c r="M1577" s="16">
        <v>361</v>
      </c>
      <c r="N1577" s="16">
        <v>364</v>
      </c>
      <c r="O1577" s="16">
        <v>598</v>
      </c>
      <c r="P1577" s="16">
        <v>384</v>
      </c>
      <c r="Q1577" s="16">
        <v>263</v>
      </c>
      <c r="R1577" s="16">
        <v>3</v>
      </c>
      <c r="S1577" s="16">
        <v>21.882300000000001</v>
      </c>
      <c r="T1577" s="16">
        <v>0</v>
      </c>
      <c r="U1577" s="16">
        <v>0.52875703299999999</v>
      </c>
      <c r="V1577" s="16">
        <v>6</v>
      </c>
      <c r="W1577" s="16">
        <v>0.92018200000000006</v>
      </c>
      <c r="X1577" s="16">
        <v>0.35217700000000002</v>
      </c>
      <c r="Y1577" s="16">
        <v>0.80246099999999998</v>
      </c>
      <c r="Z1577" s="16">
        <v>0.774725</v>
      </c>
      <c r="AA1577" s="37"/>
    </row>
    <row r="1578" spans="1:27">
      <c r="A1578" s="16" t="s">
        <v>138</v>
      </c>
      <c r="B1578" s="16" t="s">
        <v>5218</v>
      </c>
      <c r="C1578" s="16" t="s">
        <v>5219</v>
      </c>
      <c r="D1578" s="16" t="s">
        <v>5220</v>
      </c>
      <c r="E1578" s="16" t="s">
        <v>5178</v>
      </c>
      <c r="F1578" s="16" t="s">
        <v>5179</v>
      </c>
      <c r="G1578" s="16" t="s">
        <v>4886</v>
      </c>
      <c r="H1578" s="16" t="s">
        <v>4887</v>
      </c>
      <c r="I1578" s="16" t="s">
        <v>198</v>
      </c>
      <c r="J1578" s="16" t="s">
        <v>199</v>
      </c>
      <c r="K1578" s="16">
        <v>2.2799999999999998</v>
      </c>
      <c r="L1578" s="36">
        <v>1440</v>
      </c>
      <c r="M1578" s="16">
        <v>307</v>
      </c>
      <c r="N1578" s="16">
        <v>180</v>
      </c>
      <c r="O1578" s="16">
        <v>234</v>
      </c>
      <c r="P1578" s="16">
        <v>386</v>
      </c>
      <c r="Q1578" s="16">
        <v>333</v>
      </c>
      <c r="R1578" s="16">
        <v>2</v>
      </c>
      <c r="S1578" s="16">
        <v>11.411</v>
      </c>
      <c r="T1578" s="16">
        <v>2.33989</v>
      </c>
      <c r="U1578" s="16">
        <v>0.63803524700000003</v>
      </c>
      <c r="V1578" s="16">
        <v>9</v>
      </c>
      <c r="W1578" s="16">
        <v>0.90394399999999997</v>
      </c>
      <c r="X1578" s="16">
        <v>4.7376000000000001E-2</v>
      </c>
      <c r="Y1578" s="16">
        <v>0.81476800000000005</v>
      </c>
      <c r="Z1578" s="16">
        <v>0.52183100000000004</v>
      </c>
      <c r="AA1578" s="37"/>
    </row>
    <row r="1579" spans="1:27">
      <c r="A1579" s="16" t="s">
        <v>138</v>
      </c>
      <c r="B1579" s="16" t="s">
        <v>5221</v>
      </c>
      <c r="C1579" s="16" t="s">
        <v>5222</v>
      </c>
      <c r="D1579" s="16" t="s">
        <v>5223</v>
      </c>
      <c r="E1579" s="16" t="s">
        <v>5178</v>
      </c>
      <c r="F1579" s="16" t="s">
        <v>5179</v>
      </c>
      <c r="G1579" s="16" t="s">
        <v>4886</v>
      </c>
      <c r="H1579" s="16" t="s">
        <v>4887</v>
      </c>
      <c r="I1579" s="16" t="s">
        <v>198</v>
      </c>
      <c r="J1579" s="16" t="s">
        <v>199</v>
      </c>
      <c r="K1579" s="16">
        <v>2.3241719999999999</v>
      </c>
      <c r="L1579" s="36">
        <v>1513</v>
      </c>
      <c r="M1579" s="16">
        <v>364</v>
      </c>
      <c r="N1579" s="16">
        <v>175</v>
      </c>
      <c r="O1579" s="16">
        <v>268</v>
      </c>
      <c r="P1579" s="16">
        <v>385</v>
      </c>
      <c r="Q1579" s="16">
        <v>321</v>
      </c>
      <c r="R1579" s="16">
        <v>2</v>
      </c>
      <c r="S1579" s="16">
        <v>20.5427</v>
      </c>
      <c r="T1579" s="16">
        <v>0</v>
      </c>
      <c r="U1579" s="16">
        <v>0.62794222600000005</v>
      </c>
      <c r="V1579" s="16">
        <v>9</v>
      </c>
      <c r="W1579" s="16">
        <v>0.90490800000000005</v>
      </c>
      <c r="X1579" s="16">
        <v>0.13880000000000001</v>
      </c>
      <c r="Y1579" s="16">
        <v>0.85243899999999995</v>
      </c>
      <c r="Z1579" s="16">
        <v>0.43329299999999998</v>
      </c>
      <c r="AA1579" s="37"/>
    </row>
    <row r="1580" spans="1:27">
      <c r="A1580" s="16" t="s">
        <v>138</v>
      </c>
      <c r="B1580" s="16" t="s">
        <v>5224</v>
      </c>
      <c r="C1580" s="16" t="s">
        <v>5225</v>
      </c>
      <c r="D1580" s="16" t="s">
        <v>5226</v>
      </c>
      <c r="E1580" s="16" t="s">
        <v>5227</v>
      </c>
      <c r="F1580" s="16" t="s">
        <v>5228</v>
      </c>
      <c r="G1580" s="16" t="s">
        <v>4886</v>
      </c>
      <c r="H1580" s="16" t="s">
        <v>4887</v>
      </c>
      <c r="I1580" s="16" t="s">
        <v>198</v>
      </c>
      <c r="J1580" s="16" t="s">
        <v>199</v>
      </c>
      <c r="K1580" s="16">
        <v>2.2890640000000002</v>
      </c>
      <c r="L1580" s="36">
        <v>1488</v>
      </c>
      <c r="M1580" s="16">
        <v>431</v>
      </c>
      <c r="N1580" s="16">
        <v>273</v>
      </c>
      <c r="O1580" s="16">
        <v>262</v>
      </c>
      <c r="P1580" s="16">
        <v>355</v>
      </c>
      <c r="Q1580" s="16">
        <v>167</v>
      </c>
      <c r="R1580" s="16" t="s">
        <v>214</v>
      </c>
      <c r="S1580" s="16">
        <v>7.3210800000000003</v>
      </c>
      <c r="T1580" s="16">
        <v>0</v>
      </c>
      <c r="U1580" s="16">
        <v>1.187972421</v>
      </c>
      <c r="V1580" s="16">
        <v>2</v>
      </c>
      <c r="W1580" s="16">
        <v>0.81463399999999997</v>
      </c>
      <c r="X1580" s="16">
        <v>0.28920200000000001</v>
      </c>
      <c r="Y1580" s="16">
        <v>0.9</v>
      </c>
      <c r="Z1580" s="16">
        <v>0.285445</v>
      </c>
      <c r="AA1580" s="37"/>
    </row>
    <row r="1581" spans="1:27">
      <c r="A1581" s="16" t="s">
        <v>138</v>
      </c>
      <c r="B1581" s="16" t="s">
        <v>5229</v>
      </c>
      <c r="C1581" s="16" t="s">
        <v>5230</v>
      </c>
      <c r="D1581" s="16" t="s">
        <v>5231</v>
      </c>
      <c r="E1581" s="16" t="s">
        <v>5227</v>
      </c>
      <c r="F1581" s="16" t="s">
        <v>5228</v>
      </c>
      <c r="G1581" s="16" t="s">
        <v>4886</v>
      </c>
      <c r="H1581" s="16" t="s">
        <v>4887</v>
      </c>
      <c r="I1581" s="16" t="s">
        <v>198</v>
      </c>
      <c r="J1581" s="16" t="s">
        <v>199</v>
      </c>
      <c r="K1581" s="16">
        <v>2.2256459999999998</v>
      </c>
      <c r="L1581" s="36">
        <v>2044</v>
      </c>
      <c r="M1581" s="16">
        <v>501</v>
      </c>
      <c r="N1581" s="16">
        <v>314</v>
      </c>
      <c r="O1581" s="16">
        <v>463</v>
      </c>
      <c r="P1581" s="16">
        <v>444</v>
      </c>
      <c r="Q1581" s="16">
        <v>322</v>
      </c>
      <c r="R1581" s="16">
        <v>2</v>
      </c>
      <c r="S1581" s="16">
        <v>16.314900000000002</v>
      </c>
      <c r="T1581" s="16">
        <v>0</v>
      </c>
      <c r="U1581" s="16">
        <v>0.98253161899999997</v>
      </c>
      <c r="V1581" s="16">
        <v>4</v>
      </c>
      <c r="W1581" s="16">
        <v>0.82781800000000005</v>
      </c>
      <c r="X1581" s="16">
        <v>0.17752599999999999</v>
      </c>
      <c r="Y1581" s="16">
        <v>0.9</v>
      </c>
      <c r="Z1581" s="16">
        <v>0.31754900000000003</v>
      </c>
      <c r="AA1581" s="37"/>
    </row>
    <row r="1582" spans="1:27">
      <c r="A1582" s="16" t="s">
        <v>138</v>
      </c>
      <c r="B1582" s="16" t="s">
        <v>5232</v>
      </c>
      <c r="C1582" s="16" t="s">
        <v>5233</v>
      </c>
      <c r="D1582" s="16" t="s">
        <v>5234</v>
      </c>
      <c r="E1582" s="16" t="s">
        <v>5235</v>
      </c>
      <c r="F1582" s="16" t="s">
        <v>5236</v>
      </c>
      <c r="G1582" s="16" t="s">
        <v>4886</v>
      </c>
      <c r="H1582" s="16" t="s">
        <v>4887</v>
      </c>
      <c r="I1582" s="16" t="s">
        <v>198</v>
      </c>
      <c r="J1582" s="16" t="s">
        <v>199</v>
      </c>
      <c r="K1582" s="16">
        <v>2.2321520000000001</v>
      </c>
      <c r="L1582" s="36">
        <v>1829</v>
      </c>
      <c r="M1582" s="16">
        <v>406</v>
      </c>
      <c r="N1582" s="16">
        <v>277</v>
      </c>
      <c r="O1582" s="16">
        <v>420</v>
      </c>
      <c r="P1582" s="16">
        <v>484</v>
      </c>
      <c r="Q1582" s="16">
        <v>242</v>
      </c>
      <c r="R1582" s="16">
        <v>3</v>
      </c>
      <c r="S1582" s="16">
        <v>21.184999999999999</v>
      </c>
      <c r="T1582" s="16">
        <v>0</v>
      </c>
      <c r="U1582" s="16">
        <v>0.88102654199999997</v>
      </c>
      <c r="V1582" s="16">
        <v>4</v>
      </c>
      <c r="W1582" s="16">
        <v>0.81837300000000002</v>
      </c>
      <c r="X1582" s="16">
        <v>0.12934200000000001</v>
      </c>
      <c r="Y1582" s="16">
        <v>0.9</v>
      </c>
      <c r="Z1582" s="16">
        <v>0.38285200000000003</v>
      </c>
      <c r="AA1582" s="37"/>
    </row>
    <row r="1583" spans="1:27">
      <c r="A1583" s="16" t="s">
        <v>138</v>
      </c>
      <c r="B1583" s="16" t="s">
        <v>5237</v>
      </c>
      <c r="C1583" s="16" t="s">
        <v>5238</v>
      </c>
      <c r="D1583" s="16" t="s">
        <v>5239</v>
      </c>
      <c r="E1583" s="16" t="s">
        <v>5235</v>
      </c>
      <c r="F1583" s="16" t="s">
        <v>5236</v>
      </c>
      <c r="G1583" s="16" t="s">
        <v>4886</v>
      </c>
      <c r="H1583" s="16" t="s">
        <v>4887</v>
      </c>
      <c r="I1583" s="16" t="s">
        <v>198</v>
      </c>
      <c r="J1583" s="16" t="s">
        <v>199</v>
      </c>
      <c r="K1583" s="16">
        <v>2.284411</v>
      </c>
      <c r="L1583" s="36">
        <v>1778</v>
      </c>
      <c r="M1583" s="16">
        <v>406</v>
      </c>
      <c r="N1583" s="16">
        <v>251</v>
      </c>
      <c r="O1583" s="16">
        <v>480</v>
      </c>
      <c r="P1583" s="16">
        <v>423</v>
      </c>
      <c r="Q1583" s="16">
        <v>218</v>
      </c>
      <c r="R1583" s="16">
        <v>3</v>
      </c>
      <c r="S1583" s="16">
        <v>20.585799999999999</v>
      </c>
      <c r="T1583" s="16">
        <v>2.5720700000000001</v>
      </c>
      <c r="U1583" s="16">
        <v>0.91712359499999996</v>
      </c>
      <c r="V1583" s="16">
        <v>4</v>
      </c>
      <c r="W1583" s="16">
        <v>0.83637300000000003</v>
      </c>
      <c r="X1583" s="16">
        <v>0.18229699999999999</v>
      </c>
      <c r="Y1583" s="16">
        <v>0.9</v>
      </c>
      <c r="Z1583" s="16">
        <v>0.36078199999999999</v>
      </c>
      <c r="AA1583" s="37"/>
    </row>
    <row r="1584" spans="1:27">
      <c r="A1584" s="16" t="s">
        <v>138</v>
      </c>
      <c r="B1584" s="16" t="s">
        <v>5240</v>
      </c>
      <c r="C1584" s="16" t="s">
        <v>5241</v>
      </c>
      <c r="D1584" s="16" t="s">
        <v>5242</v>
      </c>
      <c r="E1584" s="16" t="s">
        <v>4891</v>
      </c>
      <c r="F1584" s="16" t="s">
        <v>4892</v>
      </c>
      <c r="G1584" s="16" t="s">
        <v>4886</v>
      </c>
      <c r="H1584" s="16" t="s">
        <v>4887</v>
      </c>
      <c r="I1584" s="16" t="s">
        <v>198</v>
      </c>
      <c r="J1584" s="16" t="s">
        <v>199</v>
      </c>
      <c r="K1584" s="16">
        <v>2.2690160000000001</v>
      </c>
      <c r="L1584" s="36">
        <v>1687</v>
      </c>
      <c r="M1584" s="16">
        <v>438</v>
      </c>
      <c r="N1584" s="16">
        <v>286</v>
      </c>
      <c r="O1584" s="16">
        <v>399</v>
      </c>
      <c r="P1584" s="16">
        <v>402</v>
      </c>
      <c r="Q1584" s="16">
        <v>162</v>
      </c>
      <c r="R1584" s="16">
        <v>2</v>
      </c>
      <c r="S1584" s="16">
        <v>12.1287</v>
      </c>
      <c r="T1584" s="16">
        <v>0</v>
      </c>
      <c r="U1584" s="16">
        <v>1.0772256010000001</v>
      </c>
      <c r="V1584" s="16">
        <v>2</v>
      </c>
      <c r="W1584" s="16">
        <v>0.83311000000000002</v>
      </c>
      <c r="X1584" s="16">
        <v>0.214699</v>
      </c>
      <c r="Y1584" s="16">
        <v>0.9</v>
      </c>
      <c r="Z1584" s="16">
        <v>0.32347100000000001</v>
      </c>
      <c r="AA1584" s="37"/>
    </row>
    <row r="1585" spans="1:27">
      <c r="A1585" s="16" t="s">
        <v>138</v>
      </c>
      <c r="B1585" s="16" t="s">
        <v>4888</v>
      </c>
      <c r="C1585" s="16" t="s">
        <v>4889</v>
      </c>
      <c r="D1585" s="16" t="s">
        <v>4890</v>
      </c>
      <c r="E1585" s="16" t="s">
        <v>4891</v>
      </c>
      <c r="F1585" s="16" t="s">
        <v>4892</v>
      </c>
      <c r="G1585" s="16" t="s">
        <v>4886</v>
      </c>
      <c r="H1585" s="16" t="s">
        <v>4887</v>
      </c>
      <c r="I1585" s="16" t="s">
        <v>198</v>
      </c>
      <c r="J1585" s="16" t="s">
        <v>199</v>
      </c>
      <c r="K1585" s="16">
        <v>2.241501</v>
      </c>
      <c r="L1585" s="36">
        <v>1743</v>
      </c>
      <c r="M1585" s="16">
        <v>470</v>
      </c>
      <c r="N1585" s="16">
        <v>265</v>
      </c>
      <c r="O1585" s="16">
        <v>342</v>
      </c>
      <c r="P1585" s="16">
        <v>439</v>
      </c>
      <c r="Q1585" s="16">
        <v>227</v>
      </c>
      <c r="R1585" s="16" t="s">
        <v>214</v>
      </c>
      <c r="S1585" s="16">
        <v>9.2533200000000004</v>
      </c>
      <c r="T1585" s="16">
        <v>0</v>
      </c>
      <c r="U1585" s="16">
        <v>1.0930970310000001</v>
      </c>
      <c r="V1585" s="16">
        <v>3</v>
      </c>
      <c r="W1585" s="16">
        <v>0.82514900000000002</v>
      </c>
      <c r="X1585" s="16">
        <v>0.28721999999999998</v>
      </c>
      <c r="Y1585" s="16">
        <v>0.9</v>
      </c>
      <c r="Z1585" s="16">
        <v>0.23555400000000001</v>
      </c>
      <c r="AA1585" s="37"/>
    </row>
    <row r="1586" spans="1:27">
      <c r="A1586" s="16" t="s">
        <v>138</v>
      </c>
      <c r="B1586" s="16" t="s">
        <v>4896</v>
      </c>
      <c r="C1586" s="16" t="s">
        <v>4897</v>
      </c>
      <c r="D1586" s="16" t="s">
        <v>4898</v>
      </c>
      <c r="E1586" s="16" t="s">
        <v>4884</v>
      </c>
      <c r="F1586" s="16" t="s">
        <v>4885</v>
      </c>
      <c r="G1586" s="16" t="s">
        <v>4886</v>
      </c>
      <c r="H1586" s="16" t="s">
        <v>4887</v>
      </c>
      <c r="I1586" s="16" t="s">
        <v>198</v>
      </c>
      <c r="J1586" s="16" t="s">
        <v>199</v>
      </c>
      <c r="K1586" s="16">
        <v>2.2470370000000002</v>
      </c>
      <c r="L1586" s="36">
        <v>1732</v>
      </c>
      <c r="M1586" s="16">
        <v>481</v>
      </c>
      <c r="N1586" s="16">
        <v>300</v>
      </c>
      <c r="O1586" s="16">
        <v>369</v>
      </c>
      <c r="P1586" s="16">
        <v>385</v>
      </c>
      <c r="Q1586" s="16">
        <v>197</v>
      </c>
      <c r="R1586" s="16">
        <v>2</v>
      </c>
      <c r="S1586" s="16">
        <v>13.420199999999999</v>
      </c>
      <c r="T1586" s="16">
        <v>0</v>
      </c>
      <c r="U1586" s="16">
        <v>1.139241427</v>
      </c>
      <c r="V1586" s="16">
        <v>2</v>
      </c>
      <c r="W1586" s="16">
        <v>0.83324100000000001</v>
      </c>
      <c r="X1586" s="16">
        <v>0.22409599999999999</v>
      </c>
      <c r="Y1586" s="16">
        <v>0.9</v>
      </c>
      <c r="Z1586" s="16">
        <v>0.28997200000000001</v>
      </c>
      <c r="AA1586" s="37"/>
    </row>
    <row r="1587" spans="1:27">
      <c r="A1587" s="16" t="s">
        <v>138</v>
      </c>
      <c r="B1587" s="16" t="s">
        <v>5243</v>
      </c>
      <c r="C1587" s="16" t="s">
        <v>5244</v>
      </c>
      <c r="D1587" s="16" t="s">
        <v>5245</v>
      </c>
      <c r="E1587" s="16" t="s">
        <v>5246</v>
      </c>
      <c r="F1587" s="16" t="s">
        <v>5247</v>
      </c>
      <c r="G1587" s="16" t="s">
        <v>4886</v>
      </c>
      <c r="H1587" s="16" t="s">
        <v>4887</v>
      </c>
      <c r="I1587" s="16" t="s">
        <v>198</v>
      </c>
      <c r="J1587" s="16" t="s">
        <v>199</v>
      </c>
      <c r="K1587" s="16">
        <v>2.1492040000000001</v>
      </c>
      <c r="L1587" s="36">
        <v>1731</v>
      </c>
      <c r="M1587" s="16">
        <v>353</v>
      </c>
      <c r="N1587" s="16">
        <v>322</v>
      </c>
      <c r="O1587" s="16">
        <v>441</v>
      </c>
      <c r="P1587" s="16">
        <v>409</v>
      </c>
      <c r="Q1587" s="16">
        <v>206</v>
      </c>
      <c r="R1587" s="16" t="s">
        <v>225</v>
      </c>
      <c r="S1587" s="16">
        <v>7.55837</v>
      </c>
      <c r="T1587" s="16">
        <v>0</v>
      </c>
      <c r="U1587" s="16">
        <v>0.84285326900000002</v>
      </c>
      <c r="V1587" s="16">
        <v>7</v>
      </c>
      <c r="W1587" s="16">
        <v>0.90043399999999996</v>
      </c>
      <c r="X1587" s="16">
        <v>2.0409999999999998E-3</v>
      </c>
      <c r="Y1587" s="16">
        <v>0.80568499999999998</v>
      </c>
      <c r="Z1587" s="16">
        <v>0.44020300000000001</v>
      </c>
      <c r="AA1587" s="37"/>
    </row>
    <row r="1588" spans="1:27">
      <c r="A1588" s="16" t="s">
        <v>138</v>
      </c>
      <c r="B1588" s="16" t="s">
        <v>5248</v>
      </c>
      <c r="C1588" s="16" t="s">
        <v>5249</v>
      </c>
      <c r="D1588" s="16" t="s">
        <v>5250</v>
      </c>
      <c r="E1588" s="16" t="s">
        <v>5251</v>
      </c>
      <c r="F1588" s="16" t="s">
        <v>5252</v>
      </c>
      <c r="G1588" s="16" t="s">
        <v>4886</v>
      </c>
      <c r="H1588" s="16" t="s">
        <v>4887</v>
      </c>
      <c r="I1588" s="16" t="s">
        <v>198</v>
      </c>
      <c r="J1588" s="16" t="s">
        <v>199</v>
      </c>
      <c r="K1588" s="16">
        <v>2.2497780000000001</v>
      </c>
      <c r="L1588" s="36">
        <v>2314</v>
      </c>
      <c r="M1588" s="16">
        <v>495</v>
      </c>
      <c r="N1588" s="16">
        <v>347</v>
      </c>
      <c r="O1588" s="16">
        <v>696</v>
      </c>
      <c r="P1588" s="16">
        <v>492</v>
      </c>
      <c r="Q1588" s="16">
        <v>284</v>
      </c>
      <c r="R1588" s="16">
        <v>2</v>
      </c>
      <c r="S1588" s="16">
        <v>14.061999999999999</v>
      </c>
      <c r="T1588" s="16">
        <v>0</v>
      </c>
      <c r="U1588" s="16">
        <v>0.90065384000000004</v>
      </c>
      <c r="V1588" s="16">
        <v>5</v>
      </c>
      <c r="W1588" s="16">
        <v>0.86013300000000004</v>
      </c>
      <c r="X1588" s="16">
        <v>2.5403999999999999E-2</v>
      </c>
      <c r="Y1588" s="16">
        <v>0.89763499999999996</v>
      </c>
      <c r="Z1588" s="16">
        <v>0.46693699999999999</v>
      </c>
      <c r="AA1588" s="37"/>
    </row>
    <row r="1589" spans="1:27">
      <c r="A1589" s="16" t="s">
        <v>138</v>
      </c>
      <c r="B1589" s="16" t="s">
        <v>5253</v>
      </c>
      <c r="C1589" s="16" t="s">
        <v>5254</v>
      </c>
      <c r="D1589" s="16" t="s">
        <v>5255</v>
      </c>
      <c r="E1589" s="16" t="s">
        <v>5246</v>
      </c>
      <c r="F1589" s="16" t="s">
        <v>5247</v>
      </c>
      <c r="G1589" s="16" t="s">
        <v>4886</v>
      </c>
      <c r="H1589" s="16" t="s">
        <v>4887</v>
      </c>
      <c r="I1589" s="16" t="s">
        <v>198</v>
      </c>
      <c r="J1589" s="16" t="s">
        <v>199</v>
      </c>
      <c r="K1589" s="16">
        <v>2.3910130000000001</v>
      </c>
      <c r="L1589" s="36">
        <v>1767</v>
      </c>
      <c r="M1589" s="16">
        <v>390</v>
      </c>
      <c r="N1589" s="16">
        <v>333</v>
      </c>
      <c r="O1589" s="16">
        <v>376</v>
      </c>
      <c r="P1589" s="16">
        <v>449</v>
      </c>
      <c r="Q1589" s="16">
        <v>219</v>
      </c>
      <c r="R1589" s="16" t="s">
        <v>225</v>
      </c>
      <c r="S1589" s="16">
        <v>11.7149</v>
      </c>
      <c r="T1589" s="16">
        <v>0</v>
      </c>
      <c r="U1589" s="16">
        <v>0.76952373900000004</v>
      </c>
      <c r="V1589" s="16">
        <v>6</v>
      </c>
      <c r="W1589" s="16">
        <v>0.9</v>
      </c>
      <c r="X1589" s="16">
        <v>5.3330000000000001E-3</v>
      </c>
      <c r="Y1589" s="16">
        <v>0.83877199999999996</v>
      </c>
      <c r="Z1589" s="16">
        <v>0.64585700000000001</v>
      </c>
      <c r="AA1589" s="37"/>
    </row>
    <row r="1590" spans="1:27">
      <c r="A1590" s="16" t="s">
        <v>138</v>
      </c>
      <c r="B1590" s="16" t="s">
        <v>5256</v>
      </c>
      <c r="C1590" s="16" t="s">
        <v>5257</v>
      </c>
      <c r="D1590" s="16" t="s">
        <v>5258</v>
      </c>
      <c r="E1590" s="16" t="s">
        <v>5251</v>
      </c>
      <c r="F1590" s="16" t="s">
        <v>5252</v>
      </c>
      <c r="G1590" s="16" t="s">
        <v>4886</v>
      </c>
      <c r="H1590" s="16" t="s">
        <v>4887</v>
      </c>
      <c r="I1590" s="16" t="s">
        <v>198</v>
      </c>
      <c r="J1590" s="16" t="s">
        <v>199</v>
      </c>
      <c r="K1590" s="16">
        <v>2.2418529999999999</v>
      </c>
      <c r="L1590" s="36">
        <v>1851</v>
      </c>
      <c r="M1590" s="16">
        <v>414</v>
      </c>
      <c r="N1590" s="16">
        <v>256</v>
      </c>
      <c r="O1590" s="16">
        <v>399</v>
      </c>
      <c r="P1590" s="16">
        <v>481</v>
      </c>
      <c r="Q1590" s="16">
        <v>301</v>
      </c>
      <c r="R1590" s="16">
        <v>2</v>
      </c>
      <c r="S1590" s="16">
        <v>11.938800000000001</v>
      </c>
      <c r="T1590" s="16">
        <v>1.78667</v>
      </c>
      <c r="U1590" s="16">
        <v>0.75042663799999998</v>
      </c>
      <c r="V1590" s="16">
        <v>7</v>
      </c>
      <c r="W1590" s="16">
        <v>0.88242799999999999</v>
      </c>
      <c r="X1590" s="16">
        <v>7.6115000000000002E-2</v>
      </c>
      <c r="Y1590" s="16">
        <v>0.9</v>
      </c>
      <c r="Z1590" s="16">
        <v>0.384102</v>
      </c>
      <c r="AA1590" s="37"/>
    </row>
    <row r="1591" spans="1:27">
      <c r="A1591" s="16" t="s">
        <v>138</v>
      </c>
      <c r="B1591" s="16" t="s">
        <v>5259</v>
      </c>
      <c r="C1591" s="16" t="s">
        <v>5260</v>
      </c>
      <c r="D1591" s="16" t="s">
        <v>5261</v>
      </c>
      <c r="E1591" s="16" t="s">
        <v>5251</v>
      </c>
      <c r="F1591" s="16" t="s">
        <v>5252</v>
      </c>
      <c r="G1591" s="16" t="s">
        <v>4886</v>
      </c>
      <c r="H1591" s="16" t="s">
        <v>4887</v>
      </c>
      <c r="I1591" s="16" t="s">
        <v>198</v>
      </c>
      <c r="J1591" s="16" t="s">
        <v>199</v>
      </c>
      <c r="K1591" s="16">
        <v>2.595666</v>
      </c>
      <c r="L1591" s="36">
        <v>1779</v>
      </c>
      <c r="M1591" s="16">
        <v>313</v>
      </c>
      <c r="N1591" s="16">
        <v>303</v>
      </c>
      <c r="O1591" s="16">
        <v>450</v>
      </c>
      <c r="P1591" s="16">
        <v>452</v>
      </c>
      <c r="Q1591" s="16">
        <v>261</v>
      </c>
      <c r="R1591" s="16" t="s">
        <v>225</v>
      </c>
      <c r="S1591" s="16">
        <v>13.7866</v>
      </c>
      <c r="T1591" s="16">
        <v>0</v>
      </c>
      <c r="U1591" s="16">
        <v>0.65375602700000002</v>
      </c>
      <c r="V1591" s="16">
        <v>5</v>
      </c>
      <c r="W1591" s="16">
        <v>0.90877600000000003</v>
      </c>
      <c r="X1591" s="16">
        <v>0.26938600000000001</v>
      </c>
      <c r="Y1591" s="16">
        <v>0.87673199999999996</v>
      </c>
      <c r="Z1591" s="16">
        <v>0.53701900000000002</v>
      </c>
      <c r="AA1591" s="37"/>
    </row>
    <row r="1592" spans="1:27">
      <c r="A1592" s="16" t="s">
        <v>138</v>
      </c>
      <c r="B1592" s="16" t="s">
        <v>5262</v>
      </c>
      <c r="C1592" s="16" t="s">
        <v>5263</v>
      </c>
      <c r="D1592" s="16" t="s">
        <v>5264</v>
      </c>
      <c r="E1592" s="16" t="s">
        <v>5251</v>
      </c>
      <c r="F1592" s="16" t="s">
        <v>5252</v>
      </c>
      <c r="G1592" s="16" t="s">
        <v>4886</v>
      </c>
      <c r="H1592" s="16" t="s">
        <v>4887</v>
      </c>
      <c r="I1592" s="16" t="s">
        <v>198</v>
      </c>
      <c r="J1592" s="16" t="s">
        <v>199</v>
      </c>
      <c r="K1592" s="16">
        <v>2.541096</v>
      </c>
      <c r="L1592" s="36">
        <v>1576</v>
      </c>
      <c r="M1592" s="16">
        <v>336</v>
      </c>
      <c r="N1592" s="16">
        <v>222</v>
      </c>
      <c r="O1592" s="16">
        <v>440</v>
      </c>
      <c r="P1592" s="16">
        <v>346</v>
      </c>
      <c r="Q1592" s="16">
        <v>232</v>
      </c>
      <c r="R1592" s="16">
        <v>3</v>
      </c>
      <c r="S1592" s="16">
        <v>14.249499999999999</v>
      </c>
      <c r="T1592" s="16">
        <v>3.38415</v>
      </c>
      <c r="U1592" s="16">
        <v>0.713231438</v>
      </c>
      <c r="V1592" s="16">
        <v>5</v>
      </c>
      <c r="W1592" s="16">
        <v>0.91172900000000001</v>
      </c>
      <c r="X1592" s="16">
        <v>0.27982899999999999</v>
      </c>
      <c r="Y1592" s="16">
        <v>0.9</v>
      </c>
      <c r="Z1592" s="16">
        <v>0.44250200000000001</v>
      </c>
      <c r="AA1592" s="37"/>
    </row>
    <row r="1593" spans="1:27">
      <c r="A1593" s="16" t="s">
        <v>138</v>
      </c>
      <c r="B1593" s="16" t="s">
        <v>5265</v>
      </c>
      <c r="C1593" s="16" t="s">
        <v>5266</v>
      </c>
      <c r="D1593" s="16" t="s">
        <v>5267</v>
      </c>
      <c r="E1593" s="16" t="s">
        <v>5199</v>
      </c>
      <c r="F1593" s="16" t="s">
        <v>5200</v>
      </c>
      <c r="G1593" s="16" t="s">
        <v>4886</v>
      </c>
      <c r="H1593" s="16" t="s">
        <v>4887</v>
      </c>
      <c r="I1593" s="16" t="s">
        <v>198</v>
      </c>
      <c r="J1593" s="16" t="s">
        <v>199</v>
      </c>
      <c r="K1593" s="16">
        <v>2.2002730000000001</v>
      </c>
      <c r="L1593" s="36">
        <v>1392</v>
      </c>
      <c r="M1593" s="16">
        <v>282</v>
      </c>
      <c r="N1593" s="16">
        <v>218</v>
      </c>
      <c r="O1593" s="16">
        <v>319</v>
      </c>
      <c r="P1593" s="16">
        <v>383</v>
      </c>
      <c r="Q1593" s="16">
        <v>190</v>
      </c>
      <c r="R1593" s="16">
        <v>2</v>
      </c>
      <c r="S1593" s="16">
        <v>17.356400000000001</v>
      </c>
      <c r="T1593" s="16">
        <v>0</v>
      </c>
      <c r="U1593" s="16">
        <v>1.1169849839999999</v>
      </c>
      <c r="V1593" s="16">
        <v>2</v>
      </c>
      <c r="W1593" s="16">
        <v>0.86510399999999998</v>
      </c>
      <c r="X1593" s="16">
        <v>0.13020200000000001</v>
      </c>
      <c r="Y1593" s="16">
        <v>0.9</v>
      </c>
      <c r="Z1593" s="16">
        <v>0.31331500000000001</v>
      </c>
      <c r="AA1593" s="37"/>
    </row>
    <row r="1594" spans="1:27">
      <c r="A1594" s="16"/>
      <c r="B1594" s="16"/>
      <c r="C1594" s="16"/>
      <c r="D1594" s="16"/>
      <c r="E1594" s="16"/>
      <c r="F1594" s="16"/>
      <c r="G1594" s="16"/>
      <c r="H1594" s="16"/>
      <c r="I1594" s="16"/>
      <c r="J1594" s="16"/>
      <c r="K1594" s="16">
        <f>MEDIAN(K1566:K1593)</f>
        <v>2.277123</v>
      </c>
      <c r="L1594" s="36">
        <f>AVERAGE(L1566:L1593)</f>
        <v>1733.0357142857142</v>
      </c>
      <c r="M1594" s="16">
        <f t="shared" ref="M1594:Q1594" si="142">SUM(M1566:M1593)</f>
        <v>10987</v>
      </c>
      <c r="N1594" s="16">
        <f t="shared" si="142"/>
        <v>7590</v>
      </c>
      <c r="O1594" s="16">
        <f t="shared" si="142"/>
        <v>11264</v>
      </c>
      <c r="P1594" s="16">
        <f t="shared" si="142"/>
        <v>11672</v>
      </c>
      <c r="Q1594" s="16">
        <f t="shared" si="142"/>
        <v>7012</v>
      </c>
      <c r="R1594" s="16"/>
      <c r="S1594" s="16">
        <f t="shared" ref="S1594:U1594" si="143">MIN(S1566:S1593)</f>
        <v>6.1904899999999996</v>
      </c>
      <c r="T1594" s="16">
        <f t="shared" si="143"/>
        <v>0</v>
      </c>
      <c r="U1594" s="16">
        <f t="shared" si="143"/>
        <v>0.52875703299999999</v>
      </c>
      <c r="V1594" s="16">
        <f>MEDIAN(V1566:V1593)</f>
        <v>5</v>
      </c>
      <c r="W1594" s="16"/>
      <c r="X1594" s="16"/>
      <c r="Y1594" s="16"/>
      <c r="Z1594" s="16"/>
      <c r="AA1594" s="37"/>
    </row>
    <row r="1595" spans="1:27">
      <c r="A1595" s="16" t="s">
        <v>63</v>
      </c>
      <c r="B1595" s="16" t="s">
        <v>1358</v>
      </c>
      <c r="C1595" s="16" t="s">
        <v>1359</v>
      </c>
      <c r="D1595" s="16" t="s">
        <v>1360</v>
      </c>
      <c r="E1595" s="16" t="s">
        <v>1361</v>
      </c>
      <c r="F1595" s="16" t="s">
        <v>1362</v>
      </c>
      <c r="G1595" s="16" t="s">
        <v>300</v>
      </c>
      <c r="H1595" s="16" t="s">
        <v>301</v>
      </c>
      <c r="I1595" s="16" t="s">
        <v>198</v>
      </c>
      <c r="J1595" s="16" t="s">
        <v>199</v>
      </c>
      <c r="K1595" s="16">
        <v>3.1704349999999999</v>
      </c>
      <c r="L1595" s="36">
        <v>2378</v>
      </c>
      <c r="M1595" s="16">
        <v>648</v>
      </c>
      <c r="N1595" s="16">
        <v>563</v>
      </c>
      <c r="O1595" s="16">
        <v>811</v>
      </c>
      <c r="P1595" s="16">
        <v>277</v>
      </c>
      <c r="Q1595" s="16">
        <v>79</v>
      </c>
      <c r="R1595" s="16">
        <v>4</v>
      </c>
      <c r="S1595" s="16">
        <v>23.306999999999999</v>
      </c>
      <c r="T1595" s="16">
        <v>10.424200000000001</v>
      </c>
      <c r="U1595" s="16">
        <v>0.65766641299999995</v>
      </c>
      <c r="V1595" s="16">
        <v>2</v>
      </c>
      <c r="W1595" s="16">
        <v>0.96782599999999996</v>
      </c>
      <c r="X1595" s="16">
        <v>0.56758600000000003</v>
      </c>
      <c r="Y1595" s="16">
        <v>0.63545600000000002</v>
      </c>
      <c r="Z1595" s="16">
        <v>1</v>
      </c>
      <c r="AA1595" s="37"/>
    </row>
    <row r="1596" spans="1:27">
      <c r="A1596" s="16" t="s">
        <v>63</v>
      </c>
      <c r="B1596" s="16" t="s">
        <v>1336</v>
      </c>
      <c r="C1596" s="16" t="s">
        <v>1337</v>
      </c>
      <c r="D1596" s="16" t="s">
        <v>1338</v>
      </c>
      <c r="E1596" s="16" t="s">
        <v>1339</v>
      </c>
      <c r="F1596" s="16" t="s">
        <v>1340</v>
      </c>
      <c r="G1596" s="16" t="s">
        <v>300</v>
      </c>
      <c r="H1596" s="16" t="s">
        <v>301</v>
      </c>
      <c r="I1596" s="16" t="s">
        <v>198</v>
      </c>
      <c r="J1596" s="16" t="s">
        <v>199</v>
      </c>
      <c r="K1596" s="16">
        <v>2.910819</v>
      </c>
      <c r="L1596" s="36">
        <v>1190</v>
      </c>
      <c r="M1596" s="16">
        <v>356</v>
      </c>
      <c r="N1596" s="16">
        <v>206</v>
      </c>
      <c r="O1596" s="16">
        <v>307</v>
      </c>
      <c r="P1596" s="16">
        <v>229</v>
      </c>
      <c r="Q1596" s="16">
        <v>92</v>
      </c>
      <c r="R1596" s="16">
        <v>2</v>
      </c>
      <c r="S1596" s="16">
        <v>18.209499999999998</v>
      </c>
      <c r="T1596" s="16">
        <v>2.8018700000000001</v>
      </c>
      <c r="U1596" s="16">
        <v>0.89883703100000001</v>
      </c>
      <c r="V1596" s="16">
        <v>2</v>
      </c>
      <c r="W1596" s="16">
        <v>0.93421100000000001</v>
      </c>
      <c r="X1596" s="16">
        <v>0.37142900000000001</v>
      </c>
      <c r="Y1596" s="16">
        <v>0.6</v>
      </c>
      <c r="Z1596" s="16">
        <v>1</v>
      </c>
      <c r="AA1596" s="37"/>
    </row>
    <row r="1597" spans="1:27">
      <c r="A1597" s="16" t="s">
        <v>63</v>
      </c>
      <c r="B1597" s="16" t="s">
        <v>5268</v>
      </c>
      <c r="C1597" s="16" t="s">
        <v>5269</v>
      </c>
      <c r="D1597" s="16" t="s">
        <v>5270</v>
      </c>
      <c r="E1597" s="16" t="s">
        <v>1339</v>
      </c>
      <c r="F1597" s="16" t="s">
        <v>1340</v>
      </c>
      <c r="G1597" s="16" t="s">
        <v>300</v>
      </c>
      <c r="H1597" s="16" t="s">
        <v>301</v>
      </c>
      <c r="I1597" s="16" t="s">
        <v>198</v>
      </c>
      <c r="J1597" s="16" t="s">
        <v>199</v>
      </c>
      <c r="K1597" s="16">
        <v>2.6614990000000001</v>
      </c>
      <c r="L1597" s="36">
        <v>2206</v>
      </c>
      <c r="M1597" s="16">
        <v>526</v>
      </c>
      <c r="N1597" s="16">
        <v>474</v>
      </c>
      <c r="O1597" s="16">
        <v>490</v>
      </c>
      <c r="P1597" s="16">
        <v>459</v>
      </c>
      <c r="Q1597" s="16">
        <v>257</v>
      </c>
      <c r="R1597" s="16">
        <v>3</v>
      </c>
      <c r="S1597" s="16">
        <v>16.8188</v>
      </c>
      <c r="T1597" s="16">
        <v>11.2323</v>
      </c>
      <c r="U1597" s="16">
        <v>1.260561641</v>
      </c>
      <c r="V1597" s="16">
        <v>2</v>
      </c>
      <c r="W1597" s="16">
        <v>0.911111</v>
      </c>
      <c r="X1597" s="16">
        <v>0.13089000000000001</v>
      </c>
      <c r="Y1597" s="16">
        <v>0.6</v>
      </c>
      <c r="Z1597" s="16">
        <v>1</v>
      </c>
      <c r="AA1597" s="37"/>
    </row>
    <row r="1598" spans="1:27">
      <c r="A1598" s="16" t="s">
        <v>63</v>
      </c>
      <c r="B1598" s="16" t="s">
        <v>5271</v>
      </c>
      <c r="C1598" s="16" t="s">
        <v>5272</v>
      </c>
      <c r="D1598" s="16" t="s">
        <v>5273</v>
      </c>
      <c r="E1598" s="16" t="s">
        <v>1347</v>
      </c>
      <c r="F1598" s="16" t="s">
        <v>1348</v>
      </c>
      <c r="G1598" s="16" t="s">
        <v>300</v>
      </c>
      <c r="H1598" s="16" t="s">
        <v>301</v>
      </c>
      <c r="I1598" s="16" t="s">
        <v>198</v>
      </c>
      <c r="J1598" s="16" t="s">
        <v>199</v>
      </c>
      <c r="K1598" s="16">
        <v>2.7086239999999999</v>
      </c>
      <c r="L1598" s="36">
        <v>2120</v>
      </c>
      <c r="M1598" s="16">
        <v>581</v>
      </c>
      <c r="N1598" s="16">
        <v>568</v>
      </c>
      <c r="O1598" s="16">
        <v>492</v>
      </c>
      <c r="P1598" s="16">
        <v>377</v>
      </c>
      <c r="Q1598" s="16">
        <v>102</v>
      </c>
      <c r="R1598" s="16">
        <v>2</v>
      </c>
      <c r="S1598" s="16">
        <v>16.985700000000001</v>
      </c>
      <c r="T1598" s="16">
        <v>1.94415</v>
      </c>
      <c r="U1598" s="16">
        <v>1.1965040149999999</v>
      </c>
      <c r="V1598" s="16">
        <v>1</v>
      </c>
      <c r="W1598" s="16">
        <v>0.90829199999999999</v>
      </c>
      <c r="X1598" s="16">
        <v>0.18178800000000001</v>
      </c>
      <c r="Y1598" s="16">
        <v>0.600329</v>
      </c>
      <c r="Z1598" s="16">
        <v>1</v>
      </c>
      <c r="AA1598" s="37"/>
    </row>
    <row r="1599" spans="1:27">
      <c r="A1599" s="16" t="s">
        <v>63</v>
      </c>
      <c r="B1599" s="16" t="s">
        <v>1341</v>
      </c>
      <c r="C1599" s="16" t="s">
        <v>1342</v>
      </c>
      <c r="D1599" s="16" t="s">
        <v>1343</v>
      </c>
      <c r="E1599" s="16" t="s">
        <v>1339</v>
      </c>
      <c r="F1599" s="16" t="s">
        <v>1340</v>
      </c>
      <c r="G1599" s="16" t="s">
        <v>300</v>
      </c>
      <c r="H1599" s="16" t="s">
        <v>301</v>
      </c>
      <c r="I1599" s="16" t="s">
        <v>198</v>
      </c>
      <c r="J1599" s="16" t="s">
        <v>199</v>
      </c>
      <c r="K1599" s="16">
        <v>2.8271709999999999</v>
      </c>
      <c r="L1599" s="36">
        <v>2764</v>
      </c>
      <c r="M1599" s="16">
        <v>734</v>
      </c>
      <c r="N1599" s="16">
        <v>569</v>
      </c>
      <c r="O1599" s="16">
        <v>761</v>
      </c>
      <c r="P1599" s="16">
        <v>495</v>
      </c>
      <c r="Q1599" s="16">
        <v>205</v>
      </c>
      <c r="R1599" s="16">
        <v>4</v>
      </c>
      <c r="S1599" s="16">
        <v>23.468599999999999</v>
      </c>
      <c r="T1599" s="16">
        <v>14.5464</v>
      </c>
      <c r="U1599" s="16">
        <v>1.166613755</v>
      </c>
      <c r="V1599" s="16">
        <v>2</v>
      </c>
      <c r="W1599" s="16">
        <v>0.92520999999999998</v>
      </c>
      <c r="X1599" s="16">
        <v>0.28146100000000002</v>
      </c>
      <c r="Y1599" s="16">
        <v>0.6</v>
      </c>
      <c r="Z1599" s="16">
        <v>1</v>
      </c>
      <c r="AA1599" s="37"/>
    </row>
    <row r="1600" spans="1:27">
      <c r="A1600" s="16" t="s">
        <v>63</v>
      </c>
      <c r="B1600" s="16" t="s">
        <v>322</v>
      </c>
      <c r="C1600" s="16" t="s">
        <v>323</v>
      </c>
      <c r="D1600" s="16" t="s">
        <v>324</v>
      </c>
      <c r="E1600" s="16" t="s">
        <v>325</v>
      </c>
      <c r="F1600" s="16" t="s">
        <v>326</v>
      </c>
      <c r="G1600" s="16" t="s">
        <v>300</v>
      </c>
      <c r="H1600" s="16" t="s">
        <v>301</v>
      </c>
      <c r="I1600" s="16" t="s">
        <v>198</v>
      </c>
      <c r="J1600" s="16" t="s">
        <v>199</v>
      </c>
      <c r="K1600" s="16">
        <v>2.7319279999999999</v>
      </c>
      <c r="L1600" s="36">
        <v>3496</v>
      </c>
      <c r="M1600" s="16">
        <v>783</v>
      </c>
      <c r="N1600" s="16">
        <v>788</v>
      </c>
      <c r="O1600" s="36">
        <v>1244</v>
      </c>
      <c r="P1600" s="16">
        <v>519</v>
      </c>
      <c r="Q1600" s="16">
        <v>162</v>
      </c>
      <c r="R1600" s="16">
        <v>4</v>
      </c>
      <c r="S1600" s="16">
        <v>33.829599999999999</v>
      </c>
      <c r="T1600" s="16">
        <v>2.1593399999999998</v>
      </c>
      <c r="U1600" s="16">
        <v>1.0148660709999999</v>
      </c>
      <c r="V1600" s="16">
        <v>2</v>
      </c>
      <c r="W1600" s="16">
        <v>0.92750999999999995</v>
      </c>
      <c r="X1600" s="16">
        <v>0.20769199999999999</v>
      </c>
      <c r="Y1600" s="16">
        <v>0.6</v>
      </c>
      <c r="Z1600" s="16">
        <v>1</v>
      </c>
      <c r="AA1600" s="37"/>
    </row>
    <row r="1601" spans="1:27">
      <c r="A1601" s="16" t="s">
        <v>63</v>
      </c>
      <c r="B1601" s="16" t="s">
        <v>5274</v>
      </c>
      <c r="C1601" s="16" t="s">
        <v>5275</v>
      </c>
      <c r="D1601" s="16" t="s">
        <v>5276</v>
      </c>
      <c r="E1601" s="16" t="s">
        <v>325</v>
      </c>
      <c r="F1601" s="16" t="s">
        <v>326</v>
      </c>
      <c r="G1601" s="16" t="s">
        <v>300</v>
      </c>
      <c r="H1601" s="16" t="s">
        <v>301</v>
      </c>
      <c r="I1601" s="16" t="s">
        <v>198</v>
      </c>
      <c r="J1601" s="16" t="s">
        <v>199</v>
      </c>
      <c r="K1601" s="16">
        <v>2.6174390000000001</v>
      </c>
      <c r="L1601" s="36">
        <v>3595</v>
      </c>
      <c r="M1601" s="16">
        <v>941</v>
      </c>
      <c r="N1601" s="16">
        <v>854</v>
      </c>
      <c r="O1601" s="16">
        <v>992</v>
      </c>
      <c r="P1601" s="16">
        <v>608</v>
      </c>
      <c r="Q1601" s="16">
        <v>200</v>
      </c>
      <c r="R1601" s="16">
        <v>3</v>
      </c>
      <c r="S1601" s="16">
        <v>22.553999999999998</v>
      </c>
      <c r="T1601" s="16">
        <v>5.3664100000000001</v>
      </c>
      <c r="U1601" s="16">
        <v>1.0531214499999999</v>
      </c>
      <c r="V1601" s="16">
        <v>3</v>
      </c>
      <c r="W1601" s="16">
        <v>0.91501100000000002</v>
      </c>
      <c r="X1601" s="16">
        <v>0.100659</v>
      </c>
      <c r="Y1601" s="16">
        <v>0.6</v>
      </c>
      <c r="Z1601" s="16">
        <v>1</v>
      </c>
      <c r="AA1601" s="37"/>
    </row>
    <row r="1602" spans="1:27">
      <c r="A1602" s="16" t="s">
        <v>63</v>
      </c>
      <c r="B1602" s="16" t="s">
        <v>2047</v>
      </c>
      <c r="C1602" s="16" t="s">
        <v>2048</v>
      </c>
      <c r="D1602" s="16" t="s">
        <v>2049</v>
      </c>
      <c r="E1602" s="16" t="s">
        <v>325</v>
      </c>
      <c r="F1602" s="16" t="s">
        <v>326</v>
      </c>
      <c r="G1602" s="16" t="s">
        <v>300</v>
      </c>
      <c r="H1602" s="16" t="s">
        <v>301</v>
      </c>
      <c r="I1602" s="16" t="s">
        <v>198</v>
      </c>
      <c r="J1602" s="16" t="s">
        <v>199</v>
      </c>
      <c r="K1602" s="16">
        <v>2.9332539999999998</v>
      </c>
      <c r="L1602" s="36">
        <v>1916</v>
      </c>
      <c r="M1602" s="16">
        <v>448</v>
      </c>
      <c r="N1602" s="16">
        <v>400</v>
      </c>
      <c r="O1602" s="16">
        <v>531</v>
      </c>
      <c r="P1602" s="16">
        <v>352</v>
      </c>
      <c r="Q1602" s="16">
        <v>185</v>
      </c>
      <c r="R1602" s="16">
        <v>3</v>
      </c>
      <c r="S1602" s="16">
        <v>22.793299999999999</v>
      </c>
      <c r="T1602" s="16">
        <v>7.3841000000000001</v>
      </c>
      <c r="U1602" s="16">
        <v>0.96940461700000002</v>
      </c>
      <c r="V1602" s="16">
        <v>2</v>
      </c>
      <c r="W1602" s="16">
        <v>0.94346799999999997</v>
      </c>
      <c r="X1602" s="16">
        <v>0.31990400000000002</v>
      </c>
      <c r="Y1602" s="16">
        <v>0.65261899999999995</v>
      </c>
      <c r="Z1602" s="16">
        <v>1</v>
      </c>
      <c r="AA1602" s="37"/>
    </row>
    <row r="1603" spans="1:27">
      <c r="A1603" s="16" t="s">
        <v>63</v>
      </c>
      <c r="B1603" s="16" t="s">
        <v>2050</v>
      </c>
      <c r="C1603" s="16" t="s">
        <v>2051</v>
      </c>
      <c r="D1603" s="16" t="s">
        <v>2052</v>
      </c>
      <c r="E1603" s="16" t="s">
        <v>325</v>
      </c>
      <c r="F1603" s="16" t="s">
        <v>326</v>
      </c>
      <c r="G1603" s="16" t="s">
        <v>300</v>
      </c>
      <c r="H1603" s="16" t="s">
        <v>301</v>
      </c>
      <c r="I1603" s="16" t="s">
        <v>198</v>
      </c>
      <c r="J1603" s="16" t="s">
        <v>199</v>
      </c>
      <c r="K1603" s="16">
        <v>2.792141</v>
      </c>
      <c r="L1603" s="36">
        <v>2414</v>
      </c>
      <c r="M1603" s="16">
        <v>729</v>
      </c>
      <c r="N1603" s="16">
        <v>512</v>
      </c>
      <c r="O1603" s="16">
        <v>634</v>
      </c>
      <c r="P1603" s="16">
        <v>375</v>
      </c>
      <c r="Q1603" s="16">
        <v>164</v>
      </c>
      <c r="R1603" s="16">
        <v>4</v>
      </c>
      <c r="S1603" s="16">
        <v>21.882400000000001</v>
      </c>
      <c r="T1603" s="16">
        <v>10.2028</v>
      </c>
      <c r="U1603" s="16">
        <v>1.0419497230000001</v>
      </c>
      <c r="V1603" s="16">
        <v>3</v>
      </c>
      <c r="W1603" s="16">
        <v>0.92276400000000003</v>
      </c>
      <c r="X1603" s="16">
        <v>0.26047700000000001</v>
      </c>
      <c r="Y1603" s="16">
        <v>0.62299499999999997</v>
      </c>
      <c r="Z1603" s="16">
        <v>1</v>
      </c>
      <c r="AA1603" s="37"/>
    </row>
    <row r="1604" spans="1:27">
      <c r="A1604" s="16" t="s">
        <v>63</v>
      </c>
      <c r="B1604" s="16" t="s">
        <v>5277</v>
      </c>
      <c r="C1604" s="16" t="s">
        <v>5278</v>
      </c>
      <c r="D1604" s="16" t="s">
        <v>5279</v>
      </c>
      <c r="E1604" s="16" t="s">
        <v>1361</v>
      </c>
      <c r="F1604" s="16" t="s">
        <v>1362</v>
      </c>
      <c r="G1604" s="16" t="s">
        <v>300</v>
      </c>
      <c r="H1604" s="16" t="s">
        <v>301</v>
      </c>
      <c r="I1604" s="16" t="s">
        <v>198</v>
      </c>
      <c r="J1604" s="16" t="s">
        <v>199</v>
      </c>
      <c r="K1604" s="16">
        <v>2.9531770000000002</v>
      </c>
      <c r="L1604" s="36">
        <v>2856</v>
      </c>
      <c r="M1604" s="16">
        <v>488</v>
      </c>
      <c r="N1604" s="36">
        <v>1100</v>
      </c>
      <c r="O1604" s="16">
        <v>897</v>
      </c>
      <c r="P1604" s="16">
        <v>296</v>
      </c>
      <c r="Q1604" s="16">
        <v>75</v>
      </c>
      <c r="R1604" s="16">
        <v>3</v>
      </c>
      <c r="S1604" s="16">
        <v>28.8459</v>
      </c>
      <c r="T1604" s="16">
        <v>0</v>
      </c>
      <c r="U1604" s="16">
        <v>0.54088234099999999</v>
      </c>
      <c r="V1604" s="16">
        <v>6</v>
      </c>
      <c r="W1604" s="16">
        <v>0.92909699999999995</v>
      </c>
      <c r="X1604" s="16">
        <v>0.43533300000000003</v>
      </c>
      <c r="Y1604" s="16">
        <v>0.6</v>
      </c>
      <c r="Z1604" s="16">
        <v>1</v>
      </c>
      <c r="AA1604" s="37"/>
    </row>
    <row r="1605" spans="1:27">
      <c r="A1605" s="16"/>
      <c r="B1605" s="16"/>
      <c r="C1605" s="16"/>
      <c r="D1605" s="16"/>
      <c r="E1605" s="16"/>
      <c r="F1605" s="16"/>
      <c r="G1605" s="16"/>
      <c r="H1605" s="16"/>
      <c r="I1605" s="16"/>
      <c r="J1605" s="16"/>
      <c r="K1605" s="16">
        <f>MEDIAN(K1595:K1604)</f>
        <v>2.8096559999999999</v>
      </c>
      <c r="L1605" s="36">
        <f>AVERAGE(L1595:L1604)</f>
        <v>2493.5</v>
      </c>
      <c r="M1605" s="36">
        <f>SUM(M1595:M1604)</f>
        <v>6234</v>
      </c>
      <c r="N1605" s="36"/>
      <c r="O1605" s="16"/>
      <c r="P1605" s="16"/>
      <c r="Q1605" s="36">
        <f>SUM(Q1595:Q1604)</f>
        <v>1521</v>
      </c>
      <c r="R1605" s="16"/>
      <c r="S1605" s="16"/>
      <c r="T1605" s="16"/>
      <c r="U1605" s="16"/>
      <c r="V1605" s="16">
        <f>MEDIAN(V1595:V1604)</f>
        <v>2</v>
      </c>
      <c r="W1605" s="16"/>
      <c r="X1605" s="16"/>
      <c r="Y1605" s="16"/>
      <c r="Z1605" s="16"/>
      <c r="AA1605" s="37"/>
    </row>
    <row r="1606" spans="1:27">
      <c r="A1606" s="16" t="s">
        <v>140</v>
      </c>
      <c r="B1606" s="16" t="s">
        <v>5280</v>
      </c>
      <c r="C1606" s="16" t="s">
        <v>5281</v>
      </c>
      <c r="D1606" s="16" t="s">
        <v>5282</v>
      </c>
      <c r="E1606" s="16" t="s">
        <v>5283</v>
      </c>
      <c r="F1606" s="16" t="s">
        <v>5284</v>
      </c>
      <c r="G1606" s="16" t="s">
        <v>4886</v>
      </c>
      <c r="H1606" s="16" t="s">
        <v>4887</v>
      </c>
      <c r="I1606" s="16" t="s">
        <v>198</v>
      </c>
      <c r="J1606" s="16" t="s">
        <v>199</v>
      </c>
      <c r="K1606" s="16">
        <v>2.472486</v>
      </c>
      <c r="L1606" s="36">
        <v>1910</v>
      </c>
      <c r="M1606" s="16">
        <v>271</v>
      </c>
      <c r="N1606" s="16">
        <v>423</v>
      </c>
      <c r="O1606" s="16">
        <v>480</v>
      </c>
      <c r="P1606" s="16">
        <v>383</v>
      </c>
      <c r="Q1606" s="16">
        <v>353</v>
      </c>
      <c r="R1606" s="16">
        <v>3</v>
      </c>
      <c r="S1606" s="16">
        <v>22.401</v>
      </c>
      <c r="T1606" s="16">
        <v>3.7359300000000002</v>
      </c>
      <c r="U1606" s="16">
        <v>0.65762620299999996</v>
      </c>
      <c r="V1606" s="16">
        <v>7</v>
      </c>
      <c r="W1606" s="16">
        <v>0.90667299999999995</v>
      </c>
      <c r="X1606" s="16">
        <v>0.15323000000000001</v>
      </c>
      <c r="Y1606" s="16">
        <v>0.8</v>
      </c>
      <c r="Z1606" s="16">
        <v>0.61041999999999996</v>
      </c>
      <c r="AA1606" s="37"/>
    </row>
    <row r="1607" spans="1:27">
      <c r="A1607" s="16" t="s">
        <v>140</v>
      </c>
      <c r="B1607" s="16" t="s">
        <v>5285</v>
      </c>
      <c r="C1607" s="16" t="s">
        <v>5286</v>
      </c>
      <c r="D1607" s="16" t="s">
        <v>5287</v>
      </c>
      <c r="E1607" s="16" t="s">
        <v>5288</v>
      </c>
      <c r="F1607" s="16" t="s">
        <v>5289</v>
      </c>
      <c r="G1607" s="16" t="s">
        <v>4886</v>
      </c>
      <c r="H1607" s="16" t="s">
        <v>4887</v>
      </c>
      <c r="I1607" s="16" t="s">
        <v>198</v>
      </c>
      <c r="J1607" s="16" t="s">
        <v>199</v>
      </c>
      <c r="K1607" s="16">
        <v>2.1509</v>
      </c>
      <c r="L1607" s="36">
        <v>1517</v>
      </c>
      <c r="M1607" s="16">
        <v>271</v>
      </c>
      <c r="N1607" s="16">
        <v>260</v>
      </c>
      <c r="O1607" s="16">
        <v>338</v>
      </c>
      <c r="P1607" s="16">
        <v>386</v>
      </c>
      <c r="Q1607" s="16">
        <v>262</v>
      </c>
      <c r="R1607" s="16" t="s">
        <v>225</v>
      </c>
      <c r="S1607" s="16">
        <v>12.073</v>
      </c>
      <c r="T1607" s="16">
        <v>1.55986</v>
      </c>
      <c r="U1607" s="16">
        <v>0.94096051400000003</v>
      </c>
      <c r="V1607" s="16">
        <v>4</v>
      </c>
      <c r="W1607" s="16">
        <v>0.90065499999999998</v>
      </c>
      <c r="X1607" s="16">
        <v>1.7462999999999999E-2</v>
      </c>
      <c r="Y1607" s="16">
        <v>0.8</v>
      </c>
      <c r="Z1607" s="16">
        <v>0.43421100000000001</v>
      </c>
      <c r="AA1607" s="37"/>
    </row>
    <row r="1608" spans="1:27">
      <c r="A1608" s="16" t="s">
        <v>140</v>
      </c>
      <c r="B1608" s="16" t="s">
        <v>5290</v>
      </c>
      <c r="C1608" s="16" t="s">
        <v>5291</v>
      </c>
      <c r="D1608" s="16" t="s">
        <v>5292</v>
      </c>
      <c r="E1608" s="16" t="s">
        <v>5283</v>
      </c>
      <c r="F1608" s="16" t="s">
        <v>5284</v>
      </c>
      <c r="G1608" s="16" t="s">
        <v>4886</v>
      </c>
      <c r="H1608" s="16" t="s">
        <v>4887</v>
      </c>
      <c r="I1608" s="16" t="s">
        <v>198</v>
      </c>
      <c r="J1608" s="16" t="s">
        <v>199</v>
      </c>
      <c r="K1608" s="16">
        <v>2.4709940000000001</v>
      </c>
      <c r="L1608" s="36">
        <v>1372</v>
      </c>
      <c r="M1608" s="16">
        <v>191</v>
      </c>
      <c r="N1608" s="16">
        <v>269</v>
      </c>
      <c r="O1608" s="16">
        <v>411</v>
      </c>
      <c r="P1608" s="16">
        <v>333</v>
      </c>
      <c r="Q1608" s="16">
        <v>168</v>
      </c>
      <c r="R1608" s="16">
        <v>4</v>
      </c>
      <c r="S1608" s="16">
        <v>29.758600000000001</v>
      </c>
      <c r="T1608" s="16">
        <v>1.8627</v>
      </c>
      <c r="U1608" s="16">
        <v>0.82358282500000002</v>
      </c>
      <c r="V1608" s="16">
        <v>4</v>
      </c>
      <c r="W1608" s="16">
        <v>0.90994200000000003</v>
      </c>
      <c r="X1608" s="16">
        <v>0.29837599999999997</v>
      </c>
      <c r="Y1608" s="16">
        <v>0.8</v>
      </c>
      <c r="Z1608" s="16">
        <v>0.46834700000000001</v>
      </c>
      <c r="AA1608" s="37"/>
    </row>
    <row r="1609" spans="1:27">
      <c r="A1609" s="16" t="s">
        <v>140</v>
      </c>
      <c r="B1609" s="16" t="s">
        <v>5293</v>
      </c>
      <c r="C1609" s="16" t="s">
        <v>5294</v>
      </c>
      <c r="D1609" s="16" t="s">
        <v>5295</v>
      </c>
      <c r="E1609" s="16" t="s">
        <v>5296</v>
      </c>
      <c r="F1609" s="16" t="s">
        <v>5297</v>
      </c>
      <c r="G1609" s="16" t="s">
        <v>4886</v>
      </c>
      <c r="H1609" s="16" t="s">
        <v>4887</v>
      </c>
      <c r="I1609" s="16" t="s">
        <v>198</v>
      </c>
      <c r="J1609" s="16" t="s">
        <v>199</v>
      </c>
      <c r="K1609" s="16">
        <v>2.6646830000000001</v>
      </c>
      <c r="L1609" s="36">
        <v>1690</v>
      </c>
      <c r="M1609" s="16">
        <v>240</v>
      </c>
      <c r="N1609" s="16">
        <v>363</v>
      </c>
      <c r="O1609" s="16">
        <v>605</v>
      </c>
      <c r="P1609" s="16">
        <v>320</v>
      </c>
      <c r="Q1609" s="16">
        <v>162</v>
      </c>
      <c r="R1609" s="16" t="s">
        <v>302</v>
      </c>
      <c r="S1609" s="16">
        <v>44.207999999999998</v>
      </c>
      <c r="T1609" s="16">
        <v>7.3605700000000001</v>
      </c>
      <c r="U1609" s="16">
        <v>0.58277676099999998</v>
      </c>
      <c r="V1609" s="16">
        <v>7</v>
      </c>
      <c r="W1609" s="16">
        <v>0.91772299999999996</v>
      </c>
      <c r="X1609" s="16">
        <v>0.43780999999999998</v>
      </c>
      <c r="Y1609" s="16">
        <v>0.8</v>
      </c>
      <c r="Z1609" s="16">
        <v>0.50621000000000005</v>
      </c>
      <c r="AA1609" s="37"/>
    </row>
    <row r="1610" spans="1:27">
      <c r="A1610" s="16" t="s">
        <v>140</v>
      </c>
      <c r="B1610" s="16" t="s">
        <v>5298</v>
      </c>
      <c r="C1610" s="16" t="s">
        <v>5299</v>
      </c>
      <c r="D1610" s="16" t="s">
        <v>5300</v>
      </c>
      <c r="E1610" s="16" t="s">
        <v>5288</v>
      </c>
      <c r="F1610" s="16" t="s">
        <v>5289</v>
      </c>
      <c r="G1610" s="16" t="s">
        <v>4886</v>
      </c>
      <c r="H1610" s="16" t="s">
        <v>4887</v>
      </c>
      <c r="I1610" s="16" t="s">
        <v>198</v>
      </c>
      <c r="J1610" s="16" t="s">
        <v>199</v>
      </c>
      <c r="K1610" s="16">
        <v>2.282184</v>
      </c>
      <c r="L1610" s="36">
        <v>1520</v>
      </c>
      <c r="M1610" s="16">
        <v>185</v>
      </c>
      <c r="N1610" s="16">
        <v>321</v>
      </c>
      <c r="O1610" s="16">
        <v>380</v>
      </c>
      <c r="P1610" s="16">
        <v>376</v>
      </c>
      <c r="Q1610" s="16">
        <v>258</v>
      </c>
      <c r="R1610" s="16" t="s">
        <v>225</v>
      </c>
      <c r="S1610" s="16">
        <v>24.404399999999999</v>
      </c>
      <c r="T1610" s="16">
        <v>0</v>
      </c>
      <c r="U1610" s="16">
        <v>0.77978298499999998</v>
      </c>
      <c r="V1610" s="16">
        <v>6</v>
      </c>
      <c r="W1610" s="16">
        <v>0.90114899999999998</v>
      </c>
      <c r="X1610" s="16">
        <v>6.5796999999999994E-2</v>
      </c>
      <c r="Y1610" s="16">
        <v>0.8</v>
      </c>
      <c r="Z1610" s="16">
        <v>0.50961299999999998</v>
      </c>
      <c r="AA1610" s="37"/>
    </row>
    <row r="1611" spans="1:27">
      <c r="A1611" s="16" t="s">
        <v>140</v>
      </c>
      <c r="B1611" s="16" t="s">
        <v>5301</v>
      </c>
      <c r="C1611" s="16" t="s">
        <v>5302</v>
      </c>
      <c r="D1611" s="16" t="s">
        <v>5303</v>
      </c>
      <c r="E1611" s="16" t="s">
        <v>5296</v>
      </c>
      <c r="F1611" s="16" t="s">
        <v>5297</v>
      </c>
      <c r="G1611" s="16" t="s">
        <v>4886</v>
      </c>
      <c r="H1611" s="16" t="s">
        <v>4887</v>
      </c>
      <c r="I1611" s="16" t="s">
        <v>198</v>
      </c>
      <c r="J1611" s="16" t="s">
        <v>199</v>
      </c>
      <c r="K1611" s="16">
        <v>2.3266309999999999</v>
      </c>
      <c r="L1611" s="36">
        <v>1692</v>
      </c>
      <c r="M1611" s="16">
        <v>329</v>
      </c>
      <c r="N1611" s="16">
        <v>311</v>
      </c>
      <c r="O1611" s="16">
        <v>344</v>
      </c>
      <c r="P1611" s="16">
        <v>450</v>
      </c>
      <c r="Q1611" s="16">
        <v>258</v>
      </c>
      <c r="R1611" s="16">
        <v>2</v>
      </c>
      <c r="S1611" s="16">
        <v>19.386900000000001</v>
      </c>
      <c r="T1611" s="16">
        <v>4.101</v>
      </c>
      <c r="U1611" s="16">
        <v>0.63101236500000002</v>
      </c>
      <c r="V1611" s="16">
        <v>8</v>
      </c>
      <c r="W1611" s="16">
        <v>0.90429000000000004</v>
      </c>
      <c r="X1611" s="16">
        <v>0.13183500000000001</v>
      </c>
      <c r="Y1611" s="16">
        <v>0.8</v>
      </c>
      <c r="Z1611" s="16">
        <v>0.49319000000000002</v>
      </c>
      <c r="AA1611" s="37"/>
    </row>
    <row r="1612" spans="1:27">
      <c r="A1612" s="16" t="s">
        <v>140</v>
      </c>
      <c r="B1612" s="16" t="s">
        <v>5304</v>
      </c>
      <c r="C1612" s="16" t="s">
        <v>5305</v>
      </c>
      <c r="D1612" s="16" t="s">
        <v>5306</v>
      </c>
      <c r="E1612" s="16" t="s">
        <v>5296</v>
      </c>
      <c r="F1612" s="16" t="s">
        <v>5297</v>
      </c>
      <c r="G1612" s="16" t="s">
        <v>4886</v>
      </c>
      <c r="H1612" s="16" t="s">
        <v>4887</v>
      </c>
      <c r="I1612" s="16" t="s">
        <v>198</v>
      </c>
      <c r="J1612" s="16" t="s">
        <v>199</v>
      </c>
      <c r="K1612" s="16">
        <v>2.2576130000000001</v>
      </c>
      <c r="L1612" s="36">
        <v>2026</v>
      </c>
      <c r="M1612" s="16">
        <v>439</v>
      </c>
      <c r="N1612" s="16">
        <v>349</v>
      </c>
      <c r="O1612" s="16">
        <v>596</v>
      </c>
      <c r="P1612" s="16">
        <v>408</v>
      </c>
      <c r="Q1612" s="16">
        <v>234</v>
      </c>
      <c r="R1612" s="16">
        <v>4</v>
      </c>
      <c r="S1612" s="16">
        <v>41.470300000000002</v>
      </c>
      <c r="T1612" s="16">
        <v>0</v>
      </c>
      <c r="U1612" s="16">
        <v>0.82217138199999995</v>
      </c>
      <c r="V1612" s="16">
        <v>5</v>
      </c>
      <c r="W1612" s="16">
        <v>0.90473199999999998</v>
      </c>
      <c r="X1612" s="16">
        <v>0.17244899999999999</v>
      </c>
      <c r="Y1612" s="16">
        <v>0.8</v>
      </c>
      <c r="Z1612" s="16">
        <v>0.37476799999999999</v>
      </c>
      <c r="AA1612" s="37"/>
    </row>
    <row r="1613" spans="1:27">
      <c r="A1613" s="16" t="s">
        <v>140</v>
      </c>
      <c r="B1613" s="16" t="s">
        <v>5213</v>
      </c>
      <c r="C1613" s="16" t="s">
        <v>5214</v>
      </c>
      <c r="D1613" s="16" t="s">
        <v>5215</v>
      </c>
      <c r="E1613" s="16" t="s">
        <v>5216</v>
      </c>
      <c r="F1613" s="16" t="s">
        <v>5217</v>
      </c>
      <c r="G1613" s="16" t="s">
        <v>4886</v>
      </c>
      <c r="H1613" s="16" t="s">
        <v>4887</v>
      </c>
      <c r="I1613" s="16" t="s">
        <v>198</v>
      </c>
      <c r="J1613" s="16" t="s">
        <v>199</v>
      </c>
      <c r="K1613" s="16">
        <v>2.8587929999999999</v>
      </c>
      <c r="L1613" s="36">
        <v>1970</v>
      </c>
      <c r="M1613" s="16">
        <v>361</v>
      </c>
      <c r="N1613" s="16">
        <v>364</v>
      </c>
      <c r="O1613" s="16">
        <v>598</v>
      </c>
      <c r="P1613" s="16">
        <v>384</v>
      </c>
      <c r="Q1613" s="16">
        <v>263</v>
      </c>
      <c r="R1613" s="16">
        <v>3</v>
      </c>
      <c r="S1613" s="16">
        <v>21.882300000000001</v>
      </c>
      <c r="T1613" s="16">
        <v>0</v>
      </c>
      <c r="U1613" s="16">
        <v>0.52875703299999999</v>
      </c>
      <c r="V1613" s="16">
        <v>6</v>
      </c>
      <c r="W1613" s="16">
        <v>0.92018200000000006</v>
      </c>
      <c r="X1613" s="16">
        <v>0.35217700000000002</v>
      </c>
      <c r="Y1613" s="16">
        <v>0.80246099999999998</v>
      </c>
      <c r="Z1613" s="16">
        <v>0.774725</v>
      </c>
      <c r="AA1613" s="37"/>
    </row>
    <row r="1614" spans="1:27">
      <c r="A1614" s="16" t="s">
        <v>140</v>
      </c>
      <c r="B1614" s="16" t="s">
        <v>5307</v>
      </c>
      <c r="C1614" s="16" t="s">
        <v>5308</v>
      </c>
      <c r="D1614" s="16" t="s">
        <v>5309</v>
      </c>
      <c r="E1614" s="16" t="s">
        <v>5216</v>
      </c>
      <c r="F1614" s="16" t="s">
        <v>5217</v>
      </c>
      <c r="G1614" s="16" t="s">
        <v>4886</v>
      </c>
      <c r="H1614" s="16" t="s">
        <v>4887</v>
      </c>
      <c r="I1614" s="16" t="s">
        <v>198</v>
      </c>
      <c r="J1614" s="16" t="s">
        <v>199</v>
      </c>
      <c r="K1614" s="16">
        <v>2.7283430000000002</v>
      </c>
      <c r="L1614" s="36">
        <v>2040</v>
      </c>
      <c r="M1614" s="16">
        <v>407</v>
      </c>
      <c r="N1614" s="16">
        <v>356</v>
      </c>
      <c r="O1614" s="16">
        <v>558</v>
      </c>
      <c r="P1614" s="16">
        <v>461</v>
      </c>
      <c r="Q1614" s="16">
        <v>258</v>
      </c>
      <c r="R1614" s="16">
        <v>4</v>
      </c>
      <c r="S1614" s="16">
        <v>22.191400000000002</v>
      </c>
      <c r="T1614" s="16">
        <v>12.648400000000001</v>
      </c>
      <c r="U1614" s="16">
        <v>0.63142627500000004</v>
      </c>
      <c r="V1614" s="16">
        <v>4</v>
      </c>
      <c r="W1614" s="16">
        <v>0.915933</v>
      </c>
      <c r="X1614" s="16">
        <v>0.30286600000000002</v>
      </c>
      <c r="Y1614" s="16">
        <v>0.8</v>
      </c>
      <c r="Z1614" s="16">
        <v>0.71797900000000003</v>
      </c>
      <c r="AA1614" s="37"/>
    </row>
    <row r="1615" spans="1:27">
      <c r="A1615" s="16" t="s">
        <v>140</v>
      </c>
      <c r="B1615" s="16" t="s">
        <v>5310</v>
      </c>
      <c r="C1615" s="16" t="s">
        <v>5311</v>
      </c>
      <c r="D1615" s="16" t="s">
        <v>5312</v>
      </c>
      <c r="E1615" s="16" t="s">
        <v>5216</v>
      </c>
      <c r="F1615" s="16" t="s">
        <v>5217</v>
      </c>
      <c r="G1615" s="16" t="s">
        <v>4886</v>
      </c>
      <c r="H1615" s="16" t="s">
        <v>4887</v>
      </c>
      <c r="I1615" s="16" t="s">
        <v>198</v>
      </c>
      <c r="J1615" s="16" t="s">
        <v>199</v>
      </c>
      <c r="K1615" s="16">
        <v>2.3470309999999999</v>
      </c>
      <c r="L1615" s="36">
        <v>1848</v>
      </c>
      <c r="M1615" s="16">
        <v>479</v>
      </c>
      <c r="N1615" s="16">
        <v>258</v>
      </c>
      <c r="O1615" s="16">
        <v>478</v>
      </c>
      <c r="P1615" s="16">
        <v>396</v>
      </c>
      <c r="Q1615" s="16">
        <v>237</v>
      </c>
      <c r="R1615" s="16">
        <v>2</v>
      </c>
      <c r="S1615" s="16">
        <v>19.5322</v>
      </c>
      <c r="T1615" s="16">
        <v>0</v>
      </c>
      <c r="U1615" s="16">
        <v>0.69800061800000002</v>
      </c>
      <c r="V1615" s="16">
        <v>7</v>
      </c>
      <c r="W1615" s="16">
        <v>0.90306500000000001</v>
      </c>
      <c r="X1615" s="16">
        <v>0.141843</v>
      </c>
      <c r="Y1615" s="16">
        <v>0.8</v>
      </c>
      <c r="Z1615" s="16">
        <v>0.500583</v>
      </c>
      <c r="AA1615" s="37"/>
    </row>
    <row r="1616" spans="1:27">
      <c r="A1616" s="16" t="s">
        <v>140</v>
      </c>
      <c r="B1616" s="16" t="s">
        <v>5313</v>
      </c>
      <c r="C1616" s="16" t="s">
        <v>5314</v>
      </c>
      <c r="D1616" s="16" t="s">
        <v>5315</v>
      </c>
      <c r="E1616" s="16" t="s">
        <v>4680</v>
      </c>
      <c r="F1616" s="16" t="s">
        <v>4681</v>
      </c>
      <c r="G1616" s="16" t="s">
        <v>4606</v>
      </c>
      <c r="H1616" s="16" t="s">
        <v>4607</v>
      </c>
      <c r="I1616" s="16" t="s">
        <v>198</v>
      </c>
      <c r="J1616" s="16" t="s">
        <v>199</v>
      </c>
      <c r="K1616" s="16">
        <v>2.4364140000000001</v>
      </c>
      <c r="L1616" s="36">
        <v>1409</v>
      </c>
      <c r="M1616" s="16">
        <v>295</v>
      </c>
      <c r="N1616" s="16">
        <v>266</v>
      </c>
      <c r="O1616" s="16">
        <v>296</v>
      </c>
      <c r="P1616" s="16">
        <v>362</v>
      </c>
      <c r="Q1616" s="16">
        <v>190</v>
      </c>
      <c r="R1616" s="16" t="s">
        <v>225</v>
      </c>
      <c r="S1616" s="16">
        <v>16.2392</v>
      </c>
      <c r="T1616" s="16">
        <v>0</v>
      </c>
      <c r="U1616" s="16">
        <v>0.96499869299999996</v>
      </c>
      <c r="V1616" s="16">
        <v>3</v>
      </c>
      <c r="W1616" s="16">
        <v>0.90479699999999996</v>
      </c>
      <c r="X1616" s="16">
        <v>0.35992099999999999</v>
      </c>
      <c r="Y1616" s="16">
        <v>0.8</v>
      </c>
      <c r="Z1616" s="16">
        <v>0.36564600000000003</v>
      </c>
      <c r="AA1616" s="37"/>
    </row>
    <row r="1617" spans="1:27">
      <c r="A1617" s="16" t="s">
        <v>140</v>
      </c>
      <c r="B1617" s="16" t="s">
        <v>4687</v>
      </c>
      <c r="C1617" s="16" t="s">
        <v>4688</v>
      </c>
      <c r="D1617" s="16" t="s">
        <v>4689</v>
      </c>
      <c r="E1617" s="16" t="s">
        <v>4680</v>
      </c>
      <c r="F1617" s="16" t="s">
        <v>4681</v>
      </c>
      <c r="G1617" s="16" t="s">
        <v>4606</v>
      </c>
      <c r="H1617" s="16" t="s">
        <v>4607</v>
      </c>
      <c r="I1617" s="16" t="s">
        <v>198</v>
      </c>
      <c r="J1617" s="16" t="s">
        <v>199</v>
      </c>
      <c r="K1617" s="16">
        <v>2.9333960000000001</v>
      </c>
      <c r="L1617" s="36">
        <v>3109</v>
      </c>
      <c r="M1617" s="16">
        <v>714</v>
      </c>
      <c r="N1617" s="16">
        <v>504</v>
      </c>
      <c r="O1617" s="16">
        <v>849</v>
      </c>
      <c r="P1617" s="16">
        <v>753</v>
      </c>
      <c r="Q1617" s="16">
        <v>289</v>
      </c>
      <c r="R1617" s="16">
        <v>2</v>
      </c>
      <c r="S1617" s="16">
        <v>17.633700000000001</v>
      </c>
      <c r="T1617" s="16">
        <v>0</v>
      </c>
      <c r="U1617" s="16">
        <v>0.76019309099999999</v>
      </c>
      <c r="V1617" s="16">
        <v>2</v>
      </c>
      <c r="W1617" s="16">
        <v>0.91828399999999999</v>
      </c>
      <c r="X1617" s="16">
        <v>0.56954899999999997</v>
      </c>
      <c r="Y1617" s="16">
        <v>0.8</v>
      </c>
      <c r="Z1617" s="16">
        <v>0.644791</v>
      </c>
      <c r="AA1617" s="37"/>
    </row>
    <row r="1618" spans="1:27">
      <c r="A1618" s="16" t="s">
        <v>140</v>
      </c>
      <c r="B1618" s="16" t="s">
        <v>5041</v>
      </c>
      <c r="C1618" s="16" t="s">
        <v>5042</v>
      </c>
      <c r="D1618" s="16" t="s">
        <v>5043</v>
      </c>
      <c r="E1618" s="16" t="s">
        <v>5025</v>
      </c>
      <c r="F1618" s="16" t="s">
        <v>5026</v>
      </c>
      <c r="G1618" s="16" t="s">
        <v>4606</v>
      </c>
      <c r="H1618" s="16" t="s">
        <v>4607</v>
      </c>
      <c r="I1618" s="16" t="s">
        <v>198</v>
      </c>
      <c r="J1618" s="16" t="s">
        <v>199</v>
      </c>
      <c r="K1618" s="16">
        <v>2.7947519999999999</v>
      </c>
      <c r="L1618" s="36">
        <v>1460</v>
      </c>
      <c r="M1618" s="16">
        <v>267</v>
      </c>
      <c r="N1618" s="16">
        <v>236</v>
      </c>
      <c r="O1618" s="16">
        <v>423</v>
      </c>
      <c r="P1618" s="16">
        <v>340</v>
      </c>
      <c r="Q1618" s="16">
        <v>194</v>
      </c>
      <c r="R1618" s="16">
        <v>3</v>
      </c>
      <c r="S1618" s="16">
        <v>17.836300000000001</v>
      </c>
      <c r="T1618" s="16">
        <v>8.8363300000000002</v>
      </c>
      <c r="U1618" s="16">
        <v>0.70358996500000004</v>
      </c>
      <c r="V1618" s="16">
        <v>4</v>
      </c>
      <c r="W1618" s="16">
        <v>0.92274100000000003</v>
      </c>
      <c r="X1618" s="16">
        <v>0.362178</v>
      </c>
      <c r="Y1618" s="16">
        <v>0.8</v>
      </c>
      <c r="Z1618" s="16">
        <v>0.73852899999999999</v>
      </c>
      <c r="AA1618" s="37"/>
    </row>
    <row r="1619" spans="1:27">
      <c r="A1619" s="16" t="s">
        <v>140</v>
      </c>
      <c r="B1619" s="16" t="s">
        <v>5044</v>
      </c>
      <c r="C1619" s="16" t="s">
        <v>5045</v>
      </c>
      <c r="D1619" s="16" t="s">
        <v>5046</v>
      </c>
      <c r="E1619" s="16" t="s">
        <v>5025</v>
      </c>
      <c r="F1619" s="16" t="s">
        <v>5026</v>
      </c>
      <c r="G1619" s="16" t="s">
        <v>4606</v>
      </c>
      <c r="H1619" s="16" t="s">
        <v>4607</v>
      </c>
      <c r="I1619" s="16" t="s">
        <v>198</v>
      </c>
      <c r="J1619" s="16" t="s">
        <v>199</v>
      </c>
      <c r="K1619" s="16">
        <v>2.5848589999999998</v>
      </c>
      <c r="L1619" s="36">
        <v>1879</v>
      </c>
      <c r="M1619" s="16">
        <v>309</v>
      </c>
      <c r="N1619" s="16">
        <v>331</v>
      </c>
      <c r="O1619" s="16">
        <v>558</v>
      </c>
      <c r="P1619" s="16">
        <v>474</v>
      </c>
      <c r="Q1619" s="16">
        <v>207</v>
      </c>
      <c r="R1619" s="16">
        <v>2</v>
      </c>
      <c r="S1619" s="16">
        <v>15.711499999999999</v>
      </c>
      <c r="T1619" s="16">
        <v>2.6915399999999998</v>
      </c>
      <c r="U1619" s="16">
        <v>0.55327973100000005</v>
      </c>
      <c r="V1619" s="16">
        <v>7</v>
      </c>
      <c r="W1619" s="16">
        <v>0.91214799999999996</v>
      </c>
      <c r="X1619" s="16">
        <v>0.23066</v>
      </c>
      <c r="Y1619" s="16">
        <v>0.8</v>
      </c>
      <c r="Z1619" s="16">
        <v>0.64531000000000005</v>
      </c>
      <c r="AA1619" s="37"/>
    </row>
    <row r="1620" spans="1:27">
      <c r="A1620" s="16" t="s">
        <v>140</v>
      </c>
      <c r="B1620" s="16" t="s">
        <v>5316</v>
      </c>
      <c r="C1620" s="16" t="s">
        <v>5317</v>
      </c>
      <c r="D1620" s="16" t="s">
        <v>5318</v>
      </c>
      <c r="E1620" s="16" t="s">
        <v>5053</v>
      </c>
      <c r="F1620" s="16" t="s">
        <v>5054</v>
      </c>
      <c r="G1620" s="16" t="s">
        <v>4606</v>
      </c>
      <c r="H1620" s="16" t="s">
        <v>4607</v>
      </c>
      <c r="I1620" s="16" t="s">
        <v>198</v>
      </c>
      <c r="J1620" s="16" t="s">
        <v>199</v>
      </c>
      <c r="K1620" s="16">
        <v>2.584724</v>
      </c>
      <c r="L1620" s="36">
        <v>1625</v>
      </c>
      <c r="M1620" s="16">
        <v>206</v>
      </c>
      <c r="N1620" s="16">
        <v>437</v>
      </c>
      <c r="O1620" s="16">
        <v>390</v>
      </c>
      <c r="P1620" s="16">
        <v>372</v>
      </c>
      <c r="Q1620" s="16">
        <v>220</v>
      </c>
      <c r="R1620" s="16">
        <v>3</v>
      </c>
      <c r="S1620" s="16">
        <v>21.253900000000002</v>
      </c>
      <c r="T1620" s="16">
        <v>1.72374</v>
      </c>
      <c r="U1620" s="16">
        <v>0.58556329699999998</v>
      </c>
      <c r="V1620" s="16">
        <v>8</v>
      </c>
      <c r="W1620" s="16">
        <v>0.90678899999999996</v>
      </c>
      <c r="X1620" s="16">
        <v>0.19717499999999999</v>
      </c>
      <c r="Y1620" s="16">
        <v>0.8</v>
      </c>
      <c r="Z1620" s="16">
        <v>0.69108899999999995</v>
      </c>
      <c r="AA1620" s="37"/>
    </row>
    <row r="1621" spans="1:27">
      <c r="A1621" s="16" t="s">
        <v>140</v>
      </c>
      <c r="B1621" s="16" t="s">
        <v>5061</v>
      </c>
      <c r="C1621" s="16" t="s">
        <v>5062</v>
      </c>
      <c r="D1621" s="16" t="s">
        <v>5063</v>
      </c>
      <c r="E1621" s="16" t="s">
        <v>5053</v>
      </c>
      <c r="F1621" s="16" t="s">
        <v>5054</v>
      </c>
      <c r="G1621" s="16" t="s">
        <v>4606</v>
      </c>
      <c r="H1621" s="16" t="s">
        <v>4607</v>
      </c>
      <c r="I1621" s="16" t="s">
        <v>198</v>
      </c>
      <c r="J1621" s="16" t="s">
        <v>199</v>
      </c>
      <c r="K1621" s="16">
        <v>2.8018459999999998</v>
      </c>
      <c r="L1621" s="36">
        <v>2068</v>
      </c>
      <c r="M1621" s="16">
        <v>353</v>
      </c>
      <c r="N1621" s="16">
        <v>400</v>
      </c>
      <c r="O1621" s="16">
        <v>634</v>
      </c>
      <c r="P1621" s="16">
        <v>467</v>
      </c>
      <c r="Q1621" s="16">
        <v>214</v>
      </c>
      <c r="R1621" s="16">
        <v>4</v>
      </c>
      <c r="S1621" s="16">
        <v>22.3279</v>
      </c>
      <c r="T1621" s="16">
        <v>1.7289399999999999</v>
      </c>
      <c r="U1621" s="16">
        <v>0.56735669399999999</v>
      </c>
      <c r="V1621" s="16">
        <v>6</v>
      </c>
      <c r="W1621" s="16">
        <v>0.91702600000000001</v>
      </c>
      <c r="X1621" s="16">
        <v>0.39093699999999998</v>
      </c>
      <c r="Y1621" s="16">
        <v>0.8</v>
      </c>
      <c r="Z1621" s="16">
        <v>0.69446200000000002</v>
      </c>
      <c r="AA1621" s="37"/>
    </row>
    <row r="1622" spans="1:27">
      <c r="A1622" s="16"/>
      <c r="B1622" s="16"/>
      <c r="C1622" s="16"/>
      <c r="D1622" s="16"/>
      <c r="E1622" s="16"/>
      <c r="F1622" s="16"/>
      <c r="G1622" s="16"/>
      <c r="H1622" s="16"/>
      <c r="I1622" s="16"/>
      <c r="J1622" s="16"/>
      <c r="K1622" s="16">
        <f t="shared" ref="K1622:L1622" si="144">AVERAGE(K1606:K1621)</f>
        <v>2.5434780625000002</v>
      </c>
      <c r="L1622" s="36">
        <f t="shared" si="144"/>
        <v>1820.9375</v>
      </c>
      <c r="M1622" s="16">
        <f t="shared" ref="M1622:Q1622" si="145">SUM(M1606:M1621)</f>
        <v>5317</v>
      </c>
      <c r="N1622" s="16">
        <f t="shared" si="145"/>
        <v>5448</v>
      </c>
      <c r="O1622" s="16">
        <f t="shared" si="145"/>
        <v>7938</v>
      </c>
      <c r="P1622" s="16">
        <f t="shared" si="145"/>
        <v>6665</v>
      </c>
      <c r="Q1622" s="16">
        <f t="shared" si="145"/>
        <v>3767</v>
      </c>
      <c r="R1622" s="16"/>
      <c r="S1622" s="16">
        <f t="shared" ref="S1622:U1622" si="146">MIN(S1606:S1621)</f>
        <v>12.073</v>
      </c>
      <c r="T1622" s="16">
        <f t="shared" si="146"/>
        <v>0</v>
      </c>
      <c r="U1622" s="16">
        <f t="shared" si="146"/>
        <v>0.52875703299999999</v>
      </c>
      <c r="V1622" s="16">
        <f>MEDIAN(V1606:V1621)</f>
        <v>6</v>
      </c>
      <c r="W1622" s="16"/>
      <c r="X1622" s="16"/>
      <c r="Y1622" s="16"/>
      <c r="Z1622" s="16"/>
      <c r="AA1622" s="37"/>
    </row>
    <row r="1623" spans="1:27">
      <c r="A1623" s="16" t="s">
        <v>89</v>
      </c>
      <c r="B1623" s="16" t="s">
        <v>5319</v>
      </c>
      <c r="C1623" s="16" t="s">
        <v>5320</v>
      </c>
      <c r="D1623" s="16" t="s">
        <v>5321</v>
      </c>
      <c r="E1623" s="16" t="s">
        <v>5322</v>
      </c>
      <c r="F1623" s="16" t="s">
        <v>5323</v>
      </c>
      <c r="G1623" s="16" t="s">
        <v>4886</v>
      </c>
      <c r="H1623" s="16" t="s">
        <v>4887</v>
      </c>
      <c r="I1623" s="16" t="s">
        <v>198</v>
      </c>
      <c r="J1623" s="16" t="s">
        <v>199</v>
      </c>
      <c r="K1623" s="16">
        <v>2.6918959999999998</v>
      </c>
      <c r="L1623" s="36">
        <v>1759</v>
      </c>
      <c r="M1623" s="16">
        <v>390</v>
      </c>
      <c r="N1623" s="16">
        <v>309</v>
      </c>
      <c r="O1623" s="16">
        <v>428</v>
      </c>
      <c r="P1623" s="16">
        <v>393</v>
      </c>
      <c r="Q1623" s="16">
        <v>239</v>
      </c>
      <c r="R1623" s="16">
        <v>3</v>
      </c>
      <c r="S1623" s="16">
        <v>22.379300000000001</v>
      </c>
      <c r="T1623" s="16">
        <v>4.9256000000000002</v>
      </c>
      <c r="U1623" s="16">
        <v>1.0482278330000001</v>
      </c>
      <c r="V1623" s="16">
        <v>2</v>
      </c>
      <c r="W1623" s="16">
        <v>0.93212700000000004</v>
      </c>
      <c r="X1623" s="16">
        <v>0.29411799999999999</v>
      </c>
      <c r="Y1623" s="16">
        <v>0.8</v>
      </c>
      <c r="Z1623" s="16">
        <v>0.67227899999999996</v>
      </c>
      <c r="AA1623" s="37"/>
    </row>
    <row r="1624" spans="1:27">
      <c r="A1624" s="16" t="s">
        <v>89</v>
      </c>
      <c r="B1624" s="16" t="s">
        <v>5324</v>
      </c>
      <c r="C1624" s="16" t="s">
        <v>5325</v>
      </c>
      <c r="D1624" s="16" t="s">
        <v>5326</v>
      </c>
      <c r="E1624" s="16" t="s">
        <v>5322</v>
      </c>
      <c r="F1624" s="16" t="s">
        <v>5323</v>
      </c>
      <c r="G1624" s="16" t="s">
        <v>4886</v>
      </c>
      <c r="H1624" s="16" t="s">
        <v>4887</v>
      </c>
      <c r="I1624" s="16" t="s">
        <v>198</v>
      </c>
      <c r="J1624" s="16" t="s">
        <v>199</v>
      </c>
      <c r="K1624" s="16">
        <v>3.0152559999999999</v>
      </c>
      <c r="L1624" s="36">
        <v>4405</v>
      </c>
      <c r="M1624" s="16">
        <v>498</v>
      </c>
      <c r="N1624" s="36">
        <v>2137</v>
      </c>
      <c r="O1624" s="36">
        <v>1090</v>
      </c>
      <c r="P1624" s="16">
        <v>511</v>
      </c>
      <c r="Q1624" s="16">
        <v>169</v>
      </c>
      <c r="R1624" s="16">
        <v>4</v>
      </c>
      <c r="S1624" s="16">
        <v>26.5655</v>
      </c>
      <c r="T1624" s="16">
        <v>2.0850200000000001</v>
      </c>
      <c r="U1624" s="16">
        <v>0.62709834600000003</v>
      </c>
      <c r="V1624" s="16">
        <v>4</v>
      </c>
      <c r="W1624" s="16">
        <v>0.93864199999999998</v>
      </c>
      <c r="X1624" s="16">
        <v>0.39527000000000001</v>
      </c>
      <c r="Y1624" s="16">
        <v>0.8</v>
      </c>
      <c r="Z1624" s="16">
        <v>0.88626499999999997</v>
      </c>
      <c r="AA1624" s="37"/>
    </row>
    <row r="1625" spans="1:27">
      <c r="A1625" s="16" t="s">
        <v>89</v>
      </c>
      <c r="B1625" s="16" t="s">
        <v>5327</v>
      </c>
      <c r="C1625" s="16" t="s">
        <v>5328</v>
      </c>
      <c r="D1625" s="16" t="s">
        <v>5329</v>
      </c>
      <c r="E1625" s="16" t="s">
        <v>5330</v>
      </c>
      <c r="F1625" s="16" t="s">
        <v>5331</v>
      </c>
      <c r="G1625" s="16" t="s">
        <v>4886</v>
      </c>
      <c r="H1625" s="16" t="s">
        <v>4887</v>
      </c>
      <c r="I1625" s="16" t="s">
        <v>198</v>
      </c>
      <c r="J1625" s="16" t="s">
        <v>199</v>
      </c>
      <c r="K1625" s="16">
        <v>2.4689649999999999</v>
      </c>
      <c r="L1625" s="36">
        <v>1673</v>
      </c>
      <c r="M1625" s="16">
        <v>234</v>
      </c>
      <c r="N1625" s="16">
        <v>444</v>
      </c>
      <c r="O1625" s="16">
        <v>423</v>
      </c>
      <c r="P1625" s="16">
        <v>356</v>
      </c>
      <c r="Q1625" s="16">
        <v>216</v>
      </c>
      <c r="R1625" s="16">
        <v>5</v>
      </c>
      <c r="S1625" s="16">
        <v>29.042400000000001</v>
      </c>
      <c r="T1625" s="16">
        <v>16.039300000000001</v>
      </c>
      <c r="U1625" s="16">
        <v>0.89302004400000001</v>
      </c>
      <c r="V1625" s="16">
        <v>5</v>
      </c>
      <c r="W1625" s="16">
        <v>0.90844800000000003</v>
      </c>
      <c r="X1625" s="16">
        <v>8.6063000000000001E-2</v>
      </c>
      <c r="Y1625" s="16">
        <v>0.8</v>
      </c>
      <c r="Z1625" s="16">
        <v>0.66961800000000005</v>
      </c>
      <c r="AA1625" s="37"/>
    </row>
    <row r="1626" spans="1:27">
      <c r="A1626" s="16" t="s">
        <v>89</v>
      </c>
      <c r="B1626" s="16" t="s">
        <v>5332</v>
      </c>
      <c r="C1626" s="16" t="s">
        <v>5333</v>
      </c>
      <c r="D1626" s="16" t="s">
        <v>5334</v>
      </c>
      <c r="E1626" s="16" t="s">
        <v>5330</v>
      </c>
      <c r="F1626" s="16" t="s">
        <v>5331</v>
      </c>
      <c r="G1626" s="16" t="s">
        <v>4886</v>
      </c>
      <c r="H1626" s="16" t="s">
        <v>4887</v>
      </c>
      <c r="I1626" s="16" t="s">
        <v>198</v>
      </c>
      <c r="J1626" s="16" t="s">
        <v>199</v>
      </c>
      <c r="K1626" s="16">
        <v>2.3591039999999999</v>
      </c>
      <c r="L1626" s="36">
        <v>1615</v>
      </c>
      <c r="M1626" s="16">
        <v>248</v>
      </c>
      <c r="N1626" s="16">
        <v>474</v>
      </c>
      <c r="O1626" s="16">
        <v>407</v>
      </c>
      <c r="P1626" s="16">
        <v>289</v>
      </c>
      <c r="Q1626" s="16">
        <v>197</v>
      </c>
      <c r="R1626" s="16">
        <v>2</v>
      </c>
      <c r="S1626" s="16">
        <v>21.9741</v>
      </c>
      <c r="T1626" s="16">
        <v>0</v>
      </c>
      <c r="U1626" s="16">
        <v>0.89452007099999997</v>
      </c>
      <c r="V1626" s="16">
        <v>4</v>
      </c>
      <c r="W1626" s="16">
        <v>0.91372900000000001</v>
      </c>
      <c r="X1626" s="16">
        <v>0.15751699999999999</v>
      </c>
      <c r="Y1626" s="16">
        <v>0.8</v>
      </c>
      <c r="Z1626" s="16">
        <v>0.49202299999999999</v>
      </c>
      <c r="AA1626" s="37"/>
    </row>
    <row r="1627" spans="1:27">
      <c r="A1627" s="16" t="s">
        <v>89</v>
      </c>
      <c r="B1627" s="16" t="s">
        <v>5335</v>
      </c>
      <c r="C1627" s="16" t="s">
        <v>5336</v>
      </c>
      <c r="D1627" s="16" t="s">
        <v>5337</v>
      </c>
      <c r="E1627" s="16" t="s">
        <v>5330</v>
      </c>
      <c r="F1627" s="16" t="s">
        <v>5331</v>
      </c>
      <c r="G1627" s="16" t="s">
        <v>4886</v>
      </c>
      <c r="H1627" s="16" t="s">
        <v>4887</v>
      </c>
      <c r="I1627" s="16" t="s">
        <v>198</v>
      </c>
      <c r="J1627" s="16" t="s">
        <v>199</v>
      </c>
      <c r="K1627" s="16">
        <v>2.257692</v>
      </c>
      <c r="L1627" s="36">
        <v>1398</v>
      </c>
      <c r="M1627" s="16">
        <v>263</v>
      </c>
      <c r="N1627" s="16">
        <v>274</v>
      </c>
      <c r="O1627" s="16">
        <v>310</v>
      </c>
      <c r="P1627" s="16">
        <v>360</v>
      </c>
      <c r="Q1627" s="16">
        <v>191</v>
      </c>
      <c r="R1627" s="16" t="s">
        <v>225</v>
      </c>
      <c r="S1627" s="16">
        <v>7.31881</v>
      </c>
      <c r="T1627" s="16">
        <v>2.1080899999999998</v>
      </c>
      <c r="U1627" s="16">
        <v>0.98385205200000003</v>
      </c>
      <c r="V1627" s="16">
        <v>3</v>
      </c>
      <c r="W1627" s="16">
        <v>0.90668899999999997</v>
      </c>
      <c r="X1627" s="16">
        <v>0.114676</v>
      </c>
      <c r="Y1627" s="16">
        <v>0.8</v>
      </c>
      <c r="Z1627" s="16">
        <v>0.44350800000000001</v>
      </c>
      <c r="AA1627" s="37"/>
    </row>
    <row r="1628" spans="1:27">
      <c r="A1628" s="16" t="s">
        <v>89</v>
      </c>
      <c r="B1628" s="16" t="s">
        <v>5338</v>
      </c>
      <c r="C1628" s="16" t="s">
        <v>5339</v>
      </c>
      <c r="D1628" s="16" t="s">
        <v>5340</v>
      </c>
      <c r="E1628" s="16" t="s">
        <v>5330</v>
      </c>
      <c r="F1628" s="16" t="s">
        <v>5331</v>
      </c>
      <c r="G1628" s="16" t="s">
        <v>4886</v>
      </c>
      <c r="H1628" s="16" t="s">
        <v>4887</v>
      </c>
      <c r="I1628" s="16" t="s">
        <v>198</v>
      </c>
      <c r="J1628" s="16" t="s">
        <v>199</v>
      </c>
      <c r="K1628" s="16">
        <v>2.3406099999999999</v>
      </c>
      <c r="L1628" s="36">
        <v>2482</v>
      </c>
      <c r="M1628" s="16">
        <v>653</v>
      </c>
      <c r="N1628" s="16">
        <v>488</v>
      </c>
      <c r="O1628" s="16">
        <v>613</v>
      </c>
      <c r="P1628" s="16">
        <v>522</v>
      </c>
      <c r="Q1628" s="16">
        <v>206</v>
      </c>
      <c r="R1628" s="16">
        <v>3</v>
      </c>
      <c r="S1628" s="16">
        <v>26.68</v>
      </c>
      <c r="T1628" s="16">
        <v>3.1736599999999999</v>
      </c>
      <c r="U1628" s="16">
        <v>1.0278178979999999</v>
      </c>
      <c r="V1628" s="16">
        <v>4</v>
      </c>
      <c r="W1628" s="16">
        <v>0.91894100000000001</v>
      </c>
      <c r="X1628" s="16">
        <v>0.12038500000000001</v>
      </c>
      <c r="Y1628" s="16">
        <v>0.8</v>
      </c>
      <c r="Z1628" s="16">
        <v>0.50607999999999997</v>
      </c>
      <c r="AA1628" s="37"/>
    </row>
    <row r="1629" spans="1:27">
      <c r="A1629" s="16" t="s">
        <v>89</v>
      </c>
      <c r="B1629" s="16" t="s">
        <v>5341</v>
      </c>
      <c r="C1629" s="16" t="s">
        <v>5342</v>
      </c>
      <c r="D1629" s="16" t="s">
        <v>5343</v>
      </c>
      <c r="E1629" s="16" t="s">
        <v>5322</v>
      </c>
      <c r="F1629" s="16" t="s">
        <v>5323</v>
      </c>
      <c r="G1629" s="16" t="s">
        <v>4886</v>
      </c>
      <c r="H1629" s="16" t="s">
        <v>4887</v>
      </c>
      <c r="I1629" s="16" t="s">
        <v>198</v>
      </c>
      <c r="J1629" s="16" t="s">
        <v>199</v>
      </c>
      <c r="K1629" s="16">
        <v>2.8768980000000002</v>
      </c>
      <c r="L1629" s="36">
        <v>2348</v>
      </c>
      <c r="M1629" s="16">
        <v>456</v>
      </c>
      <c r="N1629" s="16">
        <v>524</v>
      </c>
      <c r="O1629" s="16">
        <v>647</v>
      </c>
      <c r="P1629" s="16">
        <v>447</v>
      </c>
      <c r="Q1629" s="16">
        <v>274</v>
      </c>
      <c r="R1629" s="16">
        <v>3</v>
      </c>
      <c r="S1629" s="16">
        <v>23.476900000000001</v>
      </c>
      <c r="T1629" s="16">
        <v>1.76929</v>
      </c>
      <c r="U1629" s="16">
        <v>0.60539165699999997</v>
      </c>
      <c r="V1629" s="16">
        <v>5</v>
      </c>
      <c r="W1629" s="16">
        <v>0.91123900000000002</v>
      </c>
      <c r="X1629" s="16">
        <v>0.214314</v>
      </c>
      <c r="Y1629" s="16">
        <v>0.8</v>
      </c>
      <c r="Z1629" s="16">
        <v>0.95004900000000003</v>
      </c>
      <c r="AA1629" s="37"/>
    </row>
    <row r="1630" spans="1:27">
      <c r="A1630" s="16" t="s">
        <v>89</v>
      </c>
      <c r="B1630" s="16" t="s">
        <v>5307</v>
      </c>
      <c r="C1630" s="16" t="s">
        <v>5308</v>
      </c>
      <c r="D1630" s="16" t="s">
        <v>5309</v>
      </c>
      <c r="E1630" s="16" t="s">
        <v>5216</v>
      </c>
      <c r="F1630" s="16" t="s">
        <v>5217</v>
      </c>
      <c r="G1630" s="16" t="s">
        <v>4886</v>
      </c>
      <c r="H1630" s="16" t="s">
        <v>4887</v>
      </c>
      <c r="I1630" s="16" t="s">
        <v>198</v>
      </c>
      <c r="J1630" s="16" t="s">
        <v>199</v>
      </c>
      <c r="K1630" s="16">
        <v>2.7283430000000002</v>
      </c>
      <c r="L1630" s="36">
        <v>2040</v>
      </c>
      <c r="M1630" s="16">
        <v>407</v>
      </c>
      <c r="N1630" s="16">
        <v>356</v>
      </c>
      <c r="O1630" s="16">
        <v>558</v>
      </c>
      <c r="P1630" s="16">
        <v>461</v>
      </c>
      <c r="Q1630" s="16">
        <v>258</v>
      </c>
      <c r="R1630" s="16">
        <v>4</v>
      </c>
      <c r="S1630" s="16">
        <v>22.191400000000002</v>
      </c>
      <c r="T1630" s="16">
        <v>12.648400000000001</v>
      </c>
      <c r="U1630" s="16">
        <v>0.63142627500000004</v>
      </c>
      <c r="V1630" s="16">
        <v>4</v>
      </c>
      <c r="W1630" s="16">
        <v>0.915933</v>
      </c>
      <c r="X1630" s="16">
        <v>0.30286600000000002</v>
      </c>
      <c r="Y1630" s="16">
        <v>0.8</v>
      </c>
      <c r="Z1630" s="16">
        <v>0.71797900000000003</v>
      </c>
      <c r="AA1630" s="37"/>
    </row>
    <row r="1631" spans="1:27">
      <c r="A1631" s="16" t="s">
        <v>89</v>
      </c>
      <c r="B1631" s="16" t="s">
        <v>5344</v>
      </c>
      <c r="C1631" s="16" t="s">
        <v>5345</v>
      </c>
      <c r="D1631" s="16" t="s">
        <v>5346</v>
      </c>
      <c r="E1631" s="16" t="s">
        <v>5347</v>
      </c>
      <c r="F1631" s="16" t="s">
        <v>5348</v>
      </c>
      <c r="G1631" s="16" t="s">
        <v>5072</v>
      </c>
      <c r="H1631" s="16" t="s">
        <v>5073</v>
      </c>
      <c r="I1631" s="16" t="s">
        <v>198</v>
      </c>
      <c r="J1631" s="16" t="s">
        <v>199</v>
      </c>
      <c r="K1631" s="16">
        <v>2.800154</v>
      </c>
      <c r="L1631" s="36">
        <v>2594</v>
      </c>
      <c r="M1631" s="16">
        <v>274</v>
      </c>
      <c r="N1631" s="36">
        <v>1016</v>
      </c>
      <c r="O1631" s="16">
        <v>562</v>
      </c>
      <c r="P1631" s="16">
        <v>521</v>
      </c>
      <c r="Q1631" s="16">
        <v>221</v>
      </c>
      <c r="R1631" s="16">
        <v>3</v>
      </c>
      <c r="S1631" s="16">
        <v>32.729500000000002</v>
      </c>
      <c r="T1631" s="16">
        <v>0</v>
      </c>
      <c r="U1631" s="16">
        <v>0.74557957600000002</v>
      </c>
      <c r="V1631" s="16">
        <v>4</v>
      </c>
      <c r="W1631" s="16">
        <v>0.91358700000000004</v>
      </c>
      <c r="X1631" s="16">
        <v>0.35578799999999999</v>
      </c>
      <c r="Y1631" s="16">
        <v>0.8</v>
      </c>
      <c r="Z1631" s="16">
        <v>0.73460099999999995</v>
      </c>
      <c r="AA1631" s="37"/>
    </row>
    <row r="1632" spans="1:27">
      <c r="A1632" s="16" t="s">
        <v>89</v>
      </c>
      <c r="B1632" s="16" t="s">
        <v>5349</v>
      </c>
      <c r="C1632" s="16" t="s">
        <v>5350</v>
      </c>
      <c r="D1632" s="16" t="s">
        <v>5351</v>
      </c>
      <c r="E1632" s="16" t="s">
        <v>5347</v>
      </c>
      <c r="F1632" s="16" t="s">
        <v>5348</v>
      </c>
      <c r="G1632" s="16" t="s">
        <v>5072</v>
      </c>
      <c r="H1632" s="16" t="s">
        <v>5073</v>
      </c>
      <c r="I1632" s="16" t="s">
        <v>198</v>
      </c>
      <c r="J1632" s="16" t="s">
        <v>199</v>
      </c>
      <c r="K1632" s="16">
        <v>2.5838000000000001</v>
      </c>
      <c r="L1632" s="36">
        <v>1750</v>
      </c>
      <c r="M1632" s="16">
        <v>366</v>
      </c>
      <c r="N1632" s="16">
        <v>369</v>
      </c>
      <c r="O1632" s="16">
        <v>379</v>
      </c>
      <c r="P1632" s="16">
        <v>413</v>
      </c>
      <c r="Q1632" s="16">
        <v>223</v>
      </c>
      <c r="R1632" s="16">
        <v>5</v>
      </c>
      <c r="S1632" s="16">
        <v>30.122599999999998</v>
      </c>
      <c r="T1632" s="16">
        <v>15.355</v>
      </c>
      <c r="U1632" s="16">
        <v>1.0503275190000001</v>
      </c>
      <c r="V1632" s="16">
        <v>2</v>
      </c>
      <c r="W1632" s="16">
        <v>0.92300000000000004</v>
      </c>
      <c r="X1632" s="16">
        <v>0.23647299999999999</v>
      </c>
      <c r="Y1632" s="16">
        <v>0.8</v>
      </c>
      <c r="Z1632" s="16">
        <v>0.60560000000000003</v>
      </c>
      <c r="AA1632" s="37"/>
    </row>
    <row r="1633" spans="1:27">
      <c r="A1633" s="16" t="s">
        <v>89</v>
      </c>
      <c r="B1633" s="16" t="s">
        <v>5352</v>
      </c>
      <c r="C1633" s="16" t="s">
        <v>5353</v>
      </c>
      <c r="D1633" s="16" t="s">
        <v>5354</v>
      </c>
      <c r="E1633" s="16" t="s">
        <v>5347</v>
      </c>
      <c r="F1633" s="16" t="s">
        <v>5348</v>
      </c>
      <c r="G1633" s="16" t="s">
        <v>5072</v>
      </c>
      <c r="H1633" s="16" t="s">
        <v>5073</v>
      </c>
      <c r="I1633" s="16" t="s">
        <v>198</v>
      </c>
      <c r="J1633" s="16" t="s">
        <v>199</v>
      </c>
      <c r="K1633" s="16">
        <v>2.597696</v>
      </c>
      <c r="L1633" s="36">
        <v>2542</v>
      </c>
      <c r="M1633" s="16">
        <v>542</v>
      </c>
      <c r="N1633" s="16">
        <v>580</v>
      </c>
      <c r="O1633" s="16">
        <v>730</v>
      </c>
      <c r="P1633" s="16">
        <v>525</v>
      </c>
      <c r="Q1633" s="16">
        <v>165</v>
      </c>
      <c r="R1633" s="16">
        <v>2</v>
      </c>
      <c r="S1633" s="16">
        <v>24.145</v>
      </c>
      <c r="T1633" s="16">
        <v>0</v>
      </c>
      <c r="U1633" s="16">
        <v>1.1226124120000001</v>
      </c>
      <c r="V1633" s="16">
        <v>2</v>
      </c>
      <c r="W1633" s="16">
        <v>0.90737299999999999</v>
      </c>
      <c r="X1633" s="16">
        <v>0.111438</v>
      </c>
      <c r="Y1633" s="16">
        <v>0.8</v>
      </c>
      <c r="Z1633" s="16">
        <v>0.77951199999999998</v>
      </c>
      <c r="AA1633" s="37"/>
    </row>
    <row r="1634" spans="1:27">
      <c r="A1634" s="16" t="s">
        <v>89</v>
      </c>
      <c r="B1634" s="16" t="s">
        <v>5355</v>
      </c>
      <c r="C1634" s="16" t="s">
        <v>5356</v>
      </c>
      <c r="D1634" s="16" t="s">
        <v>5357</v>
      </c>
      <c r="E1634" s="16" t="s">
        <v>5358</v>
      </c>
      <c r="F1634" s="16" t="s">
        <v>5359</v>
      </c>
      <c r="G1634" s="16" t="s">
        <v>5072</v>
      </c>
      <c r="H1634" s="16" t="s">
        <v>5073</v>
      </c>
      <c r="I1634" s="16" t="s">
        <v>198</v>
      </c>
      <c r="J1634" s="16" t="s">
        <v>199</v>
      </c>
      <c r="K1634" s="16">
        <v>2.545064</v>
      </c>
      <c r="L1634" s="36">
        <v>1991</v>
      </c>
      <c r="M1634" s="16">
        <v>476</v>
      </c>
      <c r="N1634" s="16">
        <v>400</v>
      </c>
      <c r="O1634" s="16">
        <v>479</v>
      </c>
      <c r="P1634" s="16">
        <v>437</v>
      </c>
      <c r="Q1634" s="16">
        <v>199</v>
      </c>
      <c r="R1634" s="16">
        <v>2</v>
      </c>
      <c r="S1634" s="16">
        <v>9.2536100000000001</v>
      </c>
      <c r="T1634" s="16">
        <v>2.26614</v>
      </c>
      <c r="U1634" s="16">
        <v>1.1636022109999999</v>
      </c>
      <c r="V1634" s="16">
        <v>2</v>
      </c>
      <c r="W1634" s="16">
        <v>0.90987300000000004</v>
      </c>
      <c r="X1634" s="16">
        <v>6.8262000000000003E-2</v>
      </c>
      <c r="Y1634" s="16">
        <v>0.8</v>
      </c>
      <c r="Z1634" s="16">
        <v>0.77945900000000001</v>
      </c>
      <c r="AA1634" s="37"/>
    </row>
    <row r="1635" spans="1:27">
      <c r="A1635" s="16" t="s">
        <v>89</v>
      </c>
      <c r="B1635" s="16" t="s">
        <v>5360</v>
      </c>
      <c r="C1635" s="16" t="s">
        <v>5361</v>
      </c>
      <c r="D1635" s="16" t="s">
        <v>5362</v>
      </c>
      <c r="E1635" s="16" t="s">
        <v>5358</v>
      </c>
      <c r="F1635" s="16" t="s">
        <v>5359</v>
      </c>
      <c r="G1635" s="16" t="s">
        <v>5072</v>
      </c>
      <c r="H1635" s="16" t="s">
        <v>5073</v>
      </c>
      <c r="I1635" s="16" t="s">
        <v>198</v>
      </c>
      <c r="J1635" s="16" t="s">
        <v>199</v>
      </c>
      <c r="K1635" s="16">
        <v>2.823404</v>
      </c>
      <c r="L1635" s="36">
        <v>1580</v>
      </c>
      <c r="M1635" s="16">
        <v>417</v>
      </c>
      <c r="N1635" s="16">
        <v>307</v>
      </c>
      <c r="O1635" s="16">
        <v>300</v>
      </c>
      <c r="P1635" s="16">
        <v>386</v>
      </c>
      <c r="Q1635" s="16">
        <v>170</v>
      </c>
      <c r="R1635" s="16">
        <v>2</v>
      </c>
      <c r="S1635" s="16">
        <v>24.3521</v>
      </c>
      <c r="T1635" s="16">
        <v>0</v>
      </c>
      <c r="U1635" s="16">
        <v>1.0045042829999999</v>
      </c>
      <c r="V1635" s="16">
        <v>2</v>
      </c>
      <c r="W1635" s="16">
        <v>0.91021300000000005</v>
      </c>
      <c r="X1635" s="16">
        <v>0.14854800000000001</v>
      </c>
      <c r="Y1635" s="16">
        <v>0.8</v>
      </c>
      <c r="Z1635" s="16">
        <v>0.98017200000000004</v>
      </c>
      <c r="AA1635" s="37"/>
    </row>
    <row r="1636" spans="1:27">
      <c r="A1636" s="16" t="s">
        <v>89</v>
      </c>
      <c r="B1636" s="16" t="s">
        <v>5363</v>
      </c>
      <c r="C1636" s="16" t="s">
        <v>5364</v>
      </c>
      <c r="D1636" s="16" t="s">
        <v>5365</v>
      </c>
      <c r="E1636" s="16" t="s">
        <v>5358</v>
      </c>
      <c r="F1636" s="16" t="s">
        <v>5359</v>
      </c>
      <c r="G1636" s="16" t="s">
        <v>5072</v>
      </c>
      <c r="H1636" s="16" t="s">
        <v>5073</v>
      </c>
      <c r="I1636" s="16" t="s">
        <v>198</v>
      </c>
      <c r="J1636" s="16" t="s">
        <v>199</v>
      </c>
      <c r="K1636" s="16">
        <v>3.017007</v>
      </c>
      <c r="L1636" s="36">
        <v>1555</v>
      </c>
      <c r="M1636" s="16">
        <v>380</v>
      </c>
      <c r="N1636" s="16">
        <v>305</v>
      </c>
      <c r="O1636" s="16">
        <v>354</v>
      </c>
      <c r="P1636" s="16">
        <v>392</v>
      </c>
      <c r="Q1636" s="16">
        <v>124</v>
      </c>
      <c r="R1636" s="16">
        <v>2</v>
      </c>
      <c r="S1636" s="16">
        <v>7.5061900000000001</v>
      </c>
      <c r="T1636" s="16">
        <v>3.8776700000000002</v>
      </c>
      <c r="U1636" s="16">
        <v>0.89211561399999995</v>
      </c>
      <c r="V1636" s="16">
        <v>2</v>
      </c>
      <c r="W1636" s="16">
        <v>0.94081599999999999</v>
      </c>
      <c r="X1636" s="16">
        <v>0.32777800000000001</v>
      </c>
      <c r="Y1636" s="16">
        <v>0.8</v>
      </c>
      <c r="Z1636" s="16">
        <v>0.97379300000000002</v>
      </c>
      <c r="AA1636" s="37"/>
    </row>
    <row r="1637" spans="1:27">
      <c r="A1637" s="16" t="s">
        <v>89</v>
      </c>
      <c r="B1637" s="16" t="s">
        <v>5366</v>
      </c>
      <c r="C1637" s="16" t="s">
        <v>5367</v>
      </c>
      <c r="D1637" s="16" t="s">
        <v>5368</v>
      </c>
      <c r="E1637" s="16" t="s">
        <v>5369</v>
      </c>
      <c r="F1637" s="16" t="s">
        <v>5370</v>
      </c>
      <c r="G1637" s="16" t="s">
        <v>5072</v>
      </c>
      <c r="H1637" s="16" t="s">
        <v>5073</v>
      </c>
      <c r="I1637" s="16" t="s">
        <v>198</v>
      </c>
      <c r="J1637" s="16" t="s">
        <v>199</v>
      </c>
      <c r="K1637" s="16">
        <v>2.5353569999999999</v>
      </c>
      <c r="L1637" s="36">
        <v>1850</v>
      </c>
      <c r="M1637" s="16">
        <v>432</v>
      </c>
      <c r="N1637" s="16">
        <v>411</v>
      </c>
      <c r="O1637" s="16">
        <v>377</v>
      </c>
      <c r="P1637" s="16">
        <v>410</v>
      </c>
      <c r="Q1637" s="16">
        <v>220</v>
      </c>
      <c r="R1637" s="16">
        <v>2</v>
      </c>
      <c r="S1637" s="16">
        <v>25.932600000000001</v>
      </c>
      <c r="T1637" s="16">
        <v>2.1597499999999998</v>
      </c>
      <c r="U1637" s="16">
        <v>1.0960935469999999</v>
      </c>
      <c r="V1637" s="16">
        <v>2</v>
      </c>
      <c r="W1637" s="16">
        <v>0.926786</v>
      </c>
      <c r="X1637" s="16">
        <v>0.203957</v>
      </c>
      <c r="Y1637" s="16">
        <v>0.8</v>
      </c>
      <c r="Z1637" s="16">
        <v>0.62007199999999996</v>
      </c>
      <c r="AA1637" s="37"/>
    </row>
    <row r="1638" spans="1:27">
      <c r="A1638" s="16"/>
      <c r="B1638" s="16"/>
      <c r="C1638" s="16"/>
      <c r="D1638" s="16"/>
      <c r="E1638" s="16"/>
      <c r="F1638" s="16"/>
      <c r="G1638" s="16"/>
      <c r="H1638" s="16"/>
      <c r="I1638" s="16"/>
      <c r="J1638" s="16"/>
      <c r="K1638" s="16">
        <f>MEDIAN(K1623:K1637)</f>
        <v>2.597696</v>
      </c>
      <c r="L1638" s="36">
        <f>AVERAGE(L1623:L1637)</f>
        <v>2105.4666666666667</v>
      </c>
      <c r="M1638" s="16">
        <f t="shared" ref="M1638:Q1638" si="147">SUM(M1623:M1637)</f>
        <v>6036</v>
      </c>
      <c r="N1638" s="16">
        <f t="shared" si="147"/>
        <v>8394</v>
      </c>
      <c r="O1638" s="16">
        <f t="shared" si="147"/>
        <v>7657</v>
      </c>
      <c r="P1638" s="16">
        <f t="shared" si="147"/>
        <v>6423</v>
      </c>
      <c r="Q1638" s="16">
        <f t="shared" si="147"/>
        <v>3072</v>
      </c>
      <c r="R1638" s="16"/>
      <c r="S1638" s="16">
        <f t="shared" ref="S1638:U1638" si="148">MIN(S1623:S1637)</f>
        <v>7.31881</v>
      </c>
      <c r="T1638" s="16">
        <f t="shared" si="148"/>
        <v>0</v>
      </c>
      <c r="U1638" s="16">
        <f t="shared" si="148"/>
        <v>0.60539165699999997</v>
      </c>
      <c r="V1638" s="16">
        <f>MEDIAN(V1623:V1637)</f>
        <v>3</v>
      </c>
      <c r="W1638" s="16"/>
      <c r="X1638" s="16"/>
      <c r="Y1638" s="16"/>
      <c r="Z1638" s="16"/>
      <c r="AA1638" s="37"/>
    </row>
    <row r="1639" spans="1:27">
      <c r="A1639" s="16" t="s">
        <v>56</v>
      </c>
      <c r="B1639" s="16" t="s">
        <v>5371</v>
      </c>
      <c r="C1639" s="16" t="s">
        <v>5372</v>
      </c>
      <c r="D1639" s="16" t="s">
        <v>5373</v>
      </c>
      <c r="E1639" s="16" t="s">
        <v>5374</v>
      </c>
      <c r="F1639" s="16" t="s">
        <v>5375</v>
      </c>
      <c r="G1639" s="16" t="s">
        <v>1049</v>
      </c>
      <c r="H1639" s="16" t="s">
        <v>1050</v>
      </c>
      <c r="I1639" s="16" t="s">
        <v>198</v>
      </c>
      <c r="J1639" s="16" t="s">
        <v>199</v>
      </c>
      <c r="K1639" s="16">
        <v>2.6707860000000001</v>
      </c>
      <c r="L1639" s="36">
        <v>1278</v>
      </c>
      <c r="M1639" s="16">
        <v>186</v>
      </c>
      <c r="N1639" s="16">
        <v>178</v>
      </c>
      <c r="O1639" s="16">
        <v>347</v>
      </c>
      <c r="P1639" s="16">
        <v>387</v>
      </c>
      <c r="Q1639" s="16">
        <v>180</v>
      </c>
      <c r="R1639" s="16">
        <v>4</v>
      </c>
      <c r="S1639" s="16">
        <v>18.693999999999999</v>
      </c>
      <c r="T1639" s="16">
        <v>17.507999999999999</v>
      </c>
      <c r="U1639" s="16">
        <v>0.88730681099999997</v>
      </c>
      <c r="V1639" s="16">
        <v>2</v>
      </c>
      <c r="W1639" s="16">
        <v>0.911798</v>
      </c>
      <c r="X1639" s="16">
        <v>1.093E-3</v>
      </c>
      <c r="Y1639" s="16">
        <v>0.8</v>
      </c>
      <c r="Z1639" s="16">
        <v>0.95801099999999995</v>
      </c>
      <c r="AA1639" s="37"/>
    </row>
    <row r="1640" spans="1:27">
      <c r="A1640" s="16" t="s">
        <v>56</v>
      </c>
      <c r="B1640" s="16" t="s">
        <v>5376</v>
      </c>
      <c r="C1640" s="16" t="s">
        <v>5377</v>
      </c>
      <c r="D1640" s="16" t="s">
        <v>5378</v>
      </c>
      <c r="E1640" s="16" t="s">
        <v>5374</v>
      </c>
      <c r="F1640" s="16" t="s">
        <v>5375</v>
      </c>
      <c r="G1640" s="16" t="s">
        <v>1049</v>
      </c>
      <c r="H1640" s="16" t="s">
        <v>1050</v>
      </c>
      <c r="I1640" s="16" t="s">
        <v>198</v>
      </c>
      <c r="J1640" s="16" t="s">
        <v>199</v>
      </c>
      <c r="K1640" s="16">
        <v>2.7385540000000002</v>
      </c>
      <c r="L1640" s="36">
        <v>1642</v>
      </c>
      <c r="M1640" s="16">
        <v>229</v>
      </c>
      <c r="N1640" s="16">
        <v>231</v>
      </c>
      <c r="O1640" s="16">
        <v>437</v>
      </c>
      <c r="P1640" s="16">
        <v>445</v>
      </c>
      <c r="Q1640" s="16">
        <v>300</v>
      </c>
      <c r="R1640" s="16">
        <v>4</v>
      </c>
      <c r="S1640" s="16">
        <v>19.283000000000001</v>
      </c>
      <c r="T1640" s="16">
        <v>15.1006</v>
      </c>
      <c r="U1640" s="16">
        <v>0.90076840000000002</v>
      </c>
      <c r="V1640" s="16">
        <v>2</v>
      </c>
      <c r="W1640" s="16">
        <v>0.918072</v>
      </c>
      <c r="X1640" s="16">
        <v>0.14916699999999999</v>
      </c>
      <c r="Y1640" s="16">
        <v>0.8</v>
      </c>
      <c r="Z1640" s="16">
        <v>0.9</v>
      </c>
      <c r="AA1640" s="37"/>
    </row>
    <row r="1641" spans="1:27">
      <c r="A1641" s="16" t="s">
        <v>56</v>
      </c>
      <c r="B1641" s="16" t="s">
        <v>5379</v>
      </c>
      <c r="C1641" s="16" t="s">
        <v>5380</v>
      </c>
      <c r="D1641" s="16" t="s">
        <v>5381</v>
      </c>
      <c r="E1641" s="16" t="s">
        <v>5374</v>
      </c>
      <c r="F1641" s="16" t="s">
        <v>5375</v>
      </c>
      <c r="G1641" s="16" t="s">
        <v>1049</v>
      </c>
      <c r="H1641" s="16" t="s">
        <v>1050</v>
      </c>
      <c r="I1641" s="16" t="s">
        <v>198</v>
      </c>
      <c r="J1641" s="16" t="s">
        <v>199</v>
      </c>
      <c r="K1641" s="16">
        <v>2.7052170000000002</v>
      </c>
      <c r="L1641" s="36">
        <v>1745</v>
      </c>
      <c r="M1641" s="16">
        <v>306</v>
      </c>
      <c r="N1641" s="16">
        <v>272</v>
      </c>
      <c r="O1641" s="16">
        <v>439</v>
      </c>
      <c r="P1641" s="16">
        <v>482</v>
      </c>
      <c r="Q1641" s="16">
        <v>246</v>
      </c>
      <c r="R1641" s="16">
        <v>4</v>
      </c>
      <c r="S1641" s="16">
        <v>23.8171</v>
      </c>
      <c r="T1641" s="16">
        <v>16.440000000000001</v>
      </c>
      <c r="U1641" s="16">
        <v>0.93027014600000002</v>
      </c>
      <c r="V1641" s="16">
        <v>2</v>
      </c>
      <c r="W1641" s="16">
        <v>0.92260900000000001</v>
      </c>
      <c r="X1641" s="16">
        <v>0.126801</v>
      </c>
      <c r="Y1641" s="16">
        <v>0.8</v>
      </c>
      <c r="Z1641" s="16">
        <v>0.88226700000000002</v>
      </c>
      <c r="AA1641" s="37"/>
    </row>
    <row r="1642" spans="1:27">
      <c r="A1642" s="16" t="s">
        <v>56</v>
      </c>
      <c r="B1642" s="16" t="s">
        <v>5382</v>
      </c>
      <c r="C1642" s="16" t="s">
        <v>5383</v>
      </c>
      <c r="D1642" s="16" t="s">
        <v>5384</v>
      </c>
      <c r="E1642" s="16" t="s">
        <v>5385</v>
      </c>
      <c r="F1642" s="16" t="s">
        <v>5386</v>
      </c>
      <c r="G1642" s="16" t="s">
        <v>1049</v>
      </c>
      <c r="H1642" s="16" t="s">
        <v>1050</v>
      </c>
      <c r="I1642" s="16" t="s">
        <v>198</v>
      </c>
      <c r="J1642" s="16" t="s">
        <v>199</v>
      </c>
      <c r="K1642" s="16">
        <v>3.036591</v>
      </c>
      <c r="L1642" s="36">
        <v>1025</v>
      </c>
      <c r="M1642" s="16">
        <v>209</v>
      </c>
      <c r="N1642" s="16">
        <v>155</v>
      </c>
      <c r="O1642" s="16">
        <v>204</v>
      </c>
      <c r="P1642" s="16">
        <v>271</v>
      </c>
      <c r="Q1642" s="16">
        <v>186</v>
      </c>
      <c r="R1642" s="16">
        <v>4</v>
      </c>
      <c r="S1642" s="16">
        <v>24.485600000000002</v>
      </c>
      <c r="T1642" s="16">
        <v>10.240500000000001</v>
      </c>
      <c r="U1642" s="16">
        <v>0.89206267900000003</v>
      </c>
      <c r="V1642" s="16">
        <v>1</v>
      </c>
      <c r="W1642" s="16">
        <v>0.96516299999999999</v>
      </c>
      <c r="X1642" s="16">
        <v>0.37889400000000001</v>
      </c>
      <c r="Y1642" s="16">
        <v>0.8</v>
      </c>
      <c r="Z1642" s="16">
        <v>0.89898699999999998</v>
      </c>
      <c r="AA1642" s="37"/>
    </row>
    <row r="1643" spans="1:27">
      <c r="A1643" s="16" t="s">
        <v>56</v>
      </c>
      <c r="B1643" s="16" t="s">
        <v>5387</v>
      </c>
      <c r="C1643" s="16" t="s">
        <v>5388</v>
      </c>
      <c r="D1643" s="16" t="s">
        <v>5389</v>
      </c>
      <c r="E1643" s="16" t="s">
        <v>5385</v>
      </c>
      <c r="F1643" s="16" t="s">
        <v>5386</v>
      </c>
      <c r="G1643" s="16" t="s">
        <v>1049</v>
      </c>
      <c r="H1643" s="16" t="s">
        <v>1050</v>
      </c>
      <c r="I1643" s="16" t="s">
        <v>198</v>
      </c>
      <c r="J1643" s="16" t="s">
        <v>199</v>
      </c>
      <c r="K1643" s="16">
        <v>2.8018070000000002</v>
      </c>
      <c r="L1643" s="36">
        <v>1545</v>
      </c>
      <c r="M1643" s="16">
        <v>286</v>
      </c>
      <c r="N1643" s="16">
        <v>227</v>
      </c>
      <c r="O1643" s="16">
        <v>361</v>
      </c>
      <c r="P1643" s="16">
        <v>451</v>
      </c>
      <c r="Q1643" s="16">
        <v>220</v>
      </c>
      <c r="R1643" s="16">
        <v>3</v>
      </c>
      <c r="S1643" s="16">
        <v>17.2226</v>
      </c>
      <c r="T1643" s="16">
        <v>6.1288799999999997</v>
      </c>
      <c r="U1643" s="16">
        <v>1.0445893900000001</v>
      </c>
      <c r="V1643" s="16">
        <v>1</v>
      </c>
      <c r="W1643" s="16">
        <v>0.91505999999999998</v>
      </c>
      <c r="X1643" s="16">
        <v>0.178116</v>
      </c>
      <c r="Y1643" s="16">
        <v>0.8</v>
      </c>
      <c r="Z1643" s="16">
        <v>0.89877700000000005</v>
      </c>
      <c r="AA1643" s="37"/>
    </row>
    <row r="1644" spans="1:27">
      <c r="A1644" s="16" t="s">
        <v>56</v>
      </c>
      <c r="B1644" s="16" t="s">
        <v>5390</v>
      </c>
      <c r="C1644" s="16" t="s">
        <v>5391</v>
      </c>
      <c r="D1644" s="16" t="s">
        <v>5392</v>
      </c>
      <c r="E1644" s="16" t="s">
        <v>5374</v>
      </c>
      <c r="F1644" s="16" t="s">
        <v>5375</v>
      </c>
      <c r="G1644" s="16" t="s">
        <v>1049</v>
      </c>
      <c r="H1644" s="16" t="s">
        <v>1050</v>
      </c>
      <c r="I1644" s="16" t="s">
        <v>198</v>
      </c>
      <c r="J1644" s="16" t="s">
        <v>199</v>
      </c>
      <c r="K1644" s="16">
        <v>2.8972440000000002</v>
      </c>
      <c r="L1644" s="36">
        <v>1588</v>
      </c>
      <c r="M1644" s="16">
        <v>227</v>
      </c>
      <c r="N1644" s="16">
        <v>298</v>
      </c>
      <c r="O1644" s="16">
        <v>457</v>
      </c>
      <c r="P1644" s="16">
        <v>430</v>
      </c>
      <c r="Q1644" s="16">
        <v>176</v>
      </c>
      <c r="R1644" s="16">
        <v>4</v>
      </c>
      <c r="S1644" s="16">
        <v>23.511199999999999</v>
      </c>
      <c r="T1644" s="16">
        <v>15.4679</v>
      </c>
      <c r="U1644" s="16">
        <v>0.817967365</v>
      </c>
      <c r="V1644" s="16">
        <v>2</v>
      </c>
      <c r="W1644" s="16">
        <v>0.92401599999999995</v>
      </c>
      <c r="X1644" s="16">
        <v>0.29090899999999997</v>
      </c>
      <c r="Y1644" s="16">
        <v>0.8</v>
      </c>
      <c r="Z1644" s="16">
        <v>0.86496099999999998</v>
      </c>
      <c r="AA1644" s="37"/>
    </row>
    <row r="1645" spans="1:27">
      <c r="A1645" s="16" t="s">
        <v>56</v>
      </c>
      <c r="B1645" s="16" t="s">
        <v>5393</v>
      </c>
      <c r="C1645" s="16" t="s">
        <v>5394</v>
      </c>
      <c r="D1645" s="16" t="s">
        <v>5395</v>
      </c>
      <c r="E1645" s="16" t="s">
        <v>5396</v>
      </c>
      <c r="F1645" s="16" t="s">
        <v>5397</v>
      </c>
      <c r="G1645" s="16" t="s">
        <v>1049</v>
      </c>
      <c r="H1645" s="16" t="s">
        <v>1050</v>
      </c>
      <c r="I1645" s="16" t="s">
        <v>198</v>
      </c>
      <c r="J1645" s="16" t="s">
        <v>199</v>
      </c>
      <c r="K1645" s="16">
        <v>2.6073770000000001</v>
      </c>
      <c r="L1645" s="36">
        <v>1286</v>
      </c>
      <c r="M1645" s="16">
        <v>205</v>
      </c>
      <c r="N1645" s="16">
        <v>267</v>
      </c>
      <c r="O1645" s="16">
        <v>322</v>
      </c>
      <c r="P1645" s="16">
        <v>333</v>
      </c>
      <c r="Q1645" s="16">
        <v>159</v>
      </c>
      <c r="R1645" s="16">
        <v>5</v>
      </c>
      <c r="S1645" s="16">
        <v>27.772500000000001</v>
      </c>
      <c r="T1645" s="16">
        <v>15.6318</v>
      </c>
      <c r="U1645" s="16">
        <v>0.71617080399999999</v>
      </c>
      <c r="V1645" s="16">
        <v>5</v>
      </c>
      <c r="W1645" s="16">
        <v>0.90860700000000005</v>
      </c>
      <c r="X1645" s="16">
        <v>1.619E-3</v>
      </c>
      <c r="Y1645" s="16">
        <v>0.8</v>
      </c>
      <c r="Z1645" s="16">
        <v>0.89637100000000003</v>
      </c>
      <c r="AA1645" s="37"/>
    </row>
    <row r="1646" spans="1:27">
      <c r="A1646" s="16" t="s">
        <v>56</v>
      </c>
      <c r="B1646" s="16" t="s">
        <v>5398</v>
      </c>
      <c r="C1646" s="16" t="s">
        <v>5399</v>
      </c>
      <c r="D1646" s="16" t="s">
        <v>5400</v>
      </c>
      <c r="E1646" s="16" t="s">
        <v>5401</v>
      </c>
      <c r="F1646" s="16" t="s">
        <v>5402</v>
      </c>
      <c r="G1646" s="16" t="s">
        <v>1049</v>
      </c>
      <c r="H1646" s="16" t="s">
        <v>1050</v>
      </c>
      <c r="I1646" s="16" t="s">
        <v>198</v>
      </c>
      <c r="J1646" s="16" t="s">
        <v>199</v>
      </c>
      <c r="K1646" s="16">
        <v>2.552406</v>
      </c>
      <c r="L1646" s="36">
        <v>1635</v>
      </c>
      <c r="M1646" s="16">
        <v>349</v>
      </c>
      <c r="N1646" s="16">
        <v>197</v>
      </c>
      <c r="O1646" s="16">
        <v>363</v>
      </c>
      <c r="P1646" s="16">
        <v>429</v>
      </c>
      <c r="Q1646" s="16">
        <v>297</v>
      </c>
      <c r="R1646" s="16">
        <v>2</v>
      </c>
      <c r="S1646" s="16">
        <v>13.6967</v>
      </c>
      <c r="T1646" s="16">
        <v>6.4485099999999997</v>
      </c>
      <c r="U1646" s="16">
        <v>0.76884624599999996</v>
      </c>
      <c r="V1646" s="16">
        <v>5</v>
      </c>
      <c r="W1646" s="16">
        <v>0.90508</v>
      </c>
      <c r="X1646" s="16">
        <v>3.4853000000000002E-2</v>
      </c>
      <c r="Y1646" s="16">
        <v>0.8</v>
      </c>
      <c r="Z1646" s="16">
        <v>0.80848799999999998</v>
      </c>
      <c r="AA1646" s="37"/>
    </row>
    <row r="1647" spans="1:27">
      <c r="A1647" s="16" t="s">
        <v>56</v>
      </c>
      <c r="B1647" s="16" t="s">
        <v>5403</v>
      </c>
      <c r="C1647" s="16" t="s">
        <v>5404</v>
      </c>
      <c r="D1647" s="16" t="s">
        <v>5405</v>
      </c>
      <c r="E1647" s="16" t="s">
        <v>5401</v>
      </c>
      <c r="F1647" s="16" t="s">
        <v>5402</v>
      </c>
      <c r="G1647" s="16" t="s">
        <v>1049</v>
      </c>
      <c r="H1647" s="16" t="s">
        <v>1050</v>
      </c>
      <c r="I1647" s="16" t="s">
        <v>198</v>
      </c>
      <c r="J1647" s="16" t="s">
        <v>199</v>
      </c>
      <c r="K1647" s="16">
        <v>3.0918649999999999</v>
      </c>
      <c r="L1647" s="36">
        <v>1616</v>
      </c>
      <c r="M1647" s="16">
        <v>401</v>
      </c>
      <c r="N1647" s="16">
        <v>249</v>
      </c>
      <c r="O1647" s="16">
        <v>305</v>
      </c>
      <c r="P1647" s="16">
        <v>475</v>
      </c>
      <c r="Q1647" s="16">
        <v>186</v>
      </c>
      <c r="R1647" s="16">
        <v>3</v>
      </c>
      <c r="S1647" s="16">
        <v>17.519600000000001</v>
      </c>
      <c r="T1647" s="16">
        <v>6.9348900000000002</v>
      </c>
      <c r="U1647" s="16">
        <v>0.79667839100000004</v>
      </c>
      <c r="V1647" s="16">
        <v>2</v>
      </c>
      <c r="W1647" s="16">
        <v>0.93531699999999995</v>
      </c>
      <c r="X1647" s="16">
        <v>0.444882</v>
      </c>
      <c r="Y1647" s="16">
        <v>0.8</v>
      </c>
      <c r="Z1647" s="16">
        <v>0.91245100000000001</v>
      </c>
      <c r="AA1647" s="37"/>
    </row>
    <row r="1648" spans="1:27">
      <c r="A1648" s="16" t="s">
        <v>56</v>
      </c>
      <c r="B1648" s="16" t="s">
        <v>5406</v>
      </c>
      <c r="C1648" s="16" t="s">
        <v>5407</v>
      </c>
      <c r="D1648" s="16" t="s">
        <v>5408</v>
      </c>
      <c r="E1648" s="16" t="s">
        <v>5401</v>
      </c>
      <c r="F1648" s="16" t="s">
        <v>5402</v>
      </c>
      <c r="G1648" s="16" t="s">
        <v>1049</v>
      </c>
      <c r="H1648" s="16" t="s">
        <v>1050</v>
      </c>
      <c r="I1648" s="16" t="s">
        <v>198</v>
      </c>
      <c r="J1648" s="16" t="s">
        <v>199</v>
      </c>
      <c r="K1648" s="16">
        <v>2.8676710000000001</v>
      </c>
      <c r="L1648" s="36">
        <v>1582</v>
      </c>
      <c r="M1648" s="16">
        <v>245</v>
      </c>
      <c r="N1648" s="16">
        <v>229</v>
      </c>
      <c r="O1648" s="16">
        <v>452</v>
      </c>
      <c r="P1648" s="16">
        <v>403</v>
      </c>
      <c r="Q1648" s="16">
        <v>253</v>
      </c>
      <c r="R1648" s="16">
        <v>4</v>
      </c>
      <c r="S1648" s="16">
        <v>24.351299999999998</v>
      </c>
      <c r="T1648" s="16">
        <v>15.8216</v>
      </c>
      <c r="U1648" s="16">
        <v>0.74680210199999997</v>
      </c>
      <c r="V1648" s="16">
        <v>2</v>
      </c>
      <c r="W1648" s="16">
        <v>0.91917800000000005</v>
      </c>
      <c r="X1648" s="16">
        <v>0.34520499999999998</v>
      </c>
      <c r="Y1648" s="16">
        <v>0.8</v>
      </c>
      <c r="Z1648" s="16">
        <v>0.80246600000000001</v>
      </c>
      <c r="AA1648" s="37"/>
    </row>
    <row r="1649" spans="1:27">
      <c r="A1649" s="16" t="s">
        <v>56</v>
      </c>
      <c r="B1649" s="16" t="s">
        <v>5409</v>
      </c>
      <c r="C1649" s="16" t="s">
        <v>5410</v>
      </c>
      <c r="D1649" s="16" t="s">
        <v>5411</v>
      </c>
      <c r="E1649" s="16" t="s">
        <v>5412</v>
      </c>
      <c r="F1649" s="16" t="s">
        <v>5413</v>
      </c>
      <c r="G1649" s="16" t="s">
        <v>1049</v>
      </c>
      <c r="H1649" s="16" t="s">
        <v>1050</v>
      </c>
      <c r="I1649" s="16" t="s">
        <v>198</v>
      </c>
      <c r="J1649" s="16" t="s">
        <v>199</v>
      </c>
      <c r="K1649" s="16">
        <v>2.6109490000000002</v>
      </c>
      <c r="L1649" s="36">
        <v>1315</v>
      </c>
      <c r="M1649" s="16">
        <v>241</v>
      </c>
      <c r="N1649" s="16">
        <v>249</v>
      </c>
      <c r="O1649" s="16">
        <v>272</v>
      </c>
      <c r="P1649" s="16">
        <v>302</v>
      </c>
      <c r="Q1649" s="16">
        <v>251</v>
      </c>
      <c r="R1649" s="16">
        <v>3</v>
      </c>
      <c r="S1649" s="16">
        <v>21.406099999999999</v>
      </c>
      <c r="T1649" s="16">
        <v>6.6901900000000003</v>
      </c>
      <c r="U1649" s="16">
        <v>1.0435924169999999</v>
      </c>
      <c r="V1649" s="16">
        <v>2</v>
      </c>
      <c r="W1649" s="16">
        <v>0.90693400000000002</v>
      </c>
      <c r="X1649" s="16">
        <v>3.6981E-2</v>
      </c>
      <c r="Y1649" s="16">
        <v>0.8</v>
      </c>
      <c r="Z1649" s="16">
        <v>0.87026000000000003</v>
      </c>
      <c r="AA1649" s="37"/>
    </row>
    <row r="1650" spans="1:27">
      <c r="A1650" s="16" t="s">
        <v>56</v>
      </c>
      <c r="B1650" s="16" t="s">
        <v>5414</v>
      </c>
      <c r="C1650" s="16" t="s">
        <v>5415</v>
      </c>
      <c r="D1650" s="16" t="s">
        <v>5416</v>
      </c>
      <c r="E1650" s="16" t="s">
        <v>5412</v>
      </c>
      <c r="F1650" s="16" t="s">
        <v>5413</v>
      </c>
      <c r="G1650" s="16" t="s">
        <v>1049</v>
      </c>
      <c r="H1650" s="16" t="s">
        <v>1050</v>
      </c>
      <c r="I1650" s="16" t="s">
        <v>198</v>
      </c>
      <c r="J1650" s="16" t="s">
        <v>199</v>
      </c>
      <c r="K1650" s="16">
        <v>2.8666670000000001</v>
      </c>
      <c r="L1650" s="36">
        <v>1022</v>
      </c>
      <c r="M1650" s="16">
        <v>242</v>
      </c>
      <c r="N1650" s="16">
        <v>153</v>
      </c>
      <c r="O1650" s="16">
        <v>198</v>
      </c>
      <c r="P1650" s="16">
        <v>274</v>
      </c>
      <c r="Q1650" s="16">
        <v>155</v>
      </c>
      <c r="R1650" s="16">
        <v>3</v>
      </c>
      <c r="S1650" s="16">
        <v>15.350300000000001</v>
      </c>
      <c r="T1650" s="16">
        <v>8.7428299999999997</v>
      </c>
      <c r="U1650" s="16">
        <v>0.95831952399999998</v>
      </c>
      <c r="V1650" s="16">
        <v>1</v>
      </c>
      <c r="W1650" s="16">
        <v>0.91741300000000003</v>
      </c>
      <c r="X1650" s="16">
        <v>0.24299999999999999</v>
      </c>
      <c r="Y1650" s="16">
        <v>0.8</v>
      </c>
      <c r="Z1650" s="16">
        <v>0.91822700000000002</v>
      </c>
      <c r="AA1650" s="37"/>
    </row>
    <row r="1651" spans="1:27">
      <c r="A1651" s="16" t="s">
        <v>56</v>
      </c>
      <c r="B1651" s="16" t="s">
        <v>5417</v>
      </c>
      <c r="C1651" s="16" t="s">
        <v>5418</v>
      </c>
      <c r="D1651" s="16" t="s">
        <v>5419</v>
      </c>
      <c r="E1651" s="16" t="s">
        <v>5401</v>
      </c>
      <c r="F1651" s="16" t="s">
        <v>5402</v>
      </c>
      <c r="G1651" s="16" t="s">
        <v>1049</v>
      </c>
      <c r="H1651" s="16" t="s">
        <v>1050</v>
      </c>
      <c r="I1651" s="16" t="s">
        <v>198</v>
      </c>
      <c r="J1651" s="16" t="s">
        <v>199</v>
      </c>
      <c r="K1651" s="16">
        <v>2.5238100000000001</v>
      </c>
      <c r="L1651" s="36">
        <v>1938</v>
      </c>
      <c r="M1651" s="16">
        <v>324</v>
      </c>
      <c r="N1651" s="16">
        <v>252</v>
      </c>
      <c r="O1651" s="16">
        <v>583</v>
      </c>
      <c r="P1651" s="16">
        <v>519</v>
      </c>
      <c r="Q1651" s="16">
        <v>260</v>
      </c>
      <c r="R1651" s="16">
        <v>4</v>
      </c>
      <c r="S1651" s="16">
        <v>22.452000000000002</v>
      </c>
      <c r="T1651" s="16">
        <v>16.607299999999999</v>
      </c>
      <c r="U1651" s="16">
        <v>0.88966620299999999</v>
      </c>
      <c r="V1651" s="16">
        <v>3</v>
      </c>
      <c r="W1651" s="16">
        <v>0.91700700000000002</v>
      </c>
      <c r="X1651" s="16">
        <v>2.2896E-2</v>
      </c>
      <c r="Y1651" s="16">
        <v>0.8</v>
      </c>
      <c r="Z1651" s="16">
        <v>0.778451</v>
      </c>
      <c r="AA1651" s="37"/>
    </row>
    <row r="1652" spans="1:27">
      <c r="A1652" s="16" t="s">
        <v>56</v>
      </c>
      <c r="B1652" s="16" t="s">
        <v>5420</v>
      </c>
      <c r="C1652" s="16" t="s">
        <v>5421</v>
      </c>
      <c r="D1652" s="16" t="s">
        <v>5422</v>
      </c>
      <c r="E1652" s="16" t="s">
        <v>5423</v>
      </c>
      <c r="F1652" s="16" t="s">
        <v>5424</v>
      </c>
      <c r="G1652" s="16" t="s">
        <v>383</v>
      </c>
      <c r="H1652" s="16" t="s">
        <v>384</v>
      </c>
      <c r="I1652" s="16" t="s">
        <v>198</v>
      </c>
      <c r="J1652" s="16" t="s">
        <v>199</v>
      </c>
      <c r="K1652" s="16">
        <v>2.9928089999999998</v>
      </c>
      <c r="L1652" s="36">
        <v>2439</v>
      </c>
      <c r="M1652" s="16">
        <v>376</v>
      </c>
      <c r="N1652" s="16">
        <v>427</v>
      </c>
      <c r="O1652" s="16">
        <v>795</v>
      </c>
      <c r="P1652" s="16">
        <v>574</v>
      </c>
      <c r="Q1652" s="16">
        <v>267</v>
      </c>
      <c r="R1652" s="16" t="s">
        <v>302</v>
      </c>
      <c r="S1652" s="16">
        <v>43.774099999999997</v>
      </c>
      <c r="T1652" s="16">
        <v>20.2301</v>
      </c>
      <c r="U1652" s="16">
        <v>0.69015839899999998</v>
      </c>
      <c r="V1652" s="16">
        <v>4</v>
      </c>
      <c r="W1652" s="16">
        <v>1</v>
      </c>
      <c r="X1652" s="16">
        <v>0.26727299999999998</v>
      </c>
      <c r="Y1652" s="16">
        <v>0.72095699999999996</v>
      </c>
      <c r="Z1652" s="16">
        <v>1</v>
      </c>
      <c r="AA1652" s="37"/>
    </row>
    <row r="1653" spans="1:27">
      <c r="A1653" s="16" t="s">
        <v>56</v>
      </c>
      <c r="B1653" s="16" t="s">
        <v>5425</v>
      </c>
      <c r="C1653" s="16" t="s">
        <v>5426</v>
      </c>
      <c r="D1653" s="16" t="s">
        <v>5427</v>
      </c>
      <c r="E1653" s="16" t="s">
        <v>5428</v>
      </c>
      <c r="F1653" s="16" t="s">
        <v>5429</v>
      </c>
      <c r="G1653" s="16" t="s">
        <v>383</v>
      </c>
      <c r="H1653" s="16" t="s">
        <v>384</v>
      </c>
      <c r="I1653" s="16" t="s">
        <v>198</v>
      </c>
      <c r="J1653" s="16" t="s">
        <v>199</v>
      </c>
      <c r="K1653" s="16">
        <v>2.866409</v>
      </c>
      <c r="L1653" s="36">
        <v>2371</v>
      </c>
      <c r="M1653" s="16">
        <v>498</v>
      </c>
      <c r="N1653" s="16">
        <v>407</v>
      </c>
      <c r="O1653" s="16">
        <v>634</v>
      </c>
      <c r="P1653" s="16">
        <v>623</v>
      </c>
      <c r="Q1653" s="16">
        <v>209</v>
      </c>
      <c r="R1653" s="16">
        <v>5</v>
      </c>
      <c r="S1653" s="16">
        <v>24.6722</v>
      </c>
      <c r="T1653" s="16">
        <v>17.959199999999999</v>
      </c>
      <c r="U1653" s="16">
        <v>0.88613852100000001</v>
      </c>
      <c r="V1653" s="16">
        <v>3</v>
      </c>
      <c r="W1653" s="16">
        <v>0.93667999999999996</v>
      </c>
      <c r="X1653" s="16">
        <v>0.23657600000000001</v>
      </c>
      <c r="Y1653" s="16">
        <v>0.8</v>
      </c>
      <c r="Z1653" s="16">
        <v>0.88740200000000002</v>
      </c>
      <c r="AA1653" s="37"/>
    </row>
    <row r="1654" spans="1:27">
      <c r="A1654" s="16" t="s">
        <v>56</v>
      </c>
      <c r="B1654" s="16" t="s">
        <v>5430</v>
      </c>
      <c r="C1654" s="16" t="s">
        <v>5431</v>
      </c>
      <c r="D1654" s="16" t="s">
        <v>5432</v>
      </c>
      <c r="E1654" s="16" t="s">
        <v>5433</v>
      </c>
      <c r="F1654" s="16" t="s">
        <v>5434</v>
      </c>
      <c r="G1654" s="16" t="s">
        <v>383</v>
      </c>
      <c r="H1654" s="16" t="s">
        <v>384</v>
      </c>
      <c r="I1654" s="16" t="s">
        <v>198</v>
      </c>
      <c r="J1654" s="16" t="s">
        <v>199</v>
      </c>
      <c r="K1654" s="16">
        <v>2.973004</v>
      </c>
      <c r="L1654" s="36">
        <v>2399</v>
      </c>
      <c r="M1654" s="16">
        <v>308</v>
      </c>
      <c r="N1654" s="16">
        <v>623</v>
      </c>
      <c r="O1654" s="16">
        <v>833</v>
      </c>
      <c r="P1654" s="16">
        <v>420</v>
      </c>
      <c r="Q1654" s="16">
        <v>215</v>
      </c>
      <c r="R1654" s="16" t="s">
        <v>668</v>
      </c>
      <c r="S1654" s="16">
        <v>60.230200000000004</v>
      </c>
      <c r="T1654" s="16">
        <v>30.4985</v>
      </c>
      <c r="U1654" s="16">
        <v>0.47139557300000001</v>
      </c>
      <c r="V1654" s="16">
        <v>7</v>
      </c>
      <c r="W1654" s="16">
        <v>1</v>
      </c>
      <c r="X1654" s="16">
        <v>0.29962100000000003</v>
      </c>
      <c r="Y1654" s="16">
        <v>0.7</v>
      </c>
      <c r="Z1654" s="16">
        <v>0.98275900000000005</v>
      </c>
      <c r="AA1654" s="37"/>
    </row>
    <row r="1655" spans="1:27">
      <c r="A1655" s="16" t="s">
        <v>56</v>
      </c>
      <c r="B1655" s="16" t="s">
        <v>5435</v>
      </c>
      <c r="C1655" s="16" t="s">
        <v>5436</v>
      </c>
      <c r="D1655" s="16" t="s">
        <v>5437</v>
      </c>
      <c r="E1655" s="16" t="s">
        <v>975</v>
      </c>
      <c r="F1655" s="16" t="s">
        <v>976</v>
      </c>
      <c r="G1655" s="16" t="s">
        <v>383</v>
      </c>
      <c r="H1655" s="16" t="s">
        <v>384</v>
      </c>
      <c r="I1655" s="16" t="s">
        <v>198</v>
      </c>
      <c r="J1655" s="16" t="s">
        <v>199</v>
      </c>
      <c r="K1655" s="16">
        <v>3.2051759999999998</v>
      </c>
      <c r="L1655" s="36">
        <v>2854</v>
      </c>
      <c r="M1655" s="16">
        <v>640</v>
      </c>
      <c r="N1655" s="16">
        <v>667</v>
      </c>
      <c r="O1655" s="16">
        <v>580</v>
      </c>
      <c r="P1655" s="16">
        <v>626</v>
      </c>
      <c r="Q1655" s="16">
        <v>341</v>
      </c>
      <c r="R1655" s="16" t="s">
        <v>302</v>
      </c>
      <c r="S1655" s="16">
        <v>54.576900000000002</v>
      </c>
      <c r="T1655" s="16">
        <v>21.0245</v>
      </c>
      <c r="U1655" s="16">
        <v>0.91131779499999999</v>
      </c>
      <c r="V1655" s="16">
        <v>2</v>
      </c>
      <c r="W1655" s="16">
        <v>1</v>
      </c>
      <c r="X1655" s="16">
        <v>0.48008400000000001</v>
      </c>
      <c r="Y1655" s="16">
        <v>0.7</v>
      </c>
      <c r="Z1655" s="16">
        <v>0.99873699999999999</v>
      </c>
      <c r="AA1655" s="37"/>
    </row>
    <row r="1656" spans="1:27">
      <c r="A1656" s="16" t="s">
        <v>56</v>
      </c>
      <c r="B1656" s="16" t="s">
        <v>5438</v>
      </c>
      <c r="C1656" s="16" t="s">
        <v>5439</v>
      </c>
      <c r="D1656" s="16" t="s">
        <v>5440</v>
      </c>
      <c r="E1656" s="16" t="s">
        <v>5441</v>
      </c>
      <c r="F1656" s="16" t="s">
        <v>5442</v>
      </c>
      <c r="G1656" s="16" t="s">
        <v>383</v>
      </c>
      <c r="H1656" s="16" t="s">
        <v>384</v>
      </c>
      <c r="I1656" s="16" t="s">
        <v>198</v>
      </c>
      <c r="J1656" s="16" t="s">
        <v>199</v>
      </c>
      <c r="K1656" s="16">
        <v>2.7731089999999998</v>
      </c>
      <c r="L1656" s="36">
        <v>2715</v>
      </c>
      <c r="M1656" s="16">
        <v>572</v>
      </c>
      <c r="N1656" s="16">
        <v>378</v>
      </c>
      <c r="O1656" s="16">
        <v>673</v>
      </c>
      <c r="P1656" s="16">
        <v>742</v>
      </c>
      <c r="Q1656" s="16">
        <v>350</v>
      </c>
      <c r="R1656" s="16" t="s">
        <v>302</v>
      </c>
      <c r="S1656" s="16">
        <v>38.625799999999998</v>
      </c>
      <c r="T1656" s="16">
        <v>19.725999999999999</v>
      </c>
      <c r="U1656" s="16">
        <v>0.54213081399999996</v>
      </c>
      <c r="V1656" s="16">
        <v>8</v>
      </c>
      <c r="W1656" s="16">
        <v>1</v>
      </c>
      <c r="X1656" s="16">
        <v>0.11480899999999999</v>
      </c>
      <c r="Y1656" s="16">
        <v>0.7</v>
      </c>
      <c r="Z1656" s="16">
        <v>0.95075600000000005</v>
      </c>
      <c r="AA1656" s="37"/>
    </row>
    <row r="1657" spans="1:27">
      <c r="A1657" s="16" t="s">
        <v>56</v>
      </c>
      <c r="B1657" s="16" t="s">
        <v>5443</v>
      </c>
      <c r="C1657" s="16" t="s">
        <v>5444</v>
      </c>
      <c r="D1657" s="16" t="s">
        <v>5445</v>
      </c>
      <c r="E1657" s="16" t="s">
        <v>5446</v>
      </c>
      <c r="F1657" s="16" t="s">
        <v>5447</v>
      </c>
      <c r="G1657" s="16" t="s">
        <v>383</v>
      </c>
      <c r="H1657" s="16" t="s">
        <v>384</v>
      </c>
      <c r="I1657" s="16" t="s">
        <v>198</v>
      </c>
      <c r="J1657" s="16" t="s">
        <v>199</v>
      </c>
      <c r="K1657" s="16">
        <v>2.7094860000000001</v>
      </c>
      <c r="L1657" s="36">
        <v>1918</v>
      </c>
      <c r="M1657" s="16">
        <v>397</v>
      </c>
      <c r="N1657" s="16">
        <v>358</v>
      </c>
      <c r="O1657" s="16">
        <v>389</v>
      </c>
      <c r="P1657" s="16">
        <v>431</v>
      </c>
      <c r="Q1657" s="16">
        <v>343</v>
      </c>
      <c r="R1657" s="16">
        <v>4</v>
      </c>
      <c r="S1657" s="16">
        <v>22.470300000000002</v>
      </c>
      <c r="T1657" s="16">
        <v>13.742800000000001</v>
      </c>
      <c r="U1657" s="16">
        <v>1.336492886</v>
      </c>
      <c r="V1657" s="16">
        <v>1</v>
      </c>
      <c r="W1657" s="16">
        <v>1</v>
      </c>
      <c r="X1657" s="16">
        <v>7.8599000000000002E-2</v>
      </c>
      <c r="Y1657" s="16">
        <v>0.7</v>
      </c>
      <c r="Z1657" s="16">
        <v>0.92690799999999995</v>
      </c>
      <c r="AA1657" s="37"/>
    </row>
    <row r="1658" spans="1:27">
      <c r="A1658" s="16" t="s">
        <v>56</v>
      </c>
      <c r="B1658" s="16" t="s">
        <v>5448</v>
      </c>
      <c r="C1658" s="16" t="s">
        <v>5449</v>
      </c>
      <c r="D1658" s="16" t="s">
        <v>5450</v>
      </c>
      <c r="E1658" s="16" t="s">
        <v>5446</v>
      </c>
      <c r="F1658" s="16" t="s">
        <v>5447</v>
      </c>
      <c r="G1658" s="16" t="s">
        <v>383</v>
      </c>
      <c r="H1658" s="16" t="s">
        <v>384</v>
      </c>
      <c r="I1658" s="16" t="s">
        <v>198</v>
      </c>
      <c r="J1658" s="16" t="s">
        <v>199</v>
      </c>
      <c r="K1658" s="16">
        <v>3.055866</v>
      </c>
      <c r="L1658" s="36">
        <v>2750</v>
      </c>
      <c r="M1658" s="16">
        <v>605</v>
      </c>
      <c r="N1658" s="16">
        <v>452</v>
      </c>
      <c r="O1658" s="16">
        <v>794</v>
      </c>
      <c r="P1658" s="16">
        <v>680</v>
      </c>
      <c r="Q1658" s="16">
        <v>219</v>
      </c>
      <c r="R1658" s="16">
        <v>4</v>
      </c>
      <c r="S1658" s="16">
        <v>24.600300000000001</v>
      </c>
      <c r="T1658" s="16">
        <v>13.3819</v>
      </c>
      <c r="U1658" s="16">
        <v>0.69220291599999995</v>
      </c>
      <c r="V1658" s="16">
        <v>3</v>
      </c>
      <c r="W1658" s="16">
        <v>0.99888299999999997</v>
      </c>
      <c r="X1658" s="16">
        <v>0.385405</v>
      </c>
      <c r="Y1658" s="16">
        <v>0.72712299999999996</v>
      </c>
      <c r="Z1658" s="16">
        <v>0.95647400000000005</v>
      </c>
      <c r="AA1658" s="37"/>
    </row>
    <row r="1659" spans="1:27">
      <c r="A1659" s="16" t="s">
        <v>56</v>
      </c>
      <c r="B1659" s="16" t="s">
        <v>5451</v>
      </c>
      <c r="C1659" s="16" t="s">
        <v>5452</v>
      </c>
      <c r="D1659" s="16" t="s">
        <v>5453</v>
      </c>
      <c r="E1659" s="16" t="s">
        <v>5446</v>
      </c>
      <c r="F1659" s="16" t="s">
        <v>5447</v>
      </c>
      <c r="G1659" s="16" t="s">
        <v>383</v>
      </c>
      <c r="H1659" s="16" t="s">
        <v>384</v>
      </c>
      <c r="I1659" s="16" t="s">
        <v>198</v>
      </c>
      <c r="J1659" s="16" t="s">
        <v>199</v>
      </c>
      <c r="K1659" s="16">
        <v>3.1985990000000002</v>
      </c>
      <c r="L1659" s="36">
        <v>1839</v>
      </c>
      <c r="M1659" s="16">
        <v>436</v>
      </c>
      <c r="N1659" s="16">
        <v>397</v>
      </c>
      <c r="O1659" s="16">
        <v>417</v>
      </c>
      <c r="P1659" s="16">
        <v>415</v>
      </c>
      <c r="Q1659" s="16">
        <v>174</v>
      </c>
      <c r="R1659" s="16" t="s">
        <v>302</v>
      </c>
      <c r="S1659" s="16">
        <v>38.136200000000002</v>
      </c>
      <c r="T1659" s="16">
        <v>13.081099999999999</v>
      </c>
      <c r="U1659" s="16">
        <v>0.94134446100000002</v>
      </c>
      <c r="V1659" s="16">
        <v>2</v>
      </c>
      <c r="W1659" s="16">
        <v>1</v>
      </c>
      <c r="X1659" s="16">
        <v>0.48820200000000002</v>
      </c>
      <c r="Y1659" s="16">
        <v>0.7</v>
      </c>
      <c r="Z1659" s="16">
        <v>1</v>
      </c>
      <c r="AA1659" s="37"/>
    </row>
    <row r="1660" spans="1:27">
      <c r="A1660" s="16" t="s">
        <v>56</v>
      </c>
      <c r="B1660" s="16" t="s">
        <v>5454</v>
      </c>
      <c r="C1660" s="16" t="s">
        <v>5455</v>
      </c>
      <c r="D1660" s="16" t="s">
        <v>5456</v>
      </c>
      <c r="E1660" s="16" t="s">
        <v>5423</v>
      </c>
      <c r="F1660" s="16" t="s">
        <v>5424</v>
      </c>
      <c r="G1660" s="16" t="s">
        <v>383</v>
      </c>
      <c r="H1660" s="16" t="s">
        <v>384</v>
      </c>
      <c r="I1660" s="16" t="s">
        <v>198</v>
      </c>
      <c r="J1660" s="16" t="s">
        <v>199</v>
      </c>
      <c r="K1660" s="16">
        <v>2.7727680000000001</v>
      </c>
      <c r="L1660" s="36">
        <v>1769</v>
      </c>
      <c r="M1660" s="16">
        <v>353</v>
      </c>
      <c r="N1660" s="16">
        <v>260</v>
      </c>
      <c r="O1660" s="16">
        <v>515</v>
      </c>
      <c r="P1660" s="16">
        <v>420</v>
      </c>
      <c r="Q1660" s="16">
        <v>221</v>
      </c>
      <c r="R1660" s="16">
        <v>4</v>
      </c>
      <c r="S1660" s="16">
        <v>19.4376</v>
      </c>
      <c r="T1660" s="16">
        <v>14.0016</v>
      </c>
      <c r="U1660" s="16">
        <v>0.79097245800000004</v>
      </c>
      <c r="V1660" s="16">
        <v>4</v>
      </c>
      <c r="W1660" s="16">
        <v>0.94017899999999999</v>
      </c>
      <c r="X1660" s="16">
        <v>7.4335999999999999E-2</v>
      </c>
      <c r="Y1660" s="16">
        <v>0.77787600000000001</v>
      </c>
      <c r="Z1660" s="16">
        <v>0.99070800000000003</v>
      </c>
      <c r="AA1660" s="37"/>
    </row>
    <row r="1661" spans="1:27">
      <c r="A1661" s="16" t="s">
        <v>56</v>
      </c>
      <c r="B1661" s="16" t="s">
        <v>5457</v>
      </c>
      <c r="C1661" s="16" t="s">
        <v>5458</v>
      </c>
      <c r="D1661" s="16" t="s">
        <v>5459</v>
      </c>
      <c r="E1661" s="16" t="s">
        <v>5446</v>
      </c>
      <c r="F1661" s="16" t="s">
        <v>5447</v>
      </c>
      <c r="G1661" s="16" t="s">
        <v>383</v>
      </c>
      <c r="H1661" s="16" t="s">
        <v>384</v>
      </c>
      <c r="I1661" s="16" t="s">
        <v>198</v>
      </c>
      <c r="J1661" s="16" t="s">
        <v>199</v>
      </c>
      <c r="K1661" s="16">
        <v>3.1702539999999999</v>
      </c>
      <c r="L1661" s="36">
        <v>3042</v>
      </c>
      <c r="M1661" s="16">
        <v>803</v>
      </c>
      <c r="N1661" s="16">
        <v>560</v>
      </c>
      <c r="O1661" s="16">
        <v>700</v>
      </c>
      <c r="P1661" s="16">
        <v>711</v>
      </c>
      <c r="Q1661" s="16">
        <v>268</v>
      </c>
      <c r="R1661" s="16">
        <v>4</v>
      </c>
      <c r="S1661" s="16">
        <v>21.601400000000002</v>
      </c>
      <c r="T1661" s="16">
        <v>8.7365600000000008</v>
      </c>
      <c r="U1661" s="16">
        <v>0.99194228699999998</v>
      </c>
      <c r="V1661" s="16">
        <v>2</v>
      </c>
      <c r="W1661" s="16">
        <v>1</v>
      </c>
      <c r="X1661" s="16">
        <v>0.46365400000000001</v>
      </c>
      <c r="Y1661" s="16">
        <v>0.70398400000000005</v>
      </c>
      <c r="Z1661" s="16">
        <v>1</v>
      </c>
      <c r="AA1661" s="37"/>
    </row>
    <row r="1662" spans="1:27">
      <c r="A1662" s="16" t="s">
        <v>56</v>
      </c>
      <c r="B1662" s="16" t="s">
        <v>5460</v>
      </c>
      <c r="C1662" s="16" t="s">
        <v>5461</v>
      </c>
      <c r="D1662" s="16" t="s">
        <v>5462</v>
      </c>
      <c r="E1662" s="16" t="s">
        <v>5446</v>
      </c>
      <c r="F1662" s="16" t="s">
        <v>5447</v>
      </c>
      <c r="G1662" s="16" t="s">
        <v>383</v>
      </c>
      <c r="H1662" s="16" t="s">
        <v>384</v>
      </c>
      <c r="I1662" s="16" t="s">
        <v>198</v>
      </c>
      <c r="J1662" s="16" t="s">
        <v>199</v>
      </c>
      <c r="K1662" s="16">
        <v>3.0471910000000002</v>
      </c>
      <c r="L1662" s="36">
        <v>1385</v>
      </c>
      <c r="M1662" s="16">
        <v>307</v>
      </c>
      <c r="N1662" s="16">
        <v>263</v>
      </c>
      <c r="O1662" s="16">
        <v>345</v>
      </c>
      <c r="P1662" s="16">
        <v>283</v>
      </c>
      <c r="Q1662" s="16">
        <v>187</v>
      </c>
      <c r="R1662" s="16">
        <v>5</v>
      </c>
      <c r="S1662" s="16">
        <v>27.001100000000001</v>
      </c>
      <c r="T1662" s="16">
        <v>17.729700000000001</v>
      </c>
      <c r="U1662" s="16">
        <v>0.98843826899999998</v>
      </c>
      <c r="V1662" s="16">
        <v>2</v>
      </c>
      <c r="W1662" s="16">
        <v>0.98820200000000002</v>
      </c>
      <c r="X1662" s="16">
        <v>0.32666699999999999</v>
      </c>
      <c r="Y1662" s="16">
        <v>0.75393299999999996</v>
      </c>
      <c r="Z1662" s="16">
        <v>0.98124999999999996</v>
      </c>
      <c r="AA1662" s="37"/>
    </row>
    <row r="1663" spans="1:27">
      <c r="A1663" s="16" t="s">
        <v>56</v>
      </c>
      <c r="B1663" s="16" t="s">
        <v>5463</v>
      </c>
      <c r="C1663" s="16" t="s">
        <v>5464</v>
      </c>
      <c r="D1663" s="16" t="s">
        <v>5465</v>
      </c>
      <c r="E1663" s="16" t="s">
        <v>1025</v>
      </c>
      <c r="F1663" s="16" t="s">
        <v>1026</v>
      </c>
      <c r="G1663" s="16" t="s">
        <v>383</v>
      </c>
      <c r="H1663" s="16" t="s">
        <v>384</v>
      </c>
      <c r="I1663" s="16" t="s">
        <v>198</v>
      </c>
      <c r="J1663" s="16" t="s">
        <v>199</v>
      </c>
      <c r="K1663" s="16">
        <v>3.1992910000000001</v>
      </c>
      <c r="L1663" s="36">
        <v>2328</v>
      </c>
      <c r="M1663" s="16">
        <v>490</v>
      </c>
      <c r="N1663" s="16">
        <v>674</v>
      </c>
      <c r="O1663" s="16">
        <v>690</v>
      </c>
      <c r="P1663" s="16">
        <v>342</v>
      </c>
      <c r="Q1663" s="16">
        <v>132</v>
      </c>
      <c r="R1663" s="16" t="s">
        <v>668</v>
      </c>
      <c r="S1663" s="16">
        <v>67.110799999999998</v>
      </c>
      <c r="T1663" s="16">
        <v>41.112299999999998</v>
      </c>
      <c r="U1663" s="16">
        <v>0.59270380499999997</v>
      </c>
      <c r="V1663" s="16">
        <v>3</v>
      </c>
      <c r="W1663" s="16">
        <v>1</v>
      </c>
      <c r="X1663" s="16">
        <v>0.52653099999999997</v>
      </c>
      <c r="Y1663" s="16">
        <v>0.7</v>
      </c>
      <c r="Z1663" s="16">
        <v>1</v>
      </c>
      <c r="AA1663" s="37"/>
    </row>
    <row r="1664" spans="1:27">
      <c r="A1664" s="16" t="s">
        <v>56</v>
      </c>
      <c r="B1664" s="16" t="s">
        <v>1041</v>
      </c>
      <c r="C1664" s="16" t="s">
        <v>1042</v>
      </c>
      <c r="D1664" s="16" t="s">
        <v>1043</v>
      </c>
      <c r="E1664" s="16" t="s">
        <v>1025</v>
      </c>
      <c r="F1664" s="16" t="s">
        <v>1026</v>
      </c>
      <c r="G1664" s="16" t="s">
        <v>383</v>
      </c>
      <c r="H1664" s="16" t="s">
        <v>384</v>
      </c>
      <c r="I1664" s="16" t="s">
        <v>198</v>
      </c>
      <c r="J1664" s="16" t="s">
        <v>199</v>
      </c>
      <c r="K1664" s="16">
        <v>2.96461</v>
      </c>
      <c r="L1664" s="36">
        <v>1346</v>
      </c>
      <c r="M1664" s="16">
        <v>142</v>
      </c>
      <c r="N1664" s="16">
        <v>357</v>
      </c>
      <c r="O1664" s="16">
        <v>343</v>
      </c>
      <c r="P1664" s="16">
        <v>297</v>
      </c>
      <c r="Q1664" s="16">
        <v>207</v>
      </c>
      <c r="R1664" s="16" t="s">
        <v>668</v>
      </c>
      <c r="S1664" s="16">
        <v>76.215400000000002</v>
      </c>
      <c r="T1664" s="16">
        <v>42.8611</v>
      </c>
      <c r="U1664" s="16">
        <v>0.72315726999999996</v>
      </c>
      <c r="V1664" s="16">
        <v>3</v>
      </c>
      <c r="W1664" s="16">
        <v>1</v>
      </c>
      <c r="X1664" s="16">
        <v>0.26418199999999997</v>
      </c>
      <c r="Y1664" s="16">
        <v>0.70047800000000005</v>
      </c>
      <c r="Z1664" s="16">
        <v>1</v>
      </c>
      <c r="AA1664" s="37"/>
    </row>
    <row r="1665" spans="1:27">
      <c r="A1665" s="16" t="s">
        <v>56</v>
      </c>
      <c r="B1665" s="16" t="s">
        <v>5466</v>
      </c>
      <c r="C1665" s="16" t="s">
        <v>5467</v>
      </c>
      <c r="D1665" s="16" t="s">
        <v>5468</v>
      </c>
      <c r="E1665" s="16" t="s">
        <v>5423</v>
      </c>
      <c r="F1665" s="16" t="s">
        <v>5424</v>
      </c>
      <c r="G1665" s="16" t="s">
        <v>383</v>
      </c>
      <c r="H1665" s="16" t="s">
        <v>384</v>
      </c>
      <c r="I1665" s="16" t="s">
        <v>198</v>
      </c>
      <c r="J1665" s="16" t="s">
        <v>199</v>
      </c>
      <c r="K1665" s="16">
        <v>2.9978259999999999</v>
      </c>
      <c r="L1665" s="36">
        <v>1194</v>
      </c>
      <c r="M1665" s="16">
        <v>161</v>
      </c>
      <c r="N1665" s="16">
        <v>216</v>
      </c>
      <c r="O1665" s="16">
        <v>526</v>
      </c>
      <c r="P1665" s="16">
        <v>210</v>
      </c>
      <c r="Q1665" s="16">
        <v>81</v>
      </c>
      <c r="R1665" s="16">
        <v>5</v>
      </c>
      <c r="S1665" s="16">
        <v>21.515899999999998</v>
      </c>
      <c r="T1665" s="16">
        <v>21.515899999999998</v>
      </c>
      <c r="U1665" s="16">
        <v>0.55113582299999997</v>
      </c>
      <c r="V1665" s="16">
        <v>7</v>
      </c>
      <c r="W1665" s="16">
        <v>1</v>
      </c>
      <c r="X1665" s="16">
        <v>0.27912100000000001</v>
      </c>
      <c r="Y1665" s="16">
        <v>0.73118300000000003</v>
      </c>
      <c r="Z1665" s="16">
        <v>1</v>
      </c>
      <c r="AA1665" s="37"/>
    </row>
    <row r="1666" spans="1:27">
      <c r="A1666" s="16" t="s">
        <v>56</v>
      </c>
      <c r="B1666" s="16" t="s">
        <v>5469</v>
      </c>
      <c r="C1666" s="16" t="s">
        <v>5470</v>
      </c>
      <c r="D1666" s="16" t="s">
        <v>5471</v>
      </c>
      <c r="E1666" s="16" t="s">
        <v>5423</v>
      </c>
      <c r="F1666" s="16" t="s">
        <v>5424</v>
      </c>
      <c r="G1666" s="16" t="s">
        <v>383</v>
      </c>
      <c r="H1666" s="16" t="s">
        <v>384</v>
      </c>
      <c r="I1666" s="16" t="s">
        <v>198</v>
      </c>
      <c r="J1666" s="16" t="s">
        <v>199</v>
      </c>
      <c r="K1666" s="16">
        <v>2.9068969999999998</v>
      </c>
      <c r="L1666" s="36">
        <v>1302</v>
      </c>
      <c r="M1666" s="16">
        <v>174</v>
      </c>
      <c r="N1666" s="16">
        <v>270</v>
      </c>
      <c r="O1666" s="16">
        <v>381</v>
      </c>
      <c r="P1666" s="16">
        <v>315</v>
      </c>
      <c r="Q1666" s="16">
        <v>162</v>
      </c>
      <c r="R1666" s="16">
        <v>4</v>
      </c>
      <c r="S1666" s="16">
        <v>22.941099999999999</v>
      </c>
      <c r="T1666" s="16">
        <v>13.801399999999999</v>
      </c>
      <c r="U1666" s="16">
        <v>0.67686281199999998</v>
      </c>
      <c r="V1666" s="16">
        <v>4</v>
      </c>
      <c r="W1666" s="16">
        <v>1</v>
      </c>
      <c r="X1666" s="16">
        <v>0.17954500000000001</v>
      </c>
      <c r="Y1666" s="16">
        <v>0.72671799999999998</v>
      </c>
      <c r="Z1666" s="16">
        <v>1</v>
      </c>
      <c r="AA1666" s="37"/>
    </row>
    <row r="1667" spans="1:27">
      <c r="A1667" s="16"/>
      <c r="B1667" s="16"/>
      <c r="C1667" s="16"/>
      <c r="D1667" s="16"/>
      <c r="E1667" s="16"/>
      <c r="F1667" s="16"/>
      <c r="G1667" s="16"/>
      <c r="H1667" s="16"/>
      <c r="I1667" s="16"/>
      <c r="J1667" s="16"/>
      <c r="K1667" s="16">
        <f>MEDIAN(K1639:K1666)</f>
        <v>2.8824575000000001</v>
      </c>
      <c r="L1667" s="36">
        <f>AVERAGE(L1639:L1666)</f>
        <v>1816.7142857142858</v>
      </c>
      <c r="M1667" s="16">
        <f t="shared" ref="M1667:Q1667" si="149">SUM(M1639:M1666)</f>
        <v>9712</v>
      </c>
      <c r="N1667" s="16">
        <f t="shared" si="149"/>
        <v>9266</v>
      </c>
      <c r="O1667" s="16">
        <f t="shared" si="149"/>
        <v>13355</v>
      </c>
      <c r="P1667" s="16">
        <f t="shared" si="149"/>
        <v>12290</v>
      </c>
      <c r="Q1667" s="16">
        <f t="shared" si="149"/>
        <v>6245</v>
      </c>
      <c r="R1667" s="16"/>
      <c r="S1667" s="16">
        <f t="shared" ref="S1667:U1667" si="150">MIN(S1639:S1666)</f>
        <v>13.6967</v>
      </c>
      <c r="T1667" s="16">
        <f t="shared" si="150"/>
        <v>6.1288799999999997</v>
      </c>
      <c r="U1667" s="16">
        <f t="shared" si="150"/>
        <v>0.47139557300000001</v>
      </c>
      <c r="V1667" s="16">
        <f>MEDIAN(V1639:V1666)</f>
        <v>2</v>
      </c>
      <c r="W1667" s="16"/>
      <c r="X1667" s="16"/>
      <c r="Y1667" s="16"/>
      <c r="Z1667" s="16"/>
      <c r="AA1667" s="37"/>
    </row>
    <row r="1668" spans="1:27">
      <c r="A1668" s="16" t="s">
        <v>143</v>
      </c>
      <c r="B1668" s="16" t="s">
        <v>5472</v>
      </c>
      <c r="C1668" s="16" t="s">
        <v>5473</v>
      </c>
      <c r="D1668" s="16" t="s">
        <v>5474</v>
      </c>
      <c r="E1668" s="16" t="s">
        <v>5475</v>
      </c>
      <c r="F1668" s="16" t="s">
        <v>5476</v>
      </c>
      <c r="G1668" s="16" t="s">
        <v>5072</v>
      </c>
      <c r="H1668" s="16" t="s">
        <v>5073</v>
      </c>
      <c r="I1668" s="16" t="s">
        <v>198</v>
      </c>
      <c r="J1668" s="16" t="s">
        <v>199</v>
      </c>
      <c r="K1668" s="16">
        <v>2.6716000000000002</v>
      </c>
      <c r="L1668" s="36">
        <v>1772</v>
      </c>
      <c r="M1668" s="16">
        <v>225</v>
      </c>
      <c r="N1668" s="16">
        <v>375</v>
      </c>
      <c r="O1668" s="16">
        <v>619</v>
      </c>
      <c r="P1668" s="16">
        <v>376</v>
      </c>
      <c r="Q1668" s="16">
        <v>177</v>
      </c>
      <c r="R1668" s="16" t="s">
        <v>302</v>
      </c>
      <c r="S1668" s="16">
        <v>44.712400000000002</v>
      </c>
      <c r="T1668" s="16">
        <v>25.5289</v>
      </c>
      <c r="U1668" s="16">
        <v>0.62003955300000002</v>
      </c>
      <c r="V1668" s="16">
        <v>6</v>
      </c>
      <c r="W1668" s="16">
        <v>0.90720000000000001</v>
      </c>
      <c r="X1668" s="16">
        <v>0.1328</v>
      </c>
      <c r="Y1668" s="16">
        <v>0.8</v>
      </c>
      <c r="Z1668" s="16">
        <v>0.84229200000000004</v>
      </c>
      <c r="AA1668" s="37"/>
    </row>
    <row r="1669" spans="1:27">
      <c r="A1669" s="16" t="s">
        <v>143</v>
      </c>
      <c r="B1669" s="16" t="s">
        <v>5477</v>
      </c>
      <c r="C1669" s="16" t="s">
        <v>5478</v>
      </c>
      <c r="D1669" s="16" t="s">
        <v>5479</v>
      </c>
      <c r="E1669" s="16" t="s">
        <v>5480</v>
      </c>
      <c r="F1669" s="16" t="s">
        <v>5481</v>
      </c>
      <c r="G1669" s="16" t="s">
        <v>5072</v>
      </c>
      <c r="H1669" s="16" t="s">
        <v>5073</v>
      </c>
      <c r="I1669" s="16" t="s">
        <v>198</v>
      </c>
      <c r="J1669" s="16" t="s">
        <v>199</v>
      </c>
      <c r="K1669" s="16">
        <v>2.6417000000000002</v>
      </c>
      <c r="L1669" s="36">
        <v>1582</v>
      </c>
      <c r="M1669" s="16">
        <v>253</v>
      </c>
      <c r="N1669" s="16">
        <v>291</v>
      </c>
      <c r="O1669" s="16">
        <v>524</v>
      </c>
      <c r="P1669" s="16">
        <v>375</v>
      </c>
      <c r="Q1669" s="16">
        <v>139</v>
      </c>
      <c r="R1669" s="16">
        <v>5</v>
      </c>
      <c r="S1669" s="16">
        <v>28.98</v>
      </c>
      <c r="T1669" s="16">
        <v>13.6927</v>
      </c>
      <c r="U1669" s="16">
        <v>0.70577392299999997</v>
      </c>
      <c r="V1669" s="16">
        <v>5</v>
      </c>
      <c r="W1669" s="16">
        <v>0.9</v>
      </c>
      <c r="X1669" s="16">
        <v>0.118876</v>
      </c>
      <c r="Y1669" s="16">
        <v>0.8</v>
      </c>
      <c r="Z1669" s="16">
        <v>0.81666700000000003</v>
      </c>
      <c r="AA1669" s="37"/>
    </row>
    <row r="1670" spans="1:27">
      <c r="A1670" s="16" t="s">
        <v>143</v>
      </c>
      <c r="B1670" s="16" t="s">
        <v>5482</v>
      </c>
      <c r="C1670" s="16" t="s">
        <v>5483</v>
      </c>
      <c r="D1670" s="16" t="s">
        <v>5484</v>
      </c>
      <c r="E1670" s="16" t="s">
        <v>5475</v>
      </c>
      <c r="F1670" s="16" t="s">
        <v>5476</v>
      </c>
      <c r="G1670" s="16" t="s">
        <v>5072</v>
      </c>
      <c r="H1670" s="16" t="s">
        <v>5073</v>
      </c>
      <c r="I1670" s="16" t="s">
        <v>198</v>
      </c>
      <c r="J1670" s="16" t="s">
        <v>199</v>
      </c>
      <c r="K1670" s="16">
        <v>3.0675210000000002</v>
      </c>
      <c r="L1670" s="36">
        <v>1456</v>
      </c>
      <c r="M1670" s="16">
        <v>266</v>
      </c>
      <c r="N1670" s="16">
        <v>286</v>
      </c>
      <c r="O1670" s="16">
        <v>343</v>
      </c>
      <c r="P1670" s="16">
        <v>369</v>
      </c>
      <c r="Q1670" s="16">
        <v>192</v>
      </c>
      <c r="R1670" s="16" t="s">
        <v>668</v>
      </c>
      <c r="S1670" s="16">
        <v>53.889600000000002</v>
      </c>
      <c r="T1670" s="16">
        <v>25.592700000000001</v>
      </c>
      <c r="U1670" s="16">
        <v>0.88551584100000003</v>
      </c>
      <c r="V1670" s="16">
        <v>2</v>
      </c>
      <c r="W1670" s="16">
        <v>0.94572599999999996</v>
      </c>
      <c r="X1670" s="16">
        <v>0.38268400000000002</v>
      </c>
      <c r="Y1670" s="16">
        <v>0.8</v>
      </c>
      <c r="Z1670" s="16">
        <v>0.97105300000000006</v>
      </c>
      <c r="AA1670" s="37"/>
    </row>
    <row r="1671" spans="1:27">
      <c r="A1671" s="16" t="s">
        <v>143</v>
      </c>
      <c r="B1671" s="16" t="s">
        <v>5485</v>
      </c>
      <c r="C1671" s="16" t="s">
        <v>5486</v>
      </c>
      <c r="D1671" s="16" t="s">
        <v>5487</v>
      </c>
      <c r="E1671" s="16" t="s">
        <v>5070</v>
      </c>
      <c r="F1671" s="16" t="s">
        <v>5071</v>
      </c>
      <c r="G1671" s="16" t="s">
        <v>5072</v>
      </c>
      <c r="H1671" s="16" t="s">
        <v>5073</v>
      </c>
      <c r="I1671" s="16" t="s">
        <v>198</v>
      </c>
      <c r="J1671" s="16" t="s">
        <v>199</v>
      </c>
      <c r="K1671" s="16">
        <v>2.8429470000000001</v>
      </c>
      <c r="L1671" s="36">
        <v>1501</v>
      </c>
      <c r="M1671" s="16">
        <v>200</v>
      </c>
      <c r="N1671" s="16">
        <v>344</v>
      </c>
      <c r="O1671" s="16">
        <v>391</v>
      </c>
      <c r="P1671" s="16">
        <v>347</v>
      </c>
      <c r="Q1671" s="16">
        <v>219</v>
      </c>
      <c r="R1671" s="16" t="s">
        <v>302</v>
      </c>
      <c r="S1671" s="16">
        <v>34.350200000000001</v>
      </c>
      <c r="T1671" s="16">
        <v>13.7614</v>
      </c>
      <c r="U1671" s="16">
        <v>0.53735799399999995</v>
      </c>
      <c r="V1671" s="16">
        <v>7</v>
      </c>
      <c r="W1671" s="16">
        <v>0.90673700000000002</v>
      </c>
      <c r="X1671" s="16">
        <v>0.188913</v>
      </c>
      <c r="Y1671" s="16">
        <v>0.8</v>
      </c>
      <c r="Z1671" s="16">
        <v>0.95010600000000001</v>
      </c>
      <c r="AA1671" s="37"/>
    </row>
    <row r="1672" spans="1:27">
      <c r="A1672" s="16" t="s">
        <v>143</v>
      </c>
      <c r="B1672" s="16" t="s">
        <v>5488</v>
      </c>
      <c r="C1672" s="16" t="s">
        <v>5489</v>
      </c>
      <c r="D1672" s="16" t="s">
        <v>5490</v>
      </c>
      <c r="E1672" s="16" t="s">
        <v>5480</v>
      </c>
      <c r="F1672" s="16" t="s">
        <v>5481</v>
      </c>
      <c r="G1672" s="16" t="s">
        <v>5072</v>
      </c>
      <c r="H1672" s="16" t="s">
        <v>5073</v>
      </c>
      <c r="I1672" s="16" t="s">
        <v>198</v>
      </c>
      <c r="J1672" s="16" t="s">
        <v>199</v>
      </c>
      <c r="K1672" s="16">
        <v>2.5200999999999998</v>
      </c>
      <c r="L1672" s="36">
        <v>1406</v>
      </c>
      <c r="M1672" s="16">
        <v>287</v>
      </c>
      <c r="N1672" s="16">
        <v>263</v>
      </c>
      <c r="O1672" s="16">
        <v>356</v>
      </c>
      <c r="P1672" s="16">
        <v>336</v>
      </c>
      <c r="Q1672" s="16">
        <v>164</v>
      </c>
      <c r="R1672" s="16">
        <v>3</v>
      </c>
      <c r="S1672" s="16">
        <v>22.713200000000001</v>
      </c>
      <c r="T1672" s="16">
        <v>6.7434000000000003</v>
      </c>
      <c r="U1672" s="16">
        <v>0.84293746700000005</v>
      </c>
      <c r="V1672" s="16">
        <v>4</v>
      </c>
      <c r="W1672" s="16">
        <v>0.9</v>
      </c>
      <c r="X1672" s="16">
        <v>0</v>
      </c>
      <c r="Y1672" s="16">
        <v>0.8</v>
      </c>
      <c r="Z1672" s="16">
        <v>0.82199999999999995</v>
      </c>
      <c r="AA1672" s="37"/>
    </row>
    <row r="1673" spans="1:27">
      <c r="A1673" s="16" t="s">
        <v>143</v>
      </c>
      <c r="B1673" s="16" t="s">
        <v>5491</v>
      </c>
      <c r="C1673" s="16" t="s">
        <v>5492</v>
      </c>
      <c r="D1673" s="16" t="s">
        <v>5493</v>
      </c>
      <c r="E1673" s="16" t="s">
        <v>5494</v>
      </c>
      <c r="F1673" s="16" t="s">
        <v>5495</v>
      </c>
      <c r="G1673" s="16" t="s">
        <v>5072</v>
      </c>
      <c r="H1673" s="16" t="s">
        <v>5073</v>
      </c>
      <c r="I1673" s="16" t="s">
        <v>198</v>
      </c>
      <c r="J1673" s="16" t="s">
        <v>199</v>
      </c>
      <c r="K1673" s="16">
        <v>3.1015570000000001</v>
      </c>
      <c r="L1673" s="36">
        <v>2112</v>
      </c>
      <c r="M1673" s="16">
        <v>395</v>
      </c>
      <c r="N1673" s="16">
        <v>512</v>
      </c>
      <c r="O1673" s="16">
        <v>595</v>
      </c>
      <c r="P1673" s="16">
        <v>459</v>
      </c>
      <c r="Q1673" s="16">
        <v>151</v>
      </c>
      <c r="R1673" s="16" t="s">
        <v>302</v>
      </c>
      <c r="S1673" s="16">
        <v>55.184800000000003</v>
      </c>
      <c r="T1673" s="16">
        <v>19.006699999999999</v>
      </c>
      <c r="U1673" s="16">
        <v>0.70128881499999995</v>
      </c>
      <c r="V1673" s="16">
        <v>3</v>
      </c>
      <c r="W1673" s="16">
        <v>0.92565600000000003</v>
      </c>
      <c r="X1673" s="16">
        <v>0.36529600000000001</v>
      </c>
      <c r="Y1673" s="16">
        <v>0.8</v>
      </c>
      <c r="Z1673" s="16">
        <v>0.99975499999999995</v>
      </c>
      <c r="AA1673" s="37"/>
    </row>
    <row r="1674" spans="1:27">
      <c r="A1674" s="16" t="s">
        <v>143</v>
      </c>
      <c r="B1674" s="16" t="s">
        <v>5496</v>
      </c>
      <c r="C1674" s="16" t="s">
        <v>5497</v>
      </c>
      <c r="D1674" s="16" t="s">
        <v>5498</v>
      </c>
      <c r="E1674" s="16" t="s">
        <v>5494</v>
      </c>
      <c r="F1674" s="16" t="s">
        <v>5495</v>
      </c>
      <c r="G1674" s="16" t="s">
        <v>5072</v>
      </c>
      <c r="H1674" s="16" t="s">
        <v>5073</v>
      </c>
      <c r="I1674" s="16" t="s">
        <v>198</v>
      </c>
      <c r="J1674" s="16" t="s">
        <v>199</v>
      </c>
      <c r="K1674" s="16">
        <v>2.943689</v>
      </c>
      <c r="L1674" s="36">
        <v>1747</v>
      </c>
      <c r="M1674" s="16">
        <v>426</v>
      </c>
      <c r="N1674" s="16">
        <v>283</v>
      </c>
      <c r="O1674" s="16">
        <v>364</v>
      </c>
      <c r="P1674" s="16">
        <v>461</v>
      </c>
      <c r="Q1674" s="16">
        <v>213</v>
      </c>
      <c r="R1674" s="16" t="s">
        <v>302</v>
      </c>
      <c r="S1674" s="16">
        <v>38.961799999999997</v>
      </c>
      <c r="T1674" s="16">
        <v>18.165299999999998</v>
      </c>
      <c r="U1674" s="16">
        <v>0.95823304600000003</v>
      </c>
      <c r="V1674" s="16">
        <v>2</v>
      </c>
      <c r="W1674" s="16">
        <v>0.91941700000000004</v>
      </c>
      <c r="X1674" s="16">
        <v>0.243478</v>
      </c>
      <c r="Y1674" s="16">
        <v>0.8</v>
      </c>
      <c r="Z1674" s="16">
        <v>1</v>
      </c>
      <c r="AA1674" s="37"/>
    </row>
    <row r="1675" spans="1:27">
      <c r="A1675" s="16" t="s">
        <v>143</v>
      </c>
      <c r="B1675" s="16" t="s">
        <v>5499</v>
      </c>
      <c r="C1675" s="16" t="s">
        <v>5500</v>
      </c>
      <c r="D1675" s="16" t="s">
        <v>5501</v>
      </c>
      <c r="E1675" s="16" t="s">
        <v>5502</v>
      </c>
      <c r="F1675" s="16" t="s">
        <v>5503</v>
      </c>
      <c r="G1675" s="16" t="s">
        <v>1049</v>
      </c>
      <c r="H1675" s="16" t="s">
        <v>1050</v>
      </c>
      <c r="I1675" s="16" t="s">
        <v>198</v>
      </c>
      <c r="J1675" s="16" t="s">
        <v>199</v>
      </c>
      <c r="K1675" s="16">
        <v>2.5971389999999999</v>
      </c>
      <c r="L1675" s="36">
        <v>1475</v>
      </c>
      <c r="M1675" s="16">
        <v>298</v>
      </c>
      <c r="N1675" s="16">
        <v>174</v>
      </c>
      <c r="O1675" s="16">
        <v>225</v>
      </c>
      <c r="P1675" s="16">
        <v>461</v>
      </c>
      <c r="Q1675" s="16">
        <v>317</v>
      </c>
      <c r="R1675" s="16">
        <v>4</v>
      </c>
      <c r="S1675" s="16">
        <v>27.0779</v>
      </c>
      <c r="T1675" s="16">
        <v>0</v>
      </c>
      <c r="U1675" s="16">
        <v>0.548715061</v>
      </c>
      <c r="V1675" s="16">
        <v>8</v>
      </c>
      <c r="W1675" s="16">
        <v>0.90834300000000001</v>
      </c>
      <c r="X1675" s="16">
        <v>0.107109</v>
      </c>
      <c r="Y1675" s="16">
        <v>0.79964199999999996</v>
      </c>
      <c r="Z1675" s="16">
        <v>0.77911699999999995</v>
      </c>
      <c r="AA1675" s="37"/>
    </row>
    <row r="1676" spans="1:27">
      <c r="A1676" s="16" t="s">
        <v>143</v>
      </c>
      <c r="B1676" s="16" t="s">
        <v>5504</v>
      </c>
      <c r="C1676" s="16" t="s">
        <v>5505</v>
      </c>
      <c r="D1676" s="16" t="s">
        <v>5506</v>
      </c>
      <c r="E1676" s="16" t="s">
        <v>5502</v>
      </c>
      <c r="F1676" s="16" t="s">
        <v>5503</v>
      </c>
      <c r="G1676" s="16" t="s">
        <v>1049</v>
      </c>
      <c r="H1676" s="16" t="s">
        <v>1050</v>
      </c>
      <c r="I1676" s="16" t="s">
        <v>198</v>
      </c>
      <c r="J1676" s="16" t="s">
        <v>199</v>
      </c>
      <c r="K1676" s="16">
        <v>2.8601320000000001</v>
      </c>
      <c r="L1676" s="36">
        <v>1644</v>
      </c>
      <c r="M1676" s="16">
        <v>243</v>
      </c>
      <c r="N1676" s="16">
        <v>308</v>
      </c>
      <c r="O1676" s="16">
        <v>458</v>
      </c>
      <c r="P1676" s="16">
        <v>452</v>
      </c>
      <c r="Q1676" s="16">
        <v>183</v>
      </c>
      <c r="R1676" s="16" t="s">
        <v>302</v>
      </c>
      <c r="S1676" s="16">
        <v>41.781500000000001</v>
      </c>
      <c r="T1676" s="16">
        <v>10.813700000000001</v>
      </c>
      <c r="U1676" s="16">
        <v>0.58958848699999999</v>
      </c>
      <c r="V1676" s="16">
        <v>5</v>
      </c>
      <c r="W1676" s="16">
        <v>0.90528600000000004</v>
      </c>
      <c r="X1676" s="16">
        <v>0.26431700000000002</v>
      </c>
      <c r="Y1676" s="16">
        <v>0.8</v>
      </c>
      <c r="Z1676" s="16">
        <v>0.89249400000000001</v>
      </c>
      <c r="AA1676" s="37"/>
    </row>
    <row r="1677" spans="1:27">
      <c r="A1677" s="16" t="s">
        <v>143</v>
      </c>
      <c r="B1677" s="16" t="s">
        <v>5507</v>
      </c>
      <c r="C1677" s="16" t="s">
        <v>5508</v>
      </c>
      <c r="D1677" s="16" t="s">
        <v>5509</v>
      </c>
      <c r="E1677" s="16" t="s">
        <v>5502</v>
      </c>
      <c r="F1677" s="16" t="s">
        <v>5503</v>
      </c>
      <c r="G1677" s="16" t="s">
        <v>1049</v>
      </c>
      <c r="H1677" s="16" t="s">
        <v>1050</v>
      </c>
      <c r="I1677" s="16" t="s">
        <v>198</v>
      </c>
      <c r="J1677" s="16" t="s">
        <v>199</v>
      </c>
      <c r="K1677" s="16">
        <v>3.0993710000000001</v>
      </c>
      <c r="L1677" s="36">
        <v>1765</v>
      </c>
      <c r="M1677" s="16">
        <v>297</v>
      </c>
      <c r="N1677" s="16">
        <v>315</v>
      </c>
      <c r="O1677" s="16">
        <v>482</v>
      </c>
      <c r="P1677" s="16">
        <v>472</v>
      </c>
      <c r="Q1677" s="16">
        <v>199</v>
      </c>
      <c r="R1677" s="16">
        <v>5</v>
      </c>
      <c r="S1677" s="16">
        <v>29.172699999999999</v>
      </c>
      <c r="T1677" s="16">
        <v>18.2837</v>
      </c>
      <c r="U1677" s="16">
        <v>0.51830352199999996</v>
      </c>
      <c r="V1677" s="16">
        <v>4</v>
      </c>
      <c r="W1677" s="16">
        <v>0.92232700000000001</v>
      </c>
      <c r="X1677" s="16">
        <v>0.45804400000000001</v>
      </c>
      <c r="Y1677" s="16">
        <v>0.8</v>
      </c>
      <c r="Z1677" s="16">
        <v>0.90906299999999995</v>
      </c>
      <c r="AA1677" s="37"/>
    </row>
    <row r="1678" spans="1:27">
      <c r="A1678" s="16" t="s">
        <v>143</v>
      </c>
      <c r="B1678" s="16" t="s">
        <v>5510</v>
      </c>
      <c r="C1678" s="16" t="s">
        <v>5511</v>
      </c>
      <c r="D1678" s="16" t="s">
        <v>5512</v>
      </c>
      <c r="E1678" s="16" t="s">
        <v>5502</v>
      </c>
      <c r="F1678" s="16" t="s">
        <v>5503</v>
      </c>
      <c r="G1678" s="16" t="s">
        <v>1049</v>
      </c>
      <c r="H1678" s="16" t="s">
        <v>1050</v>
      </c>
      <c r="I1678" s="16" t="s">
        <v>198</v>
      </c>
      <c r="J1678" s="16" t="s">
        <v>199</v>
      </c>
      <c r="K1678" s="16">
        <v>3.0213329999999998</v>
      </c>
      <c r="L1678" s="36">
        <v>1510</v>
      </c>
      <c r="M1678" s="16">
        <v>314</v>
      </c>
      <c r="N1678" s="16">
        <v>193</v>
      </c>
      <c r="O1678" s="16">
        <v>390</v>
      </c>
      <c r="P1678" s="16">
        <v>354</v>
      </c>
      <c r="Q1678" s="16">
        <v>259</v>
      </c>
      <c r="R1678" s="16" t="s">
        <v>668</v>
      </c>
      <c r="S1678" s="16">
        <v>52.045299999999997</v>
      </c>
      <c r="T1678" s="16">
        <v>30.729900000000001</v>
      </c>
      <c r="U1678" s="16">
        <v>0.50078902199999997</v>
      </c>
      <c r="V1678" s="16">
        <v>5</v>
      </c>
      <c r="W1678" s="16">
        <v>0.94499999999999995</v>
      </c>
      <c r="X1678" s="16">
        <v>0.33552599999999999</v>
      </c>
      <c r="Y1678" s="16">
        <v>0.8</v>
      </c>
      <c r="Z1678" s="16">
        <v>0.97913899999999998</v>
      </c>
      <c r="AA1678" s="37"/>
    </row>
    <row r="1679" spans="1:27">
      <c r="A1679" s="16" t="s">
        <v>143</v>
      </c>
      <c r="B1679" s="16" t="s">
        <v>5513</v>
      </c>
      <c r="C1679" s="16" t="s">
        <v>5514</v>
      </c>
      <c r="D1679" s="16" t="s">
        <v>5515</v>
      </c>
      <c r="E1679" s="16" t="s">
        <v>5412</v>
      </c>
      <c r="F1679" s="16" t="s">
        <v>5413</v>
      </c>
      <c r="G1679" s="16" t="s">
        <v>1049</v>
      </c>
      <c r="H1679" s="16" t="s">
        <v>1050</v>
      </c>
      <c r="I1679" s="16" t="s">
        <v>198</v>
      </c>
      <c r="J1679" s="16" t="s">
        <v>199</v>
      </c>
      <c r="K1679" s="16">
        <v>2.8056559999999999</v>
      </c>
      <c r="L1679" s="36">
        <v>1451</v>
      </c>
      <c r="M1679" s="16">
        <v>241</v>
      </c>
      <c r="N1679" s="16">
        <v>227</v>
      </c>
      <c r="O1679" s="16">
        <v>311</v>
      </c>
      <c r="P1679" s="16">
        <v>410</v>
      </c>
      <c r="Q1679" s="16">
        <v>262</v>
      </c>
      <c r="R1679" s="16">
        <v>3</v>
      </c>
      <c r="S1679" s="16">
        <v>19.3386</v>
      </c>
      <c r="T1679" s="16">
        <v>7.18262</v>
      </c>
      <c r="U1679" s="16">
        <v>1.0375250309999999</v>
      </c>
      <c r="V1679" s="16">
        <v>2</v>
      </c>
      <c r="W1679" s="16">
        <v>0.91336799999999996</v>
      </c>
      <c r="X1679" s="16">
        <v>0.122365</v>
      </c>
      <c r="Y1679" s="16">
        <v>0.8</v>
      </c>
      <c r="Z1679" s="16">
        <v>0.982908</v>
      </c>
      <c r="AA1679" s="37"/>
    </row>
    <row r="1680" spans="1:27">
      <c r="A1680" s="16" t="s">
        <v>143</v>
      </c>
      <c r="B1680" s="16" t="s">
        <v>5516</v>
      </c>
      <c r="C1680" s="16" t="s">
        <v>5517</v>
      </c>
      <c r="D1680" s="16" t="s">
        <v>5518</v>
      </c>
      <c r="E1680" s="16" t="s">
        <v>5396</v>
      </c>
      <c r="F1680" s="16" t="s">
        <v>5397</v>
      </c>
      <c r="G1680" s="16" t="s">
        <v>1049</v>
      </c>
      <c r="H1680" s="16" t="s">
        <v>1050</v>
      </c>
      <c r="I1680" s="16" t="s">
        <v>198</v>
      </c>
      <c r="J1680" s="16" t="s">
        <v>199</v>
      </c>
      <c r="K1680" s="16">
        <v>3.0331610000000002</v>
      </c>
      <c r="L1680" s="36">
        <v>1257</v>
      </c>
      <c r="M1680" s="16">
        <v>190</v>
      </c>
      <c r="N1680" s="16">
        <v>167</v>
      </c>
      <c r="O1680" s="16">
        <v>306</v>
      </c>
      <c r="P1680" s="16">
        <v>370</v>
      </c>
      <c r="Q1680" s="16">
        <v>224</v>
      </c>
      <c r="R1680" s="16" t="s">
        <v>302</v>
      </c>
      <c r="S1680" s="16">
        <v>52.732500000000002</v>
      </c>
      <c r="T1680" s="16">
        <v>23.1677</v>
      </c>
      <c r="U1680" s="16">
        <v>0.51294274200000001</v>
      </c>
      <c r="V1680" s="16">
        <v>5</v>
      </c>
      <c r="W1680" s="16">
        <v>0.93834200000000001</v>
      </c>
      <c r="X1680" s="16">
        <v>0.28346500000000002</v>
      </c>
      <c r="Y1680" s="16">
        <v>0.8</v>
      </c>
      <c r="Z1680" s="16">
        <v>1</v>
      </c>
      <c r="AA1680" s="37"/>
    </row>
    <row r="1681" spans="1:27">
      <c r="A1681" s="16" t="s">
        <v>143</v>
      </c>
      <c r="B1681" s="16" t="s">
        <v>5403</v>
      </c>
      <c r="C1681" s="16" t="s">
        <v>5404</v>
      </c>
      <c r="D1681" s="16" t="s">
        <v>5405</v>
      </c>
      <c r="E1681" s="16" t="s">
        <v>5401</v>
      </c>
      <c r="F1681" s="16" t="s">
        <v>5402</v>
      </c>
      <c r="G1681" s="16" t="s">
        <v>1049</v>
      </c>
      <c r="H1681" s="16" t="s">
        <v>1050</v>
      </c>
      <c r="I1681" s="16" t="s">
        <v>198</v>
      </c>
      <c r="J1681" s="16" t="s">
        <v>199</v>
      </c>
      <c r="K1681" s="16">
        <v>3.0918649999999999</v>
      </c>
      <c r="L1681" s="36">
        <v>1616</v>
      </c>
      <c r="M1681" s="16">
        <v>401</v>
      </c>
      <c r="N1681" s="16">
        <v>249</v>
      </c>
      <c r="O1681" s="16">
        <v>305</v>
      </c>
      <c r="P1681" s="16">
        <v>475</v>
      </c>
      <c r="Q1681" s="16">
        <v>186</v>
      </c>
      <c r="R1681" s="16">
        <v>3</v>
      </c>
      <c r="S1681" s="16">
        <v>17.519600000000001</v>
      </c>
      <c r="T1681" s="16">
        <v>6.9348900000000002</v>
      </c>
      <c r="U1681" s="16">
        <v>0.79667839100000004</v>
      </c>
      <c r="V1681" s="16">
        <v>2</v>
      </c>
      <c r="W1681" s="16">
        <v>0.93531699999999995</v>
      </c>
      <c r="X1681" s="16">
        <v>0.444882</v>
      </c>
      <c r="Y1681" s="16">
        <v>0.8</v>
      </c>
      <c r="Z1681" s="16">
        <v>0.91245100000000001</v>
      </c>
      <c r="AA1681" s="37"/>
    </row>
    <row r="1682" spans="1:27">
      <c r="A1682" s="16"/>
      <c r="B1682" s="16"/>
      <c r="C1682" s="16"/>
      <c r="D1682" s="16"/>
      <c r="E1682" s="16"/>
      <c r="F1682" s="16"/>
      <c r="G1682" s="16"/>
      <c r="H1682" s="16"/>
      <c r="I1682" s="16"/>
      <c r="J1682" s="16"/>
      <c r="K1682" s="16">
        <f>MEDIAN(K1668:K1681)</f>
        <v>2.9019105000000001</v>
      </c>
      <c r="L1682" s="36">
        <f>AVERAGE(L1668:L1681)</f>
        <v>1592.4285714285713</v>
      </c>
      <c r="M1682" s="16">
        <f t="shared" ref="M1682:Q1682" si="151">SUM(M1668:M1681)</f>
        <v>4036</v>
      </c>
      <c r="N1682" s="16">
        <f t="shared" si="151"/>
        <v>3987</v>
      </c>
      <c r="O1682" s="16">
        <f t="shared" si="151"/>
        <v>5669</v>
      </c>
      <c r="P1682" s="16">
        <f t="shared" si="151"/>
        <v>5717</v>
      </c>
      <c r="Q1682" s="16">
        <f t="shared" si="151"/>
        <v>2885</v>
      </c>
      <c r="R1682" s="16"/>
      <c r="S1682" s="16">
        <f t="shared" ref="S1682:U1682" si="152">MIN(S1668:S1681)</f>
        <v>17.519600000000001</v>
      </c>
      <c r="T1682" s="16">
        <f t="shared" si="152"/>
        <v>0</v>
      </c>
      <c r="U1682" s="16">
        <f t="shared" si="152"/>
        <v>0.50078902199999997</v>
      </c>
      <c r="V1682" s="16">
        <f>MEDIAN(V1668:V1681)</f>
        <v>4.5</v>
      </c>
      <c r="W1682" s="16"/>
      <c r="X1682" s="16"/>
      <c r="Y1682" s="16"/>
      <c r="Z1682" s="16"/>
      <c r="AA1682" s="37"/>
    </row>
    <row r="1683" spans="1:27">
      <c r="A1683" s="16" t="s">
        <v>144</v>
      </c>
      <c r="B1683" s="16" t="s">
        <v>5519</v>
      </c>
      <c r="C1683" s="16" t="s">
        <v>5520</v>
      </c>
      <c r="D1683" s="16" t="s">
        <v>5521</v>
      </c>
      <c r="E1683" s="16" t="s">
        <v>5522</v>
      </c>
      <c r="F1683" s="16" t="s">
        <v>5523</v>
      </c>
      <c r="G1683" s="16" t="s">
        <v>412</v>
      </c>
      <c r="H1683" s="16" t="s">
        <v>413</v>
      </c>
      <c r="I1683" s="16" t="s">
        <v>198</v>
      </c>
      <c r="J1683" s="16" t="s">
        <v>199</v>
      </c>
      <c r="K1683" s="16">
        <v>2.1387480000000001</v>
      </c>
      <c r="L1683" s="36">
        <v>1739</v>
      </c>
      <c r="M1683" s="16">
        <v>504</v>
      </c>
      <c r="N1683" s="16">
        <v>246</v>
      </c>
      <c r="O1683" s="16">
        <v>288</v>
      </c>
      <c r="P1683" s="16">
        <v>388</v>
      </c>
      <c r="Q1683" s="16">
        <v>313</v>
      </c>
      <c r="R1683" s="16">
        <v>2</v>
      </c>
      <c r="S1683" s="16">
        <v>14.495699999999999</v>
      </c>
      <c r="T1683" s="16">
        <v>2.3051200000000001</v>
      </c>
      <c r="U1683" s="16">
        <v>0.69458628200000005</v>
      </c>
      <c r="V1683" s="16">
        <v>10</v>
      </c>
      <c r="W1683" s="16">
        <v>0.81877500000000003</v>
      </c>
      <c r="X1683" s="16">
        <v>0.19728999999999999</v>
      </c>
      <c r="Y1683" s="16">
        <v>0.86450700000000003</v>
      </c>
      <c r="Z1683" s="16">
        <v>0.25540499999999999</v>
      </c>
      <c r="AA1683" s="37"/>
    </row>
    <row r="1684" spans="1:27">
      <c r="A1684" s="16" t="s">
        <v>144</v>
      </c>
      <c r="B1684" s="16" t="s">
        <v>5524</v>
      </c>
      <c r="C1684" s="16" t="s">
        <v>5525</v>
      </c>
      <c r="D1684" s="16" t="s">
        <v>5526</v>
      </c>
      <c r="E1684" s="16" t="s">
        <v>5522</v>
      </c>
      <c r="F1684" s="16" t="s">
        <v>5523</v>
      </c>
      <c r="G1684" s="16" t="s">
        <v>412</v>
      </c>
      <c r="H1684" s="16" t="s">
        <v>413</v>
      </c>
      <c r="I1684" s="16" t="s">
        <v>198</v>
      </c>
      <c r="J1684" s="16" t="s">
        <v>199</v>
      </c>
      <c r="K1684" s="16">
        <v>2.1248800000000001</v>
      </c>
      <c r="L1684" s="36">
        <v>1736</v>
      </c>
      <c r="M1684" s="16">
        <v>489</v>
      </c>
      <c r="N1684" s="16">
        <v>260</v>
      </c>
      <c r="O1684" s="16">
        <v>328</v>
      </c>
      <c r="P1684" s="16">
        <v>357</v>
      </c>
      <c r="Q1684" s="16">
        <v>302</v>
      </c>
      <c r="R1684" s="16" t="s">
        <v>225</v>
      </c>
      <c r="S1684" s="16">
        <v>6.2802300000000004</v>
      </c>
      <c r="T1684" s="16">
        <v>2.3774600000000001</v>
      </c>
      <c r="U1684" s="16">
        <v>0.86392544599999999</v>
      </c>
      <c r="V1684" s="16">
        <v>7</v>
      </c>
      <c r="W1684" s="16">
        <v>0.8</v>
      </c>
      <c r="X1684" s="16">
        <v>0.16755900000000001</v>
      </c>
      <c r="Y1684" s="16">
        <v>0.9</v>
      </c>
      <c r="Z1684" s="16">
        <v>0.25752799999999998</v>
      </c>
      <c r="AA1684" s="37"/>
    </row>
    <row r="1685" spans="1:27">
      <c r="A1685" s="16" t="s">
        <v>144</v>
      </c>
      <c r="B1685" s="16" t="s">
        <v>5527</v>
      </c>
      <c r="C1685" s="16" t="s">
        <v>5528</v>
      </c>
      <c r="D1685" s="16" t="s">
        <v>5529</v>
      </c>
      <c r="E1685" s="16" t="s">
        <v>5522</v>
      </c>
      <c r="F1685" s="16" t="s">
        <v>5523</v>
      </c>
      <c r="G1685" s="16" t="s">
        <v>412</v>
      </c>
      <c r="H1685" s="16" t="s">
        <v>413</v>
      </c>
      <c r="I1685" s="16" t="s">
        <v>198</v>
      </c>
      <c r="J1685" s="16" t="s">
        <v>199</v>
      </c>
      <c r="K1685" s="16">
        <v>2.2948689999999998</v>
      </c>
      <c r="L1685" s="36">
        <v>1542</v>
      </c>
      <c r="M1685" s="16">
        <v>347</v>
      </c>
      <c r="N1685" s="16">
        <v>217</v>
      </c>
      <c r="O1685" s="16">
        <v>249</v>
      </c>
      <c r="P1685" s="16">
        <v>390</v>
      </c>
      <c r="Q1685" s="16">
        <v>339</v>
      </c>
      <c r="R1685" s="16" t="s">
        <v>214</v>
      </c>
      <c r="S1685" s="16">
        <v>8.2826900000000006</v>
      </c>
      <c r="T1685" s="16">
        <v>0</v>
      </c>
      <c r="U1685" s="16">
        <v>0.67228664199999999</v>
      </c>
      <c r="V1685" s="16">
        <v>9</v>
      </c>
      <c r="W1685" s="16">
        <v>0.80944199999999999</v>
      </c>
      <c r="X1685" s="16">
        <v>0.50836599999999998</v>
      </c>
      <c r="Y1685" s="16">
        <v>0.82607200000000003</v>
      </c>
      <c r="Z1685" s="16">
        <v>0.150475</v>
      </c>
      <c r="AA1685" s="37"/>
    </row>
    <row r="1686" spans="1:27">
      <c r="A1686" s="16" t="s">
        <v>144</v>
      </c>
      <c r="B1686" s="16" t="s">
        <v>5530</v>
      </c>
      <c r="C1686" s="16" t="s">
        <v>5531</v>
      </c>
      <c r="D1686" s="16" t="s">
        <v>5532</v>
      </c>
      <c r="E1686" s="16" t="s">
        <v>5522</v>
      </c>
      <c r="F1686" s="16" t="s">
        <v>5523</v>
      </c>
      <c r="G1686" s="16" t="s">
        <v>412</v>
      </c>
      <c r="H1686" s="16" t="s">
        <v>413</v>
      </c>
      <c r="I1686" s="16" t="s">
        <v>198</v>
      </c>
      <c r="J1686" s="16" t="s">
        <v>199</v>
      </c>
      <c r="K1686" s="16">
        <v>2.3608419999999999</v>
      </c>
      <c r="L1686" s="36">
        <v>2235</v>
      </c>
      <c r="M1686" s="16">
        <v>583</v>
      </c>
      <c r="N1686" s="16">
        <v>406</v>
      </c>
      <c r="O1686" s="16">
        <v>668</v>
      </c>
      <c r="P1686" s="16">
        <v>410</v>
      </c>
      <c r="Q1686" s="16">
        <v>168</v>
      </c>
      <c r="R1686" s="16" t="s">
        <v>214</v>
      </c>
      <c r="S1686" s="16">
        <v>7.1216400000000002</v>
      </c>
      <c r="T1686" s="16">
        <v>0</v>
      </c>
      <c r="U1686" s="16">
        <v>1.107519795</v>
      </c>
      <c r="V1686" s="16">
        <v>4</v>
      </c>
      <c r="W1686" s="16">
        <v>0.84526299999999999</v>
      </c>
      <c r="X1686" s="16">
        <v>0.36255300000000001</v>
      </c>
      <c r="Y1686" s="16">
        <v>0.87031599999999998</v>
      </c>
      <c r="Z1686" s="16">
        <v>0.29724600000000001</v>
      </c>
      <c r="AA1686" s="37"/>
    </row>
    <row r="1687" spans="1:27">
      <c r="A1687" s="16" t="s">
        <v>144</v>
      </c>
      <c r="B1687" s="16" t="s">
        <v>5533</v>
      </c>
      <c r="C1687" s="16" t="s">
        <v>5534</v>
      </c>
      <c r="D1687" s="16" t="s">
        <v>5535</v>
      </c>
      <c r="E1687" s="16" t="s">
        <v>5522</v>
      </c>
      <c r="F1687" s="16" t="s">
        <v>5523</v>
      </c>
      <c r="G1687" s="16" t="s">
        <v>412</v>
      </c>
      <c r="H1687" s="16" t="s">
        <v>413</v>
      </c>
      <c r="I1687" s="16" t="s">
        <v>198</v>
      </c>
      <c r="J1687" s="16" t="s">
        <v>199</v>
      </c>
      <c r="K1687" s="16">
        <v>2.1880280000000001</v>
      </c>
      <c r="L1687" s="36">
        <v>1715</v>
      </c>
      <c r="M1687" s="16">
        <v>412</v>
      </c>
      <c r="N1687" s="16">
        <v>223</v>
      </c>
      <c r="O1687" s="16">
        <v>336</v>
      </c>
      <c r="P1687" s="16">
        <v>436</v>
      </c>
      <c r="Q1687" s="16">
        <v>308</v>
      </c>
      <c r="R1687" s="16" t="s">
        <v>225</v>
      </c>
      <c r="S1687" s="16">
        <v>11.4925</v>
      </c>
      <c r="T1687" s="16">
        <v>0</v>
      </c>
      <c r="U1687" s="16">
        <v>0.77883656599999995</v>
      </c>
      <c r="V1687" s="16">
        <v>8</v>
      </c>
      <c r="W1687" s="16">
        <v>0.81352100000000005</v>
      </c>
      <c r="X1687" s="16">
        <v>0.11272699999999999</v>
      </c>
      <c r="Y1687" s="16">
        <v>0.9</v>
      </c>
      <c r="Z1687" s="16">
        <v>0.36928499999999997</v>
      </c>
      <c r="AA1687" s="37"/>
    </row>
    <row r="1688" spans="1:27">
      <c r="A1688" s="16" t="s">
        <v>144</v>
      </c>
      <c r="B1688" s="16" t="s">
        <v>5536</v>
      </c>
      <c r="C1688" s="16" t="s">
        <v>5537</v>
      </c>
      <c r="D1688" s="16" t="s">
        <v>5538</v>
      </c>
      <c r="E1688" s="16" t="s">
        <v>5522</v>
      </c>
      <c r="F1688" s="16" t="s">
        <v>5523</v>
      </c>
      <c r="G1688" s="16" t="s">
        <v>412</v>
      </c>
      <c r="H1688" s="16" t="s">
        <v>413</v>
      </c>
      <c r="I1688" s="16" t="s">
        <v>198</v>
      </c>
      <c r="J1688" s="16" t="s">
        <v>199</v>
      </c>
      <c r="K1688" s="16">
        <v>2.2654049999999999</v>
      </c>
      <c r="L1688" s="36">
        <v>1585</v>
      </c>
      <c r="M1688" s="16">
        <v>368</v>
      </c>
      <c r="N1688" s="16">
        <v>189</v>
      </c>
      <c r="O1688" s="16">
        <v>289</v>
      </c>
      <c r="P1688" s="16">
        <v>341</v>
      </c>
      <c r="Q1688" s="16">
        <v>398</v>
      </c>
      <c r="R1688" s="16">
        <v>3</v>
      </c>
      <c r="S1688" s="16">
        <v>25.424499999999998</v>
      </c>
      <c r="T1688" s="16">
        <v>0</v>
      </c>
      <c r="U1688" s="16">
        <v>0.678004838</v>
      </c>
      <c r="V1688" s="16">
        <v>9</v>
      </c>
      <c r="W1688" s="16">
        <v>0.84324299999999996</v>
      </c>
      <c r="X1688" s="16">
        <v>0.23216200000000001</v>
      </c>
      <c r="Y1688" s="16">
        <v>0.88528600000000002</v>
      </c>
      <c r="Z1688" s="16">
        <v>0.31054100000000001</v>
      </c>
      <c r="AA1688" s="37"/>
    </row>
    <row r="1689" spans="1:27">
      <c r="A1689" s="16" t="s">
        <v>144</v>
      </c>
      <c r="B1689" s="16" t="s">
        <v>5539</v>
      </c>
      <c r="C1689" s="16" t="s">
        <v>5540</v>
      </c>
      <c r="D1689" s="16" t="s">
        <v>5541</v>
      </c>
      <c r="E1689" s="16" t="s">
        <v>5542</v>
      </c>
      <c r="F1689" s="16" t="s">
        <v>5543</v>
      </c>
      <c r="G1689" s="16" t="s">
        <v>412</v>
      </c>
      <c r="H1689" s="16" t="s">
        <v>413</v>
      </c>
      <c r="I1689" s="16" t="s">
        <v>198</v>
      </c>
      <c r="J1689" s="16" t="s">
        <v>199</v>
      </c>
      <c r="K1689" s="16">
        <v>2.4475959999999999</v>
      </c>
      <c r="L1689" s="36">
        <v>1763</v>
      </c>
      <c r="M1689" s="16">
        <v>432</v>
      </c>
      <c r="N1689" s="16">
        <v>315</v>
      </c>
      <c r="O1689" s="16">
        <v>388</v>
      </c>
      <c r="P1689" s="16">
        <v>451</v>
      </c>
      <c r="Q1689" s="16">
        <v>177</v>
      </c>
      <c r="R1689" s="16" t="s">
        <v>225</v>
      </c>
      <c r="S1689" s="16">
        <v>9.5943699999999996</v>
      </c>
      <c r="T1689" s="16">
        <v>0</v>
      </c>
      <c r="U1689" s="16">
        <v>0.85290941899999995</v>
      </c>
      <c r="V1689" s="16">
        <v>4</v>
      </c>
      <c r="W1689" s="16">
        <v>0.81726299999999996</v>
      </c>
      <c r="X1689" s="16">
        <v>0.40024300000000002</v>
      </c>
      <c r="Y1689" s="16">
        <v>0.88061299999999998</v>
      </c>
      <c r="Z1689" s="16">
        <v>0.34243499999999999</v>
      </c>
      <c r="AA1689" s="37"/>
    </row>
    <row r="1690" spans="1:27">
      <c r="A1690" s="16" t="s">
        <v>144</v>
      </c>
      <c r="B1690" s="16" t="s">
        <v>5544</v>
      </c>
      <c r="C1690" s="16" t="s">
        <v>5545</v>
      </c>
      <c r="D1690" s="16" t="s">
        <v>5546</v>
      </c>
      <c r="E1690" s="16" t="s">
        <v>5542</v>
      </c>
      <c r="F1690" s="16" t="s">
        <v>5543</v>
      </c>
      <c r="G1690" s="16" t="s">
        <v>412</v>
      </c>
      <c r="H1690" s="16" t="s">
        <v>413</v>
      </c>
      <c r="I1690" s="16" t="s">
        <v>198</v>
      </c>
      <c r="J1690" s="16" t="s">
        <v>199</v>
      </c>
      <c r="K1690" s="16">
        <v>2.2285360000000001</v>
      </c>
      <c r="L1690" s="36">
        <v>1982</v>
      </c>
      <c r="M1690" s="16">
        <v>482</v>
      </c>
      <c r="N1690" s="16">
        <v>315</v>
      </c>
      <c r="O1690" s="16">
        <v>356</v>
      </c>
      <c r="P1690" s="16">
        <v>401</v>
      </c>
      <c r="Q1690" s="16">
        <v>428</v>
      </c>
      <c r="R1690" s="16">
        <v>2</v>
      </c>
      <c r="S1690" s="16">
        <v>12.603999999999999</v>
      </c>
      <c r="T1690" s="16">
        <v>2.3633000000000002</v>
      </c>
      <c r="U1690" s="16">
        <v>0.729047946</v>
      </c>
      <c r="V1690" s="16">
        <v>9</v>
      </c>
      <c r="W1690" s="16">
        <v>0.81178700000000004</v>
      </c>
      <c r="X1690" s="16">
        <v>0.22090699999999999</v>
      </c>
      <c r="Y1690" s="16">
        <v>0.86072800000000005</v>
      </c>
      <c r="Z1690" s="16">
        <v>0.332791</v>
      </c>
      <c r="AA1690" s="37"/>
    </row>
    <row r="1691" spans="1:27">
      <c r="A1691" s="16" t="s">
        <v>144</v>
      </c>
      <c r="B1691" s="16" t="s">
        <v>5547</v>
      </c>
      <c r="C1691" s="16" t="s">
        <v>5548</v>
      </c>
      <c r="D1691" s="16" t="s">
        <v>5549</v>
      </c>
      <c r="E1691" s="16" t="s">
        <v>5542</v>
      </c>
      <c r="F1691" s="16" t="s">
        <v>5543</v>
      </c>
      <c r="G1691" s="16" t="s">
        <v>412</v>
      </c>
      <c r="H1691" s="16" t="s">
        <v>413</v>
      </c>
      <c r="I1691" s="16" t="s">
        <v>198</v>
      </c>
      <c r="J1691" s="16" t="s">
        <v>199</v>
      </c>
      <c r="K1691" s="16">
        <v>2.6875740000000001</v>
      </c>
      <c r="L1691" s="36">
        <v>1989</v>
      </c>
      <c r="M1691" s="16">
        <v>450</v>
      </c>
      <c r="N1691" s="16">
        <v>354</v>
      </c>
      <c r="O1691" s="16">
        <v>394</v>
      </c>
      <c r="P1691" s="16">
        <v>559</v>
      </c>
      <c r="Q1691" s="16">
        <v>232</v>
      </c>
      <c r="R1691" s="16" t="s">
        <v>225</v>
      </c>
      <c r="S1691" s="16">
        <v>6.0872599999999997</v>
      </c>
      <c r="T1691" s="16">
        <v>0</v>
      </c>
      <c r="U1691" s="16">
        <v>0.58748000700000003</v>
      </c>
      <c r="V1691" s="16">
        <v>6</v>
      </c>
      <c r="W1691" s="16">
        <v>0.86311599999999999</v>
      </c>
      <c r="X1691" s="16">
        <v>0.63385800000000003</v>
      </c>
      <c r="Y1691" s="16">
        <v>0.83556699999999995</v>
      </c>
      <c r="Z1691" s="16">
        <v>0.35088799999999998</v>
      </c>
      <c r="AA1691" s="37"/>
    </row>
    <row r="1692" spans="1:27">
      <c r="A1692" s="16" t="s">
        <v>144</v>
      </c>
      <c r="B1692" s="16" t="s">
        <v>5550</v>
      </c>
      <c r="C1692" s="16" t="s">
        <v>5551</v>
      </c>
      <c r="D1692" s="16" t="s">
        <v>5552</v>
      </c>
      <c r="E1692" s="16" t="s">
        <v>5542</v>
      </c>
      <c r="F1692" s="16" t="s">
        <v>5543</v>
      </c>
      <c r="G1692" s="16" t="s">
        <v>412</v>
      </c>
      <c r="H1692" s="16" t="s">
        <v>413</v>
      </c>
      <c r="I1692" s="16" t="s">
        <v>198</v>
      </c>
      <c r="J1692" s="16" t="s">
        <v>199</v>
      </c>
      <c r="K1692" s="16">
        <v>2.4207990000000001</v>
      </c>
      <c r="L1692" s="36">
        <v>1980</v>
      </c>
      <c r="M1692" s="16">
        <v>421</v>
      </c>
      <c r="N1692" s="16">
        <v>267</v>
      </c>
      <c r="O1692" s="16">
        <v>427</v>
      </c>
      <c r="P1692" s="16">
        <v>475</v>
      </c>
      <c r="Q1692" s="16">
        <v>390</v>
      </c>
      <c r="R1692" s="16">
        <v>2</v>
      </c>
      <c r="S1692" s="16">
        <v>10.477600000000001</v>
      </c>
      <c r="T1692" s="16">
        <v>0</v>
      </c>
      <c r="U1692" s="16">
        <v>0.72055870200000005</v>
      </c>
      <c r="V1692" s="16">
        <v>6</v>
      </c>
      <c r="W1692" s="16">
        <v>0.85851900000000003</v>
      </c>
      <c r="X1692" s="16">
        <v>0.38730900000000001</v>
      </c>
      <c r="Y1692" s="16">
        <v>0.80023500000000003</v>
      </c>
      <c r="Z1692" s="16">
        <v>0.37265300000000001</v>
      </c>
      <c r="AA1692" s="37"/>
    </row>
    <row r="1693" spans="1:27">
      <c r="A1693" s="16"/>
      <c r="B1693" s="16"/>
      <c r="C1693" s="16"/>
      <c r="D1693" s="16"/>
      <c r="E1693" s="16"/>
      <c r="F1693" s="16"/>
      <c r="G1693" s="16"/>
      <c r="H1693" s="16"/>
      <c r="I1693" s="16"/>
      <c r="J1693" s="16"/>
      <c r="K1693" s="16">
        <f>MEDIAN(K1683:K1692)</f>
        <v>2.2801369999999999</v>
      </c>
      <c r="L1693" s="36">
        <f>AVERAGE(L1683:L1692)</f>
        <v>1826.6</v>
      </c>
      <c r="M1693" s="16">
        <f t="shared" ref="M1693:Q1693" si="153">SUM(M1683:M1692)</f>
        <v>4488</v>
      </c>
      <c r="N1693" s="16">
        <f t="shared" si="153"/>
        <v>2792</v>
      </c>
      <c r="O1693" s="16">
        <f t="shared" si="153"/>
        <v>3723</v>
      </c>
      <c r="P1693" s="16">
        <f t="shared" si="153"/>
        <v>4208</v>
      </c>
      <c r="Q1693" s="16">
        <f t="shared" si="153"/>
        <v>3055</v>
      </c>
      <c r="R1693" s="16"/>
      <c r="S1693" s="16">
        <f t="shared" ref="S1693:U1693" si="154">MIN(S1683:S1692)</f>
        <v>6.0872599999999997</v>
      </c>
      <c r="T1693" s="16">
        <f t="shared" si="154"/>
        <v>0</v>
      </c>
      <c r="U1693" s="16">
        <f t="shared" si="154"/>
        <v>0.58748000700000003</v>
      </c>
      <c r="V1693" s="16">
        <f>MEDIAN(V1683:V1692)</f>
        <v>7.5</v>
      </c>
      <c r="W1693" s="16"/>
      <c r="X1693" s="16"/>
      <c r="Y1693" s="16"/>
      <c r="Z1693" s="16"/>
      <c r="AA1693" s="37"/>
    </row>
    <row r="1694" spans="1:27">
      <c r="A1694" s="16" t="s">
        <v>145</v>
      </c>
      <c r="B1694" s="16" t="s">
        <v>5553</v>
      </c>
      <c r="C1694" s="16" t="s">
        <v>5554</v>
      </c>
      <c r="D1694" s="16" t="s">
        <v>5555</v>
      </c>
      <c r="E1694" s="16" t="s">
        <v>5556</v>
      </c>
      <c r="F1694" s="16" t="s">
        <v>5557</v>
      </c>
      <c r="G1694" s="16" t="s">
        <v>412</v>
      </c>
      <c r="H1694" s="16" t="s">
        <v>413</v>
      </c>
      <c r="I1694" s="16" t="s">
        <v>198</v>
      </c>
      <c r="J1694" s="16" t="s">
        <v>199</v>
      </c>
      <c r="K1694" s="16">
        <v>2.2532220000000001</v>
      </c>
      <c r="L1694" s="36">
        <v>1511</v>
      </c>
      <c r="M1694" s="16">
        <v>363</v>
      </c>
      <c r="N1694" s="16">
        <v>258</v>
      </c>
      <c r="O1694" s="16">
        <v>227</v>
      </c>
      <c r="P1694" s="16">
        <v>449</v>
      </c>
      <c r="Q1694" s="16">
        <v>214</v>
      </c>
      <c r="R1694" s="16" t="s">
        <v>214</v>
      </c>
      <c r="S1694" s="16">
        <v>4.8498599999999996</v>
      </c>
      <c r="T1694" s="16">
        <v>0</v>
      </c>
      <c r="U1694" s="16">
        <v>0.770532997</v>
      </c>
      <c r="V1694" s="16">
        <v>7</v>
      </c>
      <c r="W1694" s="16">
        <v>0.80937199999999998</v>
      </c>
      <c r="X1694" s="16">
        <v>0.437774</v>
      </c>
      <c r="Y1694" s="16">
        <v>0.83078700000000005</v>
      </c>
      <c r="Z1694" s="16">
        <v>0.174461</v>
      </c>
      <c r="AA1694" s="37"/>
    </row>
    <row r="1695" spans="1:27">
      <c r="A1695" s="16" t="s">
        <v>145</v>
      </c>
      <c r="B1695" s="16" t="s">
        <v>5558</v>
      </c>
      <c r="C1695" s="16" t="s">
        <v>5559</v>
      </c>
      <c r="D1695" s="16" t="s">
        <v>5560</v>
      </c>
      <c r="E1695" s="16" t="s">
        <v>5556</v>
      </c>
      <c r="F1695" s="16" t="s">
        <v>5557</v>
      </c>
      <c r="G1695" s="16" t="s">
        <v>412</v>
      </c>
      <c r="H1695" s="16" t="s">
        <v>413</v>
      </c>
      <c r="I1695" s="16" t="s">
        <v>198</v>
      </c>
      <c r="J1695" s="16" t="s">
        <v>199</v>
      </c>
      <c r="K1695" s="16">
        <v>1.8624270000000001</v>
      </c>
      <c r="L1695" s="36">
        <v>1601</v>
      </c>
      <c r="M1695" s="16">
        <v>272</v>
      </c>
      <c r="N1695" s="16">
        <v>200</v>
      </c>
      <c r="O1695" s="16">
        <v>252</v>
      </c>
      <c r="P1695" s="16">
        <v>473</v>
      </c>
      <c r="Q1695" s="16">
        <v>404</v>
      </c>
      <c r="R1695" s="16" t="s">
        <v>214</v>
      </c>
      <c r="S1695" s="16">
        <v>4.0950100000000003</v>
      </c>
      <c r="T1695" s="16">
        <v>0</v>
      </c>
      <c r="U1695" s="16">
        <v>1.1515109670000001</v>
      </c>
      <c r="V1695" s="16">
        <v>5</v>
      </c>
      <c r="W1695" s="16">
        <v>0.80362599999999995</v>
      </c>
      <c r="X1695" s="16">
        <v>0.122626</v>
      </c>
      <c r="Y1695" s="16">
        <v>0.80785200000000001</v>
      </c>
      <c r="Z1695" s="16">
        <v>0.130158</v>
      </c>
      <c r="AA1695" s="37"/>
    </row>
    <row r="1696" spans="1:27">
      <c r="A1696" s="16" t="s">
        <v>145</v>
      </c>
      <c r="B1696" s="16" t="s">
        <v>5547</v>
      </c>
      <c r="C1696" s="16" t="s">
        <v>5548</v>
      </c>
      <c r="D1696" s="16" t="s">
        <v>5549</v>
      </c>
      <c r="E1696" s="16" t="s">
        <v>5542</v>
      </c>
      <c r="F1696" s="16" t="s">
        <v>5543</v>
      </c>
      <c r="G1696" s="16" t="s">
        <v>412</v>
      </c>
      <c r="H1696" s="16" t="s">
        <v>413</v>
      </c>
      <c r="I1696" s="16" t="s">
        <v>198</v>
      </c>
      <c r="J1696" s="16" t="s">
        <v>199</v>
      </c>
      <c r="K1696" s="16">
        <v>2.6875740000000001</v>
      </c>
      <c r="L1696" s="36">
        <v>1989</v>
      </c>
      <c r="M1696" s="16">
        <v>450</v>
      </c>
      <c r="N1696" s="16">
        <v>354</v>
      </c>
      <c r="O1696" s="16">
        <v>394</v>
      </c>
      <c r="P1696" s="16">
        <v>559</v>
      </c>
      <c r="Q1696" s="16">
        <v>232</v>
      </c>
      <c r="R1696" s="16" t="s">
        <v>225</v>
      </c>
      <c r="S1696" s="16">
        <v>6.0872599999999997</v>
      </c>
      <c r="T1696" s="16">
        <v>0</v>
      </c>
      <c r="U1696" s="16">
        <v>0.58748000700000003</v>
      </c>
      <c r="V1696" s="16">
        <v>6</v>
      </c>
      <c r="W1696" s="16">
        <v>0.86311599999999999</v>
      </c>
      <c r="X1696" s="16">
        <v>0.63385800000000003</v>
      </c>
      <c r="Y1696" s="16">
        <v>0.83556699999999995</v>
      </c>
      <c r="Z1696" s="16">
        <v>0.35088799999999998</v>
      </c>
      <c r="AA1696" s="37"/>
    </row>
    <row r="1697" spans="1:27">
      <c r="A1697" s="16" t="s">
        <v>145</v>
      </c>
      <c r="B1697" s="16" t="s">
        <v>5561</v>
      </c>
      <c r="C1697" s="16" t="s">
        <v>5562</v>
      </c>
      <c r="D1697" s="16" t="s">
        <v>5563</v>
      </c>
      <c r="E1697" s="16" t="s">
        <v>5556</v>
      </c>
      <c r="F1697" s="16" t="s">
        <v>5557</v>
      </c>
      <c r="G1697" s="16" t="s">
        <v>412</v>
      </c>
      <c r="H1697" s="16" t="s">
        <v>413</v>
      </c>
      <c r="I1697" s="16" t="s">
        <v>198</v>
      </c>
      <c r="J1697" s="16" t="s">
        <v>199</v>
      </c>
      <c r="K1697" s="16">
        <v>1.9360219999999999</v>
      </c>
      <c r="L1697" s="36">
        <v>1663</v>
      </c>
      <c r="M1697" s="16">
        <v>254</v>
      </c>
      <c r="N1697" s="16">
        <v>236</v>
      </c>
      <c r="O1697" s="16">
        <v>188</v>
      </c>
      <c r="P1697" s="16">
        <v>518</v>
      </c>
      <c r="Q1697" s="16">
        <v>467</v>
      </c>
      <c r="R1697" s="16" t="s">
        <v>214</v>
      </c>
      <c r="S1697" s="16">
        <v>5.9016900000000003</v>
      </c>
      <c r="T1697" s="16">
        <v>0</v>
      </c>
      <c r="U1697" s="16">
        <v>0.89057790999999997</v>
      </c>
      <c r="V1697" s="16">
        <v>8</v>
      </c>
      <c r="W1697" s="16">
        <v>0.80522700000000003</v>
      </c>
      <c r="X1697" s="16">
        <v>0.19301199999999999</v>
      </c>
      <c r="Y1697" s="16">
        <v>0.8</v>
      </c>
      <c r="Z1697" s="16">
        <v>0.13658000000000001</v>
      </c>
      <c r="AA1697" s="37"/>
    </row>
    <row r="1698" spans="1:27">
      <c r="A1698" s="16"/>
      <c r="B1698" s="16"/>
      <c r="C1698" s="16"/>
      <c r="D1698" s="16"/>
      <c r="E1698" s="16"/>
      <c r="F1698" s="16"/>
      <c r="G1698" s="16"/>
      <c r="H1698" s="16"/>
      <c r="I1698" s="16"/>
      <c r="J1698" s="16"/>
      <c r="K1698" s="16">
        <f>MEDIAN(K1694:K1697)</f>
        <v>2.0946220000000002</v>
      </c>
      <c r="L1698" s="36">
        <f>AVERAGE(L1694:L1697)</f>
        <v>1691</v>
      </c>
      <c r="M1698" s="16">
        <f t="shared" ref="M1698:Q1698" si="155">SUM(M1694:M1697)</f>
        <v>1339</v>
      </c>
      <c r="N1698" s="16">
        <f t="shared" si="155"/>
        <v>1048</v>
      </c>
      <c r="O1698" s="16">
        <f t="shared" si="155"/>
        <v>1061</v>
      </c>
      <c r="P1698" s="16">
        <f t="shared" si="155"/>
        <v>1999</v>
      </c>
      <c r="Q1698" s="16">
        <f t="shared" si="155"/>
        <v>1317</v>
      </c>
      <c r="R1698" s="16">
        <f t="shared" ref="R1698:U1698" si="156">MIN(R1694:R1697)</f>
        <v>0</v>
      </c>
      <c r="S1698" s="16">
        <f t="shared" si="156"/>
        <v>4.0950100000000003</v>
      </c>
      <c r="T1698" s="16">
        <f t="shared" si="156"/>
        <v>0</v>
      </c>
      <c r="U1698" s="16">
        <f t="shared" si="156"/>
        <v>0.58748000700000003</v>
      </c>
      <c r="V1698" s="16">
        <f>MEDIAN(V1694:V1697)</f>
        <v>6.5</v>
      </c>
      <c r="W1698" s="16"/>
      <c r="X1698" s="16"/>
      <c r="Y1698" s="16"/>
      <c r="Z1698" s="16"/>
      <c r="AA1698" s="37"/>
    </row>
    <row r="1699" spans="1:27">
      <c r="A1699" s="16" t="s">
        <v>146</v>
      </c>
      <c r="B1699" s="16" t="s">
        <v>5564</v>
      </c>
      <c r="C1699" s="16" t="s">
        <v>5565</v>
      </c>
      <c r="D1699" s="16" t="s">
        <v>5566</v>
      </c>
      <c r="E1699" s="16" t="s">
        <v>5567</v>
      </c>
      <c r="F1699" s="16" t="s">
        <v>5568</v>
      </c>
      <c r="G1699" s="16" t="s">
        <v>412</v>
      </c>
      <c r="H1699" s="16" t="s">
        <v>413</v>
      </c>
      <c r="I1699" s="16" t="s">
        <v>198</v>
      </c>
      <c r="J1699" s="16" t="s">
        <v>199</v>
      </c>
      <c r="K1699" s="16">
        <v>2.2595299999999998</v>
      </c>
      <c r="L1699" s="36">
        <v>1582</v>
      </c>
      <c r="M1699" s="16">
        <v>367</v>
      </c>
      <c r="N1699" s="16">
        <v>232</v>
      </c>
      <c r="O1699" s="16">
        <v>272</v>
      </c>
      <c r="P1699" s="16">
        <v>439</v>
      </c>
      <c r="Q1699" s="16">
        <v>272</v>
      </c>
      <c r="R1699" s="16">
        <v>2</v>
      </c>
      <c r="S1699" s="16">
        <v>16.982600000000001</v>
      </c>
      <c r="T1699" s="16">
        <v>0</v>
      </c>
      <c r="U1699" s="16">
        <v>0.64355910100000002</v>
      </c>
      <c r="V1699" s="16">
        <v>10</v>
      </c>
      <c r="W1699" s="16">
        <v>0.84498600000000001</v>
      </c>
      <c r="X1699" s="16">
        <v>0.26684799999999997</v>
      </c>
      <c r="Y1699" s="16">
        <v>0.8</v>
      </c>
      <c r="Z1699" s="16">
        <v>0.35</v>
      </c>
      <c r="AA1699" s="37"/>
    </row>
    <row r="1700" spans="1:27">
      <c r="A1700" s="16" t="s">
        <v>146</v>
      </c>
      <c r="B1700" s="16" t="s">
        <v>5569</v>
      </c>
      <c r="C1700" s="16" t="s">
        <v>5570</v>
      </c>
      <c r="D1700" s="16" t="s">
        <v>5571</v>
      </c>
      <c r="E1700" s="16" t="s">
        <v>5567</v>
      </c>
      <c r="F1700" s="16" t="s">
        <v>5568</v>
      </c>
      <c r="G1700" s="16" t="s">
        <v>412</v>
      </c>
      <c r="H1700" s="16" t="s">
        <v>413</v>
      </c>
      <c r="I1700" s="16" t="s">
        <v>198</v>
      </c>
      <c r="J1700" s="16" t="s">
        <v>199</v>
      </c>
      <c r="K1700" s="16">
        <v>2.7341129999999998</v>
      </c>
      <c r="L1700" s="36">
        <v>1830</v>
      </c>
      <c r="M1700" s="16">
        <v>382</v>
      </c>
      <c r="N1700" s="16">
        <v>280</v>
      </c>
      <c r="O1700" s="16">
        <v>475</v>
      </c>
      <c r="P1700" s="16">
        <v>472</v>
      </c>
      <c r="Q1700" s="16">
        <v>221</v>
      </c>
      <c r="R1700" s="16">
        <v>3</v>
      </c>
      <c r="S1700" s="16">
        <v>20.626999999999999</v>
      </c>
      <c r="T1700" s="16">
        <v>1.7741</v>
      </c>
      <c r="U1700" s="16">
        <v>0.60257264099999996</v>
      </c>
      <c r="V1700" s="16">
        <v>6</v>
      </c>
      <c r="W1700" s="16">
        <v>0.91350100000000001</v>
      </c>
      <c r="X1700" s="16">
        <v>0.58548100000000003</v>
      </c>
      <c r="Y1700" s="16">
        <v>0.80171899999999996</v>
      </c>
      <c r="Z1700" s="16">
        <v>0.44436399999999998</v>
      </c>
      <c r="AA1700" s="37"/>
    </row>
    <row r="1701" spans="1:27">
      <c r="A1701" s="16" t="s">
        <v>146</v>
      </c>
      <c r="B1701" s="16" t="s">
        <v>5572</v>
      </c>
      <c r="C1701" s="16" t="s">
        <v>5573</v>
      </c>
      <c r="D1701" s="16" t="s">
        <v>5574</v>
      </c>
      <c r="E1701" s="16" t="s">
        <v>5567</v>
      </c>
      <c r="F1701" s="16" t="s">
        <v>5568</v>
      </c>
      <c r="G1701" s="16" t="s">
        <v>412</v>
      </c>
      <c r="H1701" s="16" t="s">
        <v>413</v>
      </c>
      <c r="I1701" s="16" t="s">
        <v>198</v>
      </c>
      <c r="J1701" s="16" t="s">
        <v>199</v>
      </c>
      <c r="K1701" s="16">
        <v>2.2396829999999999</v>
      </c>
      <c r="L1701" s="36">
        <v>1927</v>
      </c>
      <c r="M1701" s="16">
        <v>424</v>
      </c>
      <c r="N1701" s="16">
        <v>269</v>
      </c>
      <c r="O1701" s="16">
        <v>407</v>
      </c>
      <c r="P1701" s="16">
        <v>513</v>
      </c>
      <c r="Q1701" s="16">
        <v>314</v>
      </c>
      <c r="R1701" s="16" t="s">
        <v>225</v>
      </c>
      <c r="S1701" s="16">
        <v>11.5153</v>
      </c>
      <c r="T1701" s="16">
        <v>1.8946000000000001</v>
      </c>
      <c r="U1701" s="16">
        <v>0.785643914</v>
      </c>
      <c r="V1701" s="16">
        <v>8</v>
      </c>
      <c r="W1701" s="16">
        <v>0.85307900000000003</v>
      </c>
      <c r="X1701" s="16">
        <v>0.25812200000000002</v>
      </c>
      <c r="Y1701" s="16">
        <v>0.8</v>
      </c>
      <c r="Z1701" s="16">
        <v>0.33566400000000002</v>
      </c>
      <c r="AA1701" s="37"/>
    </row>
    <row r="1702" spans="1:27">
      <c r="A1702" s="16" t="s">
        <v>146</v>
      </c>
      <c r="B1702" s="16" t="s">
        <v>5575</v>
      </c>
      <c r="C1702" s="16" t="s">
        <v>5576</v>
      </c>
      <c r="D1702" s="16" t="s">
        <v>5577</v>
      </c>
      <c r="E1702" s="16" t="s">
        <v>5567</v>
      </c>
      <c r="F1702" s="16" t="s">
        <v>5568</v>
      </c>
      <c r="G1702" s="16" t="s">
        <v>412</v>
      </c>
      <c r="H1702" s="16" t="s">
        <v>413</v>
      </c>
      <c r="I1702" s="16" t="s">
        <v>198</v>
      </c>
      <c r="J1702" s="16" t="s">
        <v>199</v>
      </c>
      <c r="K1702" s="16">
        <v>2.2831389999999998</v>
      </c>
      <c r="L1702" s="36">
        <v>1916</v>
      </c>
      <c r="M1702" s="16">
        <v>389</v>
      </c>
      <c r="N1702" s="16">
        <v>301</v>
      </c>
      <c r="O1702" s="16">
        <v>381</v>
      </c>
      <c r="P1702" s="16">
        <v>486</v>
      </c>
      <c r="Q1702" s="16">
        <v>359</v>
      </c>
      <c r="R1702" s="16">
        <v>2</v>
      </c>
      <c r="S1702" s="16">
        <v>17.0901</v>
      </c>
      <c r="T1702" s="16">
        <v>0</v>
      </c>
      <c r="U1702" s="16">
        <v>0.74100675500000002</v>
      </c>
      <c r="V1702" s="16">
        <v>8</v>
      </c>
      <c r="W1702" s="16">
        <v>0.84505399999999997</v>
      </c>
      <c r="X1702" s="16">
        <v>0.28173700000000002</v>
      </c>
      <c r="Y1702" s="16">
        <v>0.811975</v>
      </c>
      <c r="Z1702" s="16">
        <v>0.34219899999999998</v>
      </c>
      <c r="AA1702" s="37"/>
    </row>
    <row r="1703" spans="1:27">
      <c r="A1703" s="16" t="s">
        <v>146</v>
      </c>
      <c r="B1703" s="16" t="s">
        <v>5578</v>
      </c>
      <c r="C1703" s="16" t="s">
        <v>5579</v>
      </c>
      <c r="D1703" s="16" t="s">
        <v>5580</v>
      </c>
      <c r="E1703" s="16" t="s">
        <v>5581</v>
      </c>
      <c r="F1703" s="16" t="s">
        <v>5582</v>
      </c>
      <c r="G1703" s="16" t="s">
        <v>412</v>
      </c>
      <c r="H1703" s="16" t="s">
        <v>413</v>
      </c>
      <c r="I1703" s="16" t="s">
        <v>198</v>
      </c>
      <c r="J1703" s="16" t="s">
        <v>199</v>
      </c>
      <c r="K1703" s="16">
        <v>2.5444840000000002</v>
      </c>
      <c r="L1703" s="36">
        <v>2205</v>
      </c>
      <c r="M1703" s="16">
        <v>523</v>
      </c>
      <c r="N1703" s="16">
        <v>378</v>
      </c>
      <c r="O1703" s="16">
        <v>595</v>
      </c>
      <c r="P1703" s="16">
        <v>484</v>
      </c>
      <c r="Q1703" s="16">
        <v>225</v>
      </c>
      <c r="R1703" s="16" t="s">
        <v>225</v>
      </c>
      <c r="S1703" s="16">
        <v>13.891400000000001</v>
      </c>
      <c r="T1703" s="16">
        <v>0</v>
      </c>
      <c r="U1703" s="16">
        <v>0.79743008999999998</v>
      </c>
      <c r="V1703" s="16">
        <v>5</v>
      </c>
      <c r="W1703" s="16">
        <v>0.89092499999999997</v>
      </c>
      <c r="X1703" s="16">
        <v>0.42188500000000001</v>
      </c>
      <c r="Y1703" s="16">
        <v>0.83354200000000001</v>
      </c>
      <c r="Z1703" s="16">
        <v>0.395897</v>
      </c>
      <c r="AA1703" s="37"/>
    </row>
    <row r="1704" spans="1:27">
      <c r="A1704" s="16"/>
      <c r="B1704" s="16"/>
      <c r="C1704" s="16"/>
      <c r="D1704" s="16"/>
      <c r="E1704" s="16"/>
      <c r="F1704" s="16"/>
      <c r="G1704" s="16"/>
      <c r="H1704" s="16"/>
      <c r="I1704" s="16"/>
      <c r="J1704" s="16"/>
      <c r="K1704" s="16">
        <f>MEDIAN(K1699:K1703)</f>
        <v>2.2831389999999998</v>
      </c>
      <c r="L1704" s="36">
        <f>AVERAGE(L1699:L1703)</f>
        <v>1892</v>
      </c>
      <c r="M1704" s="16">
        <f t="shared" ref="M1704:Q1704" si="157">SUM(M1699:M1703)</f>
        <v>2085</v>
      </c>
      <c r="N1704" s="16">
        <f t="shared" si="157"/>
        <v>1460</v>
      </c>
      <c r="O1704" s="16">
        <f t="shared" si="157"/>
        <v>2130</v>
      </c>
      <c r="P1704" s="16">
        <f t="shared" si="157"/>
        <v>2394</v>
      </c>
      <c r="Q1704" s="16">
        <f t="shared" si="157"/>
        <v>1391</v>
      </c>
      <c r="R1704" s="16"/>
      <c r="S1704" s="16">
        <f t="shared" ref="S1704:U1704" si="158">MIN(S1699:S1703)</f>
        <v>11.5153</v>
      </c>
      <c r="T1704" s="16">
        <f t="shared" si="158"/>
        <v>0</v>
      </c>
      <c r="U1704" s="16">
        <f t="shared" si="158"/>
        <v>0.60257264099999996</v>
      </c>
      <c r="V1704" s="16">
        <f>MEDIAN(V1699:V1703)</f>
        <v>8</v>
      </c>
      <c r="W1704" s="16"/>
      <c r="X1704" s="16"/>
      <c r="Y1704" s="16"/>
      <c r="Z1704" s="16"/>
      <c r="AA1704" s="37"/>
    </row>
    <row r="1705" spans="1:27">
      <c r="A1705" s="16" t="s">
        <v>147</v>
      </c>
      <c r="B1705" s="16" t="s">
        <v>5583</v>
      </c>
      <c r="C1705" s="16" t="s">
        <v>5584</v>
      </c>
      <c r="D1705" s="16" t="s">
        <v>5585</v>
      </c>
      <c r="E1705" s="16" t="s">
        <v>5581</v>
      </c>
      <c r="F1705" s="16" t="s">
        <v>5582</v>
      </c>
      <c r="G1705" s="16" t="s">
        <v>412</v>
      </c>
      <c r="H1705" s="16" t="s">
        <v>413</v>
      </c>
      <c r="I1705" s="16" t="s">
        <v>198</v>
      </c>
      <c r="J1705" s="16" t="s">
        <v>199</v>
      </c>
      <c r="K1705" s="16">
        <v>2.3448060000000002</v>
      </c>
      <c r="L1705" s="36">
        <v>2201</v>
      </c>
      <c r="M1705" s="16">
        <v>566</v>
      </c>
      <c r="N1705" s="16">
        <v>311</v>
      </c>
      <c r="O1705" s="16">
        <v>506</v>
      </c>
      <c r="P1705" s="16">
        <v>482</v>
      </c>
      <c r="Q1705" s="16">
        <v>336</v>
      </c>
      <c r="R1705" s="16" t="s">
        <v>225</v>
      </c>
      <c r="S1705" s="16">
        <v>5.2812299999999999</v>
      </c>
      <c r="T1705" s="16">
        <v>0</v>
      </c>
      <c r="U1705" s="16">
        <v>0.71191516700000002</v>
      </c>
      <c r="V1705" s="16">
        <v>7</v>
      </c>
      <c r="W1705" s="16">
        <v>0.91112300000000002</v>
      </c>
      <c r="X1705" s="16">
        <v>0.26610699999999998</v>
      </c>
      <c r="Y1705" s="16">
        <v>0.8</v>
      </c>
      <c r="Z1705" s="16">
        <v>0.368172</v>
      </c>
      <c r="AA1705" s="37"/>
    </row>
    <row r="1706" spans="1:27">
      <c r="A1706" s="16" t="s">
        <v>147</v>
      </c>
      <c r="B1706" s="16" t="s">
        <v>5586</v>
      </c>
      <c r="C1706" s="16" t="s">
        <v>5587</v>
      </c>
      <c r="D1706" s="16" t="s">
        <v>5588</v>
      </c>
      <c r="E1706" s="16" t="s">
        <v>573</v>
      </c>
      <c r="F1706" s="16" t="s">
        <v>574</v>
      </c>
      <c r="G1706" s="16" t="s">
        <v>412</v>
      </c>
      <c r="H1706" s="16" t="s">
        <v>413</v>
      </c>
      <c r="I1706" s="16" t="s">
        <v>198</v>
      </c>
      <c r="J1706" s="16" t="s">
        <v>199</v>
      </c>
      <c r="K1706" s="16">
        <v>2.3358249999999998</v>
      </c>
      <c r="L1706" s="36">
        <v>1676</v>
      </c>
      <c r="M1706" s="16">
        <v>384</v>
      </c>
      <c r="N1706" s="16">
        <v>213</v>
      </c>
      <c r="O1706" s="16">
        <v>302</v>
      </c>
      <c r="P1706" s="16">
        <v>380</v>
      </c>
      <c r="Q1706" s="16">
        <v>397</v>
      </c>
      <c r="R1706" s="16">
        <v>2</v>
      </c>
      <c r="S1706" s="16">
        <v>11.9483</v>
      </c>
      <c r="T1706" s="16">
        <v>0</v>
      </c>
      <c r="U1706" s="16">
        <v>0.63666665899999997</v>
      </c>
      <c r="V1706" s="16">
        <v>9</v>
      </c>
      <c r="W1706" s="16">
        <v>0.90692799999999996</v>
      </c>
      <c r="X1706" s="16">
        <v>0.21726400000000001</v>
      </c>
      <c r="Y1706" s="16">
        <v>0.8</v>
      </c>
      <c r="Z1706" s="16">
        <v>0.40449099999999999</v>
      </c>
      <c r="AA1706" s="37"/>
    </row>
    <row r="1707" spans="1:27">
      <c r="A1707" s="16" t="s">
        <v>147</v>
      </c>
      <c r="B1707" s="16" t="s">
        <v>5589</v>
      </c>
      <c r="C1707" s="16" t="s">
        <v>5590</v>
      </c>
      <c r="D1707" s="16" t="s">
        <v>5591</v>
      </c>
      <c r="E1707" s="16" t="s">
        <v>5592</v>
      </c>
      <c r="F1707" s="16" t="s">
        <v>5593</v>
      </c>
      <c r="G1707" s="16" t="s">
        <v>412</v>
      </c>
      <c r="H1707" s="16" t="s">
        <v>413</v>
      </c>
      <c r="I1707" s="16" t="s">
        <v>198</v>
      </c>
      <c r="J1707" s="16" t="s">
        <v>199</v>
      </c>
      <c r="K1707" s="16">
        <v>2.4695999999999998</v>
      </c>
      <c r="L1707" s="36">
        <v>2096</v>
      </c>
      <c r="M1707" s="16">
        <v>617</v>
      </c>
      <c r="N1707" s="16">
        <v>375</v>
      </c>
      <c r="O1707" s="16">
        <v>553</v>
      </c>
      <c r="P1707" s="16">
        <v>352</v>
      </c>
      <c r="Q1707" s="16">
        <v>199</v>
      </c>
      <c r="R1707" s="16" t="s">
        <v>225</v>
      </c>
      <c r="S1707" s="16">
        <v>7.4062200000000002</v>
      </c>
      <c r="T1707" s="16">
        <v>0</v>
      </c>
      <c r="U1707" s="16">
        <v>0.66970916700000005</v>
      </c>
      <c r="V1707" s="16">
        <v>6</v>
      </c>
      <c r="W1707" s="16">
        <v>0.91120000000000001</v>
      </c>
      <c r="X1707" s="16">
        <v>0.27388499999999999</v>
      </c>
      <c r="Y1707" s="16">
        <v>0.8</v>
      </c>
      <c r="Z1707" s="16">
        <v>0.48569200000000001</v>
      </c>
      <c r="AA1707" s="37"/>
    </row>
    <row r="1708" spans="1:27">
      <c r="A1708" s="16" t="s">
        <v>147</v>
      </c>
      <c r="B1708" s="16" t="s">
        <v>5594</v>
      </c>
      <c r="C1708" s="16" t="s">
        <v>5595</v>
      </c>
      <c r="D1708" s="16" t="s">
        <v>5596</v>
      </c>
      <c r="E1708" s="16" t="s">
        <v>5597</v>
      </c>
      <c r="F1708" s="16" t="s">
        <v>5598</v>
      </c>
      <c r="G1708" s="16" t="s">
        <v>412</v>
      </c>
      <c r="H1708" s="16" t="s">
        <v>413</v>
      </c>
      <c r="I1708" s="16" t="s">
        <v>198</v>
      </c>
      <c r="J1708" s="16" t="s">
        <v>199</v>
      </c>
      <c r="K1708" s="16">
        <v>2.6760229999999998</v>
      </c>
      <c r="L1708" s="36">
        <v>1765</v>
      </c>
      <c r="M1708" s="16">
        <v>300</v>
      </c>
      <c r="N1708" s="16">
        <v>376</v>
      </c>
      <c r="O1708" s="16">
        <v>406</v>
      </c>
      <c r="P1708" s="16">
        <v>431</v>
      </c>
      <c r="Q1708" s="16">
        <v>252</v>
      </c>
      <c r="R1708" s="16" t="s">
        <v>214</v>
      </c>
      <c r="S1708" s="16">
        <v>4.6686300000000003</v>
      </c>
      <c r="T1708" s="16">
        <v>0</v>
      </c>
      <c r="U1708" s="16">
        <v>0.65876318300000003</v>
      </c>
      <c r="V1708" s="16">
        <v>5</v>
      </c>
      <c r="W1708" s="16">
        <v>0.91808500000000004</v>
      </c>
      <c r="X1708" s="16">
        <v>0.47334999999999999</v>
      </c>
      <c r="Y1708" s="16">
        <v>0.852576</v>
      </c>
      <c r="Z1708" s="16">
        <v>0.43947999999999998</v>
      </c>
      <c r="AA1708" s="37"/>
    </row>
    <row r="1709" spans="1:27">
      <c r="A1709" s="16" t="s">
        <v>147</v>
      </c>
      <c r="B1709" s="16" t="s">
        <v>5599</v>
      </c>
      <c r="C1709" s="16" t="s">
        <v>5600</v>
      </c>
      <c r="D1709" s="16" t="s">
        <v>5601</v>
      </c>
      <c r="E1709" s="16" t="s">
        <v>5597</v>
      </c>
      <c r="F1709" s="16" t="s">
        <v>5598</v>
      </c>
      <c r="G1709" s="16" t="s">
        <v>412</v>
      </c>
      <c r="H1709" s="16" t="s">
        <v>413</v>
      </c>
      <c r="I1709" s="16" t="s">
        <v>198</v>
      </c>
      <c r="J1709" s="16" t="s">
        <v>199</v>
      </c>
      <c r="K1709" s="16">
        <v>2.3044560000000001</v>
      </c>
      <c r="L1709" s="36">
        <v>1804</v>
      </c>
      <c r="M1709" s="16">
        <v>344</v>
      </c>
      <c r="N1709" s="16">
        <v>335</v>
      </c>
      <c r="O1709" s="16">
        <v>449</v>
      </c>
      <c r="P1709" s="16">
        <v>408</v>
      </c>
      <c r="Q1709" s="16">
        <v>268</v>
      </c>
      <c r="R1709" s="16" t="s">
        <v>214</v>
      </c>
      <c r="S1709" s="16">
        <v>6.9846399999999997</v>
      </c>
      <c r="T1709" s="16">
        <v>0</v>
      </c>
      <c r="U1709" s="16">
        <v>0.72180700900000005</v>
      </c>
      <c r="V1709" s="16">
        <v>8</v>
      </c>
      <c r="W1709" s="16">
        <v>0.901451</v>
      </c>
      <c r="X1709" s="16">
        <v>0.15316099999999999</v>
      </c>
      <c r="Y1709" s="16">
        <v>0.80093199999999998</v>
      </c>
      <c r="Z1709" s="16">
        <v>0.44994800000000001</v>
      </c>
      <c r="AA1709" s="37"/>
    </row>
    <row r="1710" spans="1:27">
      <c r="A1710" s="16" t="s">
        <v>147</v>
      </c>
      <c r="B1710" s="16" t="s">
        <v>5602</v>
      </c>
      <c r="C1710" s="16" t="s">
        <v>5603</v>
      </c>
      <c r="D1710" s="16" t="s">
        <v>5604</v>
      </c>
      <c r="E1710" s="16" t="s">
        <v>5605</v>
      </c>
      <c r="F1710" s="16" t="s">
        <v>5606</v>
      </c>
      <c r="G1710" s="16" t="s">
        <v>412</v>
      </c>
      <c r="H1710" s="16" t="s">
        <v>413</v>
      </c>
      <c r="I1710" s="16" t="s">
        <v>198</v>
      </c>
      <c r="J1710" s="16" t="s">
        <v>199</v>
      </c>
      <c r="K1710" s="16">
        <v>2.3469519999999999</v>
      </c>
      <c r="L1710" s="36">
        <v>1655</v>
      </c>
      <c r="M1710" s="16">
        <v>395</v>
      </c>
      <c r="N1710" s="16">
        <v>209</v>
      </c>
      <c r="O1710" s="16">
        <v>290</v>
      </c>
      <c r="P1710" s="16">
        <v>383</v>
      </c>
      <c r="Q1710" s="16">
        <v>378</v>
      </c>
      <c r="R1710" s="16" t="s">
        <v>225</v>
      </c>
      <c r="S1710" s="16">
        <v>7.1982200000000001</v>
      </c>
      <c r="T1710" s="16">
        <v>2.3320400000000001</v>
      </c>
      <c r="U1710" s="16">
        <v>0.85080226400000003</v>
      </c>
      <c r="V1710" s="16">
        <v>5</v>
      </c>
      <c r="W1710" s="16">
        <v>0.90726300000000004</v>
      </c>
      <c r="X1710" s="16">
        <v>0.17974000000000001</v>
      </c>
      <c r="Y1710" s="16">
        <v>0.8</v>
      </c>
      <c r="Z1710" s="16">
        <v>0.45451000000000003</v>
      </c>
      <c r="AA1710" s="37"/>
    </row>
    <row r="1711" spans="1:27">
      <c r="A1711" s="16" t="s">
        <v>147</v>
      </c>
      <c r="B1711" s="16" t="s">
        <v>5578</v>
      </c>
      <c r="C1711" s="16" t="s">
        <v>5579</v>
      </c>
      <c r="D1711" s="16" t="s">
        <v>5580</v>
      </c>
      <c r="E1711" s="16" t="s">
        <v>5581</v>
      </c>
      <c r="F1711" s="16" t="s">
        <v>5582</v>
      </c>
      <c r="G1711" s="16" t="s">
        <v>412</v>
      </c>
      <c r="H1711" s="16" t="s">
        <v>413</v>
      </c>
      <c r="I1711" s="16" t="s">
        <v>198</v>
      </c>
      <c r="J1711" s="16" t="s">
        <v>199</v>
      </c>
      <c r="K1711" s="16">
        <v>2.5444840000000002</v>
      </c>
      <c r="L1711" s="36">
        <v>2205</v>
      </c>
      <c r="M1711" s="16">
        <v>523</v>
      </c>
      <c r="N1711" s="16">
        <v>378</v>
      </c>
      <c r="O1711" s="16">
        <v>595</v>
      </c>
      <c r="P1711" s="16">
        <v>484</v>
      </c>
      <c r="Q1711" s="16">
        <v>225</v>
      </c>
      <c r="R1711" s="16" t="s">
        <v>225</v>
      </c>
      <c r="S1711" s="16">
        <v>13.891400000000001</v>
      </c>
      <c r="T1711" s="16">
        <v>0</v>
      </c>
      <c r="U1711" s="16">
        <v>0.79743008999999998</v>
      </c>
      <c r="V1711" s="16">
        <v>5</v>
      </c>
      <c r="W1711" s="16">
        <v>0.89092499999999997</v>
      </c>
      <c r="X1711" s="16">
        <v>0.42188500000000001</v>
      </c>
      <c r="Y1711" s="16">
        <v>0.83354200000000001</v>
      </c>
      <c r="Z1711" s="16">
        <v>0.395897</v>
      </c>
      <c r="AA1711" s="37"/>
    </row>
    <row r="1712" spans="1:27">
      <c r="A1712" s="16"/>
      <c r="B1712" s="16"/>
      <c r="C1712" s="16"/>
      <c r="D1712" s="16"/>
      <c r="E1712" s="16"/>
      <c r="F1712" s="16"/>
      <c r="G1712" s="16"/>
      <c r="H1712" s="16"/>
      <c r="I1712" s="16"/>
      <c r="J1712" s="16"/>
      <c r="K1712" s="16">
        <f>MEDIAN(K1705:K1711)</f>
        <v>2.3469519999999999</v>
      </c>
      <c r="L1712" s="36">
        <f>AVERAGE(L1705:L1711)</f>
        <v>1914.5714285714287</v>
      </c>
      <c r="M1712" s="16">
        <f t="shared" ref="M1712:Q1712" si="159">SUM(M1705:M1711)</f>
        <v>3129</v>
      </c>
      <c r="N1712" s="16">
        <f t="shared" si="159"/>
        <v>2197</v>
      </c>
      <c r="O1712" s="16">
        <f t="shared" si="159"/>
        <v>3101</v>
      </c>
      <c r="P1712" s="16">
        <f t="shared" si="159"/>
        <v>2920</v>
      </c>
      <c r="Q1712" s="16">
        <f t="shared" si="159"/>
        <v>2055</v>
      </c>
      <c r="R1712" s="16"/>
      <c r="S1712" s="16">
        <f t="shared" ref="S1712:U1712" si="160">MIN(S1705:S1711)</f>
        <v>4.6686300000000003</v>
      </c>
      <c r="T1712" s="16">
        <f t="shared" si="160"/>
        <v>0</v>
      </c>
      <c r="U1712" s="16">
        <f t="shared" si="160"/>
        <v>0.63666665899999997</v>
      </c>
      <c r="V1712" s="16">
        <f>MEDIAN(V1705:V1711)</f>
        <v>6</v>
      </c>
      <c r="W1712" s="16"/>
      <c r="X1712" s="16"/>
      <c r="Y1712" s="16"/>
      <c r="Z1712" s="16"/>
      <c r="AA1712" s="37"/>
    </row>
    <row r="1713" spans="1:27">
      <c r="A1713" s="16" t="s">
        <v>148</v>
      </c>
      <c r="B1713" s="16" t="s">
        <v>5607</v>
      </c>
      <c r="C1713" s="16" t="s">
        <v>5608</v>
      </c>
      <c r="D1713" s="16" t="s">
        <v>5609</v>
      </c>
      <c r="E1713" s="16" t="s">
        <v>430</v>
      </c>
      <c r="F1713" s="16" t="s">
        <v>431</v>
      </c>
      <c r="G1713" s="16" t="s">
        <v>412</v>
      </c>
      <c r="H1713" s="16" t="s">
        <v>413</v>
      </c>
      <c r="I1713" s="16" t="s">
        <v>198</v>
      </c>
      <c r="J1713" s="16" t="s">
        <v>199</v>
      </c>
      <c r="K1713" s="16">
        <v>2.449065</v>
      </c>
      <c r="L1713" s="36">
        <v>2328</v>
      </c>
      <c r="M1713" s="16">
        <v>709</v>
      </c>
      <c r="N1713" s="16">
        <v>506</v>
      </c>
      <c r="O1713" s="16">
        <v>472</v>
      </c>
      <c r="P1713" s="16">
        <v>321</v>
      </c>
      <c r="Q1713" s="16">
        <v>320</v>
      </c>
      <c r="R1713" s="16">
        <v>3</v>
      </c>
      <c r="S1713" s="16">
        <v>19.964400000000001</v>
      </c>
      <c r="T1713" s="16">
        <v>5.7245299999999997</v>
      </c>
      <c r="U1713" s="16">
        <v>0.66089662400000004</v>
      </c>
      <c r="V1713" s="16">
        <v>7</v>
      </c>
      <c r="W1713" s="16">
        <v>0.91666700000000001</v>
      </c>
      <c r="X1713" s="16">
        <v>0.23468800000000001</v>
      </c>
      <c r="Y1713" s="16">
        <v>0.8</v>
      </c>
      <c r="Z1713" s="16">
        <v>0.52562500000000001</v>
      </c>
      <c r="AA1713" s="37"/>
    </row>
    <row r="1714" spans="1:27">
      <c r="A1714" s="16" t="s">
        <v>148</v>
      </c>
      <c r="B1714" s="16" t="s">
        <v>432</v>
      </c>
      <c r="C1714" s="16" t="s">
        <v>433</v>
      </c>
      <c r="D1714" s="16" t="s">
        <v>434</v>
      </c>
      <c r="E1714" s="16" t="s">
        <v>430</v>
      </c>
      <c r="F1714" s="16" t="s">
        <v>431</v>
      </c>
      <c r="G1714" s="16" t="s">
        <v>412</v>
      </c>
      <c r="H1714" s="16" t="s">
        <v>413</v>
      </c>
      <c r="I1714" s="16" t="s">
        <v>198</v>
      </c>
      <c r="J1714" s="16" t="s">
        <v>199</v>
      </c>
      <c r="K1714" s="16">
        <v>2.5408930000000001</v>
      </c>
      <c r="L1714" s="36">
        <v>2080</v>
      </c>
      <c r="M1714" s="16">
        <v>622</v>
      </c>
      <c r="N1714" s="16">
        <v>415</v>
      </c>
      <c r="O1714" s="16">
        <v>528</v>
      </c>
      <c r="P1714" s="16">
        <v>330</v>
      </c>
      <c r="Q1714" s="16">
        <v>185</v>
      </c>
      <c r="R1714" s="16">
        <v>4</v>
      </c>
      <c r="S1714" s="16">
        <v>29.646599999999999</v>
      </c>
      <c r="T1714" s="16">
        <v>10.9031</v>
      </c>
      <c r="U1714" s="16">
        <v>0.67745957700000003</v>
      </c>
      <c r="V1714" s="16">
        <v>5</v>
      </c>
      <c r="W1714" s="16">
        <v>0.914107</v>
      </c>
      <c r="X1714" s="16">
        <v>0.23417299999999999</v>
      </c>
      <c r="Y1714" s="16">
        <v>0.8</v>
      </c>
      <c r="Z1714" s="16">
        <v>0.60513300000000003</v>
      </c>
      <c r="AA1714" s="37"/>
    </row>
    <row r="1715" spans="1:27">
      <c r="A1715" s="16" t="s">
        <v>148</v>
      </c>
      <c r="B1715" s="16" t="s">
        <v>5610</v>
      </c>
      <c r="C1715" s="16" t="s">
        <v>5611</v>
      </c>
      <c r="D1715" s="16" t="s">
        <v>5612</v>
      </c>
      <c r="E1715" s="16" t="s">
        <v>5605</v>
      </c>
      <c r="F1715" s="16" t="s">
        <v>5606</v>
      </c>
      <c r="G1715" s="16" t="s">
        <v>412</v>
      </c>
      <c r="H1715" s="16" t="s">
        <v>413</v>
      </c>
      <c r="I1715" s="16" t="s">
        <v>198</v>
      </c>
      <c r="J1715" s="16" t="s">
        <v>199</v>
      </c>
      <c r="K1715" s="16">
        <v>2.494062</v>
      </c>
      <c r="L1715" s="36">
        <v>2206</v>
      </c>
      <c r="M1715" s="16">
        <v>457</v>
      </c>
      <c r="N1715" s="16">
        <v>562</v>
      </c>
      <c r="O1715" s="16">
        <v>584</v>
      </c>
      <c r="P1715" s="16">
        <v>382</v>
      </c>
      <c r="Q1715" s="16">
        <v>221</v>
      </c>
      <c r="R1715" s="16">
        <v>3</v>
      </c>
      <c r="S1715" s="16">
        <v>24.137799999999999</v>
      </c>
      <c r="T1715" s="16">
        <v>5.12324</v>
      </c>
      <c r="U1715" s="16">
        <v>0.62476920499999999</v>
      </c>
      <c r="V1715" s="16">
        <v>8</v>
      </c>
      <c r="W1715" s="16">
        <v>0.91198299999999999</v>
      </c>
      <c r="X1715" s="16">
        <v>0.21401300000000001</v>
      </c>
      <c r="Y1715" s="16">
        <v>0.8</v>
      </c>
      <c r="Z1715" s="16">
        <v>0.57237000000000005</v>
      </c>
      <c r="AA1715" s="37"/>
    </row>
    <row r="1716" spans="1:27">
      <c r="A1716" s="16" t="s">
        <v>148</v>
      </c>
      <c r="B1716" s="16" t="s">
        <v>5613</v>
      </c>
      <c r="C1716" s="16" t="s">
        <v>5614</v>
      </c>
      <c r="D1716" s="16" t="s">
        <v>5615</v>
      </c>
      <c r="E1716" s="16" t="s">
        <v>5597</v>
      </c>
      <c r="F1716" s="16" t="s">
        <v>5598</v>
      </c>
      <c r="G1716" s="16" t="s">
        <v>412</v>
      </c>
      <c r="H1716" s="16" t="s">
        <v>413</v>
      </c>
      <c r="I1716" s="16" t="s">
        <v>198</v>
      </c>
      <c r="J1716" s="16" t="s">
        <v>199</v>
      </c>
      <c r="K1716" s="16">
        <v>2.920131</v>
      </c>
      <c r="L1716" s="36">
        <v>2086</v>
      </c>
      <c r="M1716" s="16">
        <v>363</v>
      </c>
      <c r="N1716" s="16">
        <v>461</v>
      </c>
      <c r="O1716" s="16">
        <v>612</v>
      </c>
      <c r="P1716" s="16">
        <v>485</v>
      </c>
      <c r="Q1716" s="16">
        <v>165</v>
      </c>
      <c r="R1716" s="16">
        <v>2</v>
      </c>
      <c r="S1716" s="16">
        <v>16.575800000000001</v>
      </c>
      <c r="T1716" s="16">
        <v>0</v>
      </c>
      <c r="U1716" s="16">
        <v>0.54142769800000001</v>
      </c>
      <c r="V1716" s="16">
        <v>4</v>
      </c>
      <c r="W1716" s="16">
        <v>0.92423999999999995</v>
      </c>
      <c r="X1716" s="16">
        <v>0.58599699999999999</v>
      </c>
      <c r="Y1716" s="16">
        <v>0.811944</v>
      </c>
      <c r="Z1716" s="16">
        <v>0.60240300000000002</v>
      </c>
      <c r="AA1716" s="37"/>
    </row>
    <row r="1717" spans="1:27">
      <c r="A1717" s="16" t="s">
        <v>148</v>
      </c>
      <c r="B1717" s="16" t="s">
        <v>5594</v>
      </c>
      <c r="C1717" s="16" t="s">
        <v>5595</v>
      </c>
      <c r="D1717" s="16" t="s">
        <v>5596</v>
      </c>
      <c r="E1717" s="16" t="s">
        <v>5597</v>
      </c>
      <c r="F1717" s="16" t="s">
        <v>5598</v>
      </c>
      <c r="G1717" s="16" t="s">
        <v>412</v>
      </c>
      <c r="H1717" s="16" t="s">
        <v>413</v>
      </c>
      <c r="I1717" s="16" t="s">
        <v>198</v>
      </c>
      <c r="J1717" s="16" t="s">
        <v>199</v>
      </c>
      <c r="K1717" s="16">
        <v>2.6760229999999998</v>
      </c>
      <c r="L1717" s="36">
        <v>1765</v>
      </c>
      <c r="M1717" s="16">
        <v>300</v>
      </c>
      <c r="N1717" s="16">
        <v>376</v>
      </c>
      <c r="O1717" s="16">
        <v>406</v>
      </c>
      <c r="P1717" s="16">
        <v>431</v>
      </c>
      <c r="Q1717" s="16">
        <v>252</v>
      </c>
      <c r="R1717" s="16" t="s">
        <v>214</v>
      </c>
      <c r="S1717" s="16">
        <v>4.6686300000000003</v>
      </c>
      <c r="T1717" s="16">
        <v>0</v>
      </c>
      <c r="U1717" s="16">
        <v>0.65876318300000003</v>
      </c>
      <c r="V1717" s="16">
        <v>5</v>
      </c>
      <c r="W1717" s="16">
        <v>0.91808500000000004</v>
      </c>
      <c r="X1717" s="16">
        <v>0.47334999999999999</v>
      </c>
      <c r="Y1717" s="16">
        <v>0.852576</v>
      </c>
      <c r="Z1717" s="16">
        <v>0.43947999999999998</v>
      </c>
      <c r="AA1717" s="37"/>
    </row>
    <row r="1718" spans="1:27">
      <c r="A1718" s="16" t="s">
        <v>148</v>
      </c>
      <c r="B1718" s="16" t="s">
        <v>5616</v>
      </c>
      <c r="C1718" s="16" t="s">
        <v>5617</v>
      </c>
      <c r="D1718" s="16" t="s">
        <v>5618</v>
      </c>
      <c r="E1718" s="16" t="s">
        <v>5597</v>
      </c>
      <c r="F1718" s="16" t="s">
        <v>5598</v>
      </c>
      <c r="G1718" s="16" t="s">
        <v>412</v>
      </c>
      <c r="H1718" s="16" t="s">
        <v>413</v>
      </c>
      <c r="I1718" s="16" t="s">
        <v>198</v>
      </c>
      <c r="J1718" s="16" t="s">
        <v>199</v>
      </c>
      <c r="K1718" s="16">
        <v>2.6915209999999998</v>
      </c>
      <c r="L1718" s="36">
        <v>1993</v>
      </c>
      <c r="M1718" s="16">
        <v>371</v>
      </c>
      <c r="N1718" s="16">
        <v>414</v>
      </c>
      <c r="O1718" s="16">
        <v>490</v>
      </c>
      <c r="P1718" s="16">
        <v>472</v>
      </c>
      <c r="Q1718" s="16">
        <v>246</v>
      </c>
      <c r="R1718" s="16">
        <v>3</v>
      </c>
      <c r="S1718" s="16">
        <v>22.2302</v>
      </c>
      <c r="T1718" s="16">
        <v>2.2209699999999999</v>
      </c>
      <c r="U1718" s="16">
        <v>0.55010369299999995</v>
      </c>
      <c r="V1718" s="16">
        <v>7</v>
      </c>
      <c r="W1718" s="16">
        <v>0.91920199999999996</v>
      </c>
      <c r="X1718" s="16">
        <v>0.415155</v>
      </c>
      <c r="Y1718" s="16">
        <v>0.8</v>
      </c>
      <c r="Z1718" s="16">
        <v>0.571322</v>
      </c>
      <c r="AA1718" s="37"/>
    </row>
    <row r="1719" spans="1:27">
      <c r="A1719" s="16" t="s">
        <v>148</v>
      </c>
      <c r="B1719" s="16" t="s">
        <v>5619</v>
      </c>
      <c r="C1719" s="16" t="s">
        <v>5620</v>
      </c>
      <c r="D1719" s="16" t="s">
        <v>5621</v>
      </c>
      <c r="E1719" s="16" t="s">
        <v>5592</v>
      </c>
      <c r="F1719" s="16" t="s">
        <v>5593</v>
      </c>
      <c r="G1719" s="16" t="s">
        <v>412</v>
      </c>
      <c r="H1719" s="16" t="s">
        <v>413</v>
      </c>
      <c r="I1719" s="16" t="s">
        <v>198</v>
      </c>
      <c r="J1719" s="16" t="s">
        <v>199</v>
      </c>
      <c r="K1719" s="16">
        <v>2.694105</v>
      </c>
      <c r="L1719" s="36">
        <v>2164</v>
      </c>
      <c r="M1719" s="16">
        <v>344</v>
      </c>
      <c r="N1719" s="16">
        <v>478</v>
      </c>
      <c r="O1719" s="16">
        <v>580</v>
      </c>
      <c r="P1719" s="16">
        <v>473</v>
      </c>
      <c r="Q1719" s="16">
        <v>289</v>
      </c>
      <c r="R1719" s="16">
        <v>4</v>
      </c>
      <c r="S1719" s="16">
        <v>27.248100000000001</v>
      </c>
      <c r="T1719" s="16">
        <v>0</v>
      </c>
      <c r="U1719" s="16">
        <v>0.63949045599999998</v>
      </c>
      <c r="V1719" s="16">
        <v>5</v>
      </c>
      <c r="W1719" s="16">
        <v>0.915327</v>
      </c>
      <c r="X1719" s="16">
        <v>0.34822799999999998</v>
      </c>
      <c r="Y1719" s="16">
        <v>0.8</v>
      </c>
      <c r="Z1719" s="16">
        <v>0.62540200000000001</v>
      </c>
      <c r="AA1719" s="37"/>
    </row>
    <row r="1720" spans="1:27">
      <c r="A1720" s="16" t="s">
        <v>148</v>
      </c>
      <c r="B1720" s="16" t="s">
        <v>5622</v>
      </c>
      <c r="C1720" s="16" t="s">
        <v>5623</v>
      </c>
      <c r="D1720" s="16" t="s">
        <v>5624</v>
      </c>
      <c r="E1720" s="16" t="s">
        <v>5592</v>
      </c>
      <c r="F1720" s="16" t="s">
        <v>5593</v>
      </c>
      <c r="G1720" s="16" t="s">
        <v>412</v>
      </c>
      <c r="H1720" s="16" t="s">
        <v>413</v>
      </c>
      <c r="I1720" s="16" t="s">
        <v>198</v>
      </c>
      <c r="J1720" s="16" t="s">
        <v>199</v>
      </c>
      <c r="K1720" s="16">
        <v>2.4658479999999998</v>
      </c>
      <c r="L1720" s="36">
        <v>1866</v>
      </c>
      <c r="M1720" s="16">
        <v>596</v>
      </c>
      <c r="N1720" s="16">
        <v>334</v>
      </c>
      <c r="O1720" s="16">
        <v>400</v>
      </c>
      <c r="P1720" s="16">
        <v>298</v>
      </c>
      <c r="Q1720" s="16">
        <v>238</v>
      </c>
      <c r="R1720" s="16">
        <v>3</v>
      </c>
      <c r="S1720" s="16">
        <v>19.258500000000002</v>
      </c>
      <c r="T1720" s="16">
        <v>0</v>
      </c>
      <c r="U1720" s="16">
        <v>0.608039942</v>
      </c>
      <c r="V1720" s="16">
        <v>8</v>
      </c>
      <c r="W1720" s="16">
        <v>0.90832400000000002</v>
      </c>
      <c r="X1720" s="16">
        <v>0.19489400000000001</v>
      </c>
      <c r="Y1720" s="16">
        <v>0.8</v>
      </c>
      <c r="Z1720" s="16">
        <v>0.55164400000000002</v>
      </c>
      <c r="AA1720" s="37"/>
    </row>
    <row r="1721" spans="1:27">
      <c r="A1721" s="16" t="s">
        <v>148</v>
      </c>
      <c r="B1721" s="16" t="s">
        <v>5625</v>
      </c>
      <c r="C1721" s="16" t="s">
        <v>5626</v>
      </c>
      <c r="D1721" s="16" t="s">
        <v>5627</v>
      </c>
      <c r="E1721" s="16" t="s">
        <v>5605</v>
      </c>
      <c r="F1721" s="16" t="s">
        <v>5606</v>
      </c>
      <c r="G1721" s="16" t="s">
        <v>412</v>
      </c>
      <c r="H1721" s="16" t="s">
        <v>413</v>
      </c>
      <c r="I1721" s="16" t="s">
        <v>198</v>
      </c>
      <c r="J1721" s="16" t="s">
        <v>199</v>
      </c>
      <c r="K1721" s="16">
        <v>2.4544410000000001</v>
      </c>
      <c r="L1721" s="36">
        <v>2134</v>
      </c>
      <c r="M1721" s="16">
        <v>366</v>
      </c>
      <c r="N1721" s="16">
        <v>471</v>
      </c>
      <c r="O1721" s="16">
        <v>580</v>
      </c>
      <c r="P1721" s="16">
        <v>484</v>
      </c>
      <c r="Q1721" s="16">
        <v>233</v>
      </c>
      <c r="R1721" s="16">
        <v>4</v>
      </c>
      <c r="S1721" s="16">
        <v>23.120100000000001</v>
      </c>
      <c r="T1721" s="16">
        <v>9.7528199999999998</v>
      </c>
      <c r="U1721" s="16">
        <v>0.64689083400000003</v>
      </c>
      <c r="V1721" s="16">
        <v>8</v>
      </c>
      <c r="W1721" s="16">
        <v>0.90558700000000003</v>
      </c>
      <c r="X1721" s="16">
        <v>0.13342899999999999</v>
      </c>
      <c r="Y1721" s="16">
        <v>0.8</v>
      </c>
      <c r="Z1721" s="16">
        <v>0.61153800000000003</v>
      </c>
      <c r="AA1721" s="37"/>
    </row>
    <row r="1722" spans="1:27">
      <c r="A1722" s="37"/>
      <c r="B1722" s="37"/>
      <c r="C1722" s="37"/>
      <c r="D1722" s="37"/>
      <c r="E1722" s="37"/>
      <c r="F1722" s="37"/>
      <c r="G1722" s="37"/>
      <c r="H1722" s="37"/>
      <c r="I1722" s="37"/>
      <c r="J1722" s="37"/>
      <c r="K1722" s="37">
        <f>MEDIAN(K1713:K1721)</f>
        <v>2.5408930000000001</v>
      </c>
      <c r="L1722" s="42">
        <f>AVERAGE(L1713:L1721)</f>
        <v>2069.1111111111113</v>
      </c>
      <c r="M1722" s="37">
        <f t="shared" ref="M1722:Q1722" si="161">SUM(M1713:M1721)</f>
        <v>4128</v>
      </c>
      <c r="N1722" s="37">
        <f t="shared" si="161"/>
        <v>4017</v>
      </c>
      <c r="O1722" s="37">
        <f t="shared" si="161"/>
        <v>4652</v>
      </c>
      <c r="P1722" s="37">
        <f t="shared" si="161"/>
        <v>3676</v>
      </c>
      <c r="Q1722" s="37">
        <f t="shared" si="161"/>
        <v>2149</v>
      </c>
      <c r="R1722" s="37"/>
      <c r="S1722" s="37">
        <f t="shared" ref="S1722:U1722" si="162">MIN(S1713:S1721)</f>
        <v>4.6686300000000003</v>
      </c>
      <c r="T1722" s="37">
        <f t="shared" si="162"/>
        <v>0</v>
      </c>
      <c r="U1722" s="37">
        <f t="shared" si="162"/>
        <v>0.54142769800000001</v>
      </c>
      <c r="V1722" s="37">
        <f>MEDIAN(V1713:V1721)</f>
        <v>7</v>
      </c>
      <c r="W1722" s="37"/>
      <c r="X1722" s="37"/>
      <c r="Y1722" s="37"/>
      <c r="Z1722" s="37"/>
      <c r="AA1722" s="37"/>
    </row>
    <row r="1723" spans="1:27">
      <c r="A1723" s="37"/>
      <c r="B1723" s="37"/>
      <c r="C1723" s="37"/>
      <c r="D1723" s="37"/>
      <c r="E1723" s="37"/>
      <c r="F1723" s="37"/>
      <c r="G1723" s="37"/>
      <c r="H1723" s="37"/>
      <c r="I1723" s="37"/>
      <c r="J1723" s="37"/>
      <c r="K1723" s="37"/>
      <c r="L1723" s="37"/>
      <c r="M1723" s="37"/>
      <c r="N1723" s="37"/>
      <c r="O1723" s="37"/>
      <c r="P1723" s="37"/>
      <c r="Q1723" s="37"/>
      <c r="R1723" s="37"/>
      <c r="S1723" s="37"/>
      <c r="T1723" s="37"/>
      <c r="U1723" s="37"/>
      <c r="V1723" s="37"/>
      <c r="W1723" s="37"/>
      <c r="X1723" s="37"/>
      <c r="Y1723" s="37"/>
      <c r="Z1723" s="37"/>
      <c r="AA1723" s="37"/>
    </row>
    <row r="1724" spans="1:27">
      <c r="A1724" s="37"/>
      <c r="B1724" s="37"/>
      <c r="C1724" s="37"/>
      <c r="D1724" s="37"/>
      <c r="E1724" s="37"/>
      <c r="F1724" s="37"/>
      <c r="G1724" s="37"/>
      <c r="H1724" s="37"/>
      <c r="I1724" s="37"/>
      <c r="J1724" s="37"/>
      <c r="K1724" s="37"/>
      <c r="L1724" s="37"/>
      <c r="M1724" s="37"/>
      <c r="N1724" s="37"/>
      <c r="O1724" s="37"/>
      <c r="P1724" s="37"/>
      <c r="Q1724" s="37"/>
      <c r="R1724" s="37"/>
      <c r="S1724" s="37"/>
      <c r="T1724" s="37"/>
      <c r="U1724" s="37"/>
      <c r="V1724" s="37"/>
      <c r="W1724" s="37"/>
      <c r="X1724" s="37"/>
      <c r="Y1724" s="37"/>
      <c r="Z1724" s="37"/>
      <c r="AA1724" s="37"/>
    </row>
    <row r="1725" spans="1:27">
      <c r="A1725" s="37"/>
      <c r="B1725" s="37"/>
      <c r="C1725" s="37"/>
      <c r="D1725" s="37"/>
      <c r="E1725" s="37"/>
      <c r="F1725" s="37"/>
      <c r="G1725" s="37"/>
      <c r="H1725" s="37"/>
      <c r="I1725" s="37"/>
      <c r="J1725" s="37"/>
      <c r="K1725" s="37"/>
      <c r="L1725" s="37"/>
      <c r="M1725" s="37"/>
      <c r="N1725" s="37"/>
      <c r="O1725" s="37"/>
      <c r="P1725" s="37"/>
      <c r="Q1725" s="37"/>
      <c r="R1725" s="37"/>
      <c r="S1725" s="37"/>
      <c r="T1725" s="37"/>
      <c r="U1725" s="37"/>
      <c r="V1725" s="37"/>
      <c r="W1725" s="37"/>
      <c r="X1725" s="37"/>
      <c r="Y1725" s="37"/>
      <c r="Z1725" s="37"/>
      <c r="AA1725" s="37"/>
    </row>
    <row r="1726" spans="1:27">
      <c r="A1726" s="37"/>
      <c r="B1726" s="16" t="s">
        <v>1274</v>
      </c>
      <c r="C1726" s="16" t="s">
        <v>1275</v>
      </c>
      <c r="D1726" s="16" t="s">
        <v>1276</v>
      </c>
      <c r="E1726" s="16" t="s">
        <v>871</v>
      </c>
      <c r="F1726" s="16" t="s">
        <v>872</v>
      </c>
      <c r="G1726" s="16" t="s">
        <v>873</v>
      </c>
      <c r="H1726" s="16" t="s">
        <v>874</v>
      </c>
      <c r="I1726" s="16" t="s">
        <v>198</v>
      </c>
      <c r="J1726" s="16" t="s">
        <v>199</v>
      </c>
      <c r="K1726" s="16">
        <v>2.8818100000000002</v>
      </c>
      <c r="L1726" s="36">
        <v>1375</v>
      </c>
      <c r="M1726" s="16">
        <v>187</v>
      </c>
      <c r="N1726" s="16">
        <v>424</v>
      </c>
      <c r="O1726" s="16">
        <v>408</v>
      </c>
      <c r="P1726" s="16">
        <v>293</v>
      </c>
      <c r="Q1726" s="16">
        <v>63</v>
      </c>
      <c r="R1726" s="16" t="s">
        <v>668</v>
      </c>
      <c r="S1726" s="16">
        <v>188.32300000000001</v>
      </c>
      <c r="T1726" s="16">
        <v>46.777000000000001</v>
      </c>
      <c r="U1726" s="16">
        <v>0.43929950699999998</v>
      </c>
      <c r="V1726" s="16">
        <v>7</v>
      </c>
      <c r="W1726" s="16">
        <v>1</v>
      </c>
      <c r="X1726" s="16">
        <v>0.194826</v>
      </c>
      <c r="Y1726" s="16">
        <v>0.68725700000000001</v>
      </c>
      <c r="Z1726" s="16">
        <v>1</v>
      </c>
      <c r="AA1726" s="37"/>
    </row>
    <row r="1727" spans="1:27">
      <c r="A1727" s="37"/>
      <c r="B1727" s="37"/>
      <c r="C1727" s="37"/>
      <c r="D1727" s="37"/>
      <c r="E1727" s="37"/>
      <c r="F1727" s="37"/>
      <c r="G1727" s="37"/>
      <c r="H1727" s="37"/>
      <c r="I1727" s="37"/>
      <c r="J1727" s="37"/>
      <c r="K1727" s="37"/>
      <c r="L1727" s="37"/>
      <c r="M1727" s="37"/>
      <c r="N1727" s="37"/>
      <c r="O1727" s="37"/>
      <c r="P1727" s="37"/>
      <c r="Q1727" s="37"/>
      <c r="R1727" s="37"/>
      <c r="S1727" s="37"/>
      <c r="T1727" s="37"/>
      <c r="U1727" s="37"/>
      <c r="V1727" s="37"/>
      <c r="W1727" s="37"/>
      <c r="X1727" s="37"/>
      <c r="Y1727" s="37"/>
      <c r="Z1727" s="37"/>
      <c r="AA1727" s="37"/>
    </row>
    <row r="1728" spans="1:27">
      <c r="A1728" s="37"/>
      <c r="B1728" s="37"/>
      <c r="C1728" s="37"/>
      <c r="D1728" s="37"/>
      <c r="E1728" s="37"/>
      <c r="F1728" s="37"/>
      <c r="G1728" s="37"/>
      <c r="H1728" s="37"/>
      <c r="I1728" s="37"/>
      <c r="J1728" s="37"/>
      <c r="K1728" s="37"/>
      <c r="L1728" s="37"/>
      <c r="M1728" s="37"/>
      <c r="N1728" s="37"/>
      <c r="O1728" s="37"/>
      <c r="P1728" s="37"/>
      <c r="Q1728" s="37"/>
      <c r="R1728" s="37"/>
      <c r="S1728" s="37"/>
      <c r="T1728" s="37"/>
      <c r="U1728" s="37"/>
      <c r="V1728" s="37"/>
      <c r="W1728" s="37"/>
      <c r="X1728" s="37"/>
      <c r="Y1728" s="37"/>
      <c r="Z1728" s="37"/>
      <c r="AA1728" s="37"/>
    </row>
    <row r="1729" spans="1:27">
      <c r="A1729" s="37"/>
      <c r="B1729" s="37"/>
      <c r="C1729" s="37"/>
      <c r="D1729" s="37"/>
      <c r="E1729" s="37"/>
      <c r="F1729" s="37"/>
      <c r="G1729" s="37"/>
      <c r="H1729" s="37"/>
      <c r="I1729" s="37"/>
      <c r="J1729" s="37"/>
      <c r="K1729" s="37"/>
      <c r="L1729" s="37"/>
      <c r="M1729" s="37"/>
      <c r="N1729" s="37"/>
      <c r="O1729" s="37"/>
      <c r="P1729" s="37"/>
      <c r="Q1729" s="37"/>
      <c r="R1729" s="37"/>
      <c r="S1729" s="37"/>
      <c r="T1729" s="37"/>
      <c r="U1729" s="37"/>
      <c r="V1729" s="37"/>
      <c r="W1729" s="37"/>
      <c r="X1729" s="37"/>
      <c r="Y1729" s="37"/>
      <c r="Z1729" s="37"/>
      <c r="AA1729" s="37"/>
    </row>
    <row r="1730" spans="1:27">
      <c r="A1730" s="37"/>
      <c r="B1730" s="37"/>
      <c r="C1730" s="37"/>
      <c r="D1730" s="37"/>
      <c r="E1730" s="37"/>
      <c r="F1730" s="37"/>
      <c r="G1730" s="37"/>
      <c r="H1730" s="37"/>
      <c r="I1730" s="37"/>
      <c r="J1730" s="37"/>
      <c r="K1730" s="37"/>
      <c r="L1730" s="37"/>
      <c r="M1730" s="37"/>
      <c r="N1730" s="37"/>
      <c r="O1730" s="37"/>
      <c r="P1730" s="37"/>
      <c r="Q1730" s="37"/>
      <c r="R1730" s="37"/>
      <c r="S1730" s="37"/>
      <c r="T1730" s="37"/>
      <c r="U1730" s="37"/>
      <c r="V1730" s="37"/>
      <c r="W1730" s="37"/>
      <c r="X1730" s="37"/>
      <c r="Y1730" s="37"/>
      <c r="Z1730" s="37"/>
      <c r="AA1730" s="37"/>
    </row>
    <row r="1731" spans="1:27">
      <c r="A1731" s="37"/>
      <c r="B1731" s="37"/>
      <c r="C1731" s="37"/>
      <c r="D1731" s="37"/>
      <c r="E1731" s="37"/>
      <c r="F1731" s="37"/>
      <c r="G1731" s="37"/>
      <c r="H1731" s="37"/>
      <c r="I1731" s="37"/>
      <c r="J1731" s="37"/>
      <c r="K1731" s="37"/>
      <c r="L1731" s="37"/>
      <c r="M1731" s="37"/>
      <c r="N1731" s="37"/>
      <c r="O1731" s="37"/>
      <c r="P1731" s="37"/>
      <c r="Q1731" s="37"/>
      <c r="R1731" s="37"/>
      <c r="S1731" s="37"/>
      <c r="T1731" s="37"/>
      <c r="U1731" s="37"/>
      <c r="V1731" s="37"/>
      <c r="W1731" s="37"/>
      <c r="X1731" s="37"/>
      <c r="Y1731" s="37"/>
      <c r="Z1731" s="37"/>
      <c r="AA1731" s="37"/>
    </row>
    <row r="1732" spans="1:27">
      <c r="A1732" s="37"/>
      <c r="B1732" s="37"/>
      <c r="C1732" s="37"/>
      <c r="D1732" s="37"/>
      <c r="E1732" s="37"/>
      <c r="F1732" s="37"/>
      <c r="G1732" s="37"/>
      <c r="H1732" s="37"/>
      <c r="I1732" s="37"/>
      <c r="J1732" s="37"/>
      <c r="K1732" s="37"/>
      <c r="L1732" s="37"/>
      <c r="M1732" s="37"/>
      <c r="N1732" s="37"/>
      <c r="O1732" s="37"/>
      <c r="P1732" s="37"/>
      <c r="Q1732" s="37"/>
      <c r="R1732" s="37"/>
      <c r="S1732" s="37"/>
      <c r="T1732" s="37"/>
      <c r="U1732" s="37"/>
      <c r="V1732" s="37"/>
      <c r="W1732" s="37"/>
      <c r="X1732" s="37"/>
      <c r="Y1732" s="37"/>
      <c r="Z1732" s="37"/>
      <c r="AA1732" s="37"/>
    </row>
    <row r="1733" spans="1:27">
      <c r="A1733" s="37"/>
      <c r="B1733" s="37"/>
      <c r="C1733" s="37"/>
      <c r="D1733" s="37"/>
      <c r="E1733" s="37"/>
      <c r="F1733" s="37"/>
      <c r="G1733" s="37"/>
      <c r="H1733" s="37"/>
      <c r="I1733" s="37"/>
      <c r="J1733" s="37"/>
      <c r="K1733" s="37"/>
      <c r="L1733" s="37"/>
      <c r="M1733" s="37"/>
      <c r="N1733" s="37"/>
      <c r="O1733" s="37"/>
      <c r="P1733" s="37"/>
      <c r="Q1733" s="37"/>
      <c r="R1733" s="37"/>
      <c r="S1733" s="37"/>
      <c r="T1733" s="37"/>
      <c r="U1733" s="37"/>
      <c r="V1733" s="37"/>
      <c r="W1733" s="37"/>
      <c r="X1733" s="37"/>
      <c r="Y1733" s="37"/>
      <c r="Z1733" s="37"/>
      <c r="AA1733" s="37"/>
    </row>
    <row r="1734" spans="1:27">
      <c r="A1734" s="37"/>
      <c r="B1734" s="37"/>
      <c r="C1734" s="37"/>
      <c r="D1734" s="37"/>
      <c r="E1734" s="37"/>
      <c r="F1734" s="37"/>
      <c r="G1734" s="37"/>
      <c r="H1734" s="37"/>
      <c r="I1734" s="37"/>
      <c r="J1734" s="37"/>
      <c r="K1734" s="37"/>
      <c r="L1734" s="37"/>
      <c r="M1734" s="37"/>
      <c r="N1734" s="37"/>
      <c r="O1734" s="37"/>
      <c r="P1734" s="37"/>
      <c r="Q1734" s="37"/>
      <c r="R1734" s="37"/>
      <c r="S1734" s="37"/>
      <c r="T1734" s="37"/>
      <c r="U1734" s="37"/>
      <c r="V1734" s="37"/>
      <c r="W1734" s="37"/>
      <c r="X1734" s="37"/>
      <c r="Y1734" s="37"/>
      <c r="Z1734" s="37"/>
      <c r="AA1734" s="37"/>
    </row>
    <row r="1735" spans="1:27">
      <c r="A1735" s="37"/>
      <c r="B1735" s="37"/>
      <c r="C1735" s="37"/>
      <c r="D1735" s="37"/>
      <c r="E1735" s="37"/>
      <c r="F1735" s="37"/>
      <c r="G1735" s="37"/>
      <c r="H1735" s="37"/>
      <c r="I1735" s="37"/>
      <c r="J1735" s="37"/>
      <c r="K1735" s="37"/>
      <c r="L1735" s="37"/>
      <c r="M1735" s="37"/>
      <c r="N1735" s="37"/>
      <c r="O1735" s="37"/>
      <c r="P1735" s="37"/>
      <c r="Q1735" s="37"/>
      <c r="R1735" s="37"/>
      <c r="S1735" s="37"/>
      <c r="T1735" s="37"/>
      <c r="U1735" s="37"/>
      <c r="V1735" s="37"/>
      <c r="W1735" s="37"/>
      <c r="X1735" s="37"/>
      <c r="Y1735" s="37"/>
      <c r="Z1735" s="37"/>
      <c r="AA1735" s="37"/>
    </row>
    <row r="1736" spans="1:27">
      <c r="A1736" s="37"/>
      <c r="B1736" s="37"/>
      <c r="C1736" s="37"/>
      <c r="D1736" s="37"/>
      <c r="E1736" s="37"/>
      <c r="F1736" s="37"/>
      <c r="G1736" s="37"/>
      <c r="H1736" s="37"/>
      <c r="I1736" s="37"/>
      <c r="J1736" s="37"/>
      <c r="K1736" s="37"/>
      <c r="L1736" s="37"/>
      <c r="M1736" s="37"/>
      <c r="N1736" s="37"/>
      <c r="O1736" s="37"/>
      <c r="P1736" s="37"/>
      <c r="Q1736" s="37"/>
      <c r="R1736" s="37"/>
      <c r="S1736" s="37"/>
      <c r="T1736" s="37"/>
      <c r="U1736" s="37"/>
      <c r="V1736" s="37"/>
      <c r="W1736" s="37"/>
      <c r="X1736" s="37"/>
      <c r="Y1736" s="37"/>
      <c r="Z1736" s="37"/>
      <c r="AA1736" s="37"/>
    </row>
    <row r="1737" spans="1:27">
      <c r="A1737" s="37"/>
      <c r="B1737" s="37"/>
      <c r="C1737" s="37"/>
      <c r="D1737" s="37"/>
      <c r="E1737" s="37"/>
      <c r="F1737" s="37"/>
      <c r="G1737" s="37"/>
      <c r="H1737" s="37"/>
      <c r="I1737" s="37"/>
      <c r="J1737" s="37"/>
      <c r="K1737" s="37"/>
      <c r="L1737" s="37"/>
      <c r="M1737" s="37"/>
      <c r="N1737" s="37"/>
      <c r="O1737" s="37"/>
      <c r="P1737" s="37"/>
      <c r="Q1737" s="37"/>
      <c r="R1737" s="37"/>
      <c r="S1737" s="37"/>
      <c r="T1737" s="37"/>
      <c r="U1737" s="37"/>
      <c r="V1737" s="37"/>
      <c r="W1737" s="37"/>
      <c r="X1737" s="37"/>
      <c r="Y1737" s="37"/>
      <c r="Z1737" s="37"/>
      <c r="AA1737" s="37"/>
    </row>
    <row r="1738" spans="1:27">
      <c r="A1738" s="37"/>
      <c r="B1738" s="37"/>
      <c r="C1738" s="37"/>
      <c r="D1738" s="37"/>
      <c r="E1738" s="37"/>
      <c r="F1738" s="37"/>
      <c r="G1738" s="37"/>
      <c r="H1738" s="37"/>
      <c r="I1738" s="37"/>
      <c r="J1738" s="37"/>
      <c r="K1738" s="37"/>
      <c r="L1738" s="37"/>
      <c r="M1738" s="37"/>
      <c r="N1738" s="37"/>
      <c r="O1738" s="37"/>
      <c r="P1738" s="37"/>
      <c r="Q1738" s="37"/>
      <c r="R1738" s="37"/>
      <c r="S1738" s="37"/>
      <c r="T1738" s="37"/>
      <c r="U1738" s="37"/>
      <c r="V1738" s="37"/>
      <c r="W1738" s="37"/>
      <c r="X1738" s="37"/>
      <c r="Y1738" s="37"/>
      <c r="Z1738" s="37"/>
      <c r="AA1738" s="37"/>
    </row>
    <row r="1739" spans="1:27">
      <c r="A1739" s="37"/>
      <c r="B1739" s="37"/>
      <c r="C1739" s="37"/>
      <c r="D1739" s="37"/>
      <c r="E1739" s="37"/>
      <c r="F1739" s="37"/>
      <c r="G1739" s="37"/>
      <c r="H1739" s="37"/>
      <c r="I1739" s="37"/>
      <c r="J1739" s="37"/>
      <c r="K1739" s="37"/>
      <c r="L1739" s="37"/>
      <c r="M1739" s="37"/>
      <c r="N1739" s="37"/>
      <c r="O1739" s="37"/>
      <c r="P1739" s="37"/>
      <c r="Q1739" s="37"/>
      <c r="R1739" s="37"/>
      <c r="S1739" s="37"/>
      <c r="T1739" s="37"/>
      <c r="U1739" s="37"/>
      <c r="V1739" s="37"/>
      <c r="W1739" s="37"/>
      <c r="X1739" s="37"/>
      <c r="Y1739" s="37"/>
      <c r="Z1739" s="37"/>
      <c r="AA1739" s="37"/>
    </row>
    <row r="1740" spans="1:27">
      <c r="A1740" s="37"/>
      <c r="B1740" s="37"/>
      <c r="C1740" s="37"/>
      <c r="D1740" s="37"/>
      <c r="E1740" s="37"/>
      <c r="F1740" s="37"/>
      <c r="G1740" s="37"/>
      <c r="H1740" s="37"/>
      <c r="I1740" s="37"/>
      <c r="J1740" s="37"/>
      <c r="K1740" s="37"/>
      <c r="L1740" s="37"/>
      <c r="M1740" s="37"/>
      <c r="N1740" s="37"/>
      <c r="O1740" s="37"/>
      <c r="P1740" s="37"/>
      <c r="Q1740" s="37"/>
      <c r="R1740" s="37"/>
      <c r="S1740" s="37"/>
      <c r="T1740" s="37"/>
      <c r="U1740" s="37"/>
      <c r="V1740" s="37"/>
      <c r="W1740" s="37"/>
      <c r="X1740" s="37"/>
      <c r="Y1740" s="37"/>
      <c r="Z1740" s="37"/>
      <c r="AA1740" s="37"/>
    </row>
    <row r="1741" spans="1:27">
      <c r="A1741" s="37"/>
      <c r="B1741" s="37"/>
      <c r="C1741" s="37"/>
      <c r="D1741" s="37"/>
      <c r="E1741" s="37"/>
      <c r="F1741" s="37"/>
      <c r="G1741" s="37"/>
      <c r="H1741" s="37"/>
      <c r="I1741" s="37"/>
      <c r="J1741" s="37"/>
      <c r="K1741" s="37"/>
      <c r="L1741" s="37"/>
      <c r="M1741" s="37"/>
      <c r="N1741" s="37"/>
      <c r="O1741" s="37"/>
      <c r="P1741" s="37"/>
      <c r="Q1741" s="37"/>
      <c r="R1741" s="37"/>
      <c r="S1741" s="37"/>
      <c r="T1741" s="37"/>
      <c r="U1741" s="37"/>
      <c r="V1741" s="37"/>
      <c r="W1741" s="37"/>
      <c r="X1741" s="37"/>
      <c r="Y1741" s="37"/>
      <c r="Z1741" s="37"/>
      <c r="AA1741" s="37"/>
    </row>
    <row r="1742" spans="1:27">
      <c r="A1742" s="37"/>
      <c r="B1742" s="37"/>
      <c r="C1742" s="37"/>
      <c r="D1742" s="37"/>
      <c r="E1742" s="37"/>
      <c r="F1742" s="37"/>
      <c r="G1742" s="37"/>
      <c r="H1742" s="37"/>
      <c r="I1742" s="37"/>
      <c r="J1742" s="37"/>
      <c r="K1742" s="37"/>
      <c r="L1742" s="37"/>
      <c r="M1742" s="37"/>
      <c r="N1742" s="37"/>
      <c r="O1742" s="37"/>
      <c r="P1742" s="37"/>
      <c r="Q1742" s="37"/>
      <c r="R1742" s="37"/>
      <c r="S1742" s="37"/>
      <c r="T1742" s="37"/>
      <c r="U1742" s="37"/>
      <c r="V1742" s="37"/>
      <c r="W1742" s="37"/>
      <c r="X1742" s="37"/>
      <c r="Y1742" s="37"/>
      <c r="Z1742" s="37"/>
      <c r="AA1742" s="37"/>
    </row>
    <row r="1743" spans="1:27">
      <c r="A1743" s="37"/>
      <c r="B1743" s="37"/>
      <c r="C1743" s="37"/>
      <c r="D1743" s="37"/>
      <c r="E1743" s="37"/>
      <c r="F1743" s="37"/>
      <c r="G1743" s="37"/>
      <c r="H1743" s="37"/>
      <c r="I1743" s="37"/>
      <c r="J1743" s="37"/>
      <c r="K1743" s="37"/>
      <c r="L1743" s="37"/>
      <c r="M1743" s="37"/>
      <c r="N1743" s="37"/>
      <c r="O1743" s="37"/>
      <c r="P1743" s="37"/>
      <c r="Q1743" s="37"/>
      <c r="R1743" s="37"/>
      <c r="S1743" s="37"/>
      <c r="T1743" s="37"/>
      <c r="U1743" s="37"/>
      <c r="V1743" s="37"/>
      <c r="W1743" s="37"/>
      <c r="X1743" s="37"/>
      <c r="Y1743" s="37"/>
      <c r="Z1743" s="37"/>
      <c r="AA1743" s="37"/>
    </row>
    <row r="1744" spans="1:27">
      <c r="A1744" s="37"/>
      <c r="B1744" s="37"/>
      <c r="C1744" s="37"/>
      <c r="D1744" s="37"/>
      <c r="E1744" s="37"/>
      <c r="F1744" s="37"/>
      <c r="G1744" s="37"/>
      <c r="H1744" s="37"/>
      <c r="I1744" s="37"/>
      <c r="J1744" s="37"/>
      <c r="K1744" s="37"/>
      <c r="L1744" s="37"/>
      <c r="M1744" s="37"/>
      <c r="N1744" s="37"/>
      <c r="O1744" s="37"/>
      <c r="P1744" s="37"/>
      <c r="Q1744" s="37"/>
      <c r="R1744" s="37"/>
      <c r="S1744" s="37"/>
      <c r="T1744" s="37"/>
      <c r="U1744" s="37"/>
      <c r="V1744" s="37"/>
      <c r="W1744" s="37"/>
      <c r="X1744" s="37"/>
      <c r="Y1744" s="37"/>
      <c r="Z1744" s="37"/>
      <c r="AA1744" s="37"/>
    </row>
    <row r="1745" spans="1:27">
      <c r="A1745" s="37"/>
      <c r="B1745" s="37"/>
      <c r="C1745" s="37"/>
      <c r="D1745" s="37"/>
      <c r="E1745" s="37"/>
      <c r="F1745" s="37"/>
      <c r="G1745" s="37"/>
      <c r="H1745" s="37"/>
      <c r="I1745" s="37"/>
      <c r="J1745" s="37"/>
      <c r="K1745" s="37"/>
      <c r="L1745" s="37"/>
      <c r="M1745" s="37"/>
      <c r="N1745" s="37"/>
      <c r="O1745" s="37"/>
      <c r="P1745" s="37"/>
      <c r="Q1745" s="37"/>
      <c r="R1745" s="37"/>
      <c r="S1745" s="37"/>
      <c r="T1745" s="37"/>
      <c r="U1745" s="37"/>
      <c r="V1745" s="37"/>
      <c r="W1745" s="37"/>
      <c r="X1745" s="37"/>
      <c r="Y1745" s="37"/>
      <c r="Z1745" s="37"/>
      <c r="AA1745" s="37"/>
    </row>
    <row r="1746" spans="1:27">
      <c r="A1746" s="37"/>
      <c r="B1746" s="37"/>
      <c r="C1746" s="37"/>
      <c r="D1746" s="37"/>
      <c r="E1746" s="37"/>
      <c r="F1746" s="37"/>
      <c r="G1746" s="37"/>
      <c r="H1746" s="37"/>
      <c r="I1746" s="37"/>
      <c r="J1746" s="37"/>
      <c r="K1746" s="37"/>
      <c r="L1746" s="37"/>
      <c r="M1746" s="37"/>
      <c r="N1746" s="37"/>
      <c r="O1746" s="37"/>
      <c r="P1746" s="37"/>
      <c r="Q1746" s="37"/>
      <c r="R1746" s="37"/>
      <c r="S1746" s="37"/>
      <c r="T1746" s="37"/>
      <c r="U1746" s="37"/>
      <c r="V1746" s="37"/>
      <c r="W1746" s="37"/>
      <c r="X1746" s="37"/>
      <c r="Y1746" s="37"/>
      <c r="Z1746" s="37"/>
      <c r="AA1746" s="37"/>
    </row>
    <row r="1747" spans="1:27">
      <c r="A1747" s="37"/>
      <c r="B1747" s="37"/>
      <c r="C1747" s="37"/>
      <c r="D1747" s="37"/>
      <c r="E1747" s="37"/>
      <c r="F1747" s="37"/>
      <c r="G1747" s="37"/>
      <c r="H1747" s="37"/>
      <c r="I1747" s="37"/>
      <c r="J1747" s="37"/>
      <c r="K1747" s="37"/>
      <c r="L1747" s="37"/>
      <c r="M1747" s="37"/>
      <c r="N1747" s="37"/>
      <c r="O1747" s="37"/>
      <c r="P1747" s="37"/>
      <c r="Q1747" s="37"/>
      <c r="R1747" s="37"/>
      <c r="S1747" s="37"/>
      <c r="T1747" s="37"/>
      <c r="U1747" s="37"/>
      <c r="V1747" s="37"/>
      <c r="W1747" s="37"/>
      <c r="X1747" s="37"/>
      <c r="Y1747" s="37"/>
      <c r="Z1747" s="37"/>
      <c r="AA1747" s="37"/>
    </row>
    <row r="1748" spans="1:27">
      <c r="A1748" s="37"/>
      <c r="B1748" s="37"/>
      <c r="C1748" s="37"/>
      <c r="D1748" s="37"/>
      <c r="E1748" s="37"/>
      <c r="F1748" s="37"/>
      <c r="G1748" s="37"/>
      <c r="H1748" s="37"/>
      <c r="I1748" s="37"/>
      <c r="J1748" s="37"/>
      <c r="K1748" s="37"/>
      <c r="L1748" s="37"/>
      <c r="M1748" s="37"/>
      <c r="N1748" s="37"/>
      <c r="O1748" s="37"/>
      <c r="P1748" s="37"/>
      <c r="Q1748" s="37"/>
      <c r="R1748" s="37"/>
      <c r="S1748" s="37"/>
      <c r="T1748" s="37"/>
      <c r="U1748" s="37"/>
      <c r="V1748" s="37"/>
      <c r="W1748" s="37"/>
      <c r="X1748" s="37"/>
      <c r="Y1748" s="37"/>
      <c r="Z1748" s="37"/>
      <c r="AA1748" s="37"/>
    </row>
    <row r="1749" spans="1:27">
      <c r="A1749" s="37"/>
      <c r="B1749" s="37"/>
      <c r="C1749" s="37"/>
      <c r="D1749" s="37"/>
      <c r="E1749" s="37"/>
      <c r="F1749" s="37"/>
      <c r="G1749" s="37"/>
      <c r="H1749" s="37"/>
      <c r="I1749" s="37"/>
      <c r="J1749" s="37"/>
      <c r="K1749" s="37"/>
      <c r="L1749" s="36"/>
      <c r="M1749" s="37"/>
      <c r="N1749" s="37"/>
      <c r="O1749" s="37"/>
      <c r="P1749" s="37"/>
      <c r="Q1749" s="37"/>
      <c r="R1749" s="37"/>
      <c r="S1749" s="37"/>
      <c r="T1749" s="37"/>
      <c r="U1749" s="37"/>
      <c r="V1749" s="37"/>
      <c r="W1749" s="37"/>
      <c r="X1749" s="37"/>
      <c r="Y1749" s="37"/>
      <c r="Z1749" s="37"/>
      <c r="AA1749" s="37"/>
    </row>
    <row r="1750" spans="1:27">
      <c r="A1750" s="37"/>
      <c r="B1750" s="37"/>
      <c r="C1750" s="37"/>
      <c r="D1750" s="37"/>
      <c r="E1750" s="37"/>
      <c r="F1750" s="37"/>
      <c r="G1750" s="37"/>
      <c r="H1750" s="37"/>
      <c r="I1750" s="37"/>
      <c r="J1750" s="37"/>
      <c r="K1750" s="37"/>
      <c r="L1750" s="37"/>
      <c r="M1750" s="37"/>
      <c r="N1750" s="37"/>
      <c r="O1750" s="37"/>
      <c r="P1750" s="37"/>
      <c r="Q1750" s="37"/>
      <c r="R1750" s="37"/>
      <c r="S1750" s="37"/>
      <c r="T1750" s="37"/>
      <c r="U1750" s="37"/>
      <c r="V1750" s="37"/>
      <c r="W1750" s="37"/>
      <c r="X1750" s="37"/>
      <c r="Y1750" s="37"/>
      <c r="Z1750" s="37"/>
      <c r="AA1750" s="37"/>
    </row>
    <row r="1751" spans="1:27">
      <c r="A1751" s="37"/>
      <c r="B1751" s="37"/>
      <c r="C1751" s="37"/>
      <c r="D1751" s="37"/>
      <c r="E1751" s="37"/>
      <c r="F1751" s="37"/>
      <c r="G1751" s="37"/>
      <c r="H1751" s="37"/>
      <c r="I1751" s="37"/>
      <c r="J1751" s="37"/>
      <c r="K1751" s="37"/>
      <c r="L1751" s="37"/>
      <c r="M1751" s="37"/>
      <c r="N1751" s="37"/>
      <c r="O1751" s="37"/>
      <c r="P1751" s="37"/>
      <c r="Q1751" s="37"/>
      <c r="R1751" s="37"/>
      <c r="S1751" s="37"/>
      <c r="T1751" s="37"/>
      <c r="U1751" s="37"/>
      <c r="V1751" s="37"/>
      <c r="W1751" s="37"/>
      <c r="X1751" s="37"/>
      <c r="Y1751" s="37"/>
      <c r="Z1751" s="37"/>
      <c r="AA1751" s="37"/>
    </row>
    <row r="1752" spans="1:27">
      <c r="A1752" s="37"/>
      <c r="B1752" s="37"/>
      <c r="C1752" s="37"/>
      <c r="D1752" s="37"/>
      <c r="E1752" s="37"/>
      <c r="F1752" s="37"/>
      <c r="G1752" s="37"/>
      <c r="H1752" s="37"/>
      <c r="I1752" s="37"/>
      <c r="J1752" s="37"/>
      <c r="K1752" s="37"/>
      <c r="L1752" s="37"/>
      <c r="M1752" s="37"/>
      <c r="N1752" s="37"/>
      <c r="O1752" s="37"/>
      <c r="P1752" s="37"/>
      <c r="Q1752" s="37"/>
      <c r="R1752" s="37"/>
      <c r="S1752" s="37"/>
      <c r="T1752" s="37"/>
      <c r="U1752" s="37"/>
      <c r="V1752" s="37"/>
      <c r="W1752" s="37"/>
      <c r="X1752" s="37"/>
      <c r="Y1752" s="37"/>
      <c r="Z1752" s="37"/>
      <c r="AA1752" s="37"/>
    </row>
    <row r="1753" spans="1:27">
      <c r="A1753" s="37"/>
      <c r="B1753" s="37"/>
      <c r="C1753" s="37"/>
      <c r="D1753" s="37"/>
      <c r="E1753" s="37"/>
      <c r="F1753" s="37"/>
      <c r="G1753" s="37"/>
      <c r="H1753" s="37"/>
      <c r="I1753" s="37"/>
      <c r="J1753" s="37"/>
      <c r="K1753" s="37"/>
      <c r="L1753" s="37"/>
      <c r="M1753" s="37"/>
      <c r="N1753" s="37"/>
      <c r="O1753" s="37"/>
      <c r="P1753" s="37"/>
      <c r="Q1753" s="37"/>
      <c r="R1753" s="37"/>
      <c r="S1753" s="37"/>
      <c r="T1753" s="37"/>
      <c r="U1753" s="37"/>
      <c r="V1753" s="37"/>
      <c r="W1753" s="37"/>
      <c r="X1753" s="37"/>
      <c r="Y1753" s="37"/>
      <c r="Z1753" s="37"/>
      <c r="AA1753" s="37"/>
    </row>
    <row r="1754" spans="1:27">
      <c r="A1754" s="37"/>
      <c r="B1754" s="37"/>
      <c r="C1754" s="37"/>
      <c r="D1754" s="37"/>
      <c r="E1754" s="37"/>
      <c r="F1754" s="37"/>
      <c r="G1754" s="37"/>
      <c r="H1754" s="37"/>
      <c r="I1754" s="37"/>
      <c r="J1754" s="37"/>
      <c r="K1754" s="37"/>
      <c r="L1754" s="37"/>
      <c r="M1754" s="37"/>
      <c r="N1754" s="37"/>
      <c r="O1754" s="37"/>
      <c r="P1754" s="37"/>
      <c r="Q1754" s="37"/>
      <c r="R1754" s="37"/>
      <c r="S1754" s="37"/>
      <c r="T1754" s="37"/>
      <c r="U1754" s="37"/>
      <c r="V1754" s="37"/>
      <c r="W1754" s="37"/>
      <c r="X1754" s="37"/>
      <c r="Y1754" s="37"/>
      <c r="Z1754" s="37"/>
      <c r="AA1754" s="37"/>
    </row>
    <row r="1755" spans="1:27">
      <c r="A1755" s="37"/>
      <c r="B1755" s="37"/>
      <c r="C1755" s="37"/>
      <c r="D1755" s="37"/>
      <c r="E1755" s="37"/>
      <c r="F1755" s="37"/>
      <c r="G1755" s="37"/>
      <c r="H1755" s="37"/>
      <c r="I1755" s="37"/>
      <c r="J1755" s="37"/>
      <c r="K1755" s="37"/>
      <c r="L1755" s="37"/>
      <c r="M1755" s="37"/>
      <c r="N1755" s="37"/>
      <c r="O1755" s="37"/>
      <c r="P1755" s="37"/>
      <c r="Q1755" s="37"/>
      <c r="R1755" s="37"/>
      <c r="S1755" s="37"/>
      <c r="T1755" s="37"/>
      <c r="U1755" s="37"/>
      <c r="V1755" s="37"/>
      <c r="W1755" s="37"/>
      <c r="X1755" s="37"/>
      <c r="Y1755" s="37"/>
      <c r="Z1755" s="37"/>
      <c r="AA1755" s="37"/>
    </row>
    <row r="1756" spans="1:27">
      <c r="A1756" s="37"/>
      <c r="B1756" s="37"/>
      <c r="C1756" s="37"/>
      <c r="D1756" s="37"/>
      <c r="E1756" s="37"/>
      <c r="F1756" s="37"/>
      <c r="G1756" s="37"/>
      <c r="H1756" s="37"/>
      <c r="I1756" s="37"/>
      <c r="J1756" s="37"/>
      <c r="K1756" s="37"/>
      <c r="L1756" s="37"/>
      <c r="M1756" s="37"/>
      <c r="N1756" s="37"/>
      <c r="O1756" s="37"/>
      <c r="P1756" s="37"/>
      <c r="Q1756" s="37"/>
      <c r="R1756" s="37"/>
      <c r="S1756" s="37"/>
      <c r="T1756" s="37"/>
      <c r="U1756" s="37"/>
      <c r="V1756" s="37"/>
      <c r="W1756" s="37"/>
      <c r="X1756" s="37"/>
      <c r="Y1756" s="37"/>
      <c r="Z1756" s="37"/>
      <c r="AA1756" s="37"/>
    </row>
    <row r="1757" spans="1:27">
      <c r="A1757" s="37"/>
      <c r="B1757" s="37"/>
      <c r="C1757" s="37"/>
      <c r="D1757" s="37"/>
      <c r="E1757" s="37"/>
      <c r="F1757" s="37"/>
      <c r="G1757" s="37"/>
      <c r="H1757" s="37"/>
      <c r="I1757" s="37"/>
      <c r="J1757" s="37"/>
      <c r="K1757" s="37"/>
      <c r="L1757" s="37"/>
      <c r="M1757" s="37"/>
      <c r="N1757" s="37"/>
      <c r="O1757" s="37"/>
      <c r="P1757" s="37"/>
      <c r="Q1757" s="37"/>
      <c r="R1757" s="37"/>
      <c r="S1757" s="37"/>
      <c r="T1757" s="37"/>
      <c r="U1757" s="37"/>
      <c r="V1757" s="37"/>
      <c r="W1757" s="37"/>
      <c r="X1757" s="37"/>
      <c r="Y1757" s="37"/>
      <c r="Z1757" s="37"/>
      <c r="AA1757" s="37"/>
    </row>
    <row r="1758" spans="1:27">
      <c r="A1758" s="37"/>
      <c r="B1758" s="37"/>
      <c r="C1758" s="37"/>
      <c r="D1758" s="37"/>
      <c r="E1758" s="37"/>
      <c r="F1758" s="37"/>
      <c r="G1758" s="37"/>
      <c r="H1758" s="37"/>
      <c r="I1758" s="37"/>
      <c r="J1758" s="37"/>
      <c r="K1758" s="37"/>
      <c r="L1758" s="37"/>
      <c r="M1758" s="37"/>
      <c r="N1758" s="37"/>
      <c r="O1758" s="37"/>
      <c r="P1758" s="37"/>
      <c r="Q1758" s="37"/>
      <c r="R1758" s="37"/>
      <c r="S1758" s="37"/>
      <c r="T1758" s="37"/>
      <c r="U1758" s="37"/>
      <c r="V1758" s="37"/>
      <c r="W1758" s="37"/>
      <c r="X1758" s="37"/>
      <c r="Y1758" s="37"/>
      <c r="Z1758" s="37"/>
      <c r="AA1758" s="37"/>
    </row>
    <row r="1759" spans="1:27">
      <c r="A1759" s="37"/>
      <c r="B1759" s="37"/>
      <c r="C1759" s="37"/>
      <c r="D1759" s="37"/>
      <c r="E1759" s="37"/>
      <c r="F1759" s="37"/>
      <c r="G1759" s="37"/>
      <c r="H1759" s="37"/>
      <c r="I1759" s="37"/>
      <c r="J1759" s="37"/>
      <c r="K1759" s="37"/>
      <c r="L1759" s="37"/>
      <c r="M1759" s="37"/>
      <c r="N1759" s="37"/>
      <c r="O1759" s="37"/>
      <c r="P1759" s="37"/>
      <c r="Q1759" s="37"/>
      <c r="R1759" s="37"/>
      <c r="S1759" s="37"/>
      <c r="T1759" s="37"/>
      <c r="U1759" s="37"/>
      <c r="V1759" s="37"/>
      <c r="W1759" s="37"/>
      <c r="X1759" s="37"/>
      <c r="Y1759" s="37"/>
      <c r="Z1759" s="37"/>
      <c r="AA1759" s="37"/>
    </row>
    <row r="1760" spans="1:27">
      <c r="A1760" s="37"/>
      <c r="B1760" s="37"/>
      <c r="C1760" s="37"/>
      <c r="D1760" s="37"/>
      <c r="E1760" s="37"/>
      <c r="F1760" s="37"/>
      <c r="G1760" s="37"/>
      <c r="H1760" s="37"/>
      <c r="I1760" s="37"/>
      <c r="J1760" s="37"/>
      <c r="K1760" s="37"/>
      <c r="L1760" s="37"/>
      <c r="M1760" s="37"/>
      <c r="N1760" s="37"/>
      <c r="O1760" s="37"/>
      <c r="P1760" s="37"/>
      <c r="Q1760" s="37"/>
      <c r="R1760" s="37"/>
      <c r="S1760" s="37"/>
      <c r="T1760" s="37"/>
      <c r="U1760" s="37"/>
      <c r="V1760" s="37"/>
      <c r="W1760" s="37"/>
      <c r="X1760" s="37"/>
      <c r="Y1760" s="37"/>
      <c r="Z1760" s="37"/>
      <c r="AA1760" s="37"/>
    </row>
    <row r="1761" spans="1:27">
      <c r="A1761" s="37"/>
      <c r="B1761" s="37"/>
      <c r="C1761" s="37"/>
      <c r="D1761" s="37"/>
      <c r="E1761" s="37"/>
      <c r="F1761" s="37"/>
      <c r="G1761" s="37"/>
      <c r="H1761" s="37"/>
      <c r="I1761" s="37"/>
      <c r="J1761" s="37"/>
      <c r="K1761" s="37"/>
      <c r="L1761" s="37"/>
      <c r="M1761" s="37"/>
      <c r="N1761" s="37"/>
      <c r="O1761" s="37"/>
      <c r="P1761" s="37"/>
      <c r="Q1761" s="37"/>
      <c r="R1761" s="37"/>
      <c r="S1761" s="37"/>
      <c r="T1761" s="37"/>
      <c r="U1761" s="37"/>
      <c r="V1761" s="37"/>
      <c r="W1761" s="37"/>
      <c r="X1761" s="37"/>
      <c r="Y1761" s="37"/>
      <c r="Z1761" s="37"/>
      <c r="AA1761" s="37"/>
    </row>
    <row r="1762" spans="1:27">
      <c r="A1762" s="37"/>
      <c r="B1762" s="37"/>
      <c r="C1762" s="37"/>
      <c r="D1762" s="37"/>
      <c r="E1762" s="37"/>
      <c r="F1762" s="37"/>
      <c r="G1762" s="37"/>
      <c r="H1762" s="37"/>
      <c r="I1762" s="37"/>
      <c r="J1762" s="37"/>
      <c r="K1762" s="37"/>
      <c r="L1762" s="37"/>
      <c r="M1762" s="37"/>
      <c r="N1762" s="37"/>
      <c r="O1762" s="37"/>
      <c r="P1762" s="37"/>
      <c r="Q1762" s="37"/>
      <c r="R1762" s="37"/>
      <c r="S1762" s="37"/>
      <c r="T1762" s="37"/>
      <c r="U1762" s="37"/>
      <c r="V1762" s="37"/>
      <c r="W1762" s="37"/>
      <c r="X1762" s="37"/>
      <c r="Y1762" s="37"/>
      <c r="Z1762" s="37"/>
      <c r="AA1762" s="37"/>
    </row>
    <row r="1763" spans="1:27">
      <c r="A1763" s="37"/>
      <c r="B1763" s="37"/>
      <c r="C1763" s="37"/>
      <c r="D1763" s="37"/>
      <c r="E1763" s="37"/>
      <c r="F1763" s="37"/>
      <c r="G1763" s="37"/>
      <c r="H1763" s="37"/>
      <c r="I1763" s="37"/>
      <c r="J1763" s="37"/>
      <c r="K1763" s="37"/>
      <c r="L1763" s="37"/>
      <c r="M1763" s="37"/>
      <c r="N1763" s="37"/>
      <c r="O1763" s="37"/>
      <c r="P1763" s="37"/>
      <c r="Q1763" s="37"/>
      <c r="R1763" s="37"/>
      <c r="S1763" s="37"/>
      <c r="T1763" s="37"/>
      <c r="U1763" s="37"/>
      <c r="V1763" s="37"/>
      <c r="W1763" s="37"/>
      <c r="X1763" s="37"/>
      <c r="Y1763" s="37"/>
      <c r="Z1763" s="37"/>
      <c r="AA1763" s="37"/>
    </row>
    <row r="1764" spans="1:27">
      <c r="A1764" s="37"/>
      <c r="B1764" s="37"/>
      <c r="C1764" s="37"/>
      <c r="D1764" s="37"/>
      <c r="E1764" s="37"/>
      <c r="F1764" s="37"/>
      <c r="G1764" s="37"/>
      <c r="H1764" s="37"/>
      <c r="I1764" s="37"/>
      <c r="J1764" s="37"/>
      <c r="K1764" s="37"/>
      <c r="L1764" s="37"/>
      <c r="M1764" s="37"/>
      <c r="N1764" s="37"/>
      <c r="O1764" s="37"/>
      <c r="P1764" s="37"/>
      <c r="Q1764" s="37"/>
      <c r="R1764" s="37"/>
      <c r="S1764" s="37"/>
      <c r="T1764" s="37"/>
      <c r="U1764" s="37"/>
      <c r="V1764" s="37"/>
      <c r="W1764" s="37"/>
      <c r="X1764" s="37"/>
      <c r="Y1764" s="37"/>
      <c r="Z1764" s="37"/>
      <c r="AA1764" s="37"/>
    </row>
    <row r="1765" spans="1:27">
      <c r="A1765" s="37"/>
      <c r="B1765" s="37"/>
      <c r="C1765" s="37"/>
      <c r="D1765" s="37"/>
      <c r="E1765" s="37"/>
      <c r="F1765" s="37"/>
      <c r="G1765" s="37"/>
      <c r="H1765" s="37"/>
      <c r="I1765" s="37"/>
      <c r="J1765" s="37"/>
      <c r="K1765" s="37"/>
      <c r="L1765" s="37"/>
      <c r="M1765" s="37"/>
      <c r="N1765" s="37"/>
      <c r="O1765" s="37"/>
      <c r="P1765" s="37"/>
      <c r="Q1765" s="37"/>
      <c r="R1765" s="37"/>
      <c r="S1765" s="37"/>
      <c r="T1765" s="37"/>
      <c r="U1765" s="37"/>
      <c r="V1765" s="37"/>
      <c r="W1765" s="37"/>
      <c r="X1765" s="37"/>
      <c r="Y1765" s="37"/>
      <c r="Z1765" s="37"/>
      <c r="AA1765" s="37"/>
    </row>
    <row r="1766" spans="1:27">
      <c r="A1766" s="37"/>
      <c r="B1766" s="37"/>
      <c r="C1766" s="37"/>
      <c r="D1766" s="37"/>
      <c r="E1766" s="37"/>
      <c r="F1766" s="37"/>
      <c r="G1766" s="37"/>
      <c r="H1766" s="37"/>
      <c r="I1766" s="37"/>
      <c r="J1766" s="37"/>
      <c r="K1766" s="37"/>
      <c r="L1766" s="37"/>
      <c r="M1766" s="37"/>
      <c r="N1766" s="37"/>
      <c r="O1766" s="37"/>
      <c r="P1766" s="37"/>
      <c r="Q1766" s="37"/>
      <c r="R1766" s="37"/>
      <c r="S1766" s="37"/>
      <c r="T1766" s="37"/>
      <c r="U1766" s="37"/>
      <c r="V1766" s="37"/>
      <c r="W1766" s="37"/>
      <c r="X1766" s="37"/>
      <c r="Y1766" s="37"/>
      <c r="Z1766" s="37"/>
      <c r="AA1766" s="37"/>
    </row>
    <row r="1767" spans="1:27">
      <c r="A1767" s="37"/>
      <c r="B1767" s="37"/>
      <c r="C1767" s="37"/>
      <c r="D1767" s="37"/>
      <c r="E1767" s="37"/>
      <c r="F1767" s="37"/>
      <c r="G1767" s="37"/>
      <c r="H1767" s="37"/>
      <c r="I1767" s="37"/>
      <c r="J1767" s="37"/>
      <c r="K1767" s="37"/>
      <c r="L1767" s="37"/>
      <c r="M1767" s="37"/>
      <c r="N1767" s="37"/>
      <c r="O1767" s="37"/>
      <c r="P1767" s="37"/>
      <c r="Q1767" s="37"/>
      <c r="R1767" s="37"/>
      <c r="S1767" s="37"/>
      <c r="T1767" s="37"/>
      <c r="U1767" s="37"/>
      <c r="V1767" s="37"/>
      <c r="W1767" s="37"/>
      <c r="X1767" s="37"/>
      <c r="Y1767" s="37"/>
      <c r="Z1767" s="37"/>
      <c r="AA1767" s="37"/>
    </row>
    <row r="1768" spans="1:27">
      <c r="A1768" s="37"/>
      <c r="B1768" s="37"/>
      <c r="C1768" s="37"/>
      <c r="D1768" s="37"/>
      <c r="E1768" s="37"/>
      <c r="F1768" s="37"/>
      <c r="G1768" s="37"/>
      <c r="H1768" s="37"/>
      <c r="I1768" s="37"/>
      <c r="J1768" s="37"/>
      <c r="K1768" s="37"/>
      <c r="L1768" s="37"/>
      <c r="M1768" s="37"/>
      <c r="N1768" s="37"/>
      <c r="O1768" s="37"/>
      <c r="P1768" s="37"/>
      <c r="Q1768" s="37"/>
      <c r="R1768" s="37"/>
      <c r="S1768" s="37"/>
      <c r="T1768" s="37"/>
      <c r="U1768" s="37"/>
      <c r="V1768" s="37"/>
      <c r="W1768" s="37"/>
      <c r="X1768" s="37"/>
      <c r="Y1768" s="37"/>
      <c r="Z1768" s="37"/>
      <c r="AA1768" s="37"/>
    </row>
    <row r="1769" spans="1:27">
      <c r="A1769" s="37"/>
      <c r="B1769" s="37"/>
      <c r="C1769" s="37"/>
      <c r="D1769" s="37"/>
      <c r="E1769" s="37"/>
      <c r="F1769" s="37"/>
      <c r="G1769" s="37"/>
      <c r="H1769" s="37"/>
      <c r="I1769" s="37"/>
      <c r="J1769" s="37"/>
      <c r="K1769" s="37"/>
      <c r="L1769" s="37"/>
      <c r="M1769" s="37"/>
      <c r="N1769" s="37"/>
      <c r="O1769" s="37"/>
      <c r="P1769" s="37"/>
      <c r="Q1769" s="37"/>
      <c r="R1769" s="37"/>
      <c r="S1769" s="37"/>
      <c r="T1769" s="37"/>
      <c r="U1769" s="37"/>
      <c r="V1769" s="37"/>
      <c r="W1769" s="37"/>
      <c r="X1769" s="37"/>
      <c r="Y1769" s="37"/>
      <c r="Z1769" s="37"/>
      <c r="AA1769" s="37"/>
    </row>
    <row r="1770" spans="1:27">
      <c r="A1770" s="37"/>
      <c r="B1770" s="37"/>
      <c r="C1770" s="37"/>
      <c r="D1770" s="37"/>
      <c r="E1770" s="37"/>
      <c r="F1770" s="37"/>
      <c r="G1770" s="37"/>
      <c r="H1770" s="37"/>
      <c r="I1770" s="37"/>
      <c r="J1770" s="37"/>
      <c r="K1770" s="37"/>
      <c r="L1770" s="37"/>
      <c r="M1770" s="37"/>
      <c r="N1770" s="37"/>
      <c r="O1770" s="37"/>
      <c r="P1770" s="37"/>
      <c r="Q1770" s="37"/>
      <c r="R1770" s="37"/>
      <c r="S1770" s="37"/>
      <c r="T1770" s="37"/>
      <c r="U1770" s="37"/>
      <c r="V1770" s="37"/>
      <c r="W1770" s="37"/>
      <c r="X1770" s="37"/>
      <c r="Y1770" s="37"/>
      <c r="Z1770" s="37"/>
      <c r="AA1770" s="37"/>
    </row>
    <row r="1771" spans="1:27">
      <c r="A1771" s="37"/>
      <c r="B1771" s="37"/>
      <c r="C1771" s="37"/>
      <c r="D1771" s="37"/>
      <c r="E1771" s="37"/>
      <c r="F1771" s="37"/>
      <c r="G1771" s="37"/>
      <c r="H1771" s="37"/>
      <c r="I1771" s="37"/>
      <c r="J1771" s="37"/>
      <c r="K1771" s="37"/>
      <c r="L1771" s="37"/>
      <c r="M1771" s="37"/>
      <c r="N1771" s="37"/>
      <c r="O1771" s="37"/>
      <c r="P1771" s="37"/>
      <c r="Q1771" s="37"/>
      <c r="R1771" s="37"/>
      <c r="S1771" s="37"/>
      <c r="T1771" s="37"/>
      <c r="U1771" s="37"/>
      <c r="V1771" s="37"/>
      <c r="W1771" s="37"/>
      <c r="X1771" s="37"/>
      <c r="Y1771" s="37"/>
      <c r="Z1771" s="37"/>
      <c r="AA1771" s="37"/>
    </row>
    <row r="1772" spans="1:27">
      <c r="A1772" s="37"/>
      <c r="B1772" s="37"/>
      <c r="C1772" s="37"/>
      <c r="D1772" s="37"/>
      <c r="E1772" s="37"/>
      <c r="F1772" s="37"/>
      <c r="G1772" s="37"/>
      <c r="H1772" s="37"/>
      <c r="I1772" s="37"/>
      <c r="J1772" s="37"/>
      <c r="K1772" s="37"/>
      <c r="L1772" s="37"/>
      <c r="M1772" s="37"/>
      <c r="N1772" s="37"/>
      <c r="O1772" s="37"/>
      <c r="P1772" s="37"/>
      <c r="Q1772" s="37"/>
      <c r="R1772" s="37"/>
      <c r="S1772" s="37"/>
      <c r="T1772" s="37"/>
      <c r="U1772" s="37"/>
      <c r="V1772" s="37"/>
      <c r="W1772" s="37"/>
      <c r="X1772" s="37"/>
      <c r="Y1772" s="37"/>
      <c r="Z1772" s="37"/>
      <c r="AA1772" s="37"/>
    </row>
    <row r="1773" spans="1:27">
      <c r="A1773" s="37"/>
      <c r="B1773" s="37"/>
      <c r="C1773" s="37"/>
      <c r="D1773" s="37"/>
      <c r="E1773" s="37"/>
      <c r="F1773" s="37"/>
      <c r="G1773" s="37"/>
      <c r="H1773" s="37"/>
      <c r="I1773" s="37"/>
      <c r="J1773" s="37"/>
      <c r="K1773" s="37"/>
      <c r="L1773" s="37"/>
      <c r="M1773" s="37"/>
      <c r="N1773" s="37"/>
      <c r="O1773" s="37"/>
      <c r="P1773" s="37"/>
      <c r="Q1773" s="37"/>
      <c r="R1773" s="37"/>
      <c r="S1773" s="37"/>
      <c r="T1773" s="37"/>
      <c r="U1773" s="37"/>
      <c r="V1773" s="37"/>
      <c r="W1773" s="37"/>
      <c r="X1773" s="37"/>
      <c r="Y1773" s="37"/>
      <c r="Z1773" s="37"/>
      <c r="AA1773" s="37"/>
    </row>
    <row r="1774" spans="1:27">
      <c r="A1774" s="37"/>
      <c r="B1774" s="37"/>
      <c r="C1774" s="37"/>
      <c r="D1774" s="37"/>
      <c r="E1774" s="37"/>
      <c r="F1774" s="37"/>
      <c r="G1774" s="37"/>
      <c r="H1774" s="37"/>
      <c r="I1774" s="37"/>
      <c r="J1774" s="37"/>
      <c r="K1774" s="37"/>
      <c r="L1774" s="37"/>
      <c r="M1774" s="37"/>
      <c r="N1774" s="37"/>
      <c r="O1774" s="37"/>
      <c r="P1774" s="37"/>
      <c r="Q1774" s="37"/>
      <c r="R1774" s="37"/>
      <c r="S1774" s="37"/>
      <c r="T1774" s="37"/>
      <c r="U1774" s="37"/>
      <c r="V1774" s="37"/>
      <c r="W1774" s="37"/>
      <c r="X1774" s="37"/>
      <c r="Y1774" s="37"/>
      <c r="Z1774" s="37"/>
      <c r="AA1774" s="37"/>
    </row>
    <row r="1775" spans="1:27">
      <c r="A1775" s="37"/>
      <c r="B1775" s="37"/>
      <c r="C1775" s="37"/>
      <c r="D1775" s="37"/>
      <c r="E1775" s="37"/>
      <c r="F1775" s="37"/>
      <c r="G1775" s="37"/>
      <c r="H1775" s="37"/>
      <c r="I1775" s="37"/>
      <c r="J1775" s="37"/>
      <c r="K1775" s="37"/>
      <c r="L1775" s="37"/>
      <c r="M1775" s="37"/>
      <c r="N1775" s="37"/>
      <c r="O1775" s="37"/>
      <c r="P1775" s="37"/>
      <c r="Q1775" s="37"/>
      <c r="R1775" s="37"/>
      <c r="S1775" s="37"/>
      <c r="T1775" s="37"/>
      <c r="U1775" s="37"/>
      <c r="V1775" s="37"/>
      <c r="W1775" s="37"/>
      <c r="X1775" s="37"/>
      <c r="Y1775" s="37"/>
      <c r="Z1775" s="37"/>
      <c r="AA1775" s="37"/>
    </row>
    <row r="1776" spans="1:27">
      <c r="A1776" s="37"/>
      <c r="B1776" s="37"/>
      <c r="C1776" s="37"/>
      <c r="D1776" s="37"/>
      <c r="E1776" s="37"/>
      <c r="F1776" s="37"/>
      <c r="G1776" s="37"/>
      <c r="H1776" s="37"/>
      <c r="I1776" s="37"/>
      <c r="J1776" s="37"/>
      <c r="K1776" s="37"/>
      <c r="L1776" s="37"/>
      <c r="M1776" s="37"/>
      <c r="N1776" s="37"/>
      <c r="O1776" s="37"/>
      <c r="P1776" s="37"/>
      <c r="Q1776" s="37"/>
      <c r="R1776" s="37"/>
      <c r="S1776" s="37"/>
      <c r="T1776" s="37"/>
      <c r="U1776" s="37"/>
      <c r="V1776" s="37"/>
      <c r="W1776" s="37"/>
      <c r="X1776" s="37"/>
      <c r="Y1776" s="37"/>
      <c r="Z1776" s="37"/>
      <c r="AA1776" s="37"/>
    </row>
    <row r="1777" spans="1:27">
      <c r="A1777" s="37"/>
      <c r="B1777" s="37"/>
      <c r="C1777" s="37"/>
      <c r="D1777" s="37"/>
      <c r="E1777" s="37"/>
      <c r="F1777" s="37"/>
      <c r="G1777" s="37"/>
      <c r="H1777" s="37"/>
      <c r="I1777" s="37"/>
      <c r="J1777" s="37"/>
      <c r="K1777" s="37"/>
      <c r="L1777" s="37"/>
      <c r="M1777" s="37"/>
      <c r="N1777" s="37"/>
      <c r="O1777" s="37"/>
      <c r="P1777" s="37"/>
      <c r="Q1777" s="37"/>
      <c r="R1777" s="37"/>
      <c r="S1777" s="37"/>
      <c r="T1777" s="37"/>
      <c r="U1777" s="37"/>
      <c r="V1777" s="37"/>
      <c r="W1777" s="37"/>
      <c r="X1777" s="37"/>
      <c r="Y1777" s="37"/>
      <c r="Z1777" s="37"/>
      <c r="AA1777" s="37"/>
    </row>
    <row r="1778" spans="1:27">
      <c r="A1778" s="37"/>
      <c r="B1778" s="37"/>
      <c r="C1778" s="37"/>
      <c r="D1778" s="37"/>
      <c r="E1778" s="37"/>
      <c r="F1778" s="37"/>
      <c r="G1778" s="37"/>
      <c r="H1778" s="37"/>
      <c r="I1778" s="37"/>
      <c r="J1778" s="37"/>
      <c r="K1778" s="37"/>
      <c r="L1778" s="37"/>
      <c r="M1778" s="37"/>
      <c r="N1778" s="37"/>
      <c r="O1778" s="37"/>
      <c r="P1778" s="37"/>
      <c r="Q1778" s="37"/>
      <c r="R1778" s="37"/>
      <c r="S1778" s="37"/>
      <c r="T1778" s="37"/>
      <c r="U1778" s="37"/>
      <c r="V1778" s="37"/>
      <c r="W1778" s="37"/>
      <c r="X1778" s="37"/>
      <c r="Y1778" s="37"/>
      <c r="Z1778" s="37"/>
      <c r="AA1778" s="37"/>
    </row>
    <row r="1779" spans="1:27">
      <c r="A1779" s="37"/>
      <c r="B1779" s="37"/>
      <c r="C1779" s="37"/>
      <c r="D1779" s="37"/>
      <c r="E1779" s="37"/>
      <c r="F1779" s="37"/>
      <c r="G1779" s="37"/>
      <c r="H1779" s="37"/>
      <c r="I1779" s="37"/>
      <c r="J1779" s="37"/>
      <c r="K1779" s="37"/>
      <c r="L1779" s="37"/>
      <c r="M1779" s="37"/>
      <c r="N1779" s="37"/>
      <c r="O1779" s="37"/>
      <c r="P1779" s="37"/>
      <c r="Q1779" s="37"/>
      <c r="R1779" s="37"/>
      <c r="S1779" s="37"/>
      <c r="T1779" s="37"/>
      <c r="U1779" s="37"/>
      <c r="V1779" s="37"/>
      <c r="W1779" s="37"/>
      <c r="X1779" s="37"/>
      <c r="Y1779" s="37"/>
      <c r="Z1779" s="37"/>
      <c r="AA1779" s="37"/>
    </row>
    <row r="1780" spans="1:27">
      <c r="A1780" s="37"/>
      <c r="B1780" s="37"/>
      <c r="C1780" s="37"/>
      <c r="D1780" s="37"/>
      <c r="E1780" s="37"/>
      <c r="F1780" s="37"/>
      <c r="G1780" s="37"/>
      <c r="H1780" s="37"/>
      <c r="I1780" s="37"/>
      <c r="J1780" s="37"/>
      <c r="K1780" s="37"/>
      <c r="L1780" s="37"/>
      <c r="M1780" s="37"/>
      <c r="N1780" s="37"/>
      <c r="O1780" s="37"/>
      <c r="P1780" s="37"/>
      <c r="Q1780" s="37"/>
      <c r="R1780" s="37"/>
      <c r="S1780" s="37"/>
      <c r="T1780" s="37"/>
      <c r="U1780" s="37"/>
      <c r="V1780" s="37"/>
      <c r="W1780" s="37"/>
      <c r="X1780" s="37"/>
      <c r="Y1780" s="37"/>
      <c r="Z1780" s="37"/>
      <c r="AA1780" s="37"/>
    </row>
    <row r="1781" spans="1:27">
      <c r="A1781" s="37"/>
      <c r="B1781" s="37"/>
      <c r="C1781" s="37"/>
      <c r="D1781" s="37"/>
      <c r="E1781" s="37"/>
      <c r="F1781" s="37"/>
      <c r="G1781" s="37"/>
      <c r="H1781" s="37"/>
      <c r="I1781" s="37"/>
      <c r="J1781" s="37"/>
      <c r="K1781" s="37"/>
      <c r="L1781" s="37"/>
      <c r="M1781" s="37"/>
      <c r="N1781" s="37"/>
      <c r="O1781" s="37"/>
      <c r="P1781" s="37"/>
      <c r="Q1781" s="37"/>
      <c r="R1781" s="37"/>
      <c r="S1781" s="37"/>
      <c r="T1781" s="37"/>
      <c r="U1781" s="37"/>
      <c r="V1781" s="37"/>
      <c r="W1781" s="37"/>
      <c r="X1781" s="37"/>
      <c r="Y1781" s="37"/>
      <c r="Z1781" s="37"/>
      <c r="AA1781" s="37"/>
    </row>
    <row r="1782" spans="1:27">
      <c r="A1782" s="37"/>
      <c r="B1782" s="37"/>
      <c r="C1782" s="37"/>
      <c r="D1782" s="37"/>
      <c r="E1782" s="37"/>
      <c r="F1782" s="37"/>
      <c r="G1782" s="37"/>
      <c r="H1782" s="37"/>
      <c r="I1782" s="37"/>
      <c r="J1782" s="37"/>
      <c r="K1782" s="37"/>
      <c r="L1782" s="37"/>
      <c r="M1782" s="37"/>
      <c r="N1782" s="37"/>
      <c r="O1782" s="37"/>
      <c r="P1782" s="37"/>
      <c r="Q1782" s="37"/>
      <c r="R1782" s="37"/>
      <c r="S1782" s="37"/>
      <c r="T1782" s="37"/>
      <c r="U1782" s="37"/>
      <c r="V1782" s="37"/>
      <c r="W1782" s="37"/>
      <c r="X1782" s="37"/>
      <c r="Y1782" s="37"/>
      <c r="Z1782" s="37"/>
      <c r="AA1782" s="37"/>
    </row>
    <row r="1783" spans="1:27">
      <c r="A1783" s="37"/>
      <c r="B1783" s="37"/>
      <c r="C1783" s="37"/>
      <c r="D1783" s="37"/>
      <c r="E1783" s="37"/>
      <c r="F1783" s="37"/>
      <c r="G1783" s="37"/>
      <c r="H1783" s="37"/>
      <c r="I1783" s="37"/>
      <c r="J1783" s="37"/>
      <c r="K1783" s="37"/>
      <c r="L1783" s="37"/>
      <c r="M1783" s="37"/>
      <c r="N1783" s="37"/>
      <c r="O1783" s="37"/>
      <c r="P1783" s="37"/>
      <c r="Q1783" s="37"/>
      <c r="R1783" s="37"/>
      <c r="S1783" s="37"/>
      <c r="T1783" s="37"/>
      <c r="U1783" s="37"/>
      <c r="V1783" s="37"/>
      <c r="W1783" s="37"/>
      <c r="X1783" s="37"/>
      <c r="Y1783" s="37"/>
      <c r="Z1783" s="37"/>
      <c r="AA1783" s="37"/>
    </row>
    <row r="1784" spans="1:27">
      <c r="A1784" s="37"/>
      <c r="B1784" s="37"/>
      <c r="C1784" s="37"/>
      <c r="D1784" s="37"/>
      <c r="E1784" s="37"/>
      <c r="F1784" s="37"/>
      <c r="G1784" s="37"/>
      <c r="H1784" s="37"/>
      <c r="I1784" s="37"/>
      <c r="J1784" s="37"/>
      <c r="K1784" s="37"/>
      <c r="L1784" s="37"/>
      <c r="M1784" s="37"/>
      <c r="N1784" s="37"/>
      <c r="O1784" s="37"/>
      <c r="P1784" s="37"/>
      <c r="Q1784" s="37"/>
      <c r="R1784" s="37"/>
      <c r="S1784" s="37"/>
      <c r="T1784" s="37"/>
      <c r="U1784" s="37"/>
      <c r="V1784" s="37"/>
      <c r="W1784" s="37"/>
      <c r="X1784" s="37"/>
      <c r="Y1784" s="37"/>
      <c r="Z1784" s="37"/>
      <c r="AA1784" s="37"/>
    </row>
    <row r="1785" spans="1:27">
      <c r="A1785" s="37"/>
      <c r="B1785" s="37"/>
      <c r="C1785" s="37"/>
      <c r="D1785" s="37"/>
      <c r="E1785" s="37"/>
      <c r="F1785" s="37"/>
      <c r="G1785" s="37"/>
      <c r="H1785" s="37"/>
      <c r="I1785" s="37"/>
      <c r="J1785" s="37"/>
      <c r="K1785" s="37"/>
      <c r="L1785" s="37"/>
      <c r="M1785" s="37"/>
      <c r="N1785" s="37"/>
      <c r="O1785" s="37"/>
      <c r="P1785" s="37"/>
      <c r="Q1785" s="37"/>
      <c r="R1785" s="37"/>
      <c r="S1785" s="37"/>
      <c r="T1785" s="37"/>
      <c r="U1785" s="37"/>
      <c r="V1785" s="37"/>
      <c r="W1785" s="37"/>
      <c r="X1785" s="37"/>
      <c r="Y1785" s="37"/>
      <c r="Z1785" s="37"/>
      <c r="AA1785" s="37"/>
    </row>
    <row r="1786" spans="1:27">
      <c r="A1786" s="16"/>
      <c r="B1786" s="16"/>
      <c r="C1786" s="16"/>
      <c r="D1786" s="16"/>
      <c r="E1786" s="16"/>
      <c r="F1786" s="16"/>
      <c r="G1786" s="16"/>
      <c r="H1786" s="16"/>
      <c r="I1786" s="16"/>
      <c r="J1786" s="16"/>
      <c r="K1786" s="16"/>
      <c r="L1786" s="36"/>
      <c r="M1786" s="16"/>
      <c r="N1786" s="16"/>
      <c r="O1786" s="16"/>
      <c r="P1786" s="16"/>
      <c r="Q1786" s="16"/>
      <c r="R1786" s="16"/>
      <c r="S1786" s="16"/>
      <c r="T1786" s="16"/>
      <c r="U1786" s="16"/>
      <c r="V1786" s="16"/>
      <c r="W1786" s="16"/>
      <c r="X1786" s="16"/>
      <c r="Y1786" s="16"/>
      <c r="Z1786" s="16"/>
      <c r="AA1786" s="37"/>
    </row>
    <row r="1787" spans="1:27">
      <c r="A1787" s="16"/>
      <c r="B1787" s="16"/>
      <c r="C1787" s="16"/>
      <c r="D1787" s="16"/>
      <c r="E1787" s="16"/>
      <c r="F1787" s="16"/>
      <c r="G1787" s="16"/>
      <c r="H1787" s="16"/>
      <c r="I1787" s="16"/>
      <c r="J1787" s="16"/>
      <c r="K1787" s="16"/>
      <c r="L1787" s="36"/>
      <c r="M1787" s="16"/>
      <c r="N1787" s="16"/>
      <c r="O1787" s="16"/>
      <c r="P1787" s="16"/>
      <c r="Q1787" s="16"/>
      <c r="R1787" s="16"/>
      <c r="S1787" s="16"/>
      <c r="T1787" s="16"/>
      <c r="U1787" s="16"/>
      <c r="V1787" s="16"/>
      <c r="W1787" s="16"/>
      <c r="X1787" s="16"/>
      <c r="Y1787" s="16"/>
      <c r="Z1787" s="16"/>
      <c r="AA1787" s="37"/>
    </row>
    <row r="1788" spans="1:27">
      <c r="A1788" s="16"/>
      <c r="B1788" s="16"/>
      <c r="C1788" s="16"/>
      <c r="D1788" s="16"/>
      <c r="E1788" s="16"/>
      <c r="F1788" s="16"/>
      <c r="G1788" s="16"/>
      <c r="H1788" s="16"/>
      <c r="I1788" s="16"/>
      <c r="J1788" s="16"/>
      <c r="K1788" s="16"/>
      <c r="L1788" s="36"/>
      <c r="M1788" s="16"/>
      <c r="N1788" s="16"/>
      <c r="O1788" s="16"/>
      <c r="P1788" s="16"/>
      <c r="Q1788" s="16"/>
      <c r="R1788" s="16"/>
      <c r="S1788" s="16"/>
      <c r="T1788" s="16"/>
      <c r="U1788" s="16"/>
      <c r="V1788" s="16"/>
      <c r="W1788" s="16"/>
      <c r="X1788" s="16"/>
      <c r="Y1788" s="16"/>
      <c r="Z1788" s="16"/>
      <c r="AA1788" s="37"/>
    </row>
    <row r="1789" spans="1:27">
      <c r="A1789" s="16"/>
      <c r="B1789" s="16"/>
      <c r="C1789" s="16"/>
      <c r="D1789" s="16"/>
      <c r="E1789" s="16"/>
      <c r="F1789" s="16"/>
      <c r="G1789" s="16"/>
      <c r="H1789" s="16"/>
      <c r="I1789" s="16"/>
      <c r="J1789" s="16"/>
      <c r="K1789" s="16"/>
      <c r="L1789" s="36"/>
      <c r="M1789" s="36"/>
      <c r="N1789" s="16"/>
      <c r="O1789" s="36"/>
      <c r="P1789" s="16"/>
      <c r="Q1789" s="16"/>
      <c r="R1789" s="16"/>
      <c r="S1789" s="16"/>
      <c r="T1789" s="16"/>
      <c r="U1789" s="16"/>
      <c r="V1789" s="16"/>
      <c r="W1789" s="16"/>
      <c r="X1789" s="16"/>
      <c r="Y1789" s="16"/>
      <c r="Z1789" s="16"/>
      <c r="AA1789" s="37"/>
    </row>
    <row r="1790" spans="1:27">
      <c r="A1790" s="16"/>
      <c r="B1790" s="16"/>
      <c r="C1790" s="16"/>
      <c r="D1790" s="16"/>
      <c r="E1790" s="16"/>
      <c r="F1790" s="16"/>
      <c r="G1790" s="16"/>
      <c r="H1790" s="16"/>
      <c r="I1790" s="16"/>
      <c r="J1790" s="16"/>
      <c r="K1790" s="16"/>
      <c r="L1790" s="36"/>
      <c r="M1790" s="16"/>
      <c r="N1790" s="16"/>
      <c r="O1790" s="16"/>
      <c r="P1790" s="16"/>
      <c r="Q1790" s="16"/>
      <c r="R1790" s="16"/>
      <c r="S1790" s="16"/>
      <c r="T1790" s="16"/>
      <c r="U1790" s="16"/>
      <c r="V1790" s="16"/>
      <c r="W1790" s="16"/>
      <c r="X1790" s="16"/>
      <c r="Y1790" s="16"/>
      <c r="Z1790" s="16"/>
      <c r="AA1790" s="37"/>
    </row>
    <row r="1791" spans="1:27">
      <c r="A1791" s="16"/>
      <c r="B1791" s="16"/>
      <c r="C1791" s="16"/>
      <c r="D1791" s="16"/>
      <c r="E1791" s="16"/>
      <c r="F1791" s="16"/>
      <c r="G1791" s="16"/>
      <c r="H1791" s="16"/>
      <c r="I1791" s="16"/>
      <c r="J1791" s="16"/>
      <c r="K1791" s="16"/>
      <c r="L1791" s="36"/>
      <c r="M1791" s="16"/>
      <c r="N1791" s="16"/>
      <c r="O1791" s="16"/>
      <c r="P1791" s="16"/>
      <c r="Q1791" s="16"/>
      <c r="R1791" s="16"/>
      <c r="S1791" s="16"/>
      <c r="T1791" s="16"/>
      <c r="U1791" s="16"/>
      <c r="V1791" s="16"/>
      <c r="W1791" s="16"/>
      <c r="X1791" s="16"/>
      <c r="Y1791" s="16"/>
      <c r="Z1791" s="16"/>
      <c r="AA1791" s="37"/>
    </row>
    <row r="1792" spans="1:27">
      <c r="A1792" s="16"/>
      <c r="B1792" s="16"/>
      <c r="C1792" s="16"/>
      <c r="D1792" s="16"/>
      <c r="E1792" s="16"/>
      <c r="F1792" s="16"/>
      <c r="G1792" s="16"/>
      <c r="H1792" s="16"/>
      <c r="I1792" s="16"/>
      <c r="J1792" s="16"/>
      <c r="K1792" s="16"/>
      <c r="L1792" s="36"/>
      <c r="M1792" s="16"/>
      <c r="N1792" s="16"/>
      <c r="O1792" s="16"/>
      <c r="P1792" s="16"/>
      <c r="Q1792" s="16"/>
      <c r="R1792" s="16"/>
      <c r="S1792" s="16"/>
      <c r="T1792" s="16"/>
      <c r="U1792" s="16"/>
      <c r="V1792" s="16"/>
      <c r="W1792" s="16"/>
      <c r="X1792" s="16"/>
      <c r="Y1792" s="16"/>
      <c r="Z1792" s="16"/>
      <c r="AA1792" s="37"/>
    </row>
    <row r="1793" spans="1:27">
      <c r="A1793" s="37"/>
      <c r="B1793" s="37"/>
      <c r="C1793" s="37"/>
      <c r="D1793" s="37"/>
      <c r="E1793" s="37"/>
      <c r="F1793" s="37"/>
      <c r="G1793" s="37"/>
      <c r="H1793" s="37"/>
      <c r="I1793" s="37"/>
      <c r="J1793" s="37"/>
      <c r="K1793" s="37"/>
      <c r="L1793" s="37"/>
      <c r="M1793" s="37"/>
      <c r="N1793" s="37"/>
      <c r="O1793" s="37"/>
      <c r="P1793" s="37"/>
      <c r="Q1793" s="37"/>
      <c r="R1793" s="37"/>
      <c r="S1793" s="37"/>
      <c r="T1793" s="37"/>
      <c r="U1793" s="37"/>
      <c r="V1793" s="37"/>
      <c r="W1793" s="37"/>
      <c r="X1793" s="37"/>
      <c r="Y1793" s="37"/>
      <c r="Z1793" s="37"/>
      <c r="AA1793" s="37"/>
    </row>
    <row r="1794" spans="1:27">
      <c r="A1794" s="37"/>
      <c r="B1794" s="37"/>
      <c r="C1794" s="37"/>
      <c r="D1794" s="37"/>
      <c r="E1794" s="37"/>
      <c r="F1794" s="37"/>
      <c r="G1794" s="37"/>
      <c r="H1794" s="37"/>
      <c r="I1794" s="37"/>
      <c r="J1794" s="37"/>
      <c r="K1794" s="37"/>
      <c r="L1794" s="37"/>
      <c r="M1794" s="37"/>
      <c r="N1794" s="37"/>
      <c r="O1794" s="37"/>
      <c r="P1794" s="37"/>
      <c r="Q1794" s="37"/>
      <c r="R1794" s="37"/>
      <c r="S1794" s="37"/>
      <c r="T1794" s="37"/>
      <c r="U1794" s="37"/>
      <c r="V1794" s="37"/>
      <c r="W1794" s="37"/>
      <c r="X1794" s="37"/>
      <c r="Y1794" s="37"/>
      <c r="Z1794" s="37"/>
      <c r="AA1794" s="37"/>
    </row>
    <row r="1795" spans="1:27">
      <c r="A1795" s="37"/>
      <c r="B1795" s="37"/>
      <c r="C1795" s="37"/>
      <c r="D1795" s="37"/>
      <c r="E1795" s="37"/>
      <c r="F1795" s="37"/>
      <c r="G1795" s="37"/>
      <c r="H1795" s="37"/>
      <c r="I1795" s="37"/>
      <c r="J1795" s="37"/>
      <c r="K1795" s="37"/>
      <c r="L1795" s="37"/>
      <c r="M1795" s="37"/>
      <c r="N1795" s="37"/>
      <c r="O1795" s="37"/>
      <c r="P1795" s="37"/>
      <c r="Q1795" s="37"/>
      <c r="R1795" s="37"/>
      <c r="S1795" s="37"/>
      <c r="T1795" s="37"/>
      <c r="U1795" s="37"/>
      <c r="V1795" s="37"/>
      <c r="W1795" s="37"/>
      <c r="X1795" s="37"/>
      <c r="Y1795" s="37"/>
      <c r="Z1795" s="37"/>
      <c r="AA1795" s="37"/>
    </row>
    <row r="1796" spans="1:27">
      <c r="A1796" s="37"/>
      <c r="B1796" s="37"/>
      <c r="C1796" s="37"/>
      <c r="D1796" s="37"/>
      <c r="E1796" s="37"/>
      <c r="F1796" s="37"/>
      <c r="G1796" s="37"/>
      <c r="H1796" s="37"/>
      <c r="I1796" s="37"/>
      <c r="J1796" s="37"/>
      <c r="K1796" s="37"/>
      <c r="L1796" s="37"/>
      <c r="M1796" s="37"/>
      <c r="N1796" s="37"/>
      <c r="O1796" s="37"/>
      <c r="P1796" s="37"/>
      <c r="Q1796" s="37"/>
      <c r="R1796" s="37"/>
      <c r="S1796" s="37"/>
      <c r="T1796" s="37"/>
      <c r="U1796" s="37"/>
      <c r="V1796" s="37"/>
      <c r="W1796" s="37"/>
      <c r="X1796" s="37"/>
      <c r="Y1796" s="37"/>
      <c r="Z1796" s="37"/>
      <c r="AA1796" s="37"/>
    </row>
    <row r="1797" spans="1:27">
      <c r="A1797" s="37"/>
      <c r="B1797" s="37"/>
      <c r="C1797" s="37"/>
      <c r="D1797" s="37"/>
      <c r="E1797" s="37"/>
      <c r="F1797" s="37"/>
      <c r="G1797" s="37"/>
      <c r="H1797" s="37"/>
      <c r="I1797" s="37"/>
      <c r="J1797" s="37"/>
      <c r="K1797" s="37"/>
      <c r="L1797" s="37"/>
      <c r="M1797" s="37"/>
      <c r="N1797" s="37"/>
      <c r="O1797" s="37"/>
      <c r="P1797" s="37"/>
      <c r="Q1797" s="37"/>
      <c r="R1797" s="37"/>
      <c r="S1797" s="37"/>
      <c r="T1797" s="37"/>
      <c r="U1797" s="37"/>
      <c r="V1797" s="37"/>
      <c r="W1797" s="37"/>
      <c r="X1797" s="37"/>
      <c r="Y1797" s="37"/>
      <c r="Z1797" s="37"/>
      <c r="AA1797" s="37"/>
    </row>
    <row r="1798" spans="1:27">
      <c r="A1798" s="37"/>
      <c r="B1798" s="37"/>
      <c r="C1798" s="37"/>
      <c r="D1798" s="37"/>
      <c r="E1798" s="37"/>
      <c r="F1798" s="37"/>
      <c r="G1798" s="37"/>
      <c r="H1798" s="37"/>
      <c r="I1798" s="37"/>
      <c r="J1798" s="37"/>
      <c r="K1798" s="37"/>
      <c r="L1798" s="37"/>
      <c r="M1798" s="37"/>
      <c r="N1798" s="37"/>
      <c r="O1798" s="37"/>
      <c r="P1798" s="37"/>
      <c r="Q1798" s="37"/>
      <c r="R1798" s="37"/>
      <c r="S1798" s="37"/>
      <c r="T1798" s="37"/>
      <c r="U1798" s="37"/>
      <c r="V1798" s="37"/>
      <c r="W1798" s="37"/>
      <c r="X1798" s="37"/>
      <c r="Y1798" s="37"/>
      <c r="Z1798" s="37"/>
      <c r="AA1798" s="37"/>
    </row>
    <row r="1799" spans="1:27">
      <c r="A1799" s="37"/>
      <c r="B1799" s="37"/>
      <c r="C1799" s="37"/>
      <c r="D1799" s="37"/>
      <c r="E1799" s="37"/>
      <c r="F1799" s="37"/>
      <c r="G1799" s="37"/>
      <c r="H1799" s="37"/>
      <c r="I1799" s="37"/>
      <c r="J1799" s="37"/>
      <c r="K1799" s="37"/>
      <c r="L1799" s="37"/>
      <c r="M1799" s="37"/>
      <c r="N1799" s="37"/>
      <c r="O1799" s="37"/>
      <c r="P1799" s="37"/>
      <c r="Q1799" s="37"/>
      <c r="R1799" s="37"/>
      <c r="S1799" s="37"/>
      <c r="T1799" s="37"/>
      <c r="U1799" s="37"/>
      <c r="V1799" s="37"/>
      <c r="W1799" s="37"/>
      <c r="X1799" s="37"/>
      <c r="Y1799" s="37"/>
      <c r="Z1799" s="37"/>
      <c r="AA1799" s="37"/>
    </row>
    <row r="1800" spans="1:27">
      <c r="A1800" s="37"/>
      <c r="B1800" s="37"/>
      <c r="C1800" s="37"/>
      <c r="D1800" s="37"/>
      <c r="E1800" s="37"/>
      <c r="F1800" s="37"/>
      <c r="G1800" s="37"/>
      <c r="H1800" s="37"/>
      <c r="I1800" s="37"/>
      <c r="J1800" s="37"/>
      <c r="K1800" s="37"/>
      <c r="L1800" s="37"/>
      <c r="M1800" s="37"/>
      <c r="N1800" s="37"/>
      <c r="O1800" s="37"/>
      <c r="P1800" s="37"/>
      <c r="Q1800" s="37"/>
      <c r="R1800" s="37"/>
      <c r="S1800" s="37"/>
      <c r="T1800" s="37"/>
      <c r="U1800" s="37"/>
      <c r="V1800" s="37"/>
      <c r="W1800" s="37"/>
      <c r="X1800" s="37"/>
      <c r="Y1800" s="37"/>
      <c r="Z1800" s="37"/>
      <c r="AA1800" s="37"/>
    </row>
    <row r="1801" spans="1:27">
      <c r="A1801" s="37"/>
      <c r="B1801" s="37"/>
      <c r="C1801" s="37"/>
      <c r="D1801" s="37"/>
      <c r="E1801" s="37"/>
      <c r="F1801" s="37"/>
      <c r="G1801" s="37"/>
      <c r="H1801" s="37"/>
      <c r="I1801" s="37"/>
      <c r="J1801" s="37"/>
      <c r="K1801" s="37"/>
      <c r="L1801" s="37"/>
      <c r="M1801" s="37"/>
      <c r="N1801" s="37"/>
      <c r="O1801" s="37"/>
      <c r="P1801" s="37"/>
      <c r="Q1801" s="37"/>
      <c r="R1801" s="37"/>
      <c r="S1801" s="37"/>
      <c r="T1801" s="37"/>
      <c r="U1801" s="37"/>
      <c r="V1801" s="37"/>
      <c r="W1801" s="37"/>
      <c r="X1801" s="37"/>
      <c r="Y1801" s="37"/>
      <c r="Z1801" s="37"/>
      <c r="AA1801" s="37"/>
    </row>
    <row r="1802" spans="1:27">
      <c r="A1802" s="37"/>
      <c r="B1802" s="37"/>
      <c r="C1802" s="37"/>
      <c r="D1802" s="37"/>
      <c r="E1802" s="37"/>
      <c r="F1802" s="37"/>
      <c r="G1802" s="37"/>
      <c r="H1802" s="37"/>
      <c r="I1802" s="37"/>
      <c r="J1802" s="37"/>
      <c r="K1802" s="37"/>
      <c r="L1802" s="37"/>
      <c r="M1802" s="37"/>
      <c r="N1802" s="37"/>
      <c r="O1802" s="37"/>
      <c r="P1802" s="37"/>
      <c r="Q1802" s="37"/>
      <c r="R1802" s="37"/>
      <c r="S1802" s="37"/>
      <c r="T1802" s="37"/>
      <c r="U1802" s="37"/>
      <c r="V1802" s="37"/>
      <c r="W1802" s="37"/>
      <c r="X1802" s="37"/>
      <c r="Y1802" s="37"/>
      <c r="Z1802" s="37"/>
      <c r="AA1802" s="37"/>
    </row>
    <row r="1803" spans="1:27">
      <c r="A1803" s="37"/>
      <c r="B1803" s="37"/>
      <c r="C1803" s="37"/>
      <c r="D1803" s="37"/>
      <c r="E1803" s="37"/>
      <c r="F1803" s="37"/>
      <c r="G1803" s="37"/>
      <c r="H1803" s="37"/>
      <c r="I1803" s="37"/>
      <c r="J1803" s="37"/>
      <c r="K1803" s="37"/>
      <c r="L1803" s="37"/>
      <c r="M1803" s="37"/>
      <c r="N1803" s="37"/>
      <c r="O1803" s="37"/>
      <c r="P1803" s="37"/>
      <c r="Q1803" s="37"/>
      <c r="R1803" s="37"/>
      <c r="S1803" s="37"/>
      <c r="T1803" s="37"/>
      <c r="U1803" s="37"/>
      <c r="V1803" s="37"/>
      <c r="W1803" s="37"/>
      <c r="X1803" s="37"/>
      <c r="Y1803" s="37"/>
      <c r="Z1803" s="37"/>
      <c r="AA1803" s="37"/>
    </row>
    <row r="1804" spans="1:27">
      <c r="A1804" s="37"/>
      <c r="B1804" s="37"/>
      <c r="C1804" s="37"/>
      <c r="D1804" s="37"/>
      <c r="E1804" s="37"/>
      <c r="F1804" s="37"/>
      <c r="G1804" s="37"/>
      <c r="H1804" s="37"/>
      <c r="I1804" s="37"/>
      <c r="J1804" s="37"/>
      <c r="K1804" s="37"/>
      <c r="L1804" s="37"/>
      <c r="M1804" s="37"/>
      <c r="N1804" s="37"/>
      <c r="O1804" s="37"/>
      <c r="P1804" s="37"/>
      <c r="Q1804" s="37"/>
      <c r="R1804" s="37"/>
      <c r="S1804" s="37"/>
      <c r="T1804" s="37"/>
      <c r="U1804" s="37"/>
      <c r="V1804" s="37"/>
      <c r="W1804" s="37"/>
      <c r="X1804" s="37"/>
      <c r="Y1804" s="37"/>
      <c r="Z1804" s="37"/>
      <c r="AA1804" s="37"/>
    </row>
    <row r="1805" spans="1:27">
      <c r="A1805" s="37"/>
      <c r="B1805" s="37"/>
      <c r="C1805" s="37"/>
      <c r="D1805" s="37"/>
      <c r="E1805" s="37"/>
      <c r="F1805" s="37"/>
      <c r="G1805" s="37"/>
      <c r="H1805" s="37"/>
      <c r="I1805" s="37"/>
      <c r="J1805" s="37"/>
      <c r="K1805" s="37"/>
      <c r="L1805" s="37"/>
      <c r="M1805" s="37"/>
      <c r="N1805" s="37"/>
      <c r="O1805" s="37"/>
      <c r="P1805" s="37"/>
      <c r="Q1805" s="37"/>
      <c r="R1805" s="37"/>
      <c r="S1805" s="37"/>
      <c r="T1805" s="37"/>
      <c r="U1805" s="37"/>
      <c r="V1805" s="37"/>
      <c r="W1805" s="37"/>
      <c r="X1805" s="37"/>
      <c r="Y1805" s="37"/>
      <c r="Z1805" s="37"/>
      <c r="AA1805" s="37"/>
    </row>
    <row r="1806" spans="1:27">
      <c r="A1806" s="37"/>
      <c r="B1806" s="37"/>
      <c r="C1806" s="37"/>
      <c r="D1806" s="37"/>
      <c r="E1806" s="37"/>
      <c r="F1806" s="37"/>
      <c r="G1806" s="37"/>
      <c r="H1806" s="37"/>
      <c r="I1806" s="37"/>
      <c r="J1806" s="37"/>
      <c r="K1806" s="37"/>
      <c r="L1806" s="37"/>
      <c r="M1806" s="37"/>
      <c r="N1806" s="37"/>
      <c r="O1806" s="37"/>
      <c r="P1806" s="37"/>
      <c r="Q1806" s="37"/>
      <c r="R1806" s="37"/>
      <c r="S1806" s="37"/>
      <c r="T1806" s="37"/>
      <c r="U1806" s="37"/>
      <c r="V1806" s="37"/>
      <c r="W1806" s="37"/>
      <c r="X1806" s="37"/>
      <c r="Y1806" s="37"/>
      <c r="Z1806" s="37"/>
      <c r="AA1806" s="37"/>
    </row>
    <row r="1807" spans="1:27">
      <c r="A1807" s="37"/>
      <c r="B1807" s="37"/>
      <c r="C1807" s="37"/>
      <c r="D1807" s="37"/>
      <c r="E1807" s="37"/>
      <c r="F1807" s="37"/>
      <c r="G1807" s="37"/>
      <c r="H1807" s="37"/>
      <c r="I1807" s="37"/>
      <c r="J1807" s="37"/>
      <c r="K1807" s="37"/>
      <c r="L1807" s="37"/>
      <c r="M1807" s="37"/>
      <c r="N1807" s="37"/>
      <c r="O1807" s="37"/>
      <c r="P1807" s="37"/>
      <c r="Q1807" s="37"/>
      <c r="R1807" s="37"/>
      <c r="S1807" s="37"/>
      <c r="T1807" s="37"/>
      <c r="U1807" s="37"/>
      <c r="V1807" s="37"/>
      <c r="W1807" s="37"/>
      <c r="X1807" s="37"/>
      <c r="Y1807" s="37"/>
      <c r="Z1807" s="37"/>
      <c r="AA1807" s="37"/>
    </row>
    <row r="1808" spans="1:27">
      <c r="A1808" s="37"/>
      <c r="B1808" s="37"/>
      <c r="C1808" s="37"/>
      <c r="D1808" s="37"/>
      <c r="E1808" s="37"/>
      <c r="F1808" s="37"/>
      <c r="G1808" s="37"/>
      <c r="H1808" s="37"/>
      <c r="I1808" s="37"/>
      <c r="J1808" s="37"/>
      <c r="K1808" s="37"/>
      <c r="L1808" s="37"/>
      <c r="M1808" s="37"/>
      <c r="N1808" s="37"/>
      <c r="O1808" s="37"/>
      <c r="P1808" s="37"/>
      <c r="Q1808" s="37"/>
      <c r="R1808" s="37"/>
      <c r="S1808" s="37"/>
      <c r="T1808" s="37"/>
      <c r="U1808" s="37"/>
      <c r="V1808" s="37"/>
      <c r="W1808" s="37"/>
      <c r="X1808" s="37"/>
      <c r="Y1808" s="37"/>
      <c r="Z1808" s="37"/>
      <c r="AA1808" s="37"/>
    </row>
    <row r="1809" spans="1:27">
      <c r="A1809" s="37"/>
      <c r="B1809" s="37"/>
      <c r="C1809" s="37"/>
      <c r="D1809" s="37"/>
      <c r="E1809" s="37"/>
      <c r="F1809" s="37"/>
      <c r="G1809" s="37"/>
      <c r="H1809" s="37"/>
      <c r="I1809" s="37"/>
      <c r="J1809" s="37"/>
      <c r="K1809" s="37"/>
      <c r="L1809" s="37"/>
      <c r="M1809" s="37"/>
      <c r="N1809" s="37"/>
      <c r="O1809" s="37"/>
      <c r="P1809" s="37"/>
      <c r="Q1809" s="37"/>
      <c r="R1809" s="37"/>
      <c r="S1809" s="37"/>
      <c r="T1809" s="37"/>
      <c r="U1809" s="37"/>
      <c r="V1809" s="37"/>
      <c r="W1809" s="37"/>
      <c r="X1809" s="37"/>
      <c r="Y1809" s="37"/>
      <c r="Z1809" s="37"/>
      <c r="AA1809" s="37"/>
    </row>
    <row r="1810" spans="1:27">
      <c r="A1810" s="37"/>
      <c r="B1810" s="37"/>
      <c r="C1810" s="37"/>
      <c r="D1810" s="37"/>
      <c r="E1810" s="37"/>
      <c r="F1810" s="37"/>
      <c r="G1810" s="37"/>
      <c r="H1810" s="37"/>
      <c r="I1810" s="37"/>
      <c r="J1810" s="37"/>
      <c r="K1810" s="37"/>
      <c r="L1810" s="37"/>
      <c r="M1810" s="37"/>
      <c r="N1810" s="37"/>
      <c r="O1810" s="37"/>
      <c r="P1810" s="37"/>
      <c r="Q1810" s="37"/>
      <c r="R1810" s="37"/>
      <c r="S1810" s="37"/>
      <c r="T1810" s="37"/>
      <c r="U1810" s="37"/>
      <c r="V1810" s="37"/>
      <c r="W1810" s="37"/>
      <c r="X1810" s="37"/>
      <c r="Y1810" s="37"/>
      <c r="Z1810" s="37"/>
      <c r="AA1810" s="37"/>
    </row>
    <row r="1811" spans="1:27">
      <c r="A1811" s="37"/>
      <c r="B1811" s="37"/>
      <c r="C1811" s="37"/>
      <c r="D1811" s="37"/>
      <c r="E1811" s="37"/>
      <c r="F1811" s="37"/>
      <c r="G1811" s="37"/>
      <c r="H1811" s="37"/>
      <c r="I1811" s="37"/>
      <c r="J1811" s="37"/>
      <c r="K1811" s="37"/>
      <c r="L1811" s="37"/>
      <c r="M1811" s="37"/>
      <c r="N1811" s="37"/>
      <c r="O1811" s="37"/>
      <c r="P1811" s="37"/>
      <c r="Q1811" s="37"/>
      <c r="R1811" s="37"/>
      <c r="S1811" s="37"/>
      <c r="T1811" s="37"/>
      <c r="U1811" s="37"/>
      <c r="V1811" s="37"/>
      <c r="W1811" s="37"/>
      <c r="X1811" s="37"/>
      <c r="Y1811" s="37"/>
      <c r="Z1811" s="37"/>
      <c r="AA1811" s="37"/>
    </row>
    <row r="1812" spans="1:27">
      <c r="A1812" s="37"/>
      <c r="B1812" s="37"/>
      <c r="C1812" s="37"/>
      <c r="D1812" s="37"/>
      <c r="E1812" s="37"/>
      <c r="F1812" s="37"/>
      <c r="G1812" s="37"/>
      <c r="H1812" s="37"/>
      <c r="I1812" s="37"/>
      <c r="J1812" s="37"/>
      <c r="K1812" s="37"/>
      <c r="L1812" s="37"/>
      <c r="M1812" s="37"/>
      <c r="N1812" s="37"/>
      <c r="O1812" s="37"/>
      <c r="P1812" s="37"/>
      <c r="Q1812" s="37"/>
      <c r="R1812" s="37"/>
      <c r="S1812" s="37"/>
      <c r="T1812" s="37"/>
      <c r="U1812" s="37"/>
      <c r="V1812" s="37"/>
      <c r="W1812" s="37"/>
      <c r="X1812" s="37"/>
      <c r="Y1812" s="37"/>
      <c r="Z1812" s="37"/>
      <c r="AA1812" s="37"/>
    </row>
    <row r="1813" spans="1:27">
      <c r="A1813" s="37"/>
      <c r="B1813" s="37"/>
      <c r="C1813" s="37"/>
      <c r="D1813" s="37"/>
      <c r="E1813" s="37"/>
      <c r="F1813" s="37"/>
      <c r="G1813" s="37"/>
      <c r="H1813" s="37"/>
      <c r="I1813" s="37"/>
      <c r="J1813" s="37"/>
      <c r="K1813" s="37"/>
      <c r="L1813" s="37"/>
      <c r="M1813" s="37"/>
      <c r="N1813" s="37"/>
      <c r="O1813" s="37"/>
      <c r="P1813" s="37"/>
      <c r="Q1813" s="37"/>
      <c r="R1813" s="37"/>
      <c r="S1813" s="37"/>
      <c r="T1813" s="37"/>
      <c r="U1813" s="37"/>
      <c r="V1813" s="37"/>
      <c r="W1813" s="37"/>
      <c r="X1813" s="37"/>
      <c r="Y1813" s="37"/>
      <c r="Z1813" s="37"/>
      <c r="AA1813" s="37"/>
    </row>
    <row r="1814" spans="1:27">
      <c r="A1814" s="37"/>
      <c r="B1814" s="37"/>
      <c r="C1814" s="37"/>
      <c r="D1814" s="37"/>
      <c r="E1814" s="37"/>
      <c r="F1814" s="37"/>
      <c r="G1814" s="37"/>
      <c r="H1814" s="37"/>
      <c r="I1814" s="37"/>
      <c r="J1814" s="37"/>
      <c r="K1814" s="37"/>
      <c r="L1814" s="37"/>
      <c r="M1814" s="37"/>
      <c r="N1814" s="37"/>
      <c r="O1814" s="37"/>
      <c r="P1814" s="37"/>
      <c r="Q1814" s="37"/>
      <c r="R1814" s="37"/>
      <c r="S1814" s="37"/>
      <c r="T1814" s="37"/>
      <c r="U1814" s="37"/>
      <c r="V1814" s="37"/>
      <c r="W1814" s="37"/>
      <c r="X1814" s="37"/>
      <c r="Y1814" s="37"/>
      <c r="Z1814" s="37"/>
      <c r="AA1814" s="37"/>
    </row>
    <row r="1815" spans="1:27">
      <c r="A1815" s="37"/>
      <c r="B1815" s="37"/>
      <c r="C1815" s="37"/>
      <c r="D1815" s="37"/>
      <c r="E1815" s="37"/>
      <c r="F1815" s="37"/>
      <c r="G1815" s="37"/>
      <c r="H1815" s="37"/>
      <c r="I1815" s="37"/>
      <c r="J1815" s="37"/>
      <c r="K1815" s="37"/>
      <c r="L1815" s="37"/>
      <c r="M1815" s="37"/>
      <c r="N1815" s="37"/>
      <c r="O1815" s="37"/>
      <c r="P1815" s="37"/>
      <c r="Q1815" s="37"/>
      <c r="R1815" s="37"/>
      <c r="S1815" s="37"/>
      <c r="T1815" s="37"/>
      <c r="U1815" s="37"/>
      <c r="V1815" s="37"/>
      <c r="W1815" s="37"/>
      <c r="X1815" s="37"/>
      <c r="Y1815" s="37"/>
      <c r="Z1815" s="37"/>
      <c r="AA1815" s="37"/>
    </row>
    <row r="1816" spans="1:27">
      <c r="A1816" s="37"/>
      <c r="B1816" s="37"/>
      <c r="C1816" s="37"/>
      <c r="D1816" s="37"/>
      <c r="E1816" s="37"/>
      <c r="F1816" s="37"/>
      <c r="G1816" s="37"/>
      <c r="H1816" s="37"/>
      <c r="I1816" s="37"/>
      <c r="J1816" s="37"/>
      <c r="K1816" s="37"/>
      <c r="L1816" s="37"/>
      <c r="M1816" s="37"/>
      <c r="N1816" s="37"/>
      <c r="O1816" s="37"/>
      <c r="P1816" s="37"/>
      <c r="Q1816" s="37"/>
      <c r="R1816" s="37"/>
      <c r="S1816" s="37"/>
      <c r="T1816" s="37"/>
      <c r="U1816" s="37"/>
      <c r="V1816" s="37"/>
      <c r="W1816" s="37"/>
      <c r="X1816" s="37"/>
      <c r="Y1816" s="37"/>
      <c r="Z1816" s="37"/>
      <c r="AA1816" s="37"/>
    </row>
    <row r="1817" spans="1:27">
      <c r="A1817" s="37"/>
      <c r="B1817" s="37"/>
      <c r="C1817" s="37"/>
      <c r="D1817" s="37"/>
      <c r="E1817" s="37"/>
      <c r="F1817" s="37"/>
      <c r="G1817" s="37"/>
      <c r="H1817" s="37"/>
      <c r="I1817" s="37"/>
      <c r="J1817" s="37"/>
      <c r="K1817" s="37"/>
      <c r="L1817" s="37"/>
      <c r="M1817" s="37"/>
      <c r="N1817" s="37"/>
      <c r="O1817" s="37"/>
      <c r="P1817" s="37"/>
      <c r="Q1817" s="37"/>
      <c r="R1817" s="37"/>
      <c r="S1817" s="37"/>
      <c r="T1817" s="37"/>
      <c r="U1817" s="37"/>
      <c r="V1817" s="37"/>
      <c r="W1817" s="37"/>
      <c r="X1817" s="37"/>
      <c r="Y1817" s="37"/>
      <c r="Z1817" s="37"/>
      <c r="AA1817" s="37"/>
    </row>
    <row r="1818" spans="1:27">
      <c r="A1818" s="37"/>
      <c r="B1818" s="37"/>
      <c r="C1818" s="37"/>
      <c r="D1818" s="37"/>
      <c r="E1818" s="37"/>
      <c r="F1818" s="37"/>
      <c r="G1818" s="37"/>
      <c r="H1818" s="37"/>
      <c r="I1818" s="37"/>
      <c r="J1818" s="37"/>
      <c r="K1818" s="37"/>
      <c r="L1818" s="37"/>
      <c r="M1818" s="37"/>
      <c r="N1818" s="37"/>
      <c r="O1818" s="37"/>
      <c r="P1818" s="37"/>
      <c r="Q1818" s="37"/>
      <c r="R1818" s="37"/>
      <c r="S1818" s="37"/>
      <c r="T1818" s="37"/>
      <c r="U1818" s="37"/>
      <c r="V1818" s="37"/>
      <c r="W1818" s="37"/>
      <c r="X1818" s="37"/>
      <c r="Y1818" s="37"/>
      <c r="Z1818" s="37"/>
      <c r="AA1818" s="37"/>
    </row>
    <row r="1819" spans="1:27">
      <c r="A1819" s="37"/>
      <c r="B1819" s="37"/>
      <c r="C1819" s="37"/>
      <c r="D1819" s="37"/>
      <c r="E1819" s="37"/>
      <c r="F1819" s="37"/>
      <c r="G1819" s="37"/>
      <c r="H1819" s="37"/>
      <c r="I1819" s="37"/>
      <c r="J1819" s="37"/>
      <c r="K1819" s="37"/>
      <c r="L1819" s="37"/>
      <c r="M1819" s="37"/>
      <c r="N1819" s="37"/>
      <c r="O1819" s="37"/>
      <c r="P1819" s="37"/>
      <c r="Q1819" s="37"/>
      <c r="R1819" s="37"/>
      <c r="S1819" s="37"/>
      <c r="T1819" s="37"/>
      <c r="U1819" s="37"/>
      <c r="V1819" s="37"/>
      <c r="W1819" s="37"/>
      <c r="X1819" s="37"/>
      <c r="Y1819" s="37"/>
      <c r="Z1819" s="37"/>
      <c r="AA1819" s="37"/>
    </row>
    <row r="1820" spans="1:27">
      <c r="A1820" s="37"/>
      <c r="B1820" s="37"/>
      <c r="C1820" s="37"/>
      <c r="D1820" s="37"/>
      <c r="E1820" s="37"/>
      <c r="F1820" s="37"/>
      <c r="G1820" s="37"/>
      <c r="H1820" s="37"/>
      <c r="I1820" s="37"/>
      <c r="J1820" s="37"/>
      <c r="K1820" s="37"/>
      <c r="L1820" s="37"/>
      <c r="M1820" s="37"/>
      <c r="N1820" s="37"/>
      <c r="O1820" s="37"/>
      <c r="P1820" s="37"/>
      <c r="Q1820" s="37"/>
      <c r="R1820" s="37"/>
      <c r="S1820" s="37"/>
      <c r="T1820" s="37"/>
      <c r="U1820" s="37"/>
      <c r="V1820" s="37"/>
      <c r="W1820" s="37"/>
      <c r="X1820" s="37"/>
      <c r="Y1820" s="37"/>
      <c r="Z1820" s="37"/>
      <c r="AA1820" s="37"/>
    </row>
    <row r="1821" spans="1:27">
      <c r="A1821" s="37"/>
      <c r="B1821" s="37"/>
      <c r="C1821" s="37"/>
      <c r="D1821" s="37"/>
      <c r="E1821" s="37"/>
      <c r="F1821" s="37"/>
      <c r="G1821" s="37"/>
      <c r="H1821" s="37"/>
      <c r="I1821" s="37"/>
      <c r="J1821" s="37"/>
      <c r="K1821" s="37"/>
      <c r="L1821" s="37"/>
      <c r="M1821" s="37"/>
      <c r="N1821" s="37"/>
      <c r="O1821" s="37"/>
      <c r="P1821" s="37"/>
      <c r="Q1821" s="37"/>
      <c r="R1821" s="37"/>
      <c r="S1821" s="37"/>
      <c r="T1821" s="37"/>
      <c r="U1821" s="37"/>
      <c r="V1821" s="37"/>
      <c r="W1821" s="37"/>
      <c r="X1821" s="37"/>
      <c r="Y1821" s="37"/>
      <c r="Z1821" s="37"/>
      <c r="AA1821" s="37"/>
    </row>
    <row r="1822" spans="1:27">
      <c r="A1822" s="37"/>
      <c r="B1822" s="37"/>
      <c r="C1822" s="37"/>
      <c r="D1822" s="37"/>
      <c r="E1822" s="37"/>
      <c r="F1822" s="37"/>
      <c r="G1822" s="37"/>
      <c r="H1822" s="37"/>
      <c r="I1822" s="37"/>
      <c r="J1822" s="37"/>
      <c r="K1822" s="37"/>
      <c r="L1822" s="37"/>
      <c r="M1822" s="37"/>
      <c r="N1822" s="37"/>
      <c r="O1822" s="37"/>
      <c r="P1822" s="37"/>
      <c r="Q1822" s="37"/>
      <c r="R1822" s="37"/>
      <c r="S1822" s="37"/>
      <c r="T1822" s="37"/>
      <c r="U1822" s="37"/>
      <c r="V1822" s="37"/>
      <c r="W1822" s="37"/>
      <c r="X1822" s="37"/>
      <c r="Y1822" s="37"/>
      <c r="Z1822" s="37"/>
      <c r="AA1822" s="37"/>
    </row>
    <row r="1823" spans="1:27">
      <c r="A1823" s="37"/>
      <c r="B1823" s="37"/>
      <c r="C1823" s="37"/>
      <c r="D1823" s="37"/>
      <c r="E1823" s="37"/>
      <c r="F1823" s="37"/>
      <c r="G1823" s="37"/>
      <c r="H1823" s="37"/>
      <c r="I1823" s="37"/>
      <c r="J1823" s="37"/>
      <c r="K1823" s="37"/>
      <c r="L1823" s="37"/>
      <c r="M1823" s="37"/>
      <c r="N1823" s="37"/>
      <c r="O1823" s="37"/>
      <c r="P1823" s="37"/>
      <c r="Q1823" s="37"/>
      <c r="R1823" s="37"/>
      <c r="S1823" s="37"/>
      <c r="T1823" s="37"/>
      <c r="U1823" s="37"/>
      <c r="V1823" s="37"/>
      <c r="W1823" s="37"/>
      <c r="X1823" s="37"/>
      <c r="Y1823" s="37"/>
      <c r="Z1823" s="37"/>
      <c r="AA1823" s="37"/>
    </row>
    <row r="1824" spans="1:27">
      <c r="A1824" s="37"/>
      <c r="B1824" s="37"/>
      <c r="C1824" s="37"/>
      <c r="D1824" s="37"/>
      <c r="E1824" s="37"/>
      <c r="F1824" s="37"/>
      <c r="G1824" s="37"/>
      <c r="H1824" s="37"/>
      <c r="I1824" s="37"/>
      <c r="J1824" s="37"/>
      <c r="K1824" s="37"/>
      <c r="L1824" s="37"/>
      <c r="M1824" s="37"/>
      <c r="N1824" s="37"/>
      <c r="O1824" s="37"/>
      <c r="P1824" s="37"/>
      <c r="Q1824" s="37"/>
      <c r="R1824" s="37"/>
      <c r="S1824" s="37"/>
      <c r="T1824" s="37"/>
      <c r="U1824" s="37"/>
      <c r="V1824" s="37"/>
      <c r="W1824" s="37"/>
      <c r="X1824" s="37"/>
      <c r="Y1824" s="37"/>
      <c r="Z1824" s="37"/>
      <c r="AA1824" s="37"/>
    </row>
    <row r="1825" spans="1:27">
      <c r="A1825" s="37"/>
      <c r="B1825" s="37"/>
      <c r="C1825" s="37"/>
      <c r="D1825" s="37"/>
      <c r="E1825" s="37"/>
      <c r="F1825" s="37"/>
      <c r="G1825" s="37"/>
      <c r="H1825" s="37"/>
      <c r="I1825" s="37"/>
      <c r="J1825" s="37"/>
      <c r="K1825" s="37"/>
      <c r="L1825" s="37"/>
      <c r="M1825" s="37"/>
      <c r="N1825" s="37"/>
      <c r="O1825" s="37"/>
      <c r="P1825" s="37"/>
      <c r="Q1825" s="37"/>
      <c r="R1825" s="37"/>
      <c r="S1825" s="37"/>
      <c r="T1825" s="37"/>
      <c r="U1825" s="37"/>
      <c r="V1825" s="37"/>
      <c r="W1825" s="37"/>
      <c r="X1825" s="37"/>
      <c r="Y1825" s="37"/>
      <c r="Z1825" s="37"/>
      <c r="AA1825" s="37"/>
    </row>
    <row r="1826" spans="1:27">
      <c r="A1826" s="37"/>
      <c r="B1826" s="37"/>
      <c r="C1826" s="37"/>
      <c r="D1826" s="37"/>
      <c r="E1826" s="37"/>
      <c r="F1826" s="37"/>
      <c r="G1826" s="37"/>
      <c r="H1826" s="37"/>
      <c r="I1826" s="37"/>
      <c r="J1826" s="37"/>
      <c r="K1826" s="37"/>
      <c r="L1826" s="37"/>
      <c r="M1826" s="37"/>
      <c r="N1826" s="37"/>
      <c r="O1826" s="37"/>
      <c r="P1826" s="37"/>
      <c r="Q1826" s="37"/>
      <c r="R1826" s="37"/>
      <c r="S1826" s="37"/>
      <c r="T1826" s="37"/>
      <c r="U1826" s="37"/>
      <c r="V1826" s="37"/>
      <c r="W1826" s="37"/>
      <c r="X1826" s="37"/>
      <c r="Y1826" s="37"/>
      <c r="Z1826" s="37"/>
      <c r="AA1826" s="37"/>
    </row>
    <row r="1827" spans="1:27">
      <c r="A1827" s="37"/>
      <c r="B1827" s="37"/>
      <c r="C1827" s="37"/>
      <c r="D1827" s="37"/>
      <c r="E1827" s="37"/>
      <c r="F1827" s="37"/>
      <c r="G1827" s="37"/>
      <c r="H1827" s="37"/>
      <c r="I1827" s="37"/>
      <c r="J1827" s="37"/>
      <c r="K1827" s="37"/>
      <c r="L1827" s="37"/>
      <c r="M1827" s="37"/>
      <c r="N1827" s="37"/>
      <c r="O1827" s="37"/>
      <c r="P1827" s="37"/>
      <c r="Q1827" s="37"/>
      <c r="R1827" s="37"/>
      <c r="S1827" s="37"/>
      <c r="T1827" s="37"/>
      <c r="U1827" s="37"/>
      <c r="V1827" s="37"/>
      <c r="W1827" s="37"/>
      <c r="X1827" s="37"/>
      <c r="Y1827" s="37"/>
      <c r="Z1827" s="37"/>
      <c r="AA1827" s="37"/>
    </row>
    <row r="1828" spans="1:27">
      <c r="A1828" s="37"/>
      <c r="B1828" s="37"/>
      <c r="C1828" s="37"/>
      <c r="D1828" s="37"/>
      <c r="E1828" s="37"/>
      <c r="F1828" s="37"/>
      <c r="G1828" s="37"/>
      <c r="H1828" s="37"/>
      <c r="I1828" s="37"/>
      <c r="J1828" s="37"/>
      <c r="K1828" s="37"/>
      <c r="L1828" s="37"/>
      <c r="M1828" s="37"/>
      <c r="N1828" s="37"/>
      <c r="O1828" s="37"/>
      <c r="P1828" s="37"/>
      <c r="Q1828" s="37"/>
      <c r="R1828" s="37"/>
      <c r="S1828" s="37"/>
      <c r="T1828" s="37"/>
      <c r="U1828" s="37"/>
      <c r="V1828" s="37"/>
      <c r="W1828" s="37"/>
      <c r="X1828" s="37"/>
      <c r="Y1828" s="37"/>
      <c r="Z1828" s="37"/>
      <c r="AA1828" s="37"/>
    </row>
    <row r="1829" spans="1:27">
      <c r="A1829" s="37"/>
      <c r="B1829" s="37"/>
      <c r="C1829" s="37"/>
      <c r="D1829" s="37"/>
      <c r="E1829" s="37"/>
      <c r="F1829" s="37"/>
      <c r="G1829" s="37"/>
      <c r="H1829" s="37"/>
      <c r="I1829" s="37"/>
      <c r="J1829" s="37"/>
      <c r="K1829" s="37"/>
      <c r="L1829" s="37"/>
      <c r="M1829" s="37"/>
      <c r="N1829" s="37"/>
      <c r="O1829" s="37"/>
      <c r="P1829" s="37"/>
      <c r="Q1829" s="37"/>
      <c r="R1829" s="37"/>
      <c r="S1829" s="37"/>
      <c r="T1829" s="37"/>
      <c r="U1829" s="37"/>
      <c r="V1829" s="37"/>
      <c r="W1829" s="37"/>
      <c r="X1829" s="37"/>
      <c r="Y1829" s="37"/>
      <c r="Z1829" s="37"/>
      <c r="AA1829" s="37"/>
    </row>
    <row r="1830" spans="1:27">
      <c r="A1830" s="37"/>
      <c r="B1830" s="37"/>
      <c r="C1830" s="37"/>
      <c r="D1830" s="37"/>
      <c r="E1830" s="37"/>
      <c r="F1830" s="37"/>
      <c r="G1830" s="37"/>
      <c r="H1830" s="37"/>
      <c r="I1830" s="37"/>
      <c r="J1830" s="37"/>
      <c r="K1830" s="37"/>
      <c r="L1830" s="37"/>
      <c r="M1830" s="37"/>
      <c r="N1830" s="37"/>
      <c r="O1830" s="37"/>
      <c r="P1830" s="37"/>
      <c r="Q1830" s="37"/>
      <c r="R1830" s="37"/>
      <c r="S1830" s="37"/>
      <c r="T1830" s="37"/>
      <c r="U1830" s="37"/>
      <c r="V1830" s="37"/>
      <c r="W1830" s="37"/>
      <c r="X1830" s="37"/>
      <c r="Y1830" s="37"/>
      <c r="Z1830" s="37"/>
      <c r="AA1830" s="37"/>
    </row>
    <row r="1831" spans="1:27">
      <c r="A1831" s="37"/>
      <c r="B1831" s="37"/>
      <c r="C1831" s="37"/>
      <c r="D1831" s="37"/>
      <c r="E1831" s="37"/>
      <c r="F1831" s="37"/>
      <c r="G1831" s="37"/>
      <c r="H1831" s="37"/>
      <c r="I1831" s="37"/>
      <c r="J1831" s="37"/>
      <c r="K1831" s="37"/>
      <c r="L1831" s="37"/>
      <c r="M1831" s="37"/>
      <c r="N1831" s="37"/>
      <c r="O1831" s="37"/>
      <c r="P1831" s="37"/>
      <c r="Q1831" s="37"/>
      <c r="R1831" s="37"/>
      <c r="S1831" s="37"/>
      <c r="T1831" s="37"/>
      <c r="U1831" s="37"/>
      <c r="V1831" s="37"/>
      <c r="W1831" s="37"/>
      <c r="X1831" s="37"/>
      <c r="Y1831" s="37"/>
      <c r="Z1831" s="37"/>
      <c r="AA1831" s="37"/>
    </row>
    <row r="1832" spans="1:27">
      <c r="A1832" s="37"/>
      <c r="B1832" s="37"/>
      <c r="C1832" s="37"/>
      <c r="D1832" s="37"/>
      <c r="E1832" s="37"/>
      <c r="F1832" s="37"/>
      <c r="G1832" s="37"/>
      <c r="H1832" s="37"/>
      <c r="I1832" s="37"/>
      <c r="J1832" s="37"/>
      <c r="K1832" s="37"/>
      <c r="L1832" s="37"/>
      <c r="M1832" s="37"/>
      <c r="N1832" s="37"/>
      <c r="O1832" s="37"/>
      <c r="P1832" s="37"/>
      <c r="Q1832" s="37"/>
      <c r="R1832" s="37"/>
      <c r="S1832" s="37"/>
      <c r="T1832" s="37"/>
      <c r="U1832" s="37"/>
      <c r="V1832" s="37"/>
      <c r="W1832" s="37"/>
      <c r="X1832" s="37"/>
      <c r="Y1832" s="37"/>
      <c r="Z1832" s="37"/>
      <c r="AA1832" s="37"/>
    </row>
    <row r="1833" spans="1:27">
      <c r="A1833" s="37"/>
      <c r="B1833" s="37"/>
      <c r="C1833" s="37"/>
      <c r="D1833" s="37"/>
      <c r="E1833" s="37"/>
      <c r="F1833" s="37"/>
      <c r="G1833" s="37"/>
      <c r="H1833" s="37"/>
      <c r="I1833" s="37"/>
      <c r="J1833" s="37"/>
      <c r="K1833" s="37"/>
      <c r="L1833" s="37"/>
      <c r="M1833" s="37"/>
      <c r="N1833" s="37"/>
      <c r="O1833" s="37"/>
      <c r="P1833" s="37"/>
      <c r="Q1833" s="37"/>
      <c r="R1833" s="37"/>
      <c r="S1833" s="37"/>
      <c r="T1833" s="37"/>
      <c r="U1833" s="37"/>
      <c r="V1833" s="37"/>
      <c r="W1833" s="37"/>
      <c r="X1833" s="37"/>
      <c r="Y1833" s="37"/>
      <c r="Z1833" s="37"/>
      <c r="AA1833" s="37"/>
    </row>
    <row r="1834" spans="1:27">
      <c r="A1834" s="37"/>
      <c r="B1834" s="37"/>
      <c r="C1834" s="37"/>
      <c r="D1834" s="37"/>
      <c r="E1834" s="37"/>
      <c r="F1834" s="37"/>
      <c r="G1834" s="37"/>
      <c r="H1834" s="37"/>
      <c r="I1834" s="37"/>
      <c r="J1834" s="37"/>
      <c r="K1834" s="37"/>
      <c r="L1834" s="37"/>
      <c r="M1834" s="37"/>
      <c r="N1834" s="37"/>
      <c r="O1834" s="37"/>
      <c r="P1834" s="37"/>
      <c r="Q1834" s="37"/>
      <c r="R1834" s="37"/>
      <c r="S1834" s="37"/>
      <c r="T1834" s="37"/>
      <c r="U1834" s="37"/>
      <c r="V1834" s="37"/>
      <c r="W1834" s="37"/>
      <c r="X1834" s="37"/>
      <c r="Y1834" s="37"/>
      <c r="Z1834" s="37"/>
      <c r="AA1834" s="37"/>
    </row>
    <row r="1835" spans="1:27">
      <c r="A1835" s="37"/>
      <c r="B1835" s="37"/>
      <c r="C1835" s="37"/>
      <c r="D1835" s="37"/>
      <c r="E1835" s="37"/>
      <c r="F1835" s="37"/>
      <c r="G1835" s="37"/>
      <c r="H1835" s="37"/>
      <c r="I1835" s="37"/>
      <c r="J1835" s="37"/>
      <c r="K1835" s="37"/>
      <c r="L1835" s="37"/>
      <c r="M1835" s="37"/>
      <c r="N1835" s="37"/>
      <c r="O1835" s="37"/>
      <c r="P1835" s="37"/>
      <c r="Q1835" s="37"/>
      <c r="R1835" s="37"/>
      <c r="S1835" s="37"/>
      <c r="T1835" s="37"/>
      <c r="U1835" s="37"/>
      <c r="V1835" s="37"/>
      <c r="W1835" s="37"/>
      <c r="X1835" s="37"/>
      <c r="Y1835" s="37"/>
      <c r="Z1835" s="37"/>
      <c r="AA1835" s="37"/>
    </row>
    <row r="1836" spans="1:27">
      <c r="A1836" s="37"/>
      <c r="B1836" s="37"/>
      <c r="C1836" s="37"/>
      <c r="D1836" s="37"/>
      <c r="E1836" s="37"/>
      <c r="F1836" s="37"/>
      <c r="G1836" s="37"/>
      <c r="H1836" s="37"/>
      <c r="I1836" s="37"/>
      <c r="J1836" s="37"/>
      <c r="K1836" s="37"/>
      <c r="L1836" s="37"/>
      <c r="M1836" s="37"/>
      <c r="N1836" s="37"/>
      <c r="O1836" s="37"/>
      <c r="P1836" s="37"/>
      <c r="Q1836" s="37"/>
      <c r="R1836" s="37"/>
      <c r="S1836" s="37"/>
      <c r="T1836" s="37"/>
      <c r="U1836" s="37"/>
      <c r="V1836" s="37"/>
      <c r="W1836" s="37"/>
      <c r="X1836" s="37"/>
      <c r="Y1836" s="37"/>
      <c r="Z1836" s="37"/>
      <c r="AA1836" s="37"/>
    </row>
    <row r="1837" spans="1:27">
      <c r="A1837" s="37"/>
      <c r="B1837" s="37"/>
      <c r="C1837" s="37"/>
      <c r="D1837" s="37"/>
      <c r="E1837" s="37"/>
      <c r="F1837" s="37"/>
      <c r="G1837" s="37"/>
      <c r="H1837" s="37"/>
      <c r="I1837" s="37"/>
      <c r="J1837" s="37"/>
      <c r="K1837" s="37"/>
      <c r="L1837" s="37"/>
      <c r="M1837" s="37"/>
      <c r="N1837" s="37"/>
      <c r="O1837" s="37"/>
      <c r="P1837" s="37"/>
      <c r="Q1837" s="37"/>
      <c r="R1837" s="37"/>
      <c r="S1837" s="37"/>
      <c r="T1837" s="37"/>
      <c r="U1837" s="37"/>
      <c r="V1837" s="37"/>
      <c r="W1837" s="37"/>
      <c r="X1837" s="37"/>
      <c r="Y1837" s="37"/>
      <c r="Z1837" s="37"/>
      <c r="AA1837" s="37"/>
    </row>
  </sheetData>
  <conditionalFormatting sqref="K2:K26">
    <cfRule type="colorScale" priority="1">
      <colorScale>
        <cfvo type="min"/>
        <cfvo type="percentile" val="50"/>
        <cfvo type="max"/>
        <color rgb="FF57BB8A"/>
        <color rgb="FFFFD666"/>
        <color rgb="FFE67C73"/>
      </colorScale>
    </cfRule>
  </conditionalFormatting>
  <conditionalFormatting sqref="K480:K500">
    <cfRule type="colorScale" priority="2">
      <colorScale>
        <cfvo type="min"/>
        <cfvo type="percentile" val="50"/>
        <cfvo type="max"/>
        <color rgb="FF57BB8A"/>
        <color rgb="FFFFD666"/>
        <color rgb="FFE67C73"/>
      </colorScale>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RESULTS</vt:lpstr>
      <vt:lpstr>Top 3's</vt:lpstr>
      <vt:lpstr>RAW DATA</vt:lpstr>
      <vt:lpstr>London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Oliver Lord</cp:lastModifiedBy>
  <dcterms:created xsi:type="dcterms:W3CDTF">2021-03-29T11:03:54Z</dcterms:created>
  <dcterms:modified xsi:type="dcterms:W3CDTF">2021-03-29T11:03:54Z</dcterms:modified>
</cp:coreProperties>
</file>